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29"/>
  <workbookPr showInkAnnotation="0" codeName="ThisWorkbook" defaultThemeVersion="124226"/>
  <mc:AlternateContent xmlns:mc="http://schemas.openxmlformats.org/markup-compatibility/2006">
    <mc:Choice Requires="x15">
      <x15ac:absPath xmlns:x15ac="http://schemas.microsoft.com/office/spreadsheetml/2010/11/ac" url="https://mercyhousing.sharepoint.com/sites/CA/housingdev/sf/2 Development/Transbay 2/2.  FINANCE/2.5  Funding Sources/TCAC-CDLAC 2023/Draft Application/Tab 40 - Excel Application/"/>
    </mc:Choice>
  </mc:AlternateContent>
  <xr:revisionPtr revIDLastSave="194" documentId="13_ncr:1_{40D973DC-C83E-374B-AAC6-6809C15D1270}" xr6:coauthVersionLast="47" xr6:coauthVersionMax="47" xr10:uidLastSave="{1E788AD4-81A1-4AA3-86D2-AFAFC02F8D28}"/>
  <bookViews>
    <workbookView xWindow="-120" yWindow="-120" windowWidth="29040" windowHeight="15840" tabRatio="905"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Points System" sheetId="20" r:id="rId7"/>
    <sheet name="Sources and Basis Breakdown" sheetId="13" r:id="rId8"/>
    <sheet name="Tie Breaker" sheetId="21" r:id="rId9"/>
    <sheet name="CalHFA Addendum" sheetId="26" r:id="rId10"/>
    <sheet name="Basis &amp; Credits" sheetId="15" r:id="rId11"/>
    <sheet name="15 Year Pro Forma" sheetId="7" r:id="rId12"/>
    <sheet name="Post-award Instructions" sheetId="12" r:id="rId13"/>
    <sheet name="Post-award Project Cost Changes" sheetId="11" r:id="rId14"/>
    <sheet name="Subsidy Contract Calculation" sheetId="8" r:id="rId15"/>
  </sheets>
  <definedNames>
    <definedName name="_xlnm._FilterDatabase" localSheetId="4" hidden="1">Application!$J$927:$S$927</definedName>
    <definedName name="bedrooms" localSheetId="9">#REF!</definedName>
    <definedName name="bedrooms">Application!$BP$655:$BV$655</definedName>
    <definedName name="Counties" localSheetId="1">#REF!</definedName>
    <definedName name="FMRS" localSheetId="1">#REF!</definedName>
    <definedName name="HudFmrs" localSheetId="9">Application!$BX$656:$CB$713</definedName>
    <definedName name="HudFmrs">Application!$BX$656:$CB$713</definedName>
    <definedName name="importme" localSheetId="1">#REF!</definedName>
    <definedName name="ListofSources">Application!$BN$511:$BN$536</definedName>
    <definedName name="my_lookup_counties" localSheetId="1">#REF!</definedName>
    <definedName name="PRINT" localSheetId="1">#REF!</definedName>
    <definedName name="_xlnm.Print_Area" localSheetId="11">'15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6">'Points System'!$A$1:$AM$808</definedName>
    <definedName name="_xlnm.Print_Area" localSheetId="13">'Post-award Project Cost Changes'!$A$1:$F$107</definedName>
    <definedName name="_xlnm.Print_Area" localSheetId="7">'Sources and Basis Breakdown'!$A$1:$J$111</definedName>
    <definedName name="_xlnm.Print_Area" localSheetId="5">'Sources and Uses Budget'!$A$1:$T$139</definedName>
    <definedName name="_xlnm.Print_Area" localSheetId="8">'Tie Breaker'!$A$1:$I$114</definedName>
    <definedName name="_xlnm.Print_Titles" localSheetId="7">'Sources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6" hidden="1">'Points System'!$AN:$CC</definedName>
    <definedName name="Z_48A1B9AA_9520_4513_968D_1FB22989E0AF_.wvu.Cols" localSheetId="7" hidden="1">'Sources and Basis Breakdown'!$K:$IV</definedName>
    <definedName name="Z_48A1B9AA_9520_4513_968D_1FB22989E0AF_.wvu.PrintArea" localSheetId="10" hidden="1">'Basis &amp; Credits'!$A$1:$AN$82</definedName>
    <definedName name="Z_48A1B9AA_9520_4513_968D_1FB22989E0AF_.wvu.PrintArea" localSheetId="6" hidden="1">'Points System'!$A$1:$AM$808</definedName>
    <definedName name="Z_48A1B9AA_9520_4513_968D_1FB22989E0AF_.wvu.PrintArea" localSheetId="7" hidden="1">'Sources and Basis Breakdown'!$A$1:$J$143</definedName>
    <definedName name="Z_48A1B9AA_9520_4513_968D_1FB22989E0AF_.wvu.PrintTitles" localSheetId="7" hidden="1">'Sources and Basis Breakdown'!$1:$2</definedName>
    <definedName name="Z_48A1B9AA_9520_4513_968D_1FB22989E0AF_.wvu.Rows" localSheetId="10" hidden="1">'Basis &amp; Credits'!$103:$65543,'Basis &amp; Credits'!$84:$102</definedName>
    <definedName name="Z_48A1B9AA_9520_4513_968D_1FB22989E0AF_.wvu.Rows" localSheetId="6"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1"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3"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3" hidden="1">'Post-award Project Cost Changes'!$109:$19913</definedName>
    <definedName name="Z_ACB87C9A_02C3_4C83_BBE4_E2C44A4D81CD_.wvu.Rows" localSheetId="5" hidden="1">'Sources and Uses Budget'!$141:$65522,'Sources and Uses Budget'!#REF!</definedName>
  </definedNames>
  <calcPr calcId="191029" calcMode="manual"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21" i="20" l="1"/>
  <c r="J121" i="20"/>
  <c r="O121" i="20"/>
  <c r="T121" i="20"/>
  <c r="C45" i="4" l="1"/>
  <c r="C46" i="4"/>
  <c r="C54" i="4"/>
  <c r="C63" i="4"/>
  <c r="C97" i="4"/>
  <c r="C105" i="4"/>
  <c r="B105" i="4"/>
  <c r="AB47" i="15"/>
  <c r="AB49" i="15"/>
  <c r="AB50" i="15"/>
  <c r="C86" i="4"/>
  <c r="K10" i="7"/>
  <c r="AE10" i="7"/>
  <c r="W830" i="3"/>
  <c r="W841" i="3"/>
  <c r="AC877" i="3"/>
  <c r="AF625" i="3"/>
  <c r="W838" i="3"/>
  <c r="W829" i="3"/>
  <c r="W837" i="3"/>
  <c r="W852" i="3"/>
  <c r="Y10" i="7"/>
  <c r="I10" i="7"/>
  <c r="I11" i="7"/>
  <c r="W831" i="3"/>
  <c r="E15" i="7"/>
  <c r="G15" i="7"/>
  <c r="I15" i="7"/>
  <c r="W839" i="3"/>
  <c r="E17" i="7"/>
  <c r="G17" i="7"/>
  <c r="I17" i="7"/>
  <c r="W846" i="3"/>
  <c r="E18" i="7"/>
  <c r="G18" i="7"/>
  <c r="I18" i="7"/>
  <c r="W856" i="3"/>
  <c r="E20" i="7"/>
  <c r="G20" i="7"/>
  <c r="I20" i="7"/>
  <c r="I22" i="7"/>
  <c r="E27" i="7"/>
  <c r="G27" i="7"/>
  <c r="I27" i="7"/>
  <c r="E32" i="7"/>
  <c r="G32" i="7"/>
  <c r="I32" i="7"/>
  <c r="I35" i="7"/>
  <c r="I37" i="7"/>
  <c r="I45" i="7"/>
  <c r="I60" i="7"/>
  <c r="I62" i="7"/>
  <c r="E22" i="7"/>
  <c r="E35" i="7"/>
  <c r="E37" i="7"/>
  <c r="E45" i="7"/>
  <c r="E60" i="7"/>
  <c r="E62" i="7"/>
  <c r="G22" i="7"/>
  <c r="G35" i="7"/>
  <c r="G37" i="7"/>
  <c r="G45" i="7"/>
  <c r="G60" i="7"/>
  <c r="G62" i="7"/>
  <c r="K62" i="7"/>
  <c r="K15" i="7"/>
  <c r="K17" i="7"/>
  <c r="K18" i="7"/>
  <c r="K20" i="7"/>
  <c r="K22" i="7"/>
  <c r="K27" i="7"/>
  <c r="K32" i="7"/>
  <c r="K35" i="7"/>
  <c r="K11" i="7"/>
  <c r="K37" i="7"/>
  <c r="K45" i="7"/>
  <c r="K60" i="7"/>
  <c r="K68" i="7"/>
  <c r="K67" i="7"/>
  <c r="K66" i="7"/>
  <c r="AC10" i="7"/>
  <c r="W863" i="3"/>
  <c r="E21" i="7"/>
  <c r="M930" i="3"/>
  <c r="F4" i="8"/>
  <c r="I4" i="8"/>
  <c r="J4" i="8"/>
  <c r="F5" i="8"/>
  <c r="I5" i="8"/>
  <c r="J5" i="8"/>
  <c r="F6" i="8"/>
  <c r="I6" i="8"/>
  <c r="J6" i="8"/>
  <c r="F7" i="8"/>
  <c r="I7" i="8"/>
  <c r="J7" i="8"/>
  <c r="F8" i="8"/>
  <c r="I8" i="8"/>
  <c r="J8" i="8"/>
  <c r="F9" i="8"/>
  <c r="I9" i="8"/>
  <c r="J9" i="8"/>
  <c r="J30" i="8"/>
  <c r="Z793" i="3"/>
  <c r="E6" i="7"/>
  <c r="G6" i="7"/>
  <c r="I6" i="7"/>
  <c r="C7" i="7"/>
  <c r="I7" i="7"/>
  <c r="E4" i="7"/>
  <c r="G4" i="7"/>
  <c r="I4" i="7"/>
  <c r="C5" i="7"/>
  <c r="I5" i="7"/>
  <c r="E8" i="7"/>
  <c r="G8" i="7"/>
  <c r="I8" i="7"/>
  <c r="C9" i="7"/>
  <c r="I9" i="7"/>
  <c r="G21" i="7"/>
  <c r="I21" i="7"/>
  <c r="E16" i="7"/>
  <c r="G16" i="7"/>
  <c r="I16" i="7"/>
  <c r="E19" i="7"/>
  <c r="G19" i="7"/>
  <c r="I19" i="7"/>
  <c r="G24" i="7"/>
  <c r="I24" i="7"/>
  <c r="E26" i="7"/>
  <c r="G26" i="7"/>
  <c r="I26" i="7"/>
  <c r="E28" i="7"/>
  <c r="I28" i="7"/>
  <c r="E29" i="7"/>
  <c r="I29" i="7"/>
  <c r="E30" i="7"/>
  <c r="G30" i="7"/>
  <c r="I30" i="7"/>
  <c r="E31" i="7"/>
  <c r="G31" i="7"/>
  <c r="I31" i="7"/>
  <c r="E33" i="7"/>
  <c r="G33" i="7"/>
  <c r="I33" i="7"/>
  <c r="E40" i="7"/>
  <c r="I40" i="7"/>
  <c r="I41" i="7"/>
  <c r="I42" i="7"/>
  <c r="I43" i="7"/>
  <c r="G53" i="7"/>
  <c r="I53" i="7"/>
  <c r="G54" i="7"/>
  <c r="I54" i="7"/>
  <c r="G55" i="7"/>
  <c r="I55" i="7"/>
  <c r="G56" i="7"/>
  <c r="I56" i="7"/>
  <c r="G57" i="7"/>
  <c r="I57" i="7"/>
  <c r="I58" i="7"/>
  <c r="E7" i="7"/>
  <c r="E5" i="7"/>
  <c r="E9" i="7"/>
  <c r="E11" i="7"/>
  <c r="E43" i="7"/>
  <c r="E58" i="7"/>
  <c r="G7" i="7"/>
  <c r="G5" i="7"/>
  <c r="G9" i="7"/>
  <c r="G11" i="7"/>
  <c r="G28" i="7"/>
  <c r="G29" i="7"/>
  <c r="G40" i="7"/>
  <c r="G41" i="7"/>
  <c r="G42" i="7"/>
  <c r="G43" i="7"/>
  <c r="G58" i="7"/>
  <c r="C68" i="7"/>
  <c r="I68" i="7"/>
  <c r="I67" i="7"/>
  <c r="I66" i="7"/>
  <c r="O729" i="3"/>
  <c r="O728" i="3"/>
  <c r="O725" i="3"/>
  <c r="O723" i="3"/>
  <c r="O722" i="3"/>
  <c r="O720" i="3"/>
  <c r="O721" i="3"/>
  <c r="C30" i="4"/>
  <c r="C79" i="4"/>
  <c r="J10" i="8"/>
  <c r="J11" i="8"/>
  <c r="J12" i="8"/>
  <c r="J13" i="8"/>
  <c r="J15" i="8"/>
  <c r="J18" i="8"/>
  <c r="J19" i="8"/>
  <c r="G727" i="3"/>
  <c r="G726" i="3"/>
  <c r="G725" i="3"/>
  <c r="G724" i="3"/>
  <c r="AM555" i="3"/>
  <c r="AO636" i="3"/>
  <c r="AD189" i="20"/>
  <c r="AD188" i="20"/>
  <c r="E61" i="4"/>
  <c r="C65" i="4"/>
  <c r="S45" i="4"/>
  <c r="C49" i="4"/>
  <c r="K21" i="7"/>
  <c r="M21" i="7"/>
  <c r="O21" i="7"/>
  <c r="Q21" i="7"/>
  <c r="S21" i="7"/>
  <c r="U21" i="7"/>
  <c r="W21" i="7"/>
  <c r="Y21" i="7"/>
  <c r="AA21" i="7"/>
  <c r="AC21" i="7"/>
  <c r="AE21" i="7"/>
  <c r="AG21" i="7"/>
  <c r="M15" i="7"/>
  <c r="O15" i="7"/>
  <c r="Q15" i="7"/>
  <c r="S15" i="7"/>
  <c r="U15" i="7"/>
  <c r="W15" i="7"/>
  <c r="Y15" i="7"/>
  <c r="AA15" i="7"/>
  <c r="AC15" i="7"/>
  <c r="AE15" i="7"/>
  <c r="AG15" i="7"/>
  <c r="K16" i="7"/>
  <c r="M16" i="7"/>
  <c r="O16" i="7"/>
  <c r="Q16" i="7"/>
  <c r="S16" i="7"/>
  <c r="U16" i="7"/>
  <c r="W16" i="7"/>
  <c r="Y16" i="7"/>
  <c r="AA16" i="7"/>
  <c r="AC16" i="7"/>
  <c r="AE16" i="7"/>
  <c r="AG16" i="7"/>
  <c r="M17" i="7"/>
  <c r="O17" i="7"/>
  <c r="Q17" i="7"/>
  <c r="S17" i="7"/>
  <c r="U17" i="7"/>
  <c r="W17" i="7"/>
  <c r="Y17" i="7"/>
  <c r="AA17" i="7"/>
  <c r="AC17" i="7"/>
  <c r="AE17" i="7"/>
  <c r="AG17" i="7"/>
  <c r="M18" i="7"/>
  <c r="O18" i="7"/>
  <c r="Q18" i="7"/>
  <c r="S18" i="7"/>
  <c r="U18" i="7"/>
  <c r="W18" i="7"/>
  <c r="Y18" i="7"/>
  <c r="AA18" i="7"/>
  <c r="AC18" i="7"/>
  <c r="AE18" i="7"/>
  <c r="AG18" i="7"/>
  <c r="K19" i="7"/>
  <c r="M19" i="7"/>
  <c r="O19" i="7"/>
  <c r="Q19" i="7"/>
  <c r="S19" i="7"/>
  <c r="U19" i="7"/>
  <c r="W19" i="7"/>
  <c r="Y19" i="7"/>
  <c r="AA19" i="7"/>
  <c r="AC19" i="7"/>
  <c r="AE19" i="7"/>
  <c r="AG19" i="7"/>
  <c r="M20" i="7"/>
  <c r="O20" i="7"/>
  <c r="Q20" i="7"/>
  <c r="S20" i="7"/>
  <c r="U20" i="7"/>
  <c r="W20" i="7"/>
  <c r="Y20" i="7"/>
  <c r="AA20" i="7"/>
  <c r="AC20" i="7"/>
  <c r="AE20" i="7"/>
  <c r="AG20" i="7"/>
  <c r="AG22" i="7"/>
  <c r="M32" i="7"/>
  <c r="O32" i="7"/>
  <c r="Q32" i="7"/>
  <c r="S32" i="7"/>
  <c r="U32" i="7"/>
  <c r="W32" i="7"/>
  <c r="Y32" i="7"/>
  <c r="AA32" i="7"/>
  <c r="AC32" i="7"/>
  <c r="AE32" i="7"/>
  <c r="AG32" i="7"/>
  <c r="K26" i="7"/>
  <c r="M26" i="7"/>
  <c r="O26" i="7"/>
  <c r="Q26" i="7"/>
  <c r="S26" i="7"/>
  <c r="U26" i="7"/>
  <c r="W26" i="7"/>
  <c r="Y26" i="7"/>
  <c r="AA26" i="7"/>
  <c r="AC26" i="7"/>
  <c r="AE26" i="7"/>
  <c r="AG26" i="7"/>
  <c r="M27" i="7"/>
  <c r="O27" i="7"/>
  <c r="Q27" i="7"/>
  <c r="S27" i="7"/>
  <c r="U27" i="7"/>
  <c r="W27" i="7"/>
  <c r="Y27" i="7"/>
  <c r="AA27" i="7"/>
  <c r="AC27" i="7"/>
  <c r="AE27" i="7"/>
  <c r="AG27" i="7"/>
  <c r="AG28" i="7"/>
  <c r="AG29" i="7"/>
  <c r="K30" i="7"/>
  <c r="M30" i="7"/>
  <c r="O30" i="7"/>
  <c r="Q30" i="7"/>
  <c r="S30" i="7"/>
  <c r="U30" i="7"/>
  <c r="W30" i="7"/>
  <c r="Y30" i="7"/>
  <c r="AA30" i="7"/>
  <c r="AC30" i="7"/>
  <c r="AE30" i="7"/>
  <c r="AG30" i="7"/>
  <c r="K31" i="7"/>
  <c r="M31" i="7"/>
  <c r="O31" i="7"/>
  <c r="Q31" i="7"/>
  <c r="S31" i="7"/>
  <c r="U31" i="7"/>
  <c r="W31" i="7"/>
  <c r="Y31" i="7"/>
  <c r="AA31" i="7"/>
  <c r="AC31" i="7"/>
  <c r="AE31" i="7"/>
  <c r="AG31" i="7"/>
  <c r="K33" i="7"/>
  <c r="M33" i="7"/>
  <c r="O33" i="7"/>
  <c r="Q33" i="7"/>
  <c r="S33" i="7"/>
  <c r="U33" i="7"/>
  <c r="W33" i="7"/>
  <c r="Y33" i="7"/>
  <c r="AA33" i="7"/>
  <c r="AC33" i="7"/>
  <c r="AE33" i="7"/>
  <c r="AG33" i="7"/>
  <c r="K24" i="7"/>
  <c r="M24" i="7"/>
  <c r="O24" i="7"/>
  <c r="Q24" i="7"/>
  <c r="S24" i="7"/>
  <c r="U24" i="7"/>
  <c r="W24" i="7"/>
  <c r="Y24" i="7"/>
  <c r="AA24" i="7"/>
  <c r="AC24" i="7"/>
  <c r="AE24" i="7"/>
  <c r="AG24" i="7"/>
  <c r="AG35" i="7"/>
  <c r="O739" i="3"/>
  <c r="AC758" i="3"/>
  <c r="AC759" i="3"/>
  <c r="AC760" i="3"/>
  <c r="AC761" i="3"/>
  <c r="AC762" i="3"/>
  <c r="AC772" i="3"/>
  <c r="AC773" i="3"/>
  <c r="AC774" i="3"/>
  <c r="AC775" i="3"/>
  <c r="AC776" i="3"/>
  <c r="AC777" i="3"/>
  <c r="AC778" i="3"/>
  <c r="AC779" i="3"/>
  <c r="AC780" i="3"/>
  <c r="AC781" i="3"/>
  <c r="AC782" i="3"/>
  <c r="Y785" i="3"/>
  <c r="K4" i="7"/>
  <c r="M4" i="7"/>
  <c r="O4" i="7"/>
  <c r="Q4" i="7"/>
  <c r="S4" i="7"/>
  <c r="U4" i="7"/>
  <c r="W4" i="7"/>
  <c r="Y4" i="7"/>
  <c r="AA4" i="7"/>
  <c r="AC4" i="7"/>
  <c r="AE4" i="7"/>
  <c r="AG4" i="7"/>
  <c r="AG5" i="7"/>
  <c r="J14" i="8"/>
  <c r="J16" i="8"/>
  <c r="J17" i="8"/>
  <c r="J20" i="8"/>
  <c r="J21" i="8"/>
  <c r="J22" i="8"/>
  <c r="J23" i="8"/>
  <c r="J24" i="8"/>
  <c r="J25" i="8"/>
  <c r="J26" i="8"/>
  <c r="J27" i="8"/>
  <c r="J28" i="8"/>
  <c r="K6" i="7"/>
  <c r="M6" i="7"/>
  <c r="O6" i="7"/>
  <c r="Q6" i="7"/>
  <c r="S6" i="7"/>
  <c r="U6" i="7"/>
  <c r="W6" i="7"/>
  <c r="Y6" i="7"/>
  <c r="AA6" i="7"/>
  <c r="AC6" i="7"/>
  <c r="AE6" i="7"/>
  <c r="AG6" i="7"/>
  <c r="AG7" i="7"/>
  <c r="Z801" i="3"/>
  <c r="K8" i="7"/>
  <c r="M8" i="7"/>
  <c r="O8" i="7"/>
  <c r="Q8" i="7"/>
  <c r="S8" i="7"/>
  <c r="U8" i="7"/>
  <c r="W8" i="7"/>
  <c r="Y8" i="7"/>
  <c r="AA8" i="7"/>
  <c r="AC8" i="7"/>
  <c r="AE8" i="7"/>
  <c r="AG8" i="7"/>
  <c r="AG9" i="7"/>
  <c r="AG11" i="7"/>
  <c r="AG37" i="7"/>
  <c r="AF623" i="3"/>
  <c r="AG40" i="7"/>
  <c r="AG41" i="7"/>
  <c r="AG42" i="7"/>
  <c r="AG43" i="7"/>
  <c r="AG45" i="7"/>
  <c r="K53" i="7"/>
  <c r="M53" i="7"/>
  <c r="O53" i="7"/>
  <c r="Q53" i="7"/>
  <c r="S53" i="7"/>
  <c r="U53" i="7"/>
  <c r="W53" i="7"/>
  <c r="Y53" i="7"/>
  <c r="AA53" i="7"/>
  <c r="AC53" i="7"/>
  <c r="AE53" i="7"/>
  <c r="AG53" i="7"/>
  <c r="K54" i="7"/>
  <c r="M54" i="7"/>
  <c r="O54" i="7"/>
  <c r="Q54" i="7"/>
  <c r="S54" i="7"/>
  <c r="U54" i="7"/>
  <c r="W54" i="7"/>
  <c r="Y54" i="7"/>
  <c r="AA54" i="7"/>
  <c r="AC54" i="7"/>
  <c r="AE54" i="7"/>
  <c r="AG54" i="7"/>
  <c r="K55" i="7"/>
  <c r="M55" i="7"/>
  <c r="O55" i="7"/>
  <c r="Q55" i="7"/>
  <c r="S55" i="7"/>
  <c r="U55" i="7"/>
  <c r="W55" i="7"/>
  <c r="Y55" i="7"/>
  <c r="AA55" i="7"/>
  <c r="AC55" i="7"/>
  <c r="AE55" i="7"/>
  <c r="AG55" i="7"/>
  <c r="K56" i="7"/>
  <c r="M56" i="7"/>
  <c r="O56" i="7"/>
  <c r="Q56" i="7"/>
  <c r="S56" i="7"/>
  <c r="U56" i="7"/>
  <c r="W56" i="7"/>
  <c r="Y56" i="7"/>
  <c r="AA56" i="7"/>
  <c r="AC56" i="7"/>
  <c r="AE56" i="7"/>
  <c r="AG56" i="7"/>
  <c r="K57" i="7"/>
  <c r="M57" i="7"/>
  <c r="O57" i="7"/>
  <c r="Q57" i="7"/>
  <c r="S57" i="7"/>
  <c r="U57" i="7"/>
  <c r="W57" i="7"/>
  <c r="Y57" i="7"/>
  <c r="AA57" i="7"/>
  <c r="AC57" i="7"/>
  <c r="AE57" i="7"/>
  <c r="AG57" i="7"/>
  <c r="AG58" i="7"/>
  <c r="AG60" i="7"/>
  <c r="AG68" i="7"/>
  <c r="AG67" i="7"/>
  <c r="AG66" i="7"/>
  <c r="AE22" i="7"/>
  <c r="AE28" i="7"/>
  <c r="AE29" i="7"/>
  <c r="AE35" i="7"/>
  <c r="AE5" i="7"/>
  <c r="AE7" i="7"/>
  <c r="AE9" i="7"/>
  <c r="AE11" i="7"/>
  <c r="AE37" i="7"/>
  <c r="AE40" i="7"/>
  <c r="AE41" i="7"/>
  <c r="AE42" i="7"/>
  <c r="AE43" i="7"/>
  <c r="AE45" i="7"/>
  <c r="AE58" i="7"/>
  <c r="AE60" i="7"/>
  <c r="AE68" i="7"/>
  <c r="AE67" i="7"/>
  <c r="AE66" i="7"/>
  <c r="AC22" i="7"/>
  <c r="AC28" i="7"/>
  <c r="AC29" i="7"/>
  <c r="AC35" i="7"/>
  <c r="AC5" i="7"/>
  <c r="AC7" i="7"/>
  <c r="AC9" i="7"/>
  <c r="AC11" i="7"/>
  <c r="AC37" i="7"/>
  <c r="AC40" i="7"/>
  <c r="AC41" i="7"/>
  <c r="AC42" i="7"/>
  <c r="AC43" i="7"/>
  <c r="AC45" i="7"/>
  <c r="AC58" i="7"/>
  <c r="AC60" i="7"/>
  <c r="AC68" i="7"/>
  <c r="AC67" i="7"/>
  <c r="AC66" i="7"/>
  <c r="AA22" i="7"/>
  <c r="AA28" i="7"/>
  <c r="AA29" i="7"/>
  <c r="AA35" i="7"/>
  <c r="AA5" i="7"/>
  <c r="AA7" i="7"/>
  <c r="AA9" i="7"/>
  <c r="AA11" i="7"/>
  <c r="AA37" i="7"/>
  <c r="AA40" i="7"/>
  <c r="AA41" i="7"/>
  <c r="AA42" i="7"/>
  <c r="AA43" i="7"/>
  <c r="AA45" i="7"/>
  <c r="AA58" i="7"/>
  <c r="AA60" i="7"/>
  <c r="AA68" i="7"/>
  <c r="AA67" i="7"/>
  <c r="AA66" i="7"/>
  <c r="Y22" i="7"/>
  <c r="Y28" i="7"/>
  <c r="Y29" i="7"/>
  <c r="Y35" i="7"/>
  <c r="Y5" i="7"/>
  <c r="Y7" i="7"/>
  <c r="Y9" i="7"/>
  <c r="Y11" i="7"/>
  <c r="Y37" i="7"/>
  <c r="Y40" i="7"/>
  <c r="Y41" i="7"/>
  <c r="Y42" i="7"/>
  <c r="Y43" i="7"/>
  <c r="Y45" i="7"/>
  <c r="Y58" i="7"/>
  <c r="Y60" i="7"/>
  <c r="Y68" i="7"/>
  <c r="Y67" i="7"/>
  <c r="Y66" i="7"/>
  <c r="W22" i="7"/>
  <c r="W28" i="7"/>
  <c r="W29" i="7"/>
  <c r="W35" i="7"/>
  <c r="W5" i="7"/>
  <c r="W7" i="7"/>
  <c r="W9" i="7"/>
  <c r="W11" i="7"/>
  <c r="W37" i="7"/>
  <c r="W40" i="7"/>
  <c r="W41" i="7"/>
  <c r="W42" i="7"/>
  <c r="W43" i="7"/>
  <c r="W45" i="7"/>
  <c r="W58" i="7"/>
  <c r="W60" i="7"/>
  <c r="W68" i="7"/>
  <c r="W67" i="7"/>
  <c r="W66" i="7"/>
  <c r="U22" i="7"/>
  <c r="U28" i="7"/>
  <c r="U29" i="7"/>
  <c r="U35" i="7"/>
  <c r="U5" i="7"/>
  <c r="U7" i="7"/>
  <c r="U9" i="7"/>
  <c r="U11" i="7"/>
  <c r="U37" i="7"/>
  <c r="U40" i="7"/>
  <c r="U41" i="7"/>
  <c r="U42" i="7"/>
  <c r="U43" i="7"/>
  <c r="U45" i="7"/>
  <c r="U58" i="7"/>
  <c r="U60" i="7"/>
  <c r="U68" i="7"/>
  <c r="U67" i="7"/>
  <c r="U66" i="7"/>
  <c r="S22" i="7"/>
  <c r="S28" i="7"/>
  <c r="S29" i="7"/>
  <c r="S35" i="7"/>
  <c r="S5" i="7"/>
  <c r="S7" i="7"/>
  <c r="S9" i="7"/>
  <c r="S11" i="7"/>
  <c r="S37" i="7"/>
  <c r="S40" i="7"/>
  <c r="S41" i="7"/>
  <c r="S42" i="7"/>
  <c r="S43" i="7"/>
  <c r="S45" i="7"/>
  <c r="S58" i="7"/>
  <c r="S60" i="7"/>
  <c r="S68" i="7"/>
  <c r="S67" i="7"/>
  <c r="S66" i="7"/>
  <c r="Q22" i="7"/>
  <c r="Q28" i="7"/>
  <c r="Q29" i="7"/>
  <c r="Q35" i="7"/>
  <c r="Q5" i="7"/>
  <c r="Q7" i="7"/>
  <c r="Q9" i="7"/>
  <c r="Q11" i="7"/>
  <c r="Q37" i="7"/>
  <c r="Q40" i="7"/>
  <c r="Q41" i="7"/>
  <c r="Q42" i="7"/>
  <c r="Q43" i="7"/>
  <c r="Q45" i="7"/>
  <c r="Q58" i="7"/>
  <c r="Q60" i="7"/>
  <c r="Q68" i="7"/>
  <c r="Q67" i="7"/>
  <c r="Q66" i="7"/>
  <c r="O22" i="7"/>
  <c r="O28" i="7"/>
  <c r="O29" i="7"/>
  <c r="O35" i="7"/>
  <c r="O5" i="7"/>
  <c r="O7" i="7"/>
  <c r="O9" i="7"/>
  <c r="O11" i="7"/>
  <c r="O37" i="7"/>
  <c r="O40" i="7"/>
  <c r="O41" i="7"/>
  <c r="O42" i="7"/>
  <c r="O43" i="7"/>
  <c r="O45" i="7"/>
  <c r="O58" i="7"/>
  <c r="O60" i="7"/>
  <c r="O68" i="7"/>
  <c r="O67" i="7"/>
  <c r="O66" i="7"/>
  <c r="M22" i="7"/>
  <c r="M28" i="7"/>
  <c r="M29" i="7"/>
  <c r="M35" i="7"/>
  <c r="M5" i="7"/>
  <c r="M7" i="7"/>
  <c r="M9" i="7"/>
  <c r="M11" i="7"/>
  <c r="M37" i="7"/>
  <c r="M40" i="7"/>
  <c r="M41" i="7"/>
  <c r="M42" i="7"/>
  <c r="M43" i="7"/>
  <c r="M45" i="7"/>
  <c r="M58" i="7"/>
  <c r="M60" i="7"/>
  <c r="M68" i="7"/>
  <c r="M67" i="7"/>
  <c r="M66" i="7"/>
  <c r="K28" i="7"/>
  <c r="K29" i="7"/>
  <c r="K5" i="7"/>
  <c r="K7" i="7"/>
  <c r="K9" i="7"/>
  <c r="K40" i="7"/>
  <c r="K41" i="7"/>
  <c r="K42" i="7"/>
  <c r="K43" i="7"/>
  <c r="K58" i="7"/>
  <c r="AO626" i="3"/>
  <c r="G67" i="7"/>
  <c r="G66" i="7"/>
  <c r="G68" i="7"/>
  <c r="C54" i="7"/>
  <c r="AO624" i="3"/>
  <c r="AO635" i="3"/>
  <c r="AB48" i="15"/>
  <c r="C62" i="4"/>
  <c r="C38" i="4"/>
  <c r="C70" i="4"/>
  <c r="C81" i="4"/>
  <c r="C96" i="4"/>
  <c r="F30" i="4"/>
  <c r="G30" i="4"/>
  <c r="H30" i="4"/>
  <c r="E30" i="4"/>
  <c r="R30" i="4"/>
  <c r="S30" i="4"/>
  <c r="S38" i="4"/>
  <c r="S54" i="4"/>
  <c r="S63" i="4"/>
  <c r="E79" i="4"/>
  <c r="R79" i="4"/>
  <c r="S79" i="4"/>
  <c r="S81" i="4"/>
  <c r="E86" i="4"/>
  <c r="R86" i="4"/>
  <c r="S86" i="4"/>
  <c r="E85" i="4"/>
  <c r="R85" i="4"/>
  <c r="S85" i="4"/>
  <c r="S96" i="4"/>
  <c r="S97" i="4"/>
  <c r="I99" i="4"/>
  <c r="E99" i="4"/>
  <c r="R99" i="4"/>
  <c r="S99" i="4"/>
  <c r="S104" i="4"/>
  <c r="S105" i="4"/>
  <c r="S107" i="4"/>
  <c r="E107" i="13"/>
  <c r="T11" i="15"/>
  <c r="T23" i="15"/>
  <c r="T25" i="15"/>
  <c r="Y7" i="15"/>
  <c r="Y11" i="15"/>
  <c r="Y23" i="15"/>
  <c r="T26" i="15"/>
  <c r="AG440" i="3"/>
  <c r="AG443" i="3"/>
  <c r="AG444" i="3"/>
  <c r="T27" i="15"/>
  <c r="T28" i="15"/>
  <c r="Y26" i="15"/>
  <c r="Y27" i="15"/>
  <c r="Y28" i="15"/>
  <c r="CB785" i="3"/>
  <c r="R95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6" i="3"/>
  <c r="BN627" i="3"/>
  <c r="BN628" i="3"/>
  <c r="BN629" i="3"/>
  <c r="BN630" i="3"/>
  <c r="BN634" i="3"/>
  <c r="BN635" i="3"/>
  <c r="BN636" i="3"/>
  <c r="BN637" i="3"/>
  <c r="BN638" i="3"/>
  <c r="BN639" i="3"/>
  <c r="BN640" i="3"/>
  <c r="BN641" i="3"/>
  <c r="BN642" i="3"/>
  <c r="BN643" i="3"/>
  <c r="BN644" i="3"/>
  <c r="BN649" i="3"/>
  <c r="AB955" i="3"/>
  <c r="AJ955" i="3"/>
  <c r="R956"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6" i="3"/>
  <c r="BS627" i="3"/>
  <c r="BS628" i="3"/>
  <c r="BS629" i="3"/>
  <c r="BS630" i="3"/>
  <c r="BS634" i="3"/>
  <c r="BS635" i="3"/>
  <c r="BS636" i="3"/>
  <c r="BS637" i="3"/>
  <c r="BS638" i="3"/>
  <c r="BS639" i="3"/>
  <c r="BS640" i="3"/>
  <c r="BS641" i="3"/>
  <c r="BS642" i="3"/>
  <c r="BS643" i="3"/>
  <c r="BS644" i="3"/>
  <c r="BS649" i="3"/>
  <c r="AB956" i="3"/>
  <c r="AJ956" i="3"/>
  <c r="R957"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6" i="3"/>
  <c r="BX627" i="3"/>
  <c r="BX628" i="3"/>
  <c r="BX629" i="3"/>
  <c r="BX630" i="3"/>
  <c r="BX634" i="3"/>
  <c r="BX635" i="3"/>
  <c r="BX636" i="3"/>
  <c r="BX637" i="3"/>
  <c r="BX638" i="3"/>
  <c r="BX639" i="3"/>
  <c r="BX640" i="3"/>
  <c r="BX641" i="3"/>
  <c r="BX642" i="3"/>
  <c r="BX643" i="3"/>
  <c r="BX644" i="3"/>
  <c r="BX649" i="3"/>
  <c r="AB957" i="3"/>
  <c r="AJ957" i="3"/>
  <c r="R958"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6" i="3"/>
  <c r="CC627" i="3"/>
  <c r="CC628" i="3"/>
  <c r="CC629" i="3"/>
  <c r="CC630" i="3"/>
  <c r="CC634" i="3"/>
  <c r="CC635" i="3"/>
  <c r="CC636" i="3"/>
  <c r="CC637" i="3"/>
  <c r="CC638" i="3"/>
  <c r="CC639" i="3"/>
  <c r="CC640" i="3"/>
  <c r="CC641" i="3"/>
  <c r="CC642" i="3"/>
  <c r="CC643" i="3"/>
  <c r="CC644" i="3"/>
  <c r="CC649" i="3"/>
  <c r="AB958" i="3"/>
  <c r="AJ958" i="3"/>
  <c r="R959" i="3"/>
  <c r="CM634" i="3"/>
  <c r="CM635" i="3"/>
  <c r="CM636" i="3"/>
  <c r="CM637" i="3"/>
  <c r="CM638" i="3"/>
  <c r="CM639" i="3"/>
  <c r="CM640" i="3"/>
  <c r="CM641" i="3"/>
  <c r="CM642" i="3"/>
  <c r="CM643" i="3"/>
  <c r="CM644" i="3"/>
  <c r="CM626" i="3"/>
  <c r="CM627" i="3"/>
  <c r="CM628" i="3"/>
  <c r="CM629" i="3"/>
  <c r="CM630"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49"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6" i="3"/>
  <c r="CH627" i="3"/>
  <c r="CH628" i="3"/>
  <c r="CH629" i="3"/>
  <c r="CH630" i="3"/>
  <c r="CH634" i="3"/>
  <c r="CH635" i="3"/>
  <c r="CH636" i="3"/>
  <c r="CH637" i="3"/>
  <c r="CH638" i="3"/>
  <c r="CH639" i="3"/>
  <c r="CH640" i="3"/>
  <c r="CH641" i="3"/>
  <c r="CH642" i="3"/>
  <c r="CH643" i="3"/>
  <c r="CH644" i="3"/>
  <c r="CH649" i="3"/>
  <c r="AB959" i="3"/>
  <c r="AJ959" i="3"/>
  <c r="AJ961" i="3"/>
  <c r="AJ963" i="3"/>
  <c r="AJ966" i="3"/>
  <c r="AJ972" i="3"/>
  <c r="AJ976" i="3"/>
  <c r="AJ978" i="3"/>
  <c r="AJ981" i="3"/>
  <c r="AJ985" i="3"/>
  <c r="AJ990" i="3"/>
  <c r="AJ994" i="3"/>
  <c r="AJ997" i="3"/>
  <c r="AJ1001" i="3"/>
  <c r="AJ1006" i="3"/>
  <c r="BE596" i="3"/>
  <c r="BG596" i="3"/>
  <c r="BE597" i="3"/>
  <c r="BG597" i="3"/>
  <c r="BE598" i="3"/>
  <c r="BG598" i="3"/>
  <c r="BE599" i="3"/>
  <c r="BG599" i="3"/>
  <c r="BE600" i="3"/>
  <c r="BG600" i="3"/>
  <c r="BE601" i="3"/>
  <c r="BG601" i="3"/>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BE614" i="3"/>
  <c r="BG614" i="3"/>
  <c r="BE615" i="3"/>
  <c r="BG615" i="3"/>
  <c r="BE616" i="3"/>
  <c r="BG616" i="3"/>
  <c r="BE617" i="3"/>
  <c r="BG617" i="3"/>
  <c r="BE618" i="3"/>
  <c r="BG618" i="3"/>
  <c r="BE619" i="3"/>
  <c r="BG619" i="3"/>
  <c r="BE620" i="3"/>
  <c r="BG620" i="3"/>
  <c r="BG621" i="3"/>
  <c r="X1013" i="3"/>
  <c r="G739" i="3"/>
  <c r="O782" i="3"/>
  <c r="BA973" i="3"/>
  <c r="I1013" i="3"/>
  <c r="BA975" i="3"/>
  <c r="AJ1010" i="3"/>
  <c r="BI596" i="3"/>
  <c r="BK596" i="3"/>
  <c r="BI597" i="3"/>
  <c r="BK597" i="3"/>
  <c r="BI598" i="3"/>
  <c r="BK598" i="3"/>
  <c r="BI599" i="3"/>
  <c r="BK599" i="3"/>
  <c r="BI600" i="3"/>
  <c r="BK600" i="3"/>
  <c r="BI601" i="3"/>
  <c r="BK601" i="3"/>
  <c r="BI602" i="3"/>
  <c r="BK602" i="3"/>
  <c r="BI603" i="3"/>
  <c r="BK603" i="3"/>
  <c r="BI604" i="3"/>
  <c r="BK604" i="3"/>
  <c r="BI605" i="3"/>
  <c r="BK605" i="3"/>
  <c r="BI606" i="3"/>
  <c r="BK606" i="3"/>
  <c r="BI607" i="3"/>
  <c r="BK607" i="3"/>
  <c r="BI608" i="3"/>
  <c r="BK608" i="3"/>
  <c r="BI609" i="3"/>
  <c r="BK609" i="3"/>
  <c r="BI610" i="3"/>
  <c r="BK610" i="3"/>
  <c r="BI611" i="3"/>
  <c r="BK611" i="3"/>
  <c r="BI612" i="3"/>
  <c r="BK612" i="3"/>
  <c r="BI613" i="3"/>
  <c r="BK613" i="3"/>
  <c r="BI614" i="3"/>
  <c r="BK614" i="3"/>
  <c r="BI615" i="3"/>
  <c r="BK615" i="3"/>
  <c r="BI616" i="3"/>
  <c r="BK616" i="3"/>
  <c r="BI617" i="3"/>
  <c r="BK617" i="3"/>
  <c r="BI618" i="3"/>
  <c r="BK618" i="3"/>
  <c r="BI619" i="3"/>
  <c r="BK619" i="3"/>
  <c r="BI620" i="3"/>
  <c r="BK620" i="3"/>
  <c r="BK621" i="3"/>
  <c r="X1017" i="3"/>
  <c r="I1017" i="3"/>
  <c r="BA976" i="3"/>
  <c r="AJ1014" i="3"/>
  <c r="AJ1018" i="3"/>
  <c r="T24" i="15"/>
  <c r="AI11" i="15"/>
  <c r="AI23" i="15"/>
  <c r="Y38" i="15"/>
  <c r="Y40" i="15"/>
  <c r="AD27" i="15"/>
  <c r="AD28" i="15"/>
  <c r="AI26" i="15"/>
  <c r="AI27" i="15"/>
  <c r="AI28" i="15"/>
  <c r="AD38" i="15"/>
  <c r="AD40" i="15"/>
  <c r="Y41" i="15"/>
  <c r="M928" i="3"/>
  <c r="M931" i="3"/>
  <c r="AB54" i="15"/>
  <c r="AB55" i="15"/>
  <c r="AB56" i="15"/>
  <c r="S93" i="4"/>
  <c r="S92" i="4"/>
  <c r="S89" i="4"/>
  <c r="S84" i="4"/>
  <c r="S80" i="4"/>
  <c r="S52" i="4"/>
  <c r="S50" i="4"/>
  <c r="S43" i="4"/>
  <c r="S40" i="4"/>
  <c r="S37" i="4"/>
  <c r="S36" i="4"/>
  <c r="S35" i="4"/>
  <c r="S31" i="4"/>
  <c r="S32" i="4"/>
  <c r="E43" i="4"/>
  <c r="E84" i="4"/>
  <c r="E87" i="4"/>
  <c r="E88" i="4"/>
  <c r="E89" i="4"/>
  <c r="E90" i="4"/>
  <c r="E91" i="4"/>
  <c r="E92" i="4"/>
  <c r="E93" i="4"/>
  <c r="E83" i="4"/>
  <c r="E80" i="4"/>
  <c r="E75" i="4"/>
  <c r="E69" i="4"/>
  <c r="E65" i="4"/>
  <c r="E58" i="4"/>
  <c r="E56" i="4"/>
  <c r="E52" i="4"/>
  <c r="E50" i="4"/>
  <c r="E49" i="4"/>
  <c r="E46" i="4"/>
  <c r="E45" i="4"/>
  <c r="E40" i="4"/>
  <c r="E37" i="4"/>
  <c r="E36" i="4"/>
  <c r="E35" i="4"/>
  <c r="E32" i="4"/>
  <c r="E31" i="4"/>
  <c r="C37" i="4"/>
  <c r="C99" i="4"/>
  <c r="C35" i="4"/>
  <c r="AA918" i="3"/>
  <c r="AA917" i="3"/>
  <c r="AA902" i="3"/>
  <c r="AA901" i="3"/>
  <c r="AC870" i="3"/>
  <c r="C626" i="3"/>
  <c r="Q551" i="3"/>
  <c r="W471" i="3"/>
  <c r="W464" i="3"/>
  <c r="AG445" i="3"/>
  <c r="I420" i="3"/>
  <c r="T22" i="15"/>
  <c r="S42" i="4"/>
  <c r="S70" i="4"/>
  <c r="AP282" i="20"/>
  <c r="P19" i="26" a="1"/>
  <c r="P19" i="26"/>
  <c r="N158" i="26"/>
  <c r="B85" i="4"/>
  <c r="B86" i="4"/>
  <c r="N157" i="26"/>
  <c r="C42" i="4"/>
  <c r="C77" i="4"/>
  <c r="C104" i="4"/>
  <c r="N154" i="26"/>
  <c r="AN26" i="26" a="1"/>
  <c r="AN26" i="26"/>
  <c r="AB25" i="26" a="1"/>
  <c r="AB25" i="26"/>
  <c r="V24" i="26" a="1"/>
  <c r="V24" i="26"/>
  <c r="AB26" i="26" a="1"/>
  <c r="AB26" i="26"/>
  <c r="P26" i="26" a="1"/>
  <c r="P26" i="26"/>
  <c r="AH27" i="26" a="1"/>
  <c r="AH27" i="26"/>
  <c r="AN24" i="26" a="1"/>
  <c r="AN24" i="26"/>
  <c r="AH24" i="26" a="1"/>
  <c r="AH24" i="26"/>
  <c r="AB24" i="26" a="1"/>
  <c r="AB24" i="26"/>
  <c r="AN27" i="26" a="1"/>
  <c r="AN27" i="26"/>
  <c r="V26" i="26" a="1"/>
  <c r="V26" i="26"/>
  <c r="AB27" i="26" a="1"/>
  <c r="AB27" i="26"/>
  <c r="AN25" i="26" a="1"/>
  <c r="AN25" i="26"/>
  <c r="V27" i="26" a="1"/>
  <c r="V27" i="26"/>
  <c r="P27" i="26" a="1"/>
  <c r="P27" i="26"/>
  <c r="AH26" i="26" a="1"/>
  <c r="AH26" i="26"/>
  <c r="AN23" i="26" a="1"/>
  <c r="AN23" i="26"/>
  <c r="V25" i="26" a="1"/>
  <c r="V25" i="26"/>
  <c r="AH25" i="26" a="1"/>
  <c r="AH25" i="26"/>
  <c r="P24" i="26" a="1"/>
  <c r="P24" i="26"/>
  <c r="P25" i="26" a="1"/>
  <c r="P25" i="26"/>
  <c r="AH23" i="26" a="1"/>
  <c r="AH23" i="26"/>
  <c r="V20" i="26" a="1"/>
  <c r="V20" i="26"/>
  <c r="AB19" i="26" a="1"/>
  <c r="AB19" i="26"/>
  <c r="P23" i="26" a="1"/>
  <c r="P23" i="26"/>
  <c r="AN21" i="26" a="1"/>
  <c r="AN21" i="26"/>
  <c r="AN22" i="26" a="1"/>
  <c r="AN22" i="26"/>
  <c r="AH22" i="26" a="1"/>
  <c r="AH22" i="26"/>
  <c r="AN20" i="26" a="1"/>
  <c r="AN20" i="26"/>
  <c r="P22" i="26" a="1"/>
  <c r="P22" i="26"/>
  <c r="V21" i="26" a="1"/>
  <c r="V21" i="26"/>
  <c r="AH19" i="26" a="1"/>
  <c r="AH19" i="26"/>
  <c r="V19" i="26" a="1"/>
  <c r="V19" i="26"/>
  <c r="AH21" i="26" a="1"/>
  <c r="AH21" i="26"/>
  <c r="P20" i="26" a="1"/>
  <c r="P20" i="26"/>
  <c r="AH20" i="26" a="1"/>
  <c r="AH20" i="26"/>
  <c r="AB23" i="26" a="1"/>
  <c r="AB23" i="26"/>
  <c r="V23" i="26" a="1"/>
  <c r="V23" i="26"/>
  <c r="AB22" i="26" a="1"/>
  <c r="AB22" i="26"/>
  <c r="V22" i="26" a="1"/>
  <c r="V22" i="26"/>
  <c r="AB20" i="26" a="1"/>
  <c r="AB20" i="26"/>
  <c r="AB21" i="26" a="1"/>
  <c r="AB21" i="26"/>
  <c r="AN19" i="26" a="1"/>
  <c r="AN19" i="26"/>
  <c r="P21" i="26" a="1"/>
  <c r="P21" i="26"/>
  <c r="AN28" i="26"/>
  <c r="AH28" i="26"/>
  <c r="AB28" i="26"/>
  <c r="V28" i="26"/>
  <c r="P28" i="26"/>
  <c r="S15" i="26"/>
  <c r="AL10" i="26"/>
  <c r="N11" i="26"/>
  <c r="N10" i="26"/>
  <c r="AB8" i="26"/>
  <c r="L6" i="26"/>
  <c r="L4" i="26"/>
  <c r="AY166" i="26"/>
  <c r="AS166" i="26"/>
  <c r="N164" i="26"/>
  <c r="AS156" i="26"/>
  <c r="O75" i="26"/>
  <c r="B64" i="26"/>
  <c r="B63" i="26"/>
  <c r="B62" i="26"/>
  <c r="B61" i="26"/>
  <c r="B60" i="26"/>
  <c r="Z57" i="26"/>
  <c r="R57" i="26"/>
  <c r="AO47" i="26"/>
  <c r="AO46" i="26"/>
  <c r="AO45" i="26"/>
  <c r="AO44" i="26"/>
  <c r="AO43" i="26"/>
  <c r="AO42" i="26"/>
  <c r="AO41" i="26"/>
  <c r="AO40" i="26"/>
  <c r="AO39" i="26"/>
  <c r="AO38" i="26"/>
  <c r="AO37" i="26"/>
  <c r="AO36" i="26"/>
  <c r="J28" i="26"/>
  <c r="J20" i="26"/>
  <c r="J27" i="26"/>
  <c r="J25" i="26"/>
  <c r="J19" i="26"/>
  <c r="J22" i="26"/>
  <c r="J21" i="26"/>
  <c r="V29" i="26"/>
  <c r="AH29" i="26"/>
  <c r="J26" i="26"/>
  <c r="P29" i="26"/>
  <c r="J24" i="26"/>
  <c r="AB29" i="26"/>
  <c r="AN29" i="26"/>
  <c r="J23" i="26"/>
  <c r="J29" i="26"/>
  <c r="AT21" i="26"/>
  <c r="AT24" i="26"/>
  <c r="AT23" i="26"/>
  <c r="AT26" i="26"/>
  <c r="AT29" i="26"/>
  <c r="AU46" i="26"/>
  <c r="AU42" i="26"/>
  <c r="AU38" i="26"/>
  <c r="N155" i="26"/>
  <c r="AU44" i="26"/>
  <c r="AU40" i="26"/>
  <c r="AU36" i="26"/>
  <c r="AT28" i="26"/>
  <c r="AU39" i="26"/>
  <c r="N165" i="26"/>
  <c r="AT27" i="26"/>
  <c r="AT20" i="26"/>
  <c r="AU47" i="26"/>
  <c r="AU41" i="26"/>
  <c r="AU37" i="26"/>
  <c r="AT22" i="26"/>
  <c r="AU45" i="26"/>
  <c r="AU43" i="26"/>
  <c r="AT25" i="26"/>
  <c r="AT19" i="26"/>
  <c r="A33" i="7"/>
  <c r="A32" i="7"/>
  <c r="AT624" i="3"/>
  <c r="AT551" i="3"/>
  <c r="AT625" i="3"/>
  <c r="AT626" i="3"/>
  <c r="AT627" i="3"/>
  <c r="AT628" i="3"/>
  <c r="AT629" i="3"/>
  <c r="AT630" i="3"/>
  <c r="AT631" i="3"/>
  <c r="AT632" i="3"/>
  <c r="AT633" i="3"/>
  <c r="AT634" i="3"/>
  <c r="AT553" i="3"/>
  <c r="AT552" i="3"/>
  <c r="AT554" i="3"/>
  <c r="AT555" i="3"/>
  <c r="AT556" i="3"/>
  <c r="AT557" i="3"/>
  <c r="AT558" i="3"/>
  <c r="AT559" i="3"/>
  <c r="AT560" i="3"/>
  <c r="AT561" i="3"/>
  <c r="R24" i="4"/>
  <c r="I13" i="21"/>
  <c r="AF991" i="3"/>
  <c r="AF986" i="3"/>
  <c r="AF540" i="20"/>
  <c r="AP546" i="20"/>
  <c r="AP541" i="20"/>
  <c r="AP542" i="20"/>
  <c r="AP545" i="20"/>
  <c r="AP539" i="20"/>
  <c r="AP543" i="20"/>
  <c r="AP548" i="20"/>
  <c r="AF541" i="20"/>
  <c r="AF542" i="20"/>
  <c r="AK548" i="20"/>
  <c r="T803" i="20"/>
  <c r="AF803" i="20"/>
  <c r="AB211" i="3"/>
  <c r="A40" i="7"/>
  <c r="DX597" i="3"/>
  <c r="DX606" i="3"/>
  <c r="DX609" i="3"/>
  <c r="DX610" i="3"/>
  <c r="DX614" i="3"/>
  <c r="CS635" i="3"/>
  <c r="CS636" i="3"/>
  <c r="CS639" i="3"/>
  <c r="CS642" i="3"/>
  <c r="CS643" i="3"/>
  <c r="EC599" i="3"/>
  <c r="EC600" i="3"/>
  <c r="EC606" i="3"/>
  <c r="EC607" i="3"/>
  <c r="EC608" i="3"/>
  <c r="EC610" i="3"/>
  <c r="EC612" i="3"/>
  <c r="EC616" i="3"/>
  <c r="EC618" i="3"/>
  <c r="EC619" i="3"/>
  <c r="CX634" i="3"/>
  <c r="CX635" i="3"/>
  <c r="CX637" i="3"/>
  <c r="CX639" i="3"/>
  <c r="CX640" i="3"/>
  <c r="CX642" i="3"/>
  <c r="CX643" i="3"/>
  <c r="EH600" i="3"/>
  <c r="EH610" i="3"/>
  <c r="EH615" i="3"/>
  <c r="EH616" i="3"/>
  <c r="EH618" i="3"/>
  <c r="DC636" i="3"/>
  <c r="DC637" i="3"/>
  <c r="DC638" i="3"/>
  <c r="DC640" i="3"/>
  <c r="DC642" i="3"/>
  <c r="EM601" i="3"/>
  <c r="EM604" i="3"/>
  <c r="EM606" i="3"/>
  <c r="EM609" i="3"/>
  <c r="EM612" i="3"/>
  <c r="EM613" i="3"/>
  <c r="EM617" i="3"/>
  <c r="EM620" i="3"/>
  <c r="DH634" i="3"/>
  <c r="DH635" i="3"/>
  <c r="DH639" i="3"/>
  <c r="DH641" i="3"/>
  <c r="DH642" i="3"/>
  <c r="DH643" i="3"/>
  <c r="DR635" i="3"/>
  <c r="DR636" i="3"/>
  <c r="DR637" i="3"/>
  <c r="DR639" i="3"/>
  <c r="DR640" i="3"/>
  <c r="DR641" i="3"/>
  <c r="DR642" i="3"/>
  <c r="DR643" i="3"/>
  <c r="EW596" i="3"/>
  <c r="EW601" i="3"/>
  <c r="EW604" i="3"/>
  <c r="EW606" i="3"/>
  <c r="EW607" i="3"/>
  <c r="EW608" i="3"/>
  <c r="EW612" i="3"/>
  <c r="EW613" i="3"/>
  <c r="EW614" i="3"/>
  <c r="EW618" i="3"/>
  <c r="EW619" i="3"/>
  <c r="EW620" i="3"/>
  <c r="ER601" i="3"/>
  <c r="ER603" i="3"/>
  <c r="ER606" i="3"/>
  <c r="ER607" i="3"/>
  <c r="ER611" i="3"/>
  <c r="ER618" i="3"/>
  <c r="ER619" i="3"/>
  <c r="DM636" i="3"/>
  <c r="DM637" i="3"/>
  <c r="DM638" i="3"/>
  <c r="DM639" i="3"/>
  <c r="DM640" i="3"/>
  <c r="DM641" i="3"/>
  <c r="DM642" i="3"/>
  <c r="Y67" i="15"/>
  <c r="AD64" i="15"/>
  <c r="AD67" i="15"/>
  <c r="W696" i="3"/>
  <c r="BG226" i="3"/>
  <c r="BG227" i="3"/>
  <c r="BG228" i="3"/>
  <c r="BG229" i="3"/>
  <c r="BG230" i="3"/>
  <c r="BG232" i="3"/>
  <c r="BG233" i="3"/>
  <c r="BG234" i="3"/>
  <c r="BG236" i="3"/>
  <c r="BG237" i="3"/>
  <c r="BG238" i="3"/>
  <c r="BG239" i="3"/>
  <c r="BG240" i="3"/>
  <c r="BG241" i="3"/>
  <c r="M231" i="3"/>
  <c r="AG449" i="3"/>
  <c r="O762" i="3"/>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c r="AK327" i="20"/>
  <c r="AO28" i="20"/>
  <c r="AO29" i="20"/>
  <c r="AO24" i="20"/>
  <c r="AO25" i="20"/>
  <c r="AO21" i="20"/>
  <c r="AO20" i="20"/>
  <c r="AO22" i="20"/>
  <c r="AO16" i="20"/>
  <c r="AO15" i="20"/>
  <c r="AO14" i="20"/>
  <c r="AO13" i="20"/>
  <c r="G113" i="21"/>
  <c r="G110" i="21"/>
  <c r="E112" i="21"/>
  <c r="I9" i="21"/>
  <c r="S26" i="4"/>
  <c r="C26" i="4"/>
  <c r="G90" i="21"/>
  <c r="G94" i="21"/>
  <c r="G77" i="21"/>
  <c r="M20" i="21"/>
  <c r="M21" i="21"/>
  <c r="S21" i="21"/>
  <c r="M22" i="21"/>
  <c r="S22" i="21"/>
  <c r="M23" i="21"/>
  <c r="S23" i="21"/>
  <c r="M24" i="21"/>
  <c r="T24" i="21"/>
  <c r="M25" i="21"/>
  <c r="S25" i="21"/>
  <c r="M26" i="21"/>
  <c r="L26" i="21"/>
  <c r="P18" i="21"/>
  <c r="Q26" i="21" a="1"/>
  <c r="Q26" i="21"/>
  <c r="T26" i="21"/>
  <c r="M27" i="21"/>
  <c r="M28" i="21"/>
  <c r="M29" i="21"/>
  <c r="M30" i="21"/>
  <c r="M31" i="21"/>
  <c r="M32" i="21"/>
  <c r="M33" i="21"/>
  <c r="M34" i="21"/>
  <c r="M35" i="21"/>
  <c r="M36" i="21"/>
  <c r="M37" i="21"/>
  <c r="M38" i="21"/>
  <c r="M39" i="21"/>
  <c r="M40" i="21"/>
  <c r="M41" i="21"/>
  <c r="T20" i="21"/>
  <c r="T21" i="21"/>
  <c r="T22" i="21"/>
  <c r="T23" i="21"/>
  <c r="T25" i="21"/>
  <c r="T27" i="21"/>
  <c r="T28" i="21"/>
  <c r="T29" i="21"/>
  <c r="T30" i="21"/>
  <c r="T31" i="21"/>
  <c r="T32" i="21"/>
  <c r="T33" i="21"/>
  <c r="T34" i="21"/>
  <c r="T35" i="21"/>
  <c r="T36" i="21"/>
  <c r="T37" i="21"/>
  <c r="T38" i="21"/>
  <c r="T39" i="21"/>
  <c r="T40" i="21"/>
  <c r="T41" i="21"/>
  <c r="N20" i="21"/>
  <c r="N21" i="21"/>
  <c r="N22" i="21"/>
  <c r="N23" i="21"/>
  <c r="N24" i="21"/>
  <c r="N25" i="21"/>
  <c r="N26" i="21"/>
  <c r="N27" i="21"/>
  <c r="N28" i="21"/>
  <c r="N29" i="21"/>
  <c r="N30" i="21"/>
  <c r="N31" i="21"/>
  <c r="N32" i="21"/>
  <c r="N33" i="21"/>
  <c r="N34" i="21"/>
  <c r="N35" i="21"/>
  <c r="N36" i="21"/>
  <c r="N37" i="21"/>
  <c r="N38" i="21"/>
  <c r="N39" i="21"/>
  <c r="M42" i="21"/>
  <c r="M43" i="21"/>
  <c r="M44" i="21"/>
  <c r="N40" i="21"/>
  <c r="N41" i="21"/>
  <c r="N42" i="21"/>
  <c r="N43" i="21"/>
  <c r="N44" i="21"/>
  <c r="T42" i="21"/>
  <c r="T43" i="21"/>
  <c r="T44" i="21"/>
  <c r="G35" i="21" a="1"/>
  <c r="G35" i="21"/>
  <c r="G36" i="21"/>
  <c r="O26" i="21"/>
  <c r="P26" i="21" a="1"/>
  <c r="P26" i="21"/>
  <c r="R26" i="21"/>
  <c r="S27" i="21"/>
  <c r="O29" i="21"/>
  <c r="L30" i="21"/>
  <c r="Q30" i="21" a="1"/>
  <c r="Q30" i="21"/>
  <c r="S31" i="21"/>
  <c r="S34" i="21"/>
  <c r="S35" i="21"/>
  <c r="L36" i="21"/>
  <c r="Q36" i="21" a="1"/>
  <c r="Q36" i="21"/>
  <c r="O36" i="21"/>
  <c r="P36" i="21" a="1"/>
  <c r="P36" i="21"/>
  <c r="R36" i="21"/>
  <c r="O37" i="21"/>
  <c r="O38" i="21"/>
  <c r="S39" i="21"/>
  <c r="S40" i="21"/>
  <c r="Q41" i="21" a="1"/>
  <c r="Q41" i="21"/>
  <c r="Q42" i="21" a="1"/>
  <c r="Q42" i="21"/>
  <c r="S43" i="21"/>
  <c r="S44" i="21"/>
  <c r="L62" i="21"/>
  <c r="L63" i="21"/>
  <c r="L64" i="21"/>
  <c r="L65" i="21"/>
  <c r="L66" i="21"/>
  <c r="L67" i="21"/>
  <c r="L68" i="21"/>
  <c r="L69" i="21"/>
  <c r="G62" i="21"/>
  <c r="L20" i="21"/>
  <c r="L21" i="21"/>
  <c r="L22" i="21"/>
  <c r="L23" i="21"/>
  <c r="L24" i="21"/>
  <c r="L25" i="21"/>
  <c r="L27" i="21"/>
  <c r="L28" i="21"/>
  <c r="L29" i="21"/>
  <c r="L31" i="21"/>
  <c r="L32" i="21"/>
  <c r="L33" i="21"/>
  <c r="L34" i="21"/>
  <c r="L35" i="21"/>
  <c r="L37" i="21"/>
  <c r="L38" i="21"/>
  <c r="L39" i="21"/>
  <c r="L40" i="21"/>
  <c r="L41" i="21"/>
  <c r="L42" i="21"/>
  <c r="L43" i="21"/>
  <c r="L44" i="21"/>
  <c r="G39" i="21"/>
  <c r="D25" i="21"/>
  <c r="D26" i="21"/>
  <c r="O30" i="21"/>
  <c r="R44" i="21"/>
  <c r="B4" i="8"/>
  <c r="G4" i="8"/>
  <c r="B5" i="8"/>
  <c r="G5" i="8"/>
  <c r="B6" i="8"/>
  <c r="G6" i="8"/>
  <c r="G102" i="21"/>
  <c r="G88" i="21"/>
  <c r="G92" i="21"/>
  <c r="B10" i="8"/>
  <c r="G10" i="8"/>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c r="AV764" i="3"/>
  <c r="U363" i="20"/>
  <c r="AK274" i="20"/>
  <c r="T799" i="20"/>
  <c r="AF799" i="20"/>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C27" i="11"/>
  <c r="B25" i="11"/>
  <c r="B26" i="11"/>
  <c r="B30" i="11"/>
  <c r="B39" i="11"/>
  <c r="B41" i="11"/>
  <c r="B43" i="11"/>
  <c r="B44" i="11"/>
  <c r="B46" i="11"/>
  <c r="B47" i="11"/>
  <c r="B50" i="11"/>
  <c r="B51" i="11"/>
  <c r="B53" i="11"/>
  <c r="B55" i="11"/>
  <c r="B57" i="11"/>
  <c r="B59" i="11"/>
  <c r="B62" i="11"/>
  <c r="B63" i="11"/>
  <c r="B64" i="11"/>
  <c r="B80" i="11"/>
  <c r="B81" i="11"/>
  <c r="B82" i="11"/>
  <c r="B66" i="11"/>
  <c r="B71" i="11"/>
  <c r="B84" i="11"/>
  <c r="B97" i="11"/>
  <c r="B76" i="11"/>
  <c r="B78" i="11"/>
  <c r="B98" i="11"/>
  <c r="D70" i="4"/>
  <c r="C54" i="11"/>
  <c r="B54" i="11"/>
  <c r="AV115" i="20" a="1"/>
  <c r="AV115" i="20"/>
  <c r="AV114" i="20" a="1"/>
  <c r="AV114" i="20"/>
  <c r="AV113" i="20" a="1"/>
  <c r="AV113" i="20"/>
  <c r="AV112" i="20" a="1"/>
  <c r="AV112" i="20"/>
  <c r="AV111" i="20" a="1"/>
  <c r="AV111" i="20"/>
  <c r="AV110" i="20" a="1"/>
  <c r="AV110" i="20"/>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B99" i="4"/>
  <c r="G69" i="7"/>
  <c r="I69" i="7"/>
  <c r="K69" i="7"/>
  <c r="M69" i="7"/>
  <c r="O69" i="7"/>
  <c r="Q69" i="7"/>
  <c r="S69" i="7"/>
  <c r="U69" i="7"/>
  <c r="W69" i="7"/>
  <c r="Y69" i="7"/>
  <c r="AA69" i="7"/>
  <c r="AC69" i="7"/>
  <c r="AE69" i="7"/>
  <c r="AG69" i="7"/>
  <c r="A61" i="15"/>
  <c r="BA478" i="3"/>
  <c r="BA470" i="3"/>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c r="BA665" i="3"/>
  <c r="X723" i="3"/>
  <c r="AH723" i="3"/>
  <c r="BA663" i="3"/>
  <c r="X721" i="3"/>
  <c r="AH721" i="3"/>
  <c r="BA666" i="3"/>
  <c r="X724" i="3"/>
  <c r="AH724" i="3"/>
  <c r="AB234" i="20"/>
  <c r="AB236" i="20"/>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c r="T798" i="20"/>
  <c r="AF798" i="20"/>
  <c r="AP362" i="20"/>
  <c r="AP361" i="20"/>
  <c r="AP360" i="20"/>
  <c r="AP359" i="20"/>
  <c r="AP358" i="20"/>
  <c r="AP357" i="20"/>
  <c r="AP364" i="20"/>
  <c r="AQ364" i="20"/>
  <c r="AP354" i="20"/>
  <c r="AP353" i="20"/>
  <c r="AP352" i="20"/>
  <c r="AP351" i="20"/>
  <c r="AP350" i="20"/>
  <c r="AP349" i="20"/>
  <c r="AP348" i="20"/>
  <c r="AP347" i="20"/>
  <c r="AP346" i="20"/>
  <c r="AJ766" i="20"/>
  <c r="AJ750" i="20"/>
  <c r="AJ738" i="20"/>
  <c r="AJ722" i="20"/>
  <c r="AJ710" i="20"/>
  <c r="AJ696" i="20"/>
  <c r="AJ676" i="20"/>
  <c r="AJ629" i="20"/>
  <c r="AO586" i="20"/>
  <c r="AJ169" i="20"/>
  <c r="T795" i="20"/>
  <c r="AJ155" i="20"/>
  <c r="T794" i="20"/>
  <c r="AO64" i="20"/>
  <c r="AO63" i="20"/>
  <c r="AO62" i="20"/>
  <c r="A3" i="15"/>
  <c r="BA986" i="3"/>
  <c r="T11" i="4"/>
  <c r="R10" i="4"/>
  <c r="R91" i="4"/>
  <c r="R84" i="4"/>
  <c r="AI7" i="15"/>
  <c r="B59" i="4"/>
  <c r="C80" i="11"/>
  <c r="C81" i="11"/>
  <c r="I96" i="13"/>
  <c r="J96" i="13"/>
  <c r="J81" i="13"/>
  <c r="I81" i="13"/>
  <c r="G81" i="13"/>
  <c r="F81" i="13"/>
  <c r="D81" i="13"/>
  <c r="C81" i="13"/>
  <c r="H80" i="13"/>
  <c r="E80" i="13"/>
  <c r="B80" i="13"/>
  <c r="R80" i="4"/>
  <c r="R81" i="4"/>
  <c r="E70" i="13"/>
  <c r="D81" i="4"/>
  <c r="E81" i="4"/>
  <c r="F81" i="4"/>
  <c r="G81" i="4"/>
  <c r="H81" i="4"/>
  <c r="I81" i="4"/>
  <c r="J81" i="4"/>
  <c r="K81" i="4"/>
  <c r="L81" i="4"/>
  <c r="M81" i="4"/>
  <c r="N81" i="4"/>
  <c r="O81" i="4"/>
  <c r="P81" i="4"/>
  <c r="Q81" i="4"/>
  <c r="E81" i="13"/>
  <c r="T81" i="4"/>
  <c r="H81" i="13"/>
  <c r="B81" i="4"/>
  <c r="B80" i="4"/>
  <c r="A76" i="13"/>
  <c r="A61" i="13"/>
  <c r="A37" i="13"/>
  <c r="A25" i="13"/>
  <c r="A103" i="13"/>
  <c r="A95" i="13"/>
  <c r="A94" i="13"/>
  <c r="A93" i="13"/>
  <c r="B8" i="8"/>
  <c r="G8" i="8"/>
  <c r="B9" i="8"/>
  <c r="G9" i="8"/>
  <c r="B11" i="8"/>
  <c r="G11" i="8"/>
  <c r="B12" i="8"/>
  <c r="G12" i="8"/>
  <c r="B13" i="8"/>
  <c r="G13" i="8"/>
  <c r="B14" i="8"/>
  <c r="G14" i="8"/>
  <c r="B15" i="8"/>
  <c r="G15" i="8"/>
  <c r="B16" i="8"/>
  <c r="G16" i="8"/>
  <c r="B17" i="8"/>
  <c r="G17" i="8"/>
  <c r="B18" i="8"/>
  <c r="G18" i="8"/>
  <c r="B19" i="8"/>
  <c r="G19" i="8"/>
  <c r="B20" i="8"/>
  <c r="G20" i="8"/>
  <c r="B21" i="8"/>
  <c r="G21" i="8"/>
  <c r="B22" i="8"/>
  <c r="G22" i="8"/>
  <c r="B23" i="8"/>
  <c r="G23" i="8"/>
  <c r="B24" i="8"/>
  <c r="G24" i="8"/>
  <c r="B25" i="8"/>
  <c r="G25" i="8"/>
  <c r="B26" i="8"/>
  <c r="G26" i="8"/>
  <c r="B27" i="8"/>
  <c r="G27" i="8"/>
  <c r="B28" i="8"/>
  <c r="G28" i="8"/>
  <c r="AI20" i="15"/>
  <c r="AI22" i="15"/>
  <c r="AD20" i="15"/>
  <c r="AD22" i="15"/>
  <c r="AD23" i="15"/>
  <c r="AD26" i="15"/>
  <c r="Y20" i="15"/>
  <c r="Y22" i="15"/>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B42" i="13"/>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5" i="4"/>
  <c r="R94" i="4"/>
  <c r="R93" i="4"/>
  <c r="R92" i="4"/>
  <c r="R90" i="4"/>
  <c r="R89" i="4"/>
  <c r="R88" i="4"/>
  <c r="R87"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29" i="4"/>
  <c r="R27" i="4"/>
  <c r="R25" i="4"/>
  <c r="R23" i="4"/>
  <c r="R22" i="4"/>
  <c r="R21" i="4"/>
  <c r="R20" i="4"/>
  <c r="R19" i="4"/>
  <c r="R18" i="4"/>
  <c r="R17" i="4"/>
  <c r="R15" i="4"/>
  <c r="R14" i="4"/>
  <c r="R13" i="4"/>
  <c r="R9" i="4"/>
  <c r="R11"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C30" i="11"/>
  <c r="D30" i="11"/>
  <c r="D33" i="11"/>
  <c r="D34" i="11"/>
  <c r="C41" i="11"/>
  <c r="C42" i="11"/>
  <c r="B42" i="11"/>
  <c r="C44" i="11"/>
  <c r="C46" i="11"/>
  <c r="C47" i="11"/>
  <c r="B48" i="11"/>
  <c r="B49" i="11"/>
  <c r="C51" i="11"/>
  <c r="D51" i="11"/>
  <c r="B52" i="11"/>
  <c r="C48" i="11"/>
  <c r="C49" i="11"/>
  <c r="C50" i="11"/>
  <c r="C52" i="11"/>
  <c r="C53" i="11"/>
  <c r="C57" i="11"/>
  <c r="B58" i="11"/>
  <c r="C58" i="11"/>
  <c r="C59" i="11"/>
  <c r="B60" i="11"/>
  <c r="C60" i="11"/>
  <c r="B61" i="11"/>
  <c r="C61" i="11"/>
  <c r="C62" i="11"/>
  <c r="C66" i="11"/>
  <c r="B73" i="11"/>
  <c r="C73" i="11"/>
  <c r="B74" i="11"/>
  <c r="C74" i="11"/>
  <c r="B75" i="11"/>
  <c r="C75" i="11"/>
  <c r="C76" i="11"/>
  <c r="B77" i="11"/>
  <c r="C77" i="11"/>
  <c r="C84" i="11"/>
  <c r="B100" i="11"/>
  <c r="C100" i="11"/>
  <c r="A4" i="8"/>
  <c r="D4" i="8"/>
  <c r="A5" i="8"/>
  <c r="D5" i="8"/>
  <c r="A6" i="8"/>
  <c r="D6" i="8"/>
  <c r="A7" i="8"/>
  <c r="D7" i="8"/>
  <c r="A8" i="8"/>
  <c r="D8" i="8"/>
  <c r="A9" i="8"/>
  <c r="D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H11" i="13"/>
  <c r="T26" i="4"/>
  <c r="H26" i="13"/>
  <c r="T38" i="4"/>
  <c r="H38" i="13"/>
  <c r="T42" i="4"/>
  <c r="H42" i="13"/>
  <c r="T54" i="4"/>
  <c r="H54" i="13"/>
  <c r="T70" i="4"/>
  <c r="H70" i="13"/>
  <c r="T96" i="4"/>
  <c r="H96" i="13"/>
  <c r="DX596" i="3"/>
  <c r="DX599" i="3"/>
  <c r="DX600" i="3"/>
  <c r="DX601" i="3"/>
  <c r="DX602" i="3"/>
  <c r="DX603" i="3"/>
  <c r="DX604" i="3"/>
  <c r="DX605" i="3"/>
  <c r="DX607" i="3"/>
  <c r="DX608" i="3"/>
  <c r="DX611" i="3"/>
  <c r="DX612" i="3"/>
  <c r="DX613" i="3"/>
  <c r="DX615" i="3"/>
  <c r="DX616" i="3"/>
  <c r="DX617" i="3"/>
  <c r="DX618" i="3"/>
  <c r="DX619" i="3"/>
  <c r="DX620" i="3"/>
  <c r="EC596" i="3"/>
  <c r="EC597" i="3"/>
  <c r="EC598" i="3"/>
  <c r="EC601" i="3"/>
  <c r="EC602" i="3"/>
  <c r="EC603" i="3"/>
  <c r="EC604" i="3"/>
  <c r="EC605" i="3"/>
  <c r="EC609" i="3"/>
  <c r="EC611" i="3"/>
  <c r="EC613" i="3"/>
  <c r="EC614" i="3"/>
  <c r="EC615" i="3"/>
  <c r="EC617" i="3"/>
  <c r="EC620" i="3"/>
  <c r="EH596" i="3"/>
  <c r="EH597" i="3"/>
  <c r="EH598" i="3"/>
  <c r="EH599" i="3"/>
  <c r="EH601" i="3"/>
  <c r="EH603" i="3"/>
  <c r="EH604" i="3"/>
  <c r="EH605" i="3"/>
  <c r="EH606" i="3"/>
  <c r="EH607" i="3"/>
  <c r="EH608" i="3"/>
  <c r="EH609" i="3"/>
  <c r="EH611" i="3"/>
  <c r="EH612" i="3"/>
  <c r="EH613" i="3"/>
  <c r="EH614" i="3"/>
  <c r="EH617" i="3"/>
  <c r="EH619" i="3"/>
  <c r="EH620" i="3"/>
  <c r="EM597" i="3"/>
  <c r="EM598" i="3"/>
  <c r="EM599" i="3"/>
  <c r="EM600" i="3"/>
  <c r="EM602" i="3"/>
  <c r="EM603" i="3"/>
  <c r="EM605" i="3"/>
  <c r="EM607" i="3"/>
  <c r="EM608" i="3"/>
  <c r="EM610" i="3"/>
  <c r="EM611" i="3"/>
  <c r="EM614" i="3"/>
  <c r="EM615" i="3"/>
  <c r="EM616" i="3"/>
  <c r="EM618" i="3"/>
  <c r="EM619" i="3"/>
  <c r="EW597" i="3"/>
  <c r="EW599" i="3"/>
  <c r="EW600" i="3"/>
  <c r="EW602" i="3"/>
  <c r="EW603" i="3"/>
  <c r="EW605" i="3"/>
  <c r="EW609" i="3"/>
  <c r="EW610" i="3"/>
  <c r="EW611" i="3"/>
  <c r="EW615" i="3"/>
  <c r="EW616" i="3"/>
  <c r="EW617" i="3"/>
  <c r="ER596" i="3"/>
  <c r="ER597" i="3"/>
  <c r="ER598" i="3"/>
  <c r="ER599" i="3"/>
  <c r="ER600" i="3"/>
  <c r="ER602" i="3"/>
  <c r="ER604" i="3"/>
  <c r="ER605" i="3"/>
  <c r="ER608" i="3"/>
  <c r="ER609" i="3"/>
  <c r="ER610" i="3"/>
  <c r="ER612" i="3"/>
  <c r="ER613" i="3"/>
  <c r="ER614" i="3"/>
  <c r="ER615" i="3"/>
  <c r="ER616" i="3"/>
  <c r="ER617" i="3"/>
  <c r="ER620" i="3"/>
  <c r="C11" i="4"/>
  <c r="B26" i="13"/>
  <c r="B38" i="13"/>
  <c r="B54" i="13"/>
  <c r="B62" i="13"/>
  <c r="B77" i="13"/>
  <c r="B96" i="13"/>
  <c r="B104" i="13"/>
  <c r="D8" i="4"/>
  <c r="D11" i="4"/>
  <c r="D26" i="4"/>
  <c r="D38" i="4"/>
  <c r="D42" i="4"/>
  <c r="D54" i="4"/>
  <c r="B54" i="4"/>
  <c r="D62" i="4"/>
  <c r="D77" i="4"/>
  <c r="D96" i="4"/>
  <c r="D104" i="4"/>
  <c r="B104" i="4"/>
  <c r="AO637" i="3"/>
  <c r="E26" i="13"/>
  <c r="E38" i="13"/>
  <c r="E42" i="13"/>
  <c r="E54" i="13"/>
  <c r="E96" i="13"/>
  <c r="E104"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X716" i="3"/>
  <c r="X717" i="3"/>
  <c r="X718" i="3"/>
  <c r="X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B26" i="4"/>
  <c r="B77" i="4"/>
  <c r="D49" i="11"/>
  <c r="D50" i="11"/>
  <c r="AH720" i="3"/>
  <c r="I63" i="13"/>
  <c r="I97" i="13"/>
  <c r="I105" i="13"/>
  <c r="I107" i="13"/>
  <c r="B81" i="13"/>
  <c r="D54" i="11"/>
  <c r="D53" i="11"/>
  <c r="J63" i="13"/>
  <c r="J97" i="13"/>
  <c r="J105" i="13"/>
  <c r="J107" i="13"/>
  <c r="L12" i="4"/>
  <c r="D48" i="11"/>
  <c r="AH715" i="3"/>
  <c r="AH718" i="3"/>
  <c r="D93" i="11"/>
  <c r="D5" i="11"/>
  <c r="D70" i="11"/>
  <c r="D80" i="11"/>
  <c r="D52" i="11"/>
  <c r="I12" i="4"/>
  <c r="G12" i="4"/>
  <c r="D46" i="11"/>
  <c r="D6" i="11"/>
  <c r="L63" i="4"/>
  <c r="L97" i="4"/>
  <c r="L105" i="4"/>
  <c r="Q12" i="4"/>
  <c r="B11" i="4"/>
  <c r="O63" i="4"/>
  <c r="O97" i="4"/>
  <c r="O105" i="4"/>
  <c r="D18" i="11"/>
  <c r="R70" i="4"/>
  <c r="B8" i="4"/>
  <c r="D10" i="11"/>
  <c r="D36" i="11"/>
  <c r="G63" i="13"/>
  <c r="G97" i="13"/>
  <c r="G105" i="13"/>
  <c r="G107" i="13"/>
  <c r="D61" i="11"/>
  <c r="D57" i="11"/>
  <c r="D20" i="11"/>
  <c r="D8" i="11"/>
  <c r="D85" i="11"/>
  <c r="D102" i="11"/>
  <c r="D94" i="11"/>
  <c r="K12" i="4"/>
  <c r="C43" i="11"/>
  <c r="C12" i="13"/>
  <c r="D63" i="4"/>
  <c r="D97" i="4"/>
  <c r="D105" i="4"/>
  <c r="D7" i="11"/>
  <c r="F63" i="4"/>
  <c r="F97" i="4"/>
  <c r="F105" i="4"/>
  <c r="J12" i="4"/>
  <c r="D22" i="11"/>
  <c r="O12" i="4"/>
  <c r="I63" i="4"/>
  <c r="I97" i="4"/>
  <c r="I105" i="4"/>
  <c r="D95" i="11"/>
  <c r="D25" i="11"/>
  <c r="B11" i="13"/>
  <c r="D12" i="4"/>
  <c r="R77" i="4"/>
  <c r="H12" i="4"/>
  <c r="C82" i="11"/>
  <c r="B9" i="11"/>
  <c r="C39" i="11"/>
  <c r="D23" i="11"/>
  <c r="D19" i="11"/>
  <c r="D89" i="11"/>
  <c r="D73" i="11"/>
  <c r="D44" i="11"/>
  <c r="D35" i="11"/>
  <c r="D76" i="11"/>
  <c r="D31" i="11"/>
  <c r="D32" i="11"/>
  <c r="D15" i="11"/>
  <c r="D63" i="13"/>
  <c r="D97" i="13"/>
  <c r="D105" i="13"/>
  <c r="D14" i="11"/>
  <c r="Q63" i="4"/>
  <c r="Q97" i="4"/>
  <c r="Q105" i="4"/>
  <c r="C105" i="11"/>
  <c r="B105" i="11"/>
  <c r="D105" i="11"/>
  <c r="D87" i="11"/>
  <c r="N63" i="4"/>
  <c r="N97" i="4"/>
  <c r="N105" i="4"/>
  <c r="N12" i="4"/>
  <c r="H63" i="4"/>
  <c r="H97" i="4"/>
  <c r="H105" i="4"/>
  <c r="F12" i="4"/>
  <c r="D60" i="11"/>
  <c r="M12" i="4"/>
  <c r="R8" i="4"/>
  <c r="D84" i="11"/>
  <c r="D74" i="11"/>
  <c r="D59" i="11"/>
  <c r="D38" i="11"/>
  <c r="R42" i="4"/>
  <c r="P63" i="4"/>
  <c r="P97" i="4"/>
  <c r="P105" i="4"/>
  <c r="B38" i="4"/>
  <c r="C63" i="11"/>
  <c r="C9" i="11"/>
  <c r="D12" i="13"/>
  <c r="D58" i="11"/>
  <c r="D100" i="11"/>
  <c r="D62" i="11"/>
  <c r="D24" i="11"/>
  <c r="D101" i="11"/>
  <c r="D90" i="11"/>
  <c r="R62" i="4"/>
  <c r="D66" i="11"/>
  <c r="R38" i="4"/>
  <c r="C63" i="13"/>
  <c r="C97" i="13"/>
  <c r="C105" i="13"/>
  <c r="D92" i="11"/>
  <c r="D75" i="11"/>
  <c r="D28" i="11"/>
  <c r="R54" i="4"/>
  <c r="C55" i="11"/>
  <c r="D103" i="11"/>
  <c r="D88" i="11"/>
  <c r="C78" i="11"/>
  <c r="D42" i="11"/>
  <c r="D21" i="11"/>
  <c r="D16" i="11"/>
  <c r="B12" i="11"/>
  <c r="R26" i="4"/>
  <c r="D81" i="11"/>
  <c r="D86" i="11"/>
  <c r="F63" i="13"/>
  <c r="F97" i="13"/>
  <c r="F105" i="13"/>
  <c r="F107" i="13"/>
  <c r="AH719" i="3"/>
  <c r="AH717" i="3"/>
  <c r="AH716" i="3"/>
  <c r="AH714" i="3"/>
  <c r="AD199" i="20"/>
  <c r="R12" i="4"/>
  <c r="B42" i="4"/>
  <c r="D77" i="11"/>
  <c r="D47" i="11"/>
  <c r="C71" i="11"/>
  <c r="M63" i="4"/>
  <c r="M97" i="4"/>
  <c r="M105" i="4"/>
  <c r="E63" i="13"/>
  <c r="R104" i="4"/>
  <c r="G63" i="4"/>
  <c r="G97" i="4"/>
  <c r="G105" i="4"/>
  <c r="D91" i="11"/>
  <c r="J63" i="4"/>
  <c r="J97" i="4"/>
  <c r="J105" i="4"/>
  <c r="D41" i="11"/>
  <c r="C12" i="11"/>
  <c r="K63" i="4"/>
  <c r="K97" i="4"/>
  <c r="K105" i="4"/>
  <c r="B62" i="4"/>
  <c r="R96" i="4"/>
  <c r="AD7" i="15"/>
  <c r="E63" i="4"/>
  <c r="E97" i="4"/>
  <c r="E105" i="4"/>
  <c r="D104" i="11"/>
  <c r="E12" i="4"/>
  <c r="B96" i="4"/>
  <c r="T63" i="4"/>
  <c r="T97" i="4"/>
  <c r="D11" i="11"/>
  <c r="C12" i="4"/>
  <c r="B12" i="13"/>
  <c r="D43" i="11"/>
  <c r="D78" i="11"/>
  <c r="D71" i="11"/>
  <c r="D82" i="11"/>
  <c r="B12" i="4"/>
  <c r="D9" i="11"/>
  <c r="E97" i="13"/>
  <c r="B13" i="11"/>
  <c r="D63" i="11"/>
  <c r="D39" i="11"/>
  <c r="D12" i="11"/>
  <c r="R63" i="4"/>
  <c r="R97" i="4"/>
  <c r="R105" i="4"/>
  <c r="C13" i="11"/>
  <c r="B63" i="4"/>
  <c r="D55" i="11"/>
  <c r="D30" i="8"/>
  <c r="H63" i="13"/>
  <c r="T105" i="4"/>
  <c r="H97" i="13"/>
  <c r="D96" i="11"/>
  <c r="C97" i="11"/>
  <c r="D97" i="11"/>
  <c r="D13" i="11"/>
  <c r="T107" i="4"/>
  <c r="H105" i="13"/>
  <c r="E105" i="13"/>
  <c r="H107" i="13"/>
  <c r="AD11" i="15"/>
  <c r="AC455" i="3"/>
  <c r="AB223" i="20"/>
  <c r="AB239" i="20"/>
  <c r="AB241" i="20"/>
  <c r="AB243" i="20"/>
  <c r="AB249" i="20"/>
  <c r="AD198" i="20"/>
  <c r="AD200" i="20"/>
  <c r="AO65" i="20"/>
  <c r="AK172" i="20"/>
  <c r="AP355" i="20"/>
  <c r="AQ355" i="20"/>
  <c r="G67" i="21"/>
  <c r="T801" i="20"/>
  <c r="AO17" i="20"/>
  <c r="T793" i="20"/>
  <c r="AF793" i="20"/>
  <c r="AK779" i="20"/>
  <c r="T804" i="20"/>
  <c r="AF804" i="20"/>
  <c r="AO36" i="20"/>
  <c r="AK56" i="20"/>
  <c r="B106" i="11"/>
  <c r="P30" i="21" a="1"/>
  <c r="P30" i="21"/>
  <c r="R30" i="21"/>
  <c r="P44" i="21" a="1"/>
  <c r="P44" i="21"/>
  <c r="Q21" i="21" a="1"/>
  <c r="Q21" i="21"/>
  <c r="O21" i="21"/>
  <c r="P21" i="21" a="1"/>
  <c r="P21" i="21"/>
  <c r="R21" i="21"/>
  <c r="P43" i="21" a="1"/>
  <c r="P43" i="21"/>
  <c r="Q28" i="21" a="1"/>
  <c r="Q28" i="21"/>
  <c r="O28" i="21"/>
  <c r="P28" i="21" a="1"/>
  <c r="P28" i="21"/>
  <c r="R28" i="21"/>
  <c r="DR621" i="3"/>
  <c r="S24" i="21"/>
  <c r="O27" i="21"/>
  <c r="O24" i="21"/>
  <c r="P24" i="21" a="1"/>
  <c r="P24" i="21"/>
  <c r="B63" i="13"/>
  <c r="B27" i="11"/>
  <c r="D26" i="11"/>
  <c r="D27" i="11"/>
  <c r="C64" i="11"/>
  <c r="S30" i="21"/>
  <c r="O40" i="21"/>
  <c r="T7" i="15"/>
  <c r="Q44" i="21" a="1"/>
  <c r="Q44" i="21"/>
  <c r="S28" i="21"/>
  <c r="P40" i="21" a="1"/>
  <c r="P40" i="21"/>
  <c r="O31" i="21"/>
  <c r="P31" i="21" a="1"/>
  <c r="P31" i="21"/>
  <c r="Q25" i="21" a="1"/>
  <c r="Q25" i="21"/>
  <c r="S36" i="21"/>
  <c r="P27" i="21" a="1"/>
  <c r="P27" i="21"/>
  <c r="S42" i="21"/>
  <c r="AD68" i="15"/>
  <c r="BW631" i="3"/>
  <c r="DH621" i="3"/>
  <c r="Q23" i="21" a="1"/>
  <c r="Q23" i="21"/>
  <c r="O23" i="21"/>
  <c r="P23" i="21" a="1"/>
  <c r="P23" i="21"/>
  <c r="R23" i="21"/>
  <c r="S33" i="21"/>
  <c r="CQ631" i="3"/>
  <c r="CB631" i="3"/>
  <c r="DC621" i="3"/>
  <c r="CS621" i="3"/>
  <c r="CG631" i="3"/>
  <c r="BA981" i="3"/>
  <c r="Q39" i="21" a="1"/>
  <c r="Q39" i="21"/>
  <c r="DM621" i="3"/>
  <c r="O39" i="21"/>
  <c r="P39" i="21" a="1"/>
  <c r="P39" i="21"/>
  <c r="R39" i="21"/>
  <c r="Q27" i="21" a="1"/>
  <c r="Q27" i="21"/>
  <c r="CL631" i="3"/>
  <c r="CQ645" i="3"/>
  <c r="CX644" i="3"/>
  <c r="Q35" i="21" a="1"/>
  <c r="Q35" i="21"/>
  <c r="Q43" i="21" a="1"/>
  <c r="Q43" i="21"/>
  <c r="O35" i="21"/>
  <c r="Q31" i="21" a="1"/>
  <c r="Q31" i="21"/>
  <c r="O22" i="21"/>
  <c r="G112" i="21"/>
  <c r="G114" i="21"/>
  <c r="I15" i="21"/>
  <c r="O34" i="21"/>
  <c r="S41" i="21"/>
  <c r="E99" i="20"/>
  <c r="O44" i="21"/>
  <c r="O41" i="21"/>
  <c r="P41" i="21" a="1"/>
  <c r="P41" i="21"/>
  <c r="R41" i="21"/>
  <c r="E98" i="20"/>
  <c r="Q40" i="21" a="1"/>
  <c r="Q40" i="21"/>
  <c r="R40" i="21"/>
  <c r="AC867" i="3"/>
  <c r="BG243" i="3"/>
  <c r="BO245" i="3"/>
  <c r="T266" i="3"/>
  <c r="EC637" i="3"/>
  <c r="P34" i="21" a="1"/>
  <c r="P34" i="21"/>
  <c r="Q29" i="21" a="1"/>
  <c r="Q29" i="21"/>
  <c r="CX621" i="3"/>
  <c r="Q34" i="21" a="1"/>
  <c r="Q34" i="21"/>
  <c r="Q38" i="21" a="1"/>
  <c r="Q38" i="21"/>
  <c r="P38" i="21" a="1"/>
  <c r="P38" i="21"/>
  <c r="R38" i="21"/>
  <c r="BR631" i="3"/>
  <c r="P35" i="21" a="1"/>
  <c r="P35" i="21"/>
  <c r="R35" i="21"/>
  <c r="Q22" i="21" a="1"/>
  <c r="Q22" i="21"/>
  <c r="P22" i="21" a="1"/>
  <c r="P22" i="21"/>
  <c r="R22" i="21"/>
  <c r="ER621" i="3"/>
  <c r="CB645" i="3"/>
  <c r="DC641" i="3"/>
  <c r="DC644" i="3"/>
  <c r="Q32" i="21" a="1"/>
  <c r="Q32" i="21"/>
  <c r="O32" i="21"/>
  <c r="P32" i="21" a="1"/>
  <c r="P32" i="21"/>
  <c r="R32" i="21"/>
  <c r="S32" i="21"/>
  <c r="S26" i="21"/>
  <c r="BW645" i="3"/>
  <c r="BG714" i="3"/>
  <c r="BH699" i="3"/>
  <c r="BI699" i="3"/>
  <c r="M18" i="21"/>
  <c r="BG682" i="3"/>
  <c r="BH681" i="3"/>
  <c r="BI681" i="3"/>
  <c r="Q37" i="21" a="1"/>
  <c r="Q37" i="21"/>
  <c r="P37" i="21" a="1"/>
  <c r="P37" i="21"/>
  <c r="R37" i="21"/>
  <c r="S37" i="21"/>
  <c r="EC628" i="3"/>
  <c r="EW598" i="3"/>
  <c r="EW632" i="3"/>
  <c r="EM596" i="3"/>
  <c r="EM640" i="3"/>
  <c r="DR644" i="3"/>
  <c r="DX598" i="3"/>
  <c r="DX628" i="3"/>
  <c r="EC621" i="3"/>
  <c r="CL645" i="3"/>
  <c r="DM634" i="3"/>
  <c r="DM644" i="3"/>
  <c r="DH644" i="3"/>
  <c r="AC868" i="3"/>
  <c r="AC869" i="3"/>
  <c r="CG645" i="3"/>
  <c r="EH602" i="3"/>
  <c r="EH621" i="3"/>
  <c r="CS637" i="3"/>
  <c r="CS644" i="3"/>
  <c r="R31" i="21"/>
  <c r="AV116" i="20"/>
  <c r="AW115" i="20"/>
  <c r="O42" i="21"/>
  <c r="O33" i="21"/>
  <c r="R27" i="21"/>
  <c r="O25" i="21"/>
  <c r="P25" i="21" a="1"/>
  <c r="P25" i="21"/>
  <c r="R25" i="21"/>
  <c r="P29" i="21" a="1"/>
  <c r="P29" i="21"/>
  <c r="R29" i="21"/>
  <c r="S38" i="21"/>
  <c r="S29" i="21"/>
  <c r="S20" i="21"/>
  <c r="Q20" i="21" a="1"/>
  <c r="Q20" i="21"/>
  <c r="R43" i="21"/>
  <c r="P33" i="21" a="1"/>
  <c r="P33" i="21"/>
  <c r="P42" i="21" a="1"/>
  <c r="P42" i="21"/>
  <c r="R42" i="21"/>
  <c r="R34" i="21"/>
  <c r="Q33" i="21" a="1"/>
  <c r="Q33" i="21"/>
  <c r="R33" i="21"/>
  <c r="Q24" i="21" a="1"/>
  <c r="Q24" i="21"/>
  <c r="R24" i="21"/>
  <c r="O43" i="21"/>
  <c r="E25" i="21"/>
  <c r="G53" i="21"/>
  <c r="E24" i="21"/>
  <c r="E22" i="21"/>
  <c r="F22" i="21"/>
  <c r="G30" i="8"/>
  <c r="E26" i="21"/>
  <c r="E23" i="21"/>
  <c r="F23" i="21"/>
  <c r="G23" i="21"/>
  <c r="T800" i="20"/>
  <c r="AF800" i="20"/>
  <c r="T789" i="20"/>
  <c r="AF789" i="20"/>
  <c r="AK78" i="20"/>
  <c r="BH702" i="3"/>
  <c r="BI702" i="3"/>
  <c r="Y784" i="3"/>
  <c r="B97" i="4"/>
  <c r="B97" i="13"/>
  <c r="AC454" i="3"/>
  <c r="AG258" i="20"/>
  <c r="B105" i="13"/>
  <c r="D64" i="11"/>
  <c r="C98" i="11"/>
  <c r="EC634" i="3"/>
  <c r="EC636" i="3"/>
  <c r="EC626" i="3"/>
  <c r="EC642" i="3"/>
  <c r="BH691" i="3"/>
  <c r="BI691" i="3"/>
  <c r="EC638" i="3"/>
  <c r="DX635" i="3"/>
  <c r="BW623" i="3"/>
  <c r="EC627" i="3"/>
  <c r="EC639" i="3"/>
  <c r="CS631" i="3"/>
  <c r="EC646" i="3"/>
  <c r="EC645" i="3"/>
  <c r="EC632" i="3"/>
  <c r="BH692" i="3"/>
  <c r="BI692" i="3"/>
  <c r="EC647" i="3"/>
  <c r="EC641" i="3"/>
  <c r="EC648" i="3"/>
  <c r="EC635" i="3"/>
  <c r="EC624" i="3"/>
  <c r="EC625" i="3"/>
  <c r="EC640" i="3"/>
  <c r="EC629" i="3"/>
  <c r="EC633" i="3"/>
  <c r="EC644" i="3"/>
  <c r="AW112" i="20"/>
  <c r="AW110" i="20"/>
  <c r="BH695" i="3"/>
  <c r="BI695" i="3"/>
  <c r="EM625" i="3"/>
  <c r="BH713" i="3"/>
  <c r="BI713" i="3"/>
  <c r="BH707" i="3"/>
  <c r="BI707" i="3"/>
  <c r="EC643" i="3"/>
  <c r="EC630" i="3"/>
  <c r="S18" i="21"/>
  <c r="G44" i="21"/>
  <c r="BH703" i="3"/>
  <c r="BI703" i="3"/>
  <c r="CS630" i="3"/>
  <c r="EC631" i="3"/>
  <c r="AW111" i="20"/>
  <c r="AW114" i="20"/>
  <c r="BH700" i="3"/>
  <c r="BI700" i="3"/>
  <c r="EH630" i="3"/>
  <c r="AG1010" i="3"/>
  <c r="CQ623" i="3"/>
  <c r="EW641" i="3"/>
  <c r="EW636" i="3"/>
  <c r="EW633" i="3"/>
  <c r="EW645" i="3"/>
  <c r="EW639" i="3"/>
  <c r="EW643" i="3"/>
  <c r="EW644" i="3"/>
  <c r="EW646" i="3"/>
  <c r="EW642" i="3"/>
  <c r="EW628" i="3"/>
  <c r="EW637" i="3"/>
  <c r="EW635" i="3"/>
  <c r="EW634" i="3"/>
  <c r="EW631" i="3"/>
  <c r="EW647" i="3"/>
  <c r="EW638" i="3"/>
  <c r="EW624" i="3"/>
  <c r="EW629" i="3"/>
  <c r="EW630" i="3"/>
  <c r="EW627" i="3"/>
  <c r="EW625" i="3"/>
  <c r="EW648" i="3"/>
  <c r="BH673" i="3"/>
  <c r="BI673" i="3"/>
  <c r="EW621" i="3"/>
  <c r="EW626" i="3"/>
  <c r="CL623"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AG1014" i="3"/>
  <c r="ER631" i="3"/>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O20" i="21"/>
  <c r="P20" i="21" a="1"/>
  <c r="P20" i="21"/>
  <c r="R20" i="21"/>
  <c r="G38" i="21"/>
  <c r="G40" i="21"/>
  <c r="E10" i="21"/>
  <c r="DX638" i="3"/>
  <c r="DX629" i="3"/>
  <c r="DX631" i="3"/>
  <c r="DX630" i="3"/>
  <c r="BR623" i="3"/>
  <c r="DX625" i="3"/>
  <c r="DX645" i="3"/>
  <c r="DX624" i="3"/>
  <c r="DX641" i="3"/>
  <c r="DX636" i="3"/>
  <c r="DX644" i="3"/>
  <c r="DX646" i="3"/>
  <c r="DX633" i="3"/>
  <c r="DX643" i="3"/>
  <c r="DX637" i="3"/>
  <c r="DX648" i="3"/>
  <c r="DX647" i="3"/>
  <c r="CM622" i="3"/>
  <c r="DX640" i="3"/>
  <c r="DX627" i="3"/>
  <c r="DX642" i="3"/>
  <c r="DX639" i="3"/>
  <c r="DX632" i="3"/>
  <c r="EH642" i="3"/>
  <c r="BH689" i="3"/>
  <c r="BH701" i="3"/>
  <c r="BI701" i="3"/>
  <c r="BH705" i="3"/>
  <c r="BI705" i="3"/>
  <c r="BH706" i="3"/>
  <c r="BI706" i="3"/>
  <c r="BH709" i="3"/>
  <c r="BI709" i="3"/>
  <c r="BH690" i="3"/>
  <c r="BI690" i="3"/>
  <c r="BH698" i="3"/>
  <c r="BI698" i="3"/>
  <c r="BH697" i="3"/>
  <c r="BI697" i="3"/>
  <c r="BH694" i="3"/>
  <c r="BI694" i="3"/>
  <c r="BH696" i="3"/>
  <c r="BI696" i="3"/>
  <c r="BH710" i="3"/>
  <c r="BI710" i="3"/>
  <c r="BH693" i="3"/>
  <c r="BI693" i="3"/>
  <c r="BH712" i="3"/>
  <c r="BI712" i="3"/>
  <c r="BH711" i="3"/>
  <c r="BI711" i="3"/>
  <c r="BH704" i="3"/>
  <c r="BI704" i="3"/>
  <c r="EW640" i="3"/>
  <c r="DX626" i="3"/>
  <c r="DX621" i="3"/>
  <c r="ER639" i="3"/>
  <c r="AW113" i="20"/>
  <c r="DX634" i="3"/>
  <c r="BH708" i="3"/>
  <c r="BI708" i="3"/>
  <c r="ER647" i="3"/>
  <c r="BR645" i="3"/>
  <c r="CS647" i="3"/>
  <c r="CS646" i="3"/>
  <c r="EM639" i="3"/>
  <c r="EM635" i="3"/>
  <c r="EM642" i="3"/>
  <c r="EM630" i="3"/>
  <c r="EM643" i="3"/>
  <c r="CG623" i="3"/>
  <c r="EM648" i="3"/>
  <c r="EM626" i="3"/>
  <c r="EM646" i="3"/>
  <c r="EM644" i="3"/>
  <c r="EM647" i="3"/>
  <c r="EM629" i="3"/>
  <c r="EM634" i="3"/>
  <c r="EM636" i="3"/>
  <c r="EM628" i="3"/>
  <c r="EM638" i="3"/>
  <c r="EM631" i="3"/>
  <c r="EM645" i="3"/>
  <c r="EM633" i="3"/>
  <c r="EM627" i="3"/>
  <c r="EM637" i="3"/>
  <c r="BH661" i="3"/>
  <c r="BI661" i="3"/>
  <c r="BH659" i="3"/>
  <c r="BI659" i="3"/>
  <c r="BH669" i="3"/>
  <c r="BI669" i="3"/>
  <c r="BH664" i="3"/>
  <c r="BI664" i="3"/>
  <c r="BH662" i="3"/>
  <c r="BI662" i="3"/>
  <c r="BH667" i="3"/>
  <c r="BI667" i="3"/>
  <c r="BH674" i="3"/>
  <c r="BI674" i="3"/>
  <c r="BH679" i="3"/>
  <c r="BI679" i="3"/>
  <c r="BH680" i="3"/>
  <c r="BI680" i="3"/>
  <c r="BH671" i="3"/>
  <c r="BI671" i="3"/>
  <c r="BH677" i="3"/>
  <c r="BI677" i="3"/>
  <c r="BH666" i="3"/>
  <c r="BI666" i="3"/>
  <c r="BH658" i="3"/>
  <c r="BI658" i="3"/>
  <c r="BH670" i="3"/>
  <c r="BI670" i="3"/>
  <c r="BH663" i="3"/>
  <c r="BI663" i="3"/>
  <c r="BH672" i="3"/>
  <c r="BI672" i="3"/>
  <c r="BH675" i="3"/>
  <c r="BI675" i="3"/>
  <c r="BH660" i="3"/>
  <c r="BI660" i="3"/>
  <c r="BH678" i="3"/>
  <c r="BI678" i="3"/>
  <c r="BH676" i="3"/>
  <c r="BI676" i="3"/>
  <c r="BH668" i="3"/>
  <c r="BI668" i="3"/>
  <c r="EH626" i="3"/>
  <c r="DR646" i="3"/>
  <c r="EM621" i="3"/>
  <c r="EM624" i="3"/>
  <c r="BH657" i="3"/>
  <c r="BH665" i="3"/>
  <c r="BI665" i="3"/>
  <c r="EM632" i="3"/>
  <c r="E27" i="21"/>
  <c r="G22" i="21"/>
  <c r="Y64" i="15"/>
  <c r="Y68" i="15"/>
  <c r="AW116" i="20"/>
  <c r="AK180" i="20"/>
  <c r="T796" i="20"/>
  <c r="AF796" i="20"/>
  <c r="T790" i="20"/>
  <c r="AF790" i="20"/>
  <c r="AB255" i="20"/>
  <c r="AG257" i="20"/>
  <c r="AG259" i="20"/>
  <c r="AK262" i="20"/>
  <c r="T797" i="20"/>
  <c r="AF797" i="20"/>
  <c r="AC453" i="3"/>
  <c r="F456" i="3"/>
  <c r="D98" i="11"/>
  <c r="C106" i="11"/>
  <c r="D106" i="11"/>
  <c r="EC649" i="3"/>
  <c r="J124" i="20"/>
  <c r="J127" i="20"/>
  <c r="J130" i="20"/>
  <c r="Z802" i="3"/>
  <c r="EW649" i="3"/>
  <c r="AD124" i="20"/>
  <c r="AD127" i="20"/>
  <c r="AD130" i="20"/>
  <c r="DX649" i="3"/>
  <c r="E124" i="20"/>
  <c r="E127" i="20"/>
  <c r="E130" i="20" s="1"/>
  <c r="EH649" i="3"/>
  <c r="O124" i="20"/>
  <c r="O127" i="20"/>
  <c r="O130" i="20" s="1"/>
  <c r="ER649" i="3"/>
  <c r="Y124" i="20"/>
  <c r="Y127" i="20"/>
  <c r="Y130" i="20"/>
  <c r="BI657" i="3"/>
  <c r="BI682" i="3"/>
  <c r="AC739" i="3"/>
  <c r="BH682" i="3"/>
  <c r="BH714" i="3"/>
  <c r="BI689" i="3"/>
  <c r="BI714" i="3"/>
  <c r="AH739" i="3"/>
  <c r="CS623" i="3"/>
  <c r="EM649" i="3"/>
  <c r="T124" i="20"/>
  <c r="T127" i="20"/>
  <c r="T130" i="20"/>
  <c r="F25" i="21"/>
  <c r="G54" i="21"/>
  <c r="G56" i="21"/>
  <c r="G58" i="21"/>
  <c r="E12" i="21"/>
  <c r="F26" i="21"/>
  <c r="G26" i="21"/>
  <c r="G45" i="21"/>
  <c r="G47" i="21"/>
  <c r="G49" i="21"/>
  <c r="E11" i="21"/>
  <c r="T29" i="15"/>
  <c r="E49" i="7"/>
  <c r="E87" i="20"/>
  <c r="E88" i="20"/>
  <c r="E89" i="20"/>
  <c r="E97" i="20"/>
  <c r="AB960" i="3"/>
  <c r="CS649" i="3"/>
  <c r="U362" i="20"/>
  <c r="O742" i="3"/>
  <c r="P420" i="3"/>
  <c r="G25" i="21"/>
  <c r="F24" i="21"/>
  <c r="B1025" i="3"/>
  <c r="I14" i="21"/>
  <c r="E48" i="7"/>
  <c r="G49" i="7"/>
  <c r="G24" i="21"/>
  <c r="F27" i="21"/>
  <c r="G27" i="21"/>
  <c r="AZ832" i="3"/>
  <c r="AZ835" i="3"/>
  <c r="AZ840" i="3"/>
  <c r="E47" i="7"/>
  <c r="I49" i="7"/>
  <c r="G47" i="7"/>
  <c r="G48" i="7"/>
  <c r="G95" i="21"/>
  <c r="G96" i="21"/>
  <c r="G29" i="21"/>
  <c r="G31" i="21"/>
  <c r="E9" i="21"/>
  <c r="G104" i="21"/>
  <c r="G106" i="21"/>
  <c r="G79" i="21"/>
  <c r="G64" i="21"/>
  <c r="K49" i="7"/>
  <c r="I48" i="7"/>
  <c r="I47" i="7"/>
  <c r="G69" i="21"/>
  <c r="G81" i="21"/>
  <c r="G65" i="21"/>
  <c r="E14" i="21"/>
  <c r="E15" i="21"/>
  <c r="M26" i="3"/>
  <c r="E70" i="7"/>
  <c r="E72" i="7"/>
  <c r="G70" i="7"/>
  <c r="G72" i="7"/>
  <c r="M49" i="7"/>
  <c r="K47" i="7"/>
  <c r="K48" i="7"/>
  <c r="G83" i="21"/>
  <c r="E13" i="21"/>
  <c r="E16" i="21"/>
  <c r="H3" i="21"/>
  <c r="AB57" i="15"/>
  <c r="P203" i="3"/>
  <c r="M48" i="7"/>
  <c r="M47" i="7"/>
  <c r="O49" i="7"/>
  <c r="I70" i="7"/>
  <c r="I72" i="7"/>
  <c r="AB59" i="15"/>
  <c r="AB76" i="15"/>
  <c r="AB77" i="15"/>
  <c r="AB78" i="15"/>
  <c r="Q49" i="7"/>
  <c r="M62" i="7"/>
  <c r="O47" i="7"/>
  <c r="O48" i="7"/>
  <c r="K70" i="7"/>
  <c r="K72" i="7"/>
  <c r="M27" i="3"/>
  <c r="I10" i="21"/>
  <c r="I11" i="21"/>
  <c r="I16" i="21"/>
  <c r="H4" i="21"/>
  <c r="H5" i="21"/>
  <c r="M70" i="7"/>
  <c r="M72" i="7"/>
  <c r="AB80" i="15"/>
  <c r="J81" i="15"/>
  <c r="O62" i="7"/>
  <c r="Q48" i="7"/>
  <c r="Q47" i="7"/>
  <c r="S49" i="7"/>
  <c r="P204" i="3"/>
  <c r="U49" i="7"/>
  <c r="Q62" i="7"/>
  <c r="S48" i="7"/>
  <c r="S47" i="7"/>
  <c r="O70" i="7"/>
  <c r="O72" i="7"/>
  <c r="S62" i="7"/>
  <c r="U48" i="7"/>
  <c r="U47" i="7"/>
  <c r="Q70" i="7"/>
  <c r="Q72" i="7"/>
  <c r="W49" i="7"/>
  <c r="S70" i="7"/>
  <c r="S72" i="7"/>
  <c r="U62" i="7"/>
  <c r="Y49" i="7"/>
  <c r="W47" i="7"/>
  <c r="W48" i="7"/>
  <c r="AA49" i="7"/>
  <c r="U70" i="7"/>
  <c r="U72" i="7"/>
  <c r="W62" i="7"/>
  <c r="Y47" i="7"/>
  <c r="Y48" i="7"/>
  <c r="W70" i="7"/>
  <c r="W72" i="7"/>
  <c r="AA47" i="7"/>
  <c r="AA48" i="7"/>
  <c r="AC49" i="7"/>
  <c r="Y62" i="7"/>
  <c r="Y70" i="7"/>
  <c r="Y72" i="7"/>
  <c r="AE49" i="7"/>
  <c r="AC48" i="7"/>
  <c r="AC47" i="7"/>
  <c r="AA62" i="7"/>
  <c r="AA70" i="7"/>
  <c r="AA72" i="7"/>
  <c r="AC62" i="7"/>
  <c r="AE47" i="7"/>
  <c r="AE48" i="7"/>
  <c r="AG49" i="7"/>
  <c r="AG48" i="7"/>
  <c r="AG47" i="7"/>
  <c r="AE62" i="7"/>
  <c r="AC70" i="7"/>
  <c r="AC72" i="7"/>
  <c r="AE70" i="7"/>
  <c r="AE72" i="7"/>
  <c r="AG62" i="7"/>
  <c r="AG70" i="7"/>
  <c r="AG72" i="7"/>
  <c r="AS349" i="20"/>
  <c r="AS351" i="20"/>
  <c r="AS347" i="20"/>
  <c r="AK458" i="20"/>
  <c r="T802" i="20"/>
  <c r="AF802" i="20"/>
  <c r="E132" i="20" l="1"/>
  <c r="E133" i="20" s="1"/>
  <c r="AK137" i="20" s="1"/>
  <c r="T792" i="20" s="1"/>
  <c r="AF792" i="20" s="1"/>
  <c r="E100" i="20"/>
  <c r="AP100" i="20" s="1"/>
  <c r="AK103" i="20" s="1"/>
  <c r="T791" i="20" s="1"/>
  <c r="AF791" i="20" s="1"/>
  <c r="AF806" i="2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2022, the 15% set-aside is available to rehabilitation projects only.</t>
        </r>
      </text>
    </comment>
    <comment ref="C550" authorId="0" shapeId="0" xr:uid="{00000000-0006-0000-0400-000002000000}">
      <text>
        <r>
          <rPr>
            <sz val="9"/>
            <color rgb="FF000000"/>
            <rFont val="Tahoma"/>
            <family val="2"/>
          </rPr>
          <t>Input tax-exempt bond amount.  This cell is linked to the tie breaker.  Do not include any taxable bond amount.</t>
        </r>
      </text>
    </comment>
    <comment ref="Z793" authorId="1" shapeId="0" xr:uid="{00000000-0006-0000-0400-000003000000}">
      <text>
        <r>
          <rPr>
            <sz val="9"/>
            <color rgb="FF000000"/>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rgb="FF000000"/>
            <rFont val="Arial"/>
            <family val="2"/>
          </rPr>
          <t>Acquisition Credits cannot exceed 5% of cell T96 (or 15% if regulatory requirements are met). See TCAC Reg. Section 10327(c)(2)(B) for deferral/ equity contribution requirements.</t>
        </r>
        <r>
          <rPr>
            <sz val="9"/>
            <color rgb="FF000000"/>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color rgb="FF00000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<sst xmlns="http://schemas.openxmlformats.org/spreadsheetml/2006/main" count="5253" uniqueCount="2777">
  <si>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</si>
  <si>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</si>
  <si>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</si>
  <si>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</si>
  <si>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</si>
  <si>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</si>
  <si>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</si>
  <si>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</si>
  <si>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</si>
  <si>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</si>
  <si>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</si>
  <si>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</si>
  <si>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</si>
  <si>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</si>
  <si>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</si>
  <si>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</si>
  <si>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</si>
  <si>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</si>
  <si>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</si>
  <si>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</si>
  <si>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</si>
  <si>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</si>
  <si>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</si>
  <si>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</si>
  <si>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</si>
  <si>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</si>
  <si>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</si>
  <si>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</si>
  <si>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</si>
  <si>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</si>
  <si>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</si>
  <si>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</si>
  <si>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</si>
  <si>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</si>
  <si>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</si>
  <si>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</si>
  <si>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</si>
  <si>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</si>
  <si>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</si>
  <si>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</si>
  <si>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</si>
  <si>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</si>
  <si>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</si>
  <si>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</si>
  <si>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</si>
  <si>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</si>
  <si>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</si>
  <si>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</si>
  <si>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</si>
  <si>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</si>
  <si>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</si>
  <si>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</si>
  <si>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</si>
  <si>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</si>
  <si>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</si>
  <si>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</si>
  <si>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</si>
  <si>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</si>
  <si>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</si>
  <si>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</si>
  <si>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</si>
  <si>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</si>
  <si>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</si>
  <si>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</si>
  <si>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</si>
  <si>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</si>
  <si>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</si>
  <si>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</si>
  <si>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</si>
  <si>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</si>
  <si>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</si>
  <si>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</si>
  <si>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</si>
  <si>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</si>
  <si>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</si>
  <si>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</si>
  <si>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</si>
  <si>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</si>
  <si>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</si>
  <si>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</si>
  <si>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</si>
  <si>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</si>
  <si>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</si>
  <si>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</si>
  <si>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</si>
  <si>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</si>
  <si>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</si>
  <si>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</si>
  <si>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</si>
  <si>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</si>
  <si>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</si>
  <si>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</si>
  <si>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</si>
  <si>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</si>
  <si>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</si>
  <si>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</si>
  <si>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</si>
  <si>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</si>
  <si>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</si>
  <si>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</si>
  <si>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</si>
  <si>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</si>
  <si>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</si>
  <si>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</si>
  <si>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</si>
  <si>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</si>
  <si>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</si>
  <si>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</si>
  <si>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</si>
  <si>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</si>
  <si>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</si>
  <si>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</si>
  <si>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</si>
  <si>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</si>
  <si>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</si>
  <si>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</si>
  <si>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</si>
  <si>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</si>
  <si>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</si>
  <si>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</si>
  <si>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</si>
  <si>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</si>
  <si>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</si>
  <si>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</si>
  <si>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</si>
  <si>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</si>
  <si>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</si>
  <si>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</si>
  <si>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</si>
  <si>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</si>
  <si>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</si>
  <si>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</si>
  <si>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</si>
  <si>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</si>
  <si>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</si>
  <si>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</si>
  <si>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</si>
  <si>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</si>
  <si>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</si>
  <si>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</si>
  <si>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</si>
  <si>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</si>
  <si>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</si>
  <si>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</si>
  <si>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</si>
  <si>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</si>
  <si>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</si>
  <si>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</si>
  <si>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</si>
  <si>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</si>
  <si>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</si>
  <si>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</si>
  <si>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</si>
  <si>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</si>
  <si>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</si>
  <si>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</si>
  <si>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</si>
  <si>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</si>
  <si>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</si>
  <si>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</si>
  <si>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</si>
  <si>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</si>
  <si>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</si>
  <si>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</si>
  <si>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</si>
  <si>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</si>
  <si>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</si>
  <si>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</si>
  <si>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</si>
  <si>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</si>
  <si>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</si>
  <si>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</si>
  <si>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</si>
  <si>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</si>
  <si>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</si>
  <si>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</si>
  <si>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</si>
  <si>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</si>
  <si>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</si>
  <si>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</si>
  <si>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</si>
  <si>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</si>
  <si>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</si>
  <si>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</si>
  <si>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</si>
  <si>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</si>
  <si>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</si>
  <si>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</si>
  <si>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</si>
  <si>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</si>
  <si>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</si>
  <si>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</si>
  <si>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</si>
  <si>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</si>
  <si>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</si>
  <si>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</si>
  <si>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</si>
  <si>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</si>
  <si>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</si>
  <si>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</si>
  <si>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</si>
  <si>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</si>
  <si>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</si>
  <si>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</si>
  <si>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</si>
  <si>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</si>
  <si>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</si>
  <si>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</si>
  <si>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</si>
  <si>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</si>
  <si>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</si>
  <si>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</si>
  <si>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</si>
  <si>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</si>
  <si>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</si>
  <si>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</si>
  <si>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</si>
  <si>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</si>
  <si>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</si>
  <si>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</si>
  <si>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</si>
  <si>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</si>
  <si>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</si>
  <si>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</si>
  <si>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</si>
  <si>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</si>
  <si>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</si>
  <si>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</si>
  <si>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</si>
  <si>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</si>
  <si>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</si>
  <si>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</si>
  <si>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</si>
  <si>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</si>
  <si>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</si>
  <si>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</si>
  <si>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</si>
  <si>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</si>
  <si>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</si>
  <si>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</si>
  <si>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</si>
  <si>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</si>
  <si>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</si>
  <si>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</si>
  <si>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</si>
  <si>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</si>
  <si>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</si>
  <si>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</si>
  <si>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</si>
  <si>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</si>
  <si>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</si>
  <si>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</si>
  <si>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</si>
  <si>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</si>
  <si>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</si>
  <si>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</si>
  <si>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</si>
  <si>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</si>
  <si>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</si>
  <si>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</si>
  <si>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</si>
  <si>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</si>
  <si>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</si>
  <si>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</si>
  <si>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</si>
  <si>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</si>
  <si>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</si>
  <si>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</si>
  <si>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</si>
  <si>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</si>
  <si>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</si>
  <si>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</si>
  <si>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</si>
  <si>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</si>
  <si>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</si>
  <si>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</si>
  <si>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</si>
  <si>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</si>
  <si>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</si>
  <si>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</si>
  <si>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</si>
  <si>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</si>
  <si>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</si>
  <si>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</si>
  <si>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</si>
  <si>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</si>
  <si>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</si>
  <si>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</si>
  <si>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</si>
  <si>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</si>
  <si>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</si>
  <si>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</si>
  <si>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</si>
  <si>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</si>
  <si>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</si>
  <si>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</si>
  <si>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</si>
  <si>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</si>
  <si>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</si>
  <si>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</si>
  <si>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</si>
  <si>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</si>
  <si>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</si>
  <si>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</si>
  <si>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</si>
  <si>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</si>
  <si>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</si>
  <si>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</si>
  <si>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</si>
  <si>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</si>
  <si>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</si>
  <si>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</si>
  <si>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</si>
  <si>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</si>
  <si>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</si>
  <si>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</si>
  <si>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</si>
  <si>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</si>
  <si>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</si>
  <si>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</si>
  <si>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</si>
  <si>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</si>
  <si>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</si>
  <si>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</si>
  <si>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</si>
  <si>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</si>
  <si>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</si>
  <si>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</si>
  <si>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</si>
  <si>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</si>
  <si>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</si>
  <si>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</si>
  <si>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</si>
  <si>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</si>
  <si>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</si>
  <si>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</si>
  <si>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</si>
  <si>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</si>
  <si>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</si>
  <si>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</si>
  <si>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</si>
  <si>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</si>
  <si>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</si>
  <si>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</si>
  <si>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</si>
  <si>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</si>
  <si>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</si>
  <si>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</si>
  <si>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</si>
  <si>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</si>
  <si>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</si>
  <si>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</si>
  <si>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</si>
  <si>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</si>
  <si>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</si>
  <si>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</si>
  <si>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</si>
  <si>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</si>
  <si>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</si>
  <si>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</si>
  <si>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</si>
  <si>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</si>
  <si>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</si>
  <si>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</si>
  <si>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</si>
  <si>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</si>
  <si>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</si>
  <si>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</si>
  <si>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</si>
  <si>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</si>
  <si>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</si>
  <si>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</si>
  <si>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</si>
  <si>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</si>
  <si>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</si>
  <si>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</si>
  <si>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</si>
  <si>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</si>
  <si>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</si>
  <si>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</si>
  <si>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</si>
  <si>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</si>
  <si>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</si>
  <si>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</si>
  <si>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</si>
  <si>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</si>
  <si>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</si>
  <si>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</si>
  <si>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</si>
  <si>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</si>
  <si>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</si>
  <si>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</si>
  <si>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</si>
  <si>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</si>
  <si>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</si>
  <si>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</si>
  <si>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</si>
  <si>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</si>
  <si>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</si>
  <si>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</si>
  <si>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</si>
  <si>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</si>
  <si>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</si>
  <si>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</si>
  <si>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</si>
  <si>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</si>
  <si>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</si>
  <si>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</si>
  <si>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</si>
  <si>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</si>
  <si>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</si>
  <si>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</si>
  <si>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</si>
  <si>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</si>
  <si>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</si>
  <si>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</si>
  <si>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</si>
  <si>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</si>
  <si>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</si>
  <si>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</si>
  <si>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</si>
  <si>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</si>
  <si>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</si>
  <si>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</si>
  <si>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</si>
  <si>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</si>
  <si>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</si>
  <si>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</si>
  <si>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</si>
  <si>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</si>
  <si>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</si>
  <si>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</si>
  <si>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</si>
  <si>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</si>
  <si>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</si>
  <si>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</si>
  <si>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</si>
  <si>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</si>
  <si>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</si>
  <si>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</si>
  <si>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</si>
  <si>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</si>
  <si>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</si>
  <si>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</si>
  <si>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</si>
  <si>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</si>
  <si>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</si>
  <si>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</si>
  <si>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</si>
  <si>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</si>
  <si>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</si>
  <si>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</si>
  <si>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</si>
  <si>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</si>
  <si>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</si>
  <si>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</si>
  <si>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</si>
  <si>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</si>
  <si>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</si>
  <si>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</si>
  <si>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</si>
  <si>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</si>
  <si>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</si>
  <si>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</si>
  <si>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</si>
  <si>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</si>
  <si>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</si>
  <si>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</si>
  <si>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</si>
  <si>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</si>
  <si>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</si>
  <si>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</si>
  <si>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</si>
  <si>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</si>
  <si>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</si>
  <si>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</si>
  <si>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</si>
  <si>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</si>
  <si>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</si>
  <si>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</si>
  <si>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</si>
  <si>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</si>
  <si>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</si>
  <si>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</si>
  <si>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</si>
  <si>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</si>
  <si>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</si>
  <si>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</si>
  <si>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</si>
  <si>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</si>
  <si>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</si>
  <si>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</si>
  <si>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</si>
  <si>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</si>
  <si>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</si>
  <si>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</si>
  <si>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</si>
  <si>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</si>
  <si>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</si>
  <si>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</si>
  <si>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</si>
  <si>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</si>
  <si>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</si>
  <si>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</si>
  <si>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</si>
  <si>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</si>
  <si>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</si>
  <si>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</si>
  <si>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</si>
  <si>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</si>
  <si>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</si>
  <si>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</si>
  <si>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</si>
  <si>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</si>
  <si>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</si>
  <si>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</si>
  <si>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</si>
  <si>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</si>
  <si>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</si>
  <si>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</si>
  <si>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</si>
  <si>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</si>
  <si>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</si>
  <si>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</si>
  <si>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</si>
  <si>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</si>
  <si>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</si>
  <si>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</si>
  <si>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</si>
  <si>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</si>
  <si>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</si>
  <si>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</si>
  <si>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</si>
  <si>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</si>
  <si>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</si>
  <si>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</si>
  <si>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</si>
  <si>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</si>
  <si>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</si>
  <si>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</si>
  <si>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</si>
  <si>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</si>
  <si>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</si>
  <si>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</si>
  <si>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</si>
  <si>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</si>
  <si>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</si>
  <si>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</si>
  <si>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</si>
  <si>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</si>
  <si>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</si>
  <si>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</si>
  <si>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</si>
  <si>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</si>
  <si>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</si>
  <si>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</si>
  <si>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</si>
  <si>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</si>
  <si>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</si>
  <si>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</si>
  <si>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</si>
  <si>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</si>
  <si>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</si>
  <si>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</si>
  <si>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</si>
  <si>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</si>
  <si>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</si>
  <si>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</si>
  <si>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</si>
  <si>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</si>
  <si>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</si>
  <si>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</si>
  <si>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</si>
  <si>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</si>
  <si>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</si>
  <si>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</si>
  <si>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</si>
  <si>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</si>
  <si>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</si>
  <si>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</si>
  <si>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</si>
  <si>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</si>
  <si>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</si>
  <si>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</si>
  <si>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</si>
  <si>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</si>
  <si>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</si>
  <si>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</si>
  <si>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</si>
  <si>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</si>
  <si>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</si>
  <si>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</si>
  <si>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</si>
  <si>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</si>
  <si>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</si>
  <si>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</si>
  <si>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</si>
  <si>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</si>
  <si>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</si>
  <si>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</si>
  <si>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</si>
  <si>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</si>
  <si>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</si>
  <si>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</si>
  <si>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</si>
  <si>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</si>
  <si>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</si>
  <si>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</si>
  <si>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</si>
  <si>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</si>
  <si>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</si>
  <si>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</si>
  <si>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</si>
  <si>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</si>
  <si>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</si>
  <si>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</si>
  <si>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</si>
  <si>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</si>
  <si>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</si>
  <si>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</si>
  <si>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</si>
  <si>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</si>
  <si>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</si>
  <si>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</si>
  <si>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</si>
  <si>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</si>
  <si>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</si>
  <si>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</si>
  <si>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</si>
  <si>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</si>
  <si>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</si>
  <si>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</si>
  <si>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</si>
  <si>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</si>
  <si>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</si>
  <si>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</si>
  <si>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</si>
  <si>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</si>
  <si>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</si>
  <si>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</si>
  <si>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</si>
  <si>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</si>
  <si>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</si>
  <si>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</si>
  <si>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</si>
  <si>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</si>
  <si>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</si>
  <si>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</si>
  <si>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</si>
  <si>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</si>
  <si>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</si>
  <si>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</si>
  <si>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</si>
  <si>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</si>
  <si>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</si>
  <si>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</si>
  <si>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</si>
  <si>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</si>
  <si>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</si>
  <si>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</si>
  <si>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</si>
  <si>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</si>
  <si>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</si>
  <si>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</si>
  <si>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</si>
  <si>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</si>
  <si>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</si>
  <si>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</si>
  <si>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</si>
  <si>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</si>
  <si>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</si>
  <si>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</si>
  <si>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</si>
  <si>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</si>
  <si>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</si>
  <si>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</si>
  <si>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</si>
  <si>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</si>
  <si>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</si>
  <si>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</si>
  <si>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</si>
  <si>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</si>
  <si>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</si>
  <si>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</si>
  <si>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</si>
  <si>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</si>
  <si>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</si>
  <si>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</si>
  <si>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</si>
  <si>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</si>
  <si>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</si>
  <si>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</si>
  <si>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</si>
  <si>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</si>
  <si>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</si>
  <si>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</si>
  <si>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</si>
  <si>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</si>
  <si>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</si>
  <si>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</si>
  <si>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</si>
  <si>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</si>
  <si>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</si>
  <si>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</si>
  <si>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</si>
  <si>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</si>
  <si>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</si>
  <si>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</si>
  <si>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</si>
  <si>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</si>
  <si>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</si>
  <si>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</si>
  <si>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</si>
  <si>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</si>
  <si>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</si>
  <si>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</si>
  <si>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</si>
  <si>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</si>
  <si>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</si>
  <si>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</si>
  <si>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</si>
  <si>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</si>
  <si>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</si>
  <si>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</si>
  <si>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</si>
  <si>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</si>
  <si>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</si>
  <si>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</si>
  <si>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</si>
  <si>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</si>
  <si>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</si>
  <si>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</si>
  <si>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</si>
  <si>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</si>
  <si>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</si>
  <si>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</si>
  <si>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</si>
  <si>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</si>
  <si>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</si>
  <si>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</si>
  <si>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</si>
  <si>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</si>
  <si>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</si>
  <si>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</si>
  <si>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</si>
  <si>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</si>
  <si>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</si>
  <si>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</si>
  <si>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</si>
  <si>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</si>
  <si>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</si>
  <si>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</si>
  <si>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</si>
  <si>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</si>
  <si>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</si>
  <si>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</si>
  <si>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</si>
  <si>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</si>
  <si>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</si>
  <si>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</si>
  <si>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</si>
  <si>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</si>
  <si>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</si>
  <si>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</si>
  <si>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</si>
  <si>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</si>
  <si>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</si>
  <si>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</si>
  <si>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</si>
  <si>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</si>
  <si>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</si>
  <si>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</si>
  <si>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</si>
  <si>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</si>
  <si>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</si>
  <si>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</si>
  <si>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</si>
  <si>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</si>
  <si>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</si>
  <si>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</si>
  <si>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</si>
  <si>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</si>
  <si>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</si>
  <si>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</si>
  <si>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</si>
  <si>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</si>
  <si>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</si>
  <si>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</si>
  <si>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</si>
  <si>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</si>
  <si>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</si>
  <si>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</si>
  <si>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</si>
  <si>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</si>
  <si>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</si>
  <si>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</si>
  <si>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</si>
  <si>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</si>
  <si>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</si>
  <si>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</si>
  <si>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</si>
  <si>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</si>
  <si>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</si>
  <si>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</si>
  <si>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</si>
  <si>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</si>
  <si>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</si>
  <si>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</si>
  <si>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</si>
  <si>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</si>
  <si>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</si>
  <si>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</si>
  <si>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</si>
  <si>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</si>
  <si>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</si>
  <si>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</si>
  <si>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</si>
  <si>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</si>
  <si>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</si>
  <si>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</si>
  <si>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</si>
  <si>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</si>
  <si>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</si>
  <si>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</si>
  <si>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</si>
  <si>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</si>
  <si>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</si>
  <si>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</si>
  <si>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</si>
  <si>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</si>
  <si>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</si>
  <si>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</si>
  <si>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</si>
  <si>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</si>
  <si>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</si>
  <si>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</si>
  <si>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</si>
  <si>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</si>
  <si>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</si>
  <si>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</si>
  <si>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</si>
  <si>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</si>
  <si>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</si>
  <si>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</si>
  <si>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</si>
  <si>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</si>
  <si>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</si>
  <si>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</si>
  <si>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</si>
  <si>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</si>
  <si>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</si>
  <si>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</si>
  <si>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</si>
  <si>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</si>
  <si>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</si>
  <si>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</si>
  <si>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</si>
  <si>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</si>
  <si>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</si>
  <si>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</si>
  <si>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</si>
  <si>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</si>
  <si>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</si>
  <si>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</si>
  <si>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</si>
  <si>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</si>
  <si>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</si>
  <si>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</si>
  <si>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</si>
  <si>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</si>
  <si>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</si>
  <si>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</si>
  <si>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</si>
  <si>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</si>
  <si>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</si>
  <si>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</si>
  <si>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</si>
  <si>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</si>
  <si>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</si>
  <si>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</si>
  <si>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</si>
  <si>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</si>
  <si>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</si>
  <si>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</si>
  <si>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</si>
  <si>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</si>
  <si>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</si>
  <si>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</si>
  <si>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</si>
  <si>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</si>
  <si>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</si>
  <si>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</si>
  <si>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</si>
  <si>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</si>
  <si>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</si>
  <si>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</si>
  <si>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</si>
  <si>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</si>
  <si>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</si>
  <si>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</si>
  <si>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</si>
  <si>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</si>
  <si>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</si>
  <si>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</si>
  <si>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</si>
  <si>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</si>
  <si>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</si>
  <si>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</si>
  <si>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</si>
  <si>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</si>
  <si>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</si>
  <si>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</si>
  <si>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</si>
  <si>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</si>
  <si>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</si>
  <si>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</si>
  <si>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</si>
  <si>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</si>
  <si>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</si>
  <si>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</si>
  <si>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</si>
  <si>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</si>
  <si>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</si>
  <si>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</si>
  <si>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</si>
  <si>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</si>
  <si>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</si>
  <si>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</si>
  <si>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</si>
  <si>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</si>
  <si>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</si>
  <si>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</si>
  <si>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</si>
  <si>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</si>
  <si>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</si>
  <si>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</si>
  <si>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</si>
  <si>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</si>
  <si>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</si>
  <si>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</si>
  <si>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</si>
  <si>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</si>
  <si>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</si>
  <si>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</si>
  <si>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</si>
  <si>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</si>
  <si>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</si>
  <si>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</si>
  <si>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</si>
  <si>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</si>
  <si>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</si>
  <si>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</si>
  <si>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</si>
  <si>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</si>
  <si>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</si>
  <si>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</si>
  <si>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</si>
  <si>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</si>
  <si>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</si>
  <si>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</si>
  <si>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</si>
  <si>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</si>
  <si>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</si>
  <si>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</si>
  <si>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</si>
  <si>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</si>
  <si>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</si>
  <si>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</si>
  <si>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</si>
  <si>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</si>
  <si>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</si>
  <si>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</si>
  <si>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</si>
  <si>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</si>
  <si>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</si>
  <si>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</si>
  <si>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</si>
  <si>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</si>
  <si>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</si>
  <si>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</si>
  <si>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</si>
  <si>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</si>
  <si>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</si>
  <si>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</si>
  <si>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</si>
  <si>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</si>
  <si>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</si>
  <si>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</si>
  <si>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</si>
  <si>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</si>
  <si>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</si>
  <si>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</si>
  <si>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</si>
  <si>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</si>
  <si>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</si>
  <si>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</si>
  <si>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</si>
  <si>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</si>
  <si>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</si>
  <si>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</si>
  <si>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</si>
  <si>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</si>
  <si>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</si>
  <si>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</si>
  <si>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</si>
  <si>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</si>
  <si>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</si>
  <si>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</si>
  <si>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</si>
  <si>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</si>
  <si>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</si>
  <si>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</si>
  <si>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</si>
  <si>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</si>
  <si>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</si>
  <si>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</si>
  <si>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</si>
  <si>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</si>
  <si>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</si>
  <si>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</si>
  <si>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</si>
  <si>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</si>
  <si>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</si>
  <si>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</si>
  <si>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</si>
  <si>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</si>
  <si>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</si>
  <si>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</si>
  <si>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</si>
  <si>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</si>
  <si>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</si>
  <si>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</si>
  <si>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</si>
  <si>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</si>
  <si>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</si>
  <si>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</si>
  <si>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</si>
  <si>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</si>
  <si>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</si>
  <si>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</si>
  <si>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</si>
  <si>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</si>
  <si>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</si>
  <si>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</si>
  <si>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</si>
  <si>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</si>
  <si>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</si>
  <si>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</si>
  <si>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</si>
  <si>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</si>
  <si>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</si>
  <si>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</si>
  <si>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</si>
  <si>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</si>
  <si>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</si>
  <si>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</si>
  <si>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</si>
  <si>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</si>
  <si>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</si>
  <si>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</si>
  <si>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</si>
  <si>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</si>
  <si>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</si>
  <si>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</si>
  <si>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</si>
  <si>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</si>
  <si>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</si>
  <si>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</si>
  <si>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</si>
  <si>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</si>
  <si>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</si>
  <si>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</si>
  <si>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</si>
  <si>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</si>
  <si>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</si>
  <si>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</si>
  <si>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</si>
  <si>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</si>
  <si>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</si>
  <si>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</si>
  <si>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</si>
  <si>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</si>
  <si>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</si>
  <si>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</si>
  <si>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</si>
  <si>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</si>
  <si>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</si>
  <si>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</si>
  <si>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</si>
  <si>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</si>
  <si>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</si>
  <si>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</si>
  <si>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</si>
  <si>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</si>
  <si>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</si>
  <si>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</si>
  <si>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</si>
  <si>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</si>
  <si>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</si>
  <si>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</si>
  <si>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</si>
  <si>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</si>
  <si>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</si>
  <si>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</si>
  <si>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</si>
  <si>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</si>
  <si>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</si>
  <si>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</si>
  <si>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</si>
  <si>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</si>
  <si>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</si>
  <si>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</si>
  <si>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</si>
  <si>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</si>
  <si>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</si>
  <si>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</si>
  <si>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</si>
  <si>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</si>
  <si>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</si>
  <si>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</si>
  <si>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</si>
  <si>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</si>
  <si>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</si>
  <si>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</si>
  <si>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</si>
  <si>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</si>
  <si>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</si>
  <si>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</si>
  <si>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</si>
  <si>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</si>
  <si>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</si>
  <si>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</si>
  <si>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</si>
  <si>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</si>
  <si>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</si>
  <si>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</si>
  <si>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</si>
  <si>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</si>
  <si>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</si>
  <si>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</si>
  <si>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</si>
  <si>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</si>
  <si>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</si>
  <si>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</si>
  <si>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</si>
  <si>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</si>
  <si>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</si>
  <si>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</si>
  <si>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</si>
  <si>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</si>
  <si>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</si>
  <si>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</si>
  <si>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</si>
  <si>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</si>
  <si>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</si>
  <si>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</si>
  <si>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</si>
  <si>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</si>
  <si>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</si>
  <si>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</si>
  <si>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</si>
  <si>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</si>
  <si>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</si>
  <si>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</si>
  <si>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</si>
  <si>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</si>
  <si>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</si>
  <si>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</si>
  <si>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</si>
  <si>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</si>
  <si>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</si>
  <si>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</si>
  <si>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</si>
  <si>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</si>
  <si>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</si>
  <si>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</si>
  <si>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</si>
  <si>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</si>
  <si>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</si>
  <si>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</si>
  <si>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</si>
  <si>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</si>
  <si>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</si>
  <si>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</si>
  <si>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</si>
  <si>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</si>
  <si>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</si>
  <si>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</si>
  <si>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</si>
  <si>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</si>
  <si>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</si>
  <si>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</si>
  <si>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</si>
  <si>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</si>
  <si>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</si>
  <si>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</si>
  <si>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</si>
  <si>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</si>
  <si>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</si>
  <si>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</si>
  <si>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</si>
  <si>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</si>
  <si>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</si>
  <si>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</si>
  <si>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</si>
  <si>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</si>
  <si>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</si>
  <si>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</si>
  <si>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</si>
  <si>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</si>
  <si>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</si>
  <si>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</si>
  <si>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</si>
  <si>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</si>
  <si>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</si>
  <si>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</si>
  <si>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</si>
  <si>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</si>
  <si>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</si>
  <si>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</si>
  <si>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</si>
  <si>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</si>
  <si>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</si>
  <si>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</si>
  <si>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</si>
  <si>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</si>
  <si>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</si>
  <si>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</si>
  <si>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</si>
  <si>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</si>
  <si>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</si>
  <si>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</si>
  <si>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</si>
  <si>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</si>
  <si>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</si>
  <si>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</si>
  <si>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</si>
  <si>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</si>
  <si>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</si>
  <si>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</si>
  <si>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</si>
  <si>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</si>
  <si>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</si>
  <si>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</si>
  <si>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</si>
  <si>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</si>
  <si>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</si>
  <si>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</si>
  <si>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</si>
  <si>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</si>
  <si>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</si>
  <si>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</si>
  <si>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</si>
  <si>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</si>
  <si>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</si>
  <si>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</si>
  <si>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</si>
  <si>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</si>
  <si>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</si>
  <si>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</si>
  <si>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</si>
  <si>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</si>
  <si>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</si>
  <si>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</si>
  <si>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</si>
  <si>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</si>
  <si>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</si>
  <si>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</si>
  <si>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</si>
  <si>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</si>
  <si>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</si>
  <si>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</si>
  <si>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</si>
  <si>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</si>
  <si>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</si>
  <si>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</si>
  <si>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</si>
  <si>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</si>
  <si>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</si>
  <si>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</si>
  <si>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</si>
  <si>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</si>
  <si>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</si>
  <si>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</si>
  <si>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</si>
  <si>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</si>
  <si>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</si>
  <si>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</si>
  <si>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</si>
  <si>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</si>
  <si>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</si>
  <si>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</si>
  <si>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</si>
  <si>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</si>
  <si>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</si>
  <si>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</si>
  <si>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</si>
  <si>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</si>
  <si>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</si>
  <si>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</si>
  <si>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</si>
  <si>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</si>
  <si>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</si>
  <si>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</si>
  <si>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</si>
  <si>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</si>
  <si>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</si>
  <si>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</si>
  <si>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</si>
  <si>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</si>
  <si>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</si>
  <si>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</si>
  <si>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</si>
  <si>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</si>
  <si>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</si>
  <si>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</si>
  <si>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</si>
  <si>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</si>
  <si>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</si>
  <si>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</si>
  <si>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</si>
  <si>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</si>
  <si>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</si>
  <si>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</si>
  <si>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</si>
  <si>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</si>
  <si>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</si>
  <si>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</si>
  <si>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</si>
  <si>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</si>
  <si>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</si>
  <si>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</si>
  <si>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</si>
  <si>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</si>
  <si>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</si>
  <si>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</si>
  <si>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</si>
  <si>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</si>
  <si>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</si>
  <si>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</si>
  <si>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</si>
  <si>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</si>
  <si>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</si>
  <si>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</si>
  <si>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</si>
  <si>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</si>
  <si>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</si>
  <si>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</si>
  <si>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</si>
  <si>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</si>
  <si>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</si>
  <si>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</si>
  <si>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</si>
  <si>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</si>
  <si>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</si>
  <si>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</si>
  <si>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</si>
  <si>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</si>
  <si>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</si>
  <si>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</si>
  <si>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</si>
  <si>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</si>
  <si>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</si>
  <si>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</si>
  <si>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</si>
  <si>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</si>
  <si>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</si>
  <si>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</si>
  <si>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</si>
  <si>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</si>
  <si>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</si>
  <si>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</si>
  <si>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</si>
  <si>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</si>
  <si>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</si>
  <si>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</si>
  <si>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</si>
  <si>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</si>
  <si>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</si>
  <si>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</si>
  <si>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</si>
  <si>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</si>
  <si>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</si>
  <si>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</si>
  <si>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</si>
  <si>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</si>
  <si>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</si>
  <si>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</si>
  <si>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</si>
  <si>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</si>
  <si>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</si>
  <si>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</si>
  <si>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</si>
  <si>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</si>
  <si>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</si>
  <si>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</si>
  <si>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</si>
  <si>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</si>
  <si>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</si>
  <si>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</si>
  <si>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</si>
  <si>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</si>
  <si>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</si>
  <si>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</si>
  <si>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</si>
  <si>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</si>
  <si>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</si>
  <si>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</si>
  <si>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</si>
  <si>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</si>
  <si>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</si>
  <si>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</si>
  <si>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</si>
  <si>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</si>
  <si>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</si>
  <si>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</si>
  <si>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</si>
  <si>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</si>
  <si>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</si>
  <si>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</si>
  <si>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</si>
  <si>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</si>
  <si>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</si>
  <si>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</si>
  <si>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</si>
  <si>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</si>
  <si>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</si>
  <si>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</si>
  <si>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</si>
  <si>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</si>
  <si>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</si>
  <si>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</si>
  <si>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</si>
  <si>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</si>
  <si>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</si>
  <si>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</si>
  <si>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</si>
  <si>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</si>
  <si>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</si>
  <si>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</si>
  <si>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</si>
  <si>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</si>
  <si>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</si>
  <si>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</si>
  <si>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</si>
  <si>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</si>
  <si>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</si>
  <si>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</si>
  <si>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</si>
  <si>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</si>
  <si>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</si>
  <si>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</si>
  <si>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</si>
  <si>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</si>
  <si>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</si>
  <si>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</si>
  <si>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</si>
  <si>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</si>
  <si>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</si>
  <si>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</si>
  <si>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</si>
  <si>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</si>
  <si>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</si>
  <si>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</si>
  <si>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</si>
  <si>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</si>
  <si>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</si>
  <si>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</si>
  <si>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</si>
  <si>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</si>
  <si>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</si>
  <si>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</si>
  <si>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</si>
  <si>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</si>
  <si>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</si>
  <si>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</si>
  <si>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</si>
  <si>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</si>
  <si>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</si>
  <si>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</si>
  <si>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</si>
  <si>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</si>
  <si>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</si>
  <si>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</si>
  <si>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</si>
  <si>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</si>
  <si>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</si>
  <si>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</si>
  <si>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</si>
  <si>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</si>
  <si>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</si>
  <si>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</si>
  <si>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</si>
  <si>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</si>
  <si>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</si>
  <si>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</si>
  <si>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</si>
  <si>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</si>
  <si>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</si>
  <si>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</si>
  <si>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</si>
  <si>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</si>
  <si>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</si>
  <si>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</si>
  <si>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</si>
  <si>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</si>
  <si>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</si>
  <si>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</si>
  <si>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</si>
  <si>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</si>
  <si>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</si>
  <si>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</si>
  <si>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</si>
  <si>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</si>
  <si>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</si>
  <si>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</si>
  <si>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</si>
  <si>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</si>
  <si>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</si>
  <si>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</si>
  <si>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</si>
  <si>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</si>
  <si>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</si>
  <si>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</si>
  <si>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</si>
  <si>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</si>
  <si>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</si>
  <si>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</si>
  <si>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</si>
  <si>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</si>
  <si>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</si>
  <si>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</si>
  <si>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</si>
  <si>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</si>
  <si>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</si>
  <si>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</si>
  <si>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</si>
  <si>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</si>
  <si>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</si>
  <si>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</si>
  <si>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</si>
  <si>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</si>
  <si>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</si>
  <si>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</si>
  <si>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</si>
  <si>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</si>
  <si>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</si>
  <si>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</si>
  <si>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</si>
  <si>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</si>
  <si>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</si>
  <si>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</si>
  <si>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</si>
  <si>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</si>
  <si>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</si>
  <si>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</si>
  <si>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</si>
  <si>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</si>
  <si>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</si>
  <si>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</si>
  <si>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</si>
  <si>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</si>
  <si>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</si>
  <si>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</si>
  <si>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</si>
  <si>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</si>
  <si>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</si>
  <si>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</si>
  <si>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</si>
  <si>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</si>
  <si>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</si>
  <si>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</si>
  <si>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</si>
  <si>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</si>
  <si>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</si>
  <si>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</si>
  <si>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</si>
  <si>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</si>
  <si>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</si>
  <si>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</si>
  <si>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</si>
  <si>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</si>
  <si>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</si>
  <si>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</si>
  <si>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</si>
  <si>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</si>
  <si>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</si>
  <si>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</si>
  <si>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</si>
  <si>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</si>
  <si>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</si>
  <si>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</si>
  <si>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</si>
  <si>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</si>
  <si>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</si>
  <si>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</si>
  <si>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</si>
  <si>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</si>
  <si>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</si>
  <si>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</si>
  <si>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</si>
  <si>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</si>
  <si>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</si>
  <si>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</si>
  <si>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</si>
  <si>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</si>
  <si>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</si>
  <si>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</si>
  <si>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</si>
  <si>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</si>
  <si>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</si>
  <si>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</si>
  <si>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</si>
  <si>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</si>
  <si>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</si>
  <si>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</si>
  <si>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</si>
  <si>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</si>
  <si>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</si>
  <si>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</si>
  <si>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</si>
  <si>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</si>
  <si>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</si>
  <si>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</si>
  <si>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</si>
  <si>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</si>
  <si>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</si>
  <si>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</si>
  <si>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</si>
  <si>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</si>
  <si>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</si>
  <si>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</si>
  <si>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</si>
  <si>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</si>
  <si>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</si>
  <si>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</si>
  <si>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</si>
  <si>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</si>
  <si>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</si>
  <si>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</si>
  <si>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</si>
  <si>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</si>
  <si>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</si>
  <si>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</si>
  <si>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</si>
  <si>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</si>
  <si>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</si>
  <si>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</si>
  <si>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</si>
  <si>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</si>
  <si>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</si>
  <si>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</si>
  <si>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</si>
  <si>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</si>
  <si>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</si>
  <si>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</si>
  <si>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</si>
  <si>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</si>
  <si>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</si>
  <si>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</si>
  <si>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</si>
  <si>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</si>
  <si>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</si>
  <si>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</si>
  <si>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</si>
  <si>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</si>
  <si>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</si>
  <si>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</si>
  <si>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</si>
  <si>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</si>
  <si>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</si>
  <si>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</si>
  <si>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</si>
  <si>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</si>
  <si>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</si>
  <si>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</si>
  <si>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</si>
  <si>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</si>
  <si>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</si>
  <si>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</si>
  <si>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</si>
  <si>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</si>
  <si>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</si>
  <si>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</si>
  <si>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</si>
  <si>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</si>
  <si>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</si>
  <si>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</si>
  <si>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</si>
  <si>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</si>
  <si>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</si>
  <si>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</si>
  <si>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</si>
  <si>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</si>
  <si>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</si>
  <si>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</si>
  <si>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</si>
  <si>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</si>
  <si>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</si>
  <si>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</si>
  <si>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</si>
  <si>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</si>
  <si>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</si>
  <si>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</si>
  <si>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</si>
  <si>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</si>
  <si>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</si>
  <si>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</si>
  <si>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</si>
  <si>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</si>
  <si>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</si>
  <si>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</si>
  <si>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</si>
  <si>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</si>
  <si>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</si>
  <si>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</si>
  <si>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</si>
  <si>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</si>
  <si>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</si>
  <si>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</si>
  <si>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</si>
  <si>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</si>
  <si>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</si>
  <si>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</si>
  <si>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</si>
  <si>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</si>
  <si>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</si>
  <si>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</si>
  <si>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</si>
  <si>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</si>
  <si>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</si>
  <si>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</si>
  <si>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</si>
  <si>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</si>
  <si>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</si>
  <si>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</si>
  <si>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</si>
  <si>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</si>
  <si>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</si>
  <si>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</si>
  <si>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</si>
  <si>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</si>
  <si>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</si>
  <si>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</si>
  <si>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</si>
  <si>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</si>
  <si>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</si>
  <si>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</si>
  <si>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</si>
  <si>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</si>
  <si>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</si>
  <si>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</si>
  <si>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</si>
  <si>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</si>
  <si>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</si>
  <si>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</si>
  <si>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</si>
  <si>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</si>
  <si>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</si>
  <si>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</si>
  <si>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</si>
  <si>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</si>
  <si>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</si>
  <si>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</si>
  <si>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</si>
  <si>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</si>
  <si>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</si>
  <si>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</si>
  <si>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</si>
  <si>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</si>
  <si>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</si>
  <si>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</si>
  <si>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</si>
  <si>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</si>
  <si>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</si>
  <si>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</si>
  <si>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</si>
  <si>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</si>
  <si>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</si>
  <si>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</si>
  <si>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</si>
  <si>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</si>
  <si>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</si>
  <si>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</si>
  <si>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</si>
  <si>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</si>
  <si>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</si>
  <si>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</si>
  <si>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</si>
  <si>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</si>
  <si>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</si>
  <si>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</si>
  <si>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</si>
  <si>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</si>
  <si>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</si>
  <si>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</si>
  <si>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</si>
  <si>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</si>
  <si>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</si>
  <si>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</si>
  <si>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</si>
  <si>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</si>
  <si>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</si>
  <si>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</si>
  <si>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</si>
  <si>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</si>
  <si>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</si>
  <si>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</si>
  <si>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</si>
  <si>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</si>
  <si>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</si>
  <si>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</si>
  <si>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</si>
  <si>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</si>
  <si>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</si>
  <si>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</si>
  <si>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</si>
  <si>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</si>
  <si>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</si>
  <si>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</si>
  <si>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</si>
  <si>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</si>
  <si>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</si>
  <si>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</si>
  <si>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</si>
  <si>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</si>
  <si>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</si>
  <si>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</si>
  <si>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</si>
  <si>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</si>
  <si>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</si>
  <si>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</si>
  <si>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</si>
  <si>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</si>
  <si>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</si>
  <si>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</si>
  <si>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</si>
  <si>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</si>
  <si>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</si>
  <si>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</si>
  <si>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</si>
  <si>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</si>
  <si>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</si>
  <si>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</si>
  <si>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</si>
  <si>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</si>
  <si>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</si>
  <si>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</si>
  <si>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</si>
  <si>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</si>
  <si>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</si>
  <si>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</si>
  <si>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</si>
  <si>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</si>
  <si>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</si>
  <si>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</si>
  <si>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</si>
  <si>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</si>
  <si>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</si>
  <si>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</si>
  <si>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</si>
  <si>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</si>
  <si>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</si>
  <si>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</si>
  <si>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</si>
  <si>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</si>
  <si>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</si>
  <si>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</si>
  <si>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</si>
  <si>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</si>
  <si>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</si>
  <si>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</si>
  <si>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</si>
  <si>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</si>
  <si>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</si>
  <si>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</si>
  <si>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</si>
  <si>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</si>
  <si>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</si>
  <si>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</si>
  <si>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</si>
  <si>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</si>
  <si>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</si>
  <si>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</si>
  <si>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</si>
  <si>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</si>
  <si>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</si>
  <si>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</si>
  <si>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</si>
  <si>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</si>
  <si>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</si>
  <si>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</si>
  <si>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</si>
  <si>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</si>
  <si>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</si>
  <si>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</si>
  <si>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</si>
  <si>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</si>
  <si>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</si>
  <si>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</si>
  <si>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</si>
  <si>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</si>
  <si>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</si>
  <si>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</si>
  <si>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</si>
  <si>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</si>
  <si>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</si>
  <si>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</si>
  <si>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</si>
  <si>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</si>
  <si>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</si>
  <si>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</si>
  <si>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</si>
  <si>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</si>
  <si>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</si>
  <si>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</si>
  <si>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</si>
  <si>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</si>
  <si>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</si>
  <si>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</si>
  <si>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</si>
  <si>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</si>
  <si>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</si>
  <si>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</si>
  <si>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</si>
  <si>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</si>
  <si>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</si>
  <si>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</si>
  <si>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</si>
  <si>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</si>
  <si>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</si>
  <si>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</si>
  <si>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</si>
  <si>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</si>
  <si>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</si>
  <si>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</si>
  <si>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</si>
  <si>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</si>
  <si>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</si>
  <si>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</si>
  <si>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</si>
  <si>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</si>
  <si>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</si>
  <si>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</si>
  <si>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</si>
  <si>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</si>
  <si>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</si>
  <si>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</si>
  <si>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</si>
  <si>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</si>
  <si>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</si>
  <si>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</si>
  <si>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</si>
  <si>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</si>
  <si>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</si>
  <si>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</si>
  <si>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</si>
  <si>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</si>
  <si>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</si>
  <si>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</si>
  <si>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</si>
  <si>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</si>
  <si>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</si>
  <si>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</si>
  <si>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</si>
  <si>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</si>
  <si>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</si>
  <si>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</si>
  <si>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</si>
  <si>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</si>
  <si>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</si>
  <si>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</si>
  <si>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</si>
  <si>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</si>
  <si>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</si>
  <si>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</si>
  <si>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</si>
  <si>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</si>
  <si>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</si>
  <si>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</si>
  <si>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</si>
  <si>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</si>
  <si>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</si>
  <si>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</si>
  <si>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</si>
  <si>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</si>
  <si>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</si>
  <si>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</si>
  <si>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</si>
  <si>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</si>
  <si>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</si>
  <si>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</si>
  <si>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</si>
  <si>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</si>
  <si>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</si>
  <si>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</si>
  <si>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</si>
  <si>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</si>
  <si>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</si>
  <si>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</si>
  <si>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</si>
  <si>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</si>
  <si>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</si>
  <si>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</si>
  <si>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</si>
  <si>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</si>
  <si>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</si>
  <si>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</si>
  <si>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</si>
  <si>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</si>
  <si>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</si>
  <si>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</si>
  <si>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</si>
  <si>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</si>
  <si>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</si>
  <si>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</si>
  <si>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</si>
  <si>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</si>
  <si>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</si>
  <si>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</si>
  <si>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</si>
  <si>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</si>
  <si>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</si>
  <si>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</si>
  <si>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</si>
  <si>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</si>
  <si>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</si>
  <si>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</si>
  <si>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</si>
  <si>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</si>
  <si>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</si>
  <si>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</si>
  <si>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</si>
  <si>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</si>
  <si>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</si>
  <si>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</si>
  <si>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</si>
  <si>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</si>
  <si>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</si>
  <si>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</si>
  <si>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</si>
  <si>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</si>
  <si>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</si>
  <si>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</si>
  <si>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</si>
  <si>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</si>
  <si>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</si>
  <si>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</si>
  <si>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</si>
  <si>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</si>
  <si>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</si>
  <si>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</si>
  <si>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</si>
  <si>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</si>
  <si>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</si>
  <si>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</si>
  <si>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</si>
  <si>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</si>
  <si>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</si>
  <si>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</si>
  <si>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</si>
  <si>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</si>
  <si>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</si>
  <si>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</si>
  <si>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</si>
  <si>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</si>
  <si>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</si>
  <si>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</si>
  <si>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</si>
  <si>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</si>
  <si>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</si>
  <si>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</si>
  <si>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</si>
  <si>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</si>
  <si>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</si>
  <si>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</si>
  <si>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</si>
  <si>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</si>
  <si>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</si>
  <si>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</si>
  <si>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</si>
  <si>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</si>
  <si>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</si>
  <si>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</si>
  <si>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</si>
  <si>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</si>
  <si>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</si>
  <si>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</si>
  <si>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</si>
  <si>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</si>
  <si>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</si>
  <si>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</si>
  <si>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</si>
  <si>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</si>
  <si>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</si>
  <si>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</si>
  <si>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</si>
  <si>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</si>
  <si>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</si>
  <si>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</si>
  <si>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</si>
  <si>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</si>
  <si>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</si>
  <si>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</si>
  <si>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</si>
  <si>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</si>
  <si>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</si>
  <si>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</si>
  <si>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</si>
  <si>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</si>
  <si>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</si>
  <si>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</si>
  <si>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</si>
  <si>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</si>
  <si>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</si>
  <si>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</si>
  <si>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</si>
  <si>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</si>
  <si>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</si>
  <si>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</si>
  <si>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</si>
  <si>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</si>
  <si>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</si>
  <si>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</si>
  <si>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</si>
  <si>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</si>
  <si>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</si>
  <si>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</si>
  <si>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</si>
  <si>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</si>
  <si>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</si>
  <si>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</si>
  <si>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</si>
  <si>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</si>
  <si>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</si>
  <si>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</si>
  <si>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</si>
  <si>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</si>
  <si>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</si>
  <si>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</si>
  <si>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</si>
  <si>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</si>
  <si>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</si>
  <si>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</si>
  <si>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</si>
  <si>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</si>
  <si>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</si>
  <si>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</si>
  <si>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</si>
  <si>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</si>
  <si>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</si>
  <si>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</si>
  <si>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</si>
  <si>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</si>
  <si>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</si>
  <si>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</si>
  <si>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</si>
  <si>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</si>
  <si>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</si>
  <si>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</si>
  <si>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</si>
  <si>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</si>
  <si>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</si>
  <si>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</si>
  <si>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</si>
  <si>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</si>
  <si>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</si>
  <si>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</si>
  <si>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</si>
  <si>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</si>
  <si>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</si>
  <si>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</si>
  <si>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</si>
  <si>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</si>
  <si>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</si>
  <si>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</si>
  <si>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</si>
  <si>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</si>
  <si>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</si>
  <si>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</si>
  <si>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</si>
  <si>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</si>
  <si>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</si>
  <si>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</si>
  <si>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</si>
  <si>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</si>
  <si>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</si>
  <si>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</si>
  <si>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</si>
  <si>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</si>
  <si>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</si>
  <si>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</si>
  <si>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</si>
  <si>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</si>
  <si>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</si>
  <si>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</si>
  <si>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</si>
  <si>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</si>
  <si>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</si>
  <si>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</si>
  <si>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</si>
  <si>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</si>
  <si>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</si>
  <si>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</si>
  <si>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</si>
  <si>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</si>
  <si>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</si>
  <si>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</si>
  <si>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</si>
  <si>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</si>
  <si>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</si>
  <si>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</si>
  <si>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</si>
  <si>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</si>
  <si>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</si>
  <si>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</si>
  <si>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</si>
  <si>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</si>
  <si>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</si>
  <si>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</si>
  <si>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</si>
  <si>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</si>
  <si>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</si>
  <si>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</si>
  <si>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</si>
  <si>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</si>
  <si>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</si>
  <si>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</si>
  <si>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</si>
  <si>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</si>
  <si>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</si>
  <si>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</si>
  <si>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</si>
  <si>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</si>
  <si>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</si>
  <si>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</si>
  <si>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</si>
  <si>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</si>
  <si>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</si>
  <si>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</si>
  <si>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</si>
  <si>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</si>
  <si>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</si>
  <si>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</si>
  <si>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</si>
  <si>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</si>
  <si>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</si>
  <si>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</si>
  <si>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</si>
  <si>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</si>
  <si>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</si>
  <si>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</si>
  <si>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</si>
  <si>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</si>
  <si>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</si>
  <si>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</si>
  <si>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</si>
  <si>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</si>
  <si>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</si>
  <si>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</si>
  <si>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</si>
  <si>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</si>
  <si>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</si>
  <si>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</si>
  <si>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</si>
  <si>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</si>
  <si>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</si>
  <si>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</si>
  <si>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</si>
  <si>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</si>
  <si>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</si>
  <si>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</si>
  <si>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</si>
  <si>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</si>
  <si>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</si>
  <si>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</si>
  <si>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</si>
  <si>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</si>
  <si>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</si>
  <si>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</si>
  <si>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</si>
  <si>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</si>
  <si>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</si>
  <si>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</si>
  <si>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</si>
  <si>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</si>
  <si>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</si>
  <si>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</si>
  <si>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</si>
  <si>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</si>
  <si>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</si>
  <si>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</si>
  <si>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</si>
  <si>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</si>
  <si>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</si>
  <si>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</si>
  <si>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</si>
  <si>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</si>
  <si>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</si>
  <si>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</si>
  <si>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</si>
  <si>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</si>
  <si>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</si>
  <si>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</si>
  <si>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</si>
  <si>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</si>
  <si>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</si>
  <si>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</si>
  <si>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</si>
  <si>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</si>
  <si>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</si>
  <si>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</si>
  <si>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</si>
  <si>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</si>
  <si>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</si>
  <si>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</si>
  <si>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</si>
  <si>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</si>
  <si>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</si>
  <si>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</si>
  <si>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</si>
  <si>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</si>
  <si>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</si>
  <si>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</si>
  <si>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</si>
  <si>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</si>
  <si>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</si>
  <si>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</si>
  <si>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</si>
  <si>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</si>
  <si>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</si>
  <si>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</si>
  <si>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</si>
  <si>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</si>
  <si>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</si>
  <si>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</si>
  <si>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</si>
  <si>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</si>
  <si>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</si>
  <si>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</si>
  <si>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</si>
  <si>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</si>
  <si>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</si>
  <si>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</si>
  <si>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</si>
  <si>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</si>
  <si>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</si>
  <si>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</si>
  <si>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</si>
  <si>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</si>
  <si>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</si>
  <si>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</si>
  <si>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</si>
  <si>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</si>
  <si>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</si>
  <si>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</si>
  <si>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</si>
  <si>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</si>
  <si>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</si>
  <si>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</si>
  <si>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</si>
  <si>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</si>
  <si>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</si>
  <si>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</si>
  <si>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</si>
  <si>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</si>
  <si>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</si>
  <si>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</si>
  <si>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</si>
  <si>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</si>
  <si>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</si>
  <si>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</si>
  <si>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</si>
  <si>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</si>
  <si>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</si>
  <si>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</si>
  <si>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</si>
  <si>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</si>
  <si>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</si>
  <si>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</si>
  <si>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</si>
  <si>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</si>
  <si>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</si>
  <si>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</si>
  <si>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</si>
  <si>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</si>
  <si>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</si>
  <si>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</si>
  <si>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</si>
  <si>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</si>
  <si>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</si>
  <si>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</si>
  <si>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</si>
  <si>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</si>
  <si>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</si>
  <si>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</si>
  <si>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</si>
  <si>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</si>
  <si>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</si>
  <si>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</si>
  <si>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</si>
  <si>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</si>
  <si>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</si>
  <si>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</si>
  <si>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</si>
  <si>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</si>
  <si>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</si>
  <si>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</si>
  <si>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</si>
  <si>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</si>
  <si>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</si>
  <si>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</si>
  <si>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</si>
  <si>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</si>
  <si>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</si>
  <si>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</si>
  <si>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</si>
  <si>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</si>
  <si>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</si>
  <si>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</si>
  <si>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</si>
  <si>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</si>
  <si>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</si>
  <si>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</si>
  <si>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</si>
  <si>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</si>
  <si>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</si>
  <si>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</si>
  <si>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</si>
  <si>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</si>
  <si>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</si>
  <si>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</si>
  <si>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</si>
  <si>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</si>
  <si>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</si>
  <si>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</si>
  <si>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</si>
  <si>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</si>
  <si>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</si>
  <si>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</si>
  <si>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</si>
  <si>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</si>
  <si>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</si>
  <si>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</si>
  <si>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</si>
  <si>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</si>
  <si>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</si>
  <si>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</si>
  <si>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</si>
  <si>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</si>
  <si>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</si>
  <si>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</si>
  <si>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</si>
  <si>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</si>
  <si>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</si>
  <si>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</si>
  <si>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</si>
  <si>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</si>
  <si>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</si>
  <si>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</si>
  <si>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</si>
  <si>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</si>
  <si>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</si>
  <si>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</si>
  <si>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</si>
  <si>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</si>
  <si>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</si>
  <si>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</si>
  <si>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</si>
  <si>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</si>
  <si>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</si>
  <si>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</si>
  <si>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</si>
  <si>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</si>
  <si>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</si>
  <si>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</si>
  <si>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</si>
  <si>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</si>
  <si>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</si>
  <si>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</si>
  <si>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</si>
  <si>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</si>
  <si>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</si>
  <si>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</si>
  <si>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</si>
  <si>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</si>
  <si>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</si>
  <si>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</si>
  <si>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</si>
  <si>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</si>
  <si>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</si>
  <si>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</si>
  <si>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</si>
  <si>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</si>
  <si>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</si>
  <si>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</si>
  <si>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</si>
  <si>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</si>
  <si>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</si>
  <si>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</si>
  <si>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</si>
  <si>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</si>
  <si>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</si>
  <si>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</si>
  <si>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</si>
  <si>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</si>
  <si>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</si>
  <si>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</si>
  <si>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</si>
  <si>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</si>
  <si>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</si>
  <si>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</si>
  <si>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</si>
  <si>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</si>
  <si>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</si>
  <si>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</si>
  <si>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</si>
  <si>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</si>
  <si>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</si>
  <si>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</si>
  <si>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</si>
  <si>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</si>
  <si>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</si>
  <si>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</si>
  <si>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</si>
  <si>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</si>
  <si>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</si>
  <si>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</si>
  <si>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</si>
  <si>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</si>
  <si>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</si>
  <si>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</si>
  <si>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</si>
  <si>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</si>
  <si>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</si>
  <si>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</si>
  <si>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</si>
  <si>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</si>
  <si>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</si>
  <si>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</si>
  <si>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</si>
  <si>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</si>
  <si>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</si>
  <si>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</si>
  <si>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</si>
  <si>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</si>
  <si>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</si>
  <si>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</si>
  <si>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</si>
  <si>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</si>
  <si>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</si>
  <si>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</si>
  <si>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</si>
  <si>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</si>
  <si>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</si>
  <si>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</si>
  <si>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</si>
  <si>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</si>
  <si>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</si>
  <si>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</si>
  <si>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</si>
  <si>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</si>
  <si>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</si>
  <si>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</si>
  <si>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</si>
  <si>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</si>
  <si>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</si>
  <si>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</si>
  <si>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</si>
  <si>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</si>
  <si>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</si>
  <si>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</si>
  <si>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</si>
  <si>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</si>
  <si>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</si>
  <si>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</si>
  <si>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</si>
  <si>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</si>
  <si>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</si>
  <si>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</si>
  <si>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</si>
  <si>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</si>
  <si>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</si>
  <si>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</si>
  <si>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</si>
  <si>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</si>
  <si>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</si>
  <si>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</si>
  <si>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</si>
  <si>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</si>
  <si>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</si>
  <si>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</si>
  <si>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</si>
  <si>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</si>
  <si>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</si>
  <si>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</si>
  <si>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</si>
  <si>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</si>
  <si>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</si>
  <si>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</si>
  <si>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</si>
  <si>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</si>
  <si>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</si>
  <si>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</si>
  <si>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</si>
  <si>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</si>
  <si>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</si>
  <si>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</si>
  <si>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</si>
  <si>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</si>
  <si>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</si>
  <si>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</si>
  <si>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</si>
  <si>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</si>
  <si>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https://www.treasurer.ca.gov/CTCAC/2023/4-instructions.asp</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</si>
  <si>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</si>
  <si>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</si>
  <si>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</si>
  <si>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</si>
  <si>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Mail the $1,000 application fee in the form of a check to CTCAC at:  901 P Street, Suite 213A, Sacramento, CA 95814.  For scattered site and resyndication applications, the application fee is $1,500.</t>
  </si>
  <si>
    <t>2023 FAIR MARKET RENTS</t>
  </si>
  <si>
    <t>2023 100% RENTS</t>
  </si>
  <si>
    <t>June 12, 2023 Version</t>
  </si>
  <si>
    <t>Not Applicable</t>
  </si>
  <si>
    <t>Provided</t>
  </si>
  <si>
    <t>Transbay Block 2 Family</t>
  </si>
  <si>
    <t>Transbay 2 Family, L.P.</t>
  </si>
  <si>
    <t>1256 Market St</t>
  </si>
  <si>
    <t>CA</t>
  </si>
  <si>
    <t>Sean Wils</t>
  </si>
  <si>
    <t>sean.wils@mercyhousing.org</t>
  </si>
  <si>
    <t>Mercy Housing California</t>
  </si>
  <si>
    <t>Transbay 2 Familly, LLC</t>
  </si>
  <si>
    <t>Managing GP</t>
  </si>
  <si>
    <t>sea.wils@mercyhousing.org</t>
  </si>
  <si>
    <t>Senior Project Manager</t>
  </si>
  <si>
    <t>Ramie Dare</t>
  </si>
  <si>
    <t>Vice President</t>
  </si>
  <si>
    <t>, 2023 at</t>
  </si>
  <si>
    <t>September</t>
  </si>
  <si>
    <t>200 Folsom Street</t>
  </si>
  <si>
    <t>Inner City Infill Site</t>
  </si>
  <si>
    <t>Office of Investment and Infrastructure</t>
  </si>
  <si>
    <t>1256 Market Street</t>
  </si>
  <si>
    <t>San Francisco, CA, 94102</t>
  </si>
  <si>
    <t>415-355-7152</t>
  </si>
  <si>
    <t>Gubb &amp; Barshay</t>
  </si>
  <si>
    <t>235 Montgomery Street, Suite 1110</t>
  </si>
  <si>
    <t>San Francisco, CA 94104</t>
  </si>
  <si>
    <t>Evan Gross</t>
  </si>
  <si>
    <t>415-781-6600</t>
  </si>
  <si>
    <t>egross@gubbandbarshay.com</t>
  </si>
  <si>
    <t>Cohn Reznick</t>
  </si>
  <si>
    <t>525 North Tyron Street, Suite 1000</t>
  </si>
  <si>
    <t>Charlotte, NC 28202</t>
  </si>
  <si>
    <t>Nic Mathias</t>
  </si>
  <si>
    <t>704-900-2013</t>
  </si>
  <si>
    <t>nic.mathias@cohnreznick.com</t>
  </si>
  <si>
    <t>704-900-2014</t>
  </si>
  <si>
    <t>California Housing Partnership</t>
  </si>
  <si>
    <t>49 Stevenson Street, Suite 500</t>
  </si>
  <si>
    <t>San Francisco, CA 94105</t>
  </si>
  <si>
    <t>Adrienne Gemheart</t>
  </si>
  <si>
    <t>916-538-2368</t>
  </si>
  <si>
    <t>agemheart@chpc.net</t>
  </si>
  <si>
    <t>Ronald Blum</t>
  </si>
  <si>
    <t>1390 Market Street, Suite 200</t>
  </si>
  <si>
    <t>San Francisco, CA 94102</t>
  </si>
  <si>
    <t>415-944-4441</t>
  </si>
  <si>
    <t>R. Blum and Associates</t>
  </si>
  <si>
    <t>rblum@rba-appraisal.com</t>
  </si>
  <si>
    <t>Kennerly Architecture &amp; Planning</t>
  </si>
  <si>
    <t>375 Alabama Street, Suite 440</t>
  </si>
  <si>
    <t>San Francisco, CA 94110</t>
  </si>
  <si>
    <t>Brian Stryzek</t>
  </si>
  <si>
    <t>415-285-2880</t>
  </si>
  <si>
    <t>brian@kennerlyarchitecture.com</t>
  </si>
  <si>
    <t>Swinerton</t>
  </si>
  <si>
    <t>260 Townsend Street</t>
  </si>
  <si>
    <t>San Francisco, CA 94107</t>
  </si>
  <si>
    <t>Shelby Joubert</t>
  </si>
  <si>
    <t>619-467-6721</t>
  </si>
  <si>
    <t>sjoubert@swinerton.com</t>
  </si>
  <si>
    <t>Adhamina Rodriguez</t>
  </si>
  <si>
    <t>1915 Sacramento Street</t>
  </si>
  <si>
    <t>San Francisco, CA 94109</t>
  </si>
  <si>
    <t>AR Green Consulting</t>
  </si>
  <si>
    <t>415-559-0331</t>
  </si>
  <si>
    <t>adhamina@argreenconsulting.com</t>
  </si>
  <si>
    <t>TBD</t>
  </si>
  <si>
    <t>Newport Realty Advisors</t>
  </si>
  <si>
    <t>1699 Van Ness Avenue</t>
  </si>
  <si>
    <t>Charlie Castro</t>
  </si>
  <si>
    <t>415-835-6060</t>
  </si>
  <si>
    <t>charlie@newportrealtyadvisors.com</t>
  </si>
  <si>
    <t>Mercy Housing Management Group</t>
  </si>
  <si>
    <t>Jacquie Hoffman</t>
  </si>
  <si>
    <t>415-355-7124</t>
  </si>
  <si>
    <t>415-355-7101</t>
  </si>
  <si>
    <t>jhoffman@mercyhousing.org</t>
  </si>
  <si>
    <t>Office of Community Investment and Infrastructure</t>
  </si>
  <si>
    <t>Secured by Leasehold Interest</t>
  </si>
  <si>
    <t>Jodi Enos</t>
  </si>
  <si>
    <t>Kim Obstfeld</t>
  </si>
  <si>
    <t>2023</t>
  </si>
  <si>
    <t>HCD-AHSC</t>
  </si>
  <si>
    <t>Tax Exempt Construction Loan</t>
  </si>
  <si>
    <t>971-334-2918</t>
  </si>
  <si>
    <t>Taxable Construction Loan</t>
  </si>
  <si>
    <t>1 South Van Ness Avenue, 5th Floor</t>
  </si>
  <si>
    <t>415-749-2400</t>
  </si>
  <si>
    <t>Residual Receipts Loan</t>
  </si>
  <si>
    <t>Tax Exempt Permanent Loan</t>
  </si>
  <si>
    <t>San Francisco Housing Authority</t>
  </si>
  <si>
    <t>40%/60%</t>
  </si>
  <si>
    <t>Variable</t>
  </si>
  <si>
    <t>Costs Deferred Until Conversion</t>
  </si>
  <si>
    <t>Limited Partner Equity</t>
  </si>
  <si>
    <t>Fixed</t>
  </si>
  <si>
    <t>US Bank Permanent Loan</t>
  </si>
  <si>
    <t>Cable</t>
  </si>
  <si>
    <t>Fire Protection</t>
  </si>
  <si>
    <t>AHSC</t>
  </si>
  <si>
    <t>OCII</t>
  </si>
  <si>
    <t>Other: Owner Legal</t>
  </si>
  <si>
    <t>Other: Street Space Permits &amp; Other Taxes</t>
  </si>
  <si>
    <t>Other: Security During Construction</t>
  </si>
  <si>
    <t>US Bank Tax-Exempt Construction Loan</t>
  </si>
  <si>
    <t>US Bank Taxable Construction Loan</t>
  </si>
  <si>
    <t>HCD AHSC</t>
  </si>
  <si>
    <t>LOSP</t>
  </si>
  <si>
    <t>Above residual receipts line for cash flow</t>
  </si>
  <si>
    <t>IIG</t>
  </si>
  <si>
    <t>Issuer Fee</t>
  </si>
  <si>
    <t>Other: Perm Legal</t>
  </si>
  <si>
    <t>San Francisco Mayor's Office of Housing and Community Development</t>
  </si>
  <si>
    <t>Eric Shaw</t>
  </si>
  <si>
    <t>Director</t>
  </si>
  <si>
    <t>415-701-5609</t>
  </si>
  <si>
    <t>(415) 701-5501</t>
  </si>
  <si>
    <t>eric.shaw@sfgov.org</t>
  </si>
  <si>
    <t>NW corner of Main St and Folsom St, approx 200 Folsom (East side, using address of 200 Folsom Street)</t>
  </si>
  <si>
    <t>3739/014</t>
  </si>
  <si>
    <t>City and County of San Francisco</t>
  </si>
  <si>
    <t>1 South Van Ness Ave, 5th Floor</t>
  </si>
  <si>
    <t>San Franciso, CA, 94103</t>
  </si>
  <si>
    <t>William Wilcox</t>
  </si>
  <si>
    <t>628-652-5829</t>
  </si>
  <si>
    <t>william.wilcox@sfgov.org</t>
  </si>
  <si>
    <t>ADA and Mobility Accessibile units and audio visual units will</t>
  </si>
  <si>
    <t>Project will also provide 19 audio visual units.</t>
  </si>
  <si>
    <t xml:space="preserve"> be distributed throughout the project.</t>
  </si>
  <si>
    <t>Transbay Downtown Residential</t>
  </si>
  <si>
    <t>Mixed-Use Residential, Zone One, Transbay Redevelopment Plan; No Maximum Density</t>
  </si>
  <si>
    <t>No proposed changes to Zoning or Density Controls.</t>
  </si>
  <si>
    <t>Exempt as project is a 100% affordable housing project</t>
  </si>
  <si>
    <t>Max 250'</t>
  </si>
  <si>
    <t>Parking not required</t>
  </si>
  <si>
    <t>US Bank Tax-Exempt Permanent Loan</t>
  </si>
  <si>
    <t>Elizabeth Colomello</t>
  </si>
  <si>
    <t>415-701-5518</t>
  </si>
  <si>
    <t>415-355-7118</t>
  </si>
  <si>
    <t>2020 W. El Camino Avenue, Suite 500</t>
  </si>
  <si>
    <t>Gustavo Velazquez</t>
  </si>
  <si>
    <t>916-263-6928</t>
  </si>
  <si>
    <t>15 years from qualified occupancy</t>
  </si>
  <si>
    <t>City of San Francisco</t>
  </si>
  <si>
    <t>Misc Admin</t>
  </si>
  <si>
    <t>Employee Benefits</t>
  </si>
  <si>
    <t>Transbay 2 Family, LLC</t>
  </si>
  <si>
    <t>rdare@mercyhousing.org</t>
  </si>
  <si>
    <t>OCII Design Review Approval</t>
  </si>
  <si>
    <t>Air Conditioning</t>
  </si>
  <si>
    <t>Other HCD Monitoring Fee:</t>
  </si>
  <si>
    <t>Other Operating Expenses Cable + Issuer Fee:</t>
  </si>
  <si>
    <t>1307 Washington Avenue, Suite 300</t>
  </si>
  <si>
    <t>St. Louis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</si>
</sst>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0.00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b/>
      <sz val="9"/>
      <color rgb="FF000000"/>
      <name val="Tahoma"/>
      <family val="2"/>
    </font>
    <font>
      <sz val="9"/>
      <color rgb="FF000000"/>
      <name val="Tahoma"/>
      <family val="2"/>
    </font>
    <font>
      <sz val="10"/>
      <color rgb="FF000000"/>
      <name val="Arial"/>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rgb="FFFFFF99"/>
        <bgColor rgb="FF000000"/>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17164">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6"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4"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3"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47">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1" fontId="22" fillId="0" borderId="0" xfId="0" applyNumberFormat="1" applyFont="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62" xfId="4495" applyFont="1"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5"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4"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4"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5"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4"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43" fontId="20" fillId="0" borderId="0" xfId="4504" applyFont="1" applyProtection="1"/>
    <xf numFmtId="0" fontId="20" fillId="0" borderId="0" xfId="569" applyFont="1" applyAlignment="1">
      <alignment vertical="center"/>
    </xf>
    <xf numFmtId="49" fontId="20" fillId="0" borderId="0" xfId="569" applyNumberFormat="1" applyFont="1"/>
    <xf numFmtId="4" fontId="20" fillId="0" borderId="0" xfId="569" applyNumberFormat="1" applyFont="1"/>
    <xf numFmtId="0" fontId="20" fillId="0" borderId="0" xfId="1192" applyFont="1" applyAlignment="1">
      <alignment horizontal="left" vertical="top" wrapText="1"/>
    </xf>
    <xf numFmtId="0" fontId="20" fillId="0" borderId="0" xfId="569" quotePrefix="1" applyFont="1"/>
    <xf numFmtId="0" fontId="13" fillId="0" borderId="16" xfId="569" applyBorder="1"/>
    <xf numFmtId="0" fontId="20" fillId="0" borderId="16" xfId="569" applyFont="1" applyBorder="1"/>
    <xf numFmtId="0" fontId="13" fillId="0" borderId="4" xfId="569" applyBorder="1"/>
    <xf numFmtId="0" fontId="20" fillId="0" borderId="4" xfId="569" applyFont="1" applyBorder="1"/>
    <xf numFmtId="49" fontId="13" fillId="0" borderId="4" xfId="569" applyNumberFormat="1" applyBorder="1"/>
    <xf numFmtId="49" fontId="20" fillId="0" borderId="4" xfId="569" applyNumberFormat="1" applyFont="1" applyBorder="1"/>
    <xf numFmtId="0" fontId="160"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2" xfId="4496" applyFont="1" applyBorder="1" applyAlignment="1">
      <alignment horizontal="center" vertical="top" wrapText="1"/>
    </xf>
    <xf numFmtId="0" fontId="134" fillId="0" borderId="72" xfId="4496" applyFont="1" applyBorder="1" applyAlignment="1">
      <alignment horizontal="center"/>
    </xf>
    <xf numFmtId="0" fontId="165"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7" xfId="4496" applyFont="1" applyBorder="1" applyAlignment="1">
      <alignment vertical="center"/>
    </xf>
    <xf numFmtId="0" fontId="95" fillId="0" borderId="41" xfId="4496" applyFont="1" applyBorder="1" applyAlignment="1">
      <alignment vertical="center"/>
    </xf>
    <xf numFmtId="182" fontId="95" fillId="0" borderId="87"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6"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2" xfId="8722" applyNumberFormat="1" applyFont="1" applyBorder="1" applyProtection="1"/>
    <xf numFmtId="9" fontId="95" fillId="0" borderId="15" xfId="4494" applyFont="1" applyFill="1" applyBorder="1" applyAlignment="1" applyProtection="1">
      <alignment horizontal="right"/>
    </xf>
    <xf numFmtId="182" fontId="134" fillId="0" borderId="72" xfId="4496" applyNumberFormat="1" applyFont="1" applyBorder="1"/>
    <xf numFmtId="0" fontId="165"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1" xfId="4496" applyFont="1" applyBorder="1" applyAlignment="1">
      <alignment horizontal="right" indent="1"/>
    </xf>
    <xf numFmtId="0" fontId="95" fillId="0" borderId="81" xfId="4496" applyFont="1" applyBorder="1" applyAlignment="1">
      <alignment horizontal="right" indent="1"/>
    </xf>
    <xf numFmtId="0" fontId="95" fillId="0" borderId="81" xfId="4496" quotePrefix="1" applyFont="1" applyBorder="1" applyAlignment="1">
      <alignment horizontal="right" indent="1"/>
    </xf>
    <xf numFmtId="0" fontId="95" fillId="0" borderId="73" xfId="4496" applyFont="1" applyBorder="1" applyAlignment="1">
      <alignment horizontal="right" indent="1"/>
    </xf>
    <xf numFmtId="182" fontId="95" fillId="0" borderId="75" xfId="4496" applyNumberFormat="1" applyFont="1" applyBorder="1"/>
    <xf numFmtId="182" fontId="95" fillId="0" borderId="92" xfId="4496" applyNumberFormat="1" applyFont="1" applyBorder="1"/>
    <xf numFmtId="182" fontId="95" fillId="0" borderId="94"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2"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4"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7" fillId="0" borderId="0" xfId="0" applyFont="1"/>
    <xf numFmtId="0" fontId="18" fillId="0" borderId="11" xfId="253" applyFont="1" applyBorder="1" applyAlignment="1" applyProtection="1">
      <alignment horizontal="center" wrapText="1"/>
      <protection locked="0"/>
    </xf>
    <xf numFmtId="0" fontId="168" fillId="0" borderId="0" xfId="0" applyFont="1"/>
    <xf numFmtId="0" fontId="169"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2" fillId="0" borderId="0" xfId="8723"/>
    <xf numFmtId="0" fontId="100" fillId="0" borderId="0" xfId="8723" applyFont="1"/>
    <xf numFmtId="0" fontId="2" fillId="48" borderId="67" xfId="8723" applyFill="1" applyBorder="1"/>
    <xf numFmtId="0" fontId="2" fillId="48" borderId="0" xfId="8723" applyFill="1"/>
    <xf numFmtId="0" fontId="99" fillId="48" borderId="41" xfId="8723" applyFont="1" applyFill="1" applyBorder="1" applyAlignment="1">
      <alignment horizontal="center"/>
    </xf>
    <xf numFmtId="0" fontId="99" fillId="48" borderId="0" xfId="8723" applyFont="1" applyFill="1"/>
    <xf numFmtId="182" fontId="163" fillId="48" borderId="0" xfId="8724" applyNumberFormat="1" applyFont="1" applyFill="1" applyBorder="1" applyAlignment="1"/>
    <xf numFmtId="182" fontId="100" fillId="48" borderId="0" xfId="8724" applyNumberFormat="1" applyFont="1" applyFill="1" applyBorder="1" applyAlignment="1"/>
    <xf numFmtId="182" fontId="145" fillId="48" borderId="0" xfId="8724" applyNumberFormat="1" applyFont="1" applyFill="1" applyBorder="1" applyAlignment="1"/>
    <xf numFmtId="0" fontId="2" fillId="48" borderId="41" xfId="8723" applyFill="1" applyBorder="1"/>
    <xf numFmtId="0" fontId="100" fillId="48" borderId="0" xfId="8723" applyFont="1" applyFill="1"/>
    <xf numFmtId="0" fontId="149" fillId="48" borderId="0" xfId="8723" applyFont="1" applyFill="1"/>
    <xf numFmtId="0" fontId="99" fillId="48" borderId="41" xfId="8723" applyFont="1" applyFill="1" applyBorder="1"/>
    <xf numFmtId="0" fontId="99" fillId="0" borderId="0" xfId="8723" applyFont="1"/>
    <xf numFmtId="0" fontId="99" fillId="50" borderId="102" xfId="8723" applyFont="1" applyFill="1" applyBorder="1"/>
    <xf numFmtId="0" fontId="2" fillId="51" borderId="103" xfId="8723" applyFill="1" applyBorder="1"/>
    <xf numFmtId="0" fontId="2" fillId="52" borderId="103" xfId="8723" applyFill="1" applyBorder="1"/>
    <xf numFmtId="0" fontId="99" fillId="44" borderId="0" xfId="8723" applyFont="1" applyFill="1"/>
    <xf numFmtId="0" fontId="2" fillId="44" borderId="0" xfId="8723" applyFill="1"/>
    <xf numFmtId="0" fontId="151" fillId="48" borderId="0" xfId="8723" applyFont="1" applyFill="1"/>
    <xf numFmtId="0" fontId="2" fillId="48" borderId="0" xfId="8723" applyFill="1" applyAlignment="1">
      <alignment horizontal="left"/>
    </xf>
    <xf numFmtId="0" fontId="161" fillId="47" borderId="11" xfId="8723" applyFont="1" applyFill="1" applyBorder="1"/>
    <xf numFmtId="0" fontId="161" fillId="47" borderId="92" xfId="8723" applyFont="1" applyFill="1" applyBorder="1"/>
    <xf numFmtId="0" fontId="147" fillId="45" borderId="76" xfId="8723" applyFont="1" applyFill="1" applyBorder="1" applyAlignment="1">
      <alignment horizontal="left"/>
    </xf>
    <xf numFmtId="0" fontId="147" fillId="45" borderId="77" xfId="8723" applyFont="1" applyFill="1" applyBorder="1" applyAlignment="1">
      <alignment horizontal="center"/>
    </xf>
    <xf numFmtId="0" fontId="147" fillId="45" borderId="90" xfId="8723" applyFont="1" applyFill="1" applyBorder="1" applyAlignment="1">
      <alignment horizontal="center"/>
    </xf>
    <xf numFmtId="168" fontId="157" fillId="49" borderId="91" xfId="8724" applyNumberFormat="1" applyFont="1" applyFill="1" applyBorder="1" applyAlignment="1" applyProtection="1">
      <alignment horizontal="left"/>
      <protection locked="0"/>
    </xf>
    <xf numFmtId="168" fontId="157" fillId="49" borderId="77" xfId="8724" applyNumberFormat="1" applyFont="1" applyFill="1" applyBorder="1" applyAlignment="1" applyProtection="1">
      <alignment horizontal="left"/>
      <protection locked="0"/>
    </xf>
    <xf numFmtId="168" fontId="157" fillId="49" borderId="78" xfId="8724" applyNumberFormat="1" applyFont="1" applyFill="1" applyBorder="1" applyAlignment="1" applyProtection="1">
      <alignment horizontal="left"/>
      <protection locked="0"/>
    </xf>
    <xf numFmtId="0" fontId="147" fillId="45" borderId="93" xfId="8723" applyFont="1" applyFill="1" applyBorder="1" applyAlignment="1">
      <alignment horizontal="left"/>
    </xf>
    <xf numFmtId="0" fontId="147" fillId="45" borderId="4" xfId="8723" applyFont="1" applyFill="1" applyBorder="1" applyAlignment="1">
      <alignment horizontal="center"/>
    </xf>
    <xf numFmtId="0" fontId="147" fillId="45" borderId="5" xfId="8723" applyFont="1" applyFill="1" applyBorder="1" applyAlignment="1">
      <alignment horizontal="center"/>
    </xf>
    <xf numFmtId="168" fontId="157" fillId="49" borderId="3" xfId="8724" applyNumberFormat="1" applyFont="1" applyFill="1" applyBorder="1" applyAlignment="1" applyProtection="1">
      <alignment horizontal="left"/>
      <protection locked="0"/>
    </xf>
    <xf numFmtId="168" fontId="157" fillId="49" borderId="4" xfId="8724" applyNumberFormat="1" applyFont="1" applyFill="1" applyBorder="1" applyAlignment="1" applyProtection="1">
      <alignment horizontal="left"/>
      <protection locked="0"/>
    </xf>
    <xf numFmtId="168" fontId="157" fillId="49" borderId="80" xfId="8724" applyNumberFormat="1" applyFont="1" applyFill="1" applyBorder="1" applyAlignment="1" applyProtection="1">
      <alignment horizontal="left"/>
      <protection locked="0"/>
    </xf>
    <xf numFmtId="0" fontId="147" fillId="47" borderId="11" xfId="8723" applyFont="1" applyFill="1" applyBorder="1" applyAlignment="1">
      <alignment horizontal="center"/>
    </xf>
    <xf numFmtId="0" fontId="147" fillId="47" borderId="92" xfId="8723" applyFont="1" applyFill="1" applyBorder="1" applyAlignment="1">
      <alignment horizontal="center"/>
    </xf>
    <xf numFmtId="0" fontId="147" fillId="47" borderId="93" xfId="8723" applyFont="1" applyFill="1" applyBorder="1" applyAlignment="1">
      <alignment horizontal="center"/>
    </xf>
    <xf numFmtId="0" fontId="147" fillId="47" borderId="4" xfId="8723" applyFont="1" applyFill="1" applyBorder="1" applyAlignment="1">
      <alignment horizontal="center"/>
    </xf>
    <xf numFmtId="0" fontId="147" fillId="47" borderId="5" xfId="8723" applyFont="1" applyFill="1" applyBorder="1" applyAlignment="1">
      <alignment horizontal="center"/>
    </xf>
    <xf numFmtId="168" fontId="146" fillId="47" borderId="3" xfId="8724" applyNumberFormat="1" applyFont="1" applyFill="1" applyBorder="1" applyAlignment="1">
      <alignment horizontal="left"/>
    </xf>
    <xf numFmtId="168" fontId="146" fillId="47" borderId="4" xfId="8724" applyNumberFormat="1" applyFont="1" applyFill="1" applyBorder="1" applyAlignment="1">
      <alignment horizontal="left"/>
    </xf>
    <xf numFmtId="168" fontId="146" fillId="47" borderId="80" xfId="8724" applyNumberFormat="1" applyFont="1" applyFill="1" applyBorder="1" applyAlignment="1">
      <alignment horizontal="left"/>
    </xf>
    <xf numFmtId="0" fontId="162" fillId="48" borderId="0" xfId="8723" applyFont="1" applyFill="1"/>
    <xf numFmtId="0" fontId="99" fillId="48" borderId="67" xfId="8723" applyFont="1" applyFill="1" applyBorder="1"/>
    <xf numFmtId="49" fontId="99" fillId="48" borderId="67" xfId="8723" applyNumberFormat="1" applyFont="1" applyFill="1" applyBorder="1" applyAlignment="1">
      <alignment horizontal="right" vertical="top"/>
    </xf>
    <xf numFmtId="0" fontId="2" fillId="48" borderId="87" xfId="8723" applyFill="1" applyBorder="1"/>
    <xf numFmtId="0" fontId="2" fillId="48" borderId="42" xfId="8723" applyFill="1" applyBorder="1"/>
    <xf numFmtId="0" fontId="2" fillId="48" borderId="44" xfId="8723" applyFill="1" applyBorder="1"/>
    <xf numFmtId="0" fontId="2" fillId="44" borderId="67" xfId="8723" applyFill="1" applyBorder="1"/>
    <xf numFmtId="0" fontId="2" fillId="44" borderId="41" xfId="8723" applyFill="1" applyBorder="1"/>
    <xf numFmtId="0" fontId="2" fillId="44" borderId="0" xfId="8723" applyFill="1" applyAlignment="1">
      <alignment horizontal="left"/>
    </xf>
    <xf numFmtId="0" fontId="2" fillId="44" borderId="87" xfId="8723" applyFill="1" applyBorder="1"/>
    <xf numFmtId="0" fontId="2" fillId="44" borderId="42" xfId="8723" applyFill="1" applyBorder="1"/>
    <xf numFmtId="0" fontId="2" fillId="44" borderId="44" xfId="8723" applyFill="1" applyBorder="1"/>
    <xf numFmtId="0" fontId="153" fillId="0" borderId="0" xfId="8723" applyFont="1"/>
    <xf numFmtId="4" fontId="18" fillId="0" borderId="0" xfId="0" applyNumberFormat="1" applyFont="1"/>
    <xf numFmtId="185" fontId="13" fillId="0" borderId="0" xfId="0" applyNumberFormat="1" applyFont="1" applyAlignment="1">
      <alignment horizontal="center"/>
    </xf>
    <xf numFmtId="172" fontId="115" fillId="0" borderId="0" xfId="0" applyNumberFormat="1" applyFont="1" applyAlignment="1">
      <alignment horizontal="center"/>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4" fontId="31" fillId="0" borderId="0" xfId="0" applyNumberFormat="1" applyFont="1" applyAlignment="1">
      <alignment horizontal="left" vertical="top" wrapText="1"/>
    </xf>
    <xf numFmtId="0" fontId="20" fillId="0" borderId="0" xfId="0" applyFont="1" applyAlignment="1">
      <alignment horizontal="left" vertical="top"/>
    </xf>
    <xf numFmtId="0" fontId="13" fillId="0" borderId="0" xfId="569" applyAlignment="1">
      <alignment horizontal="center"/>
    </xf>
    <xf numFmtId="0" fontId="31" fillId="0" borderId="0" xfId="569" applyFont="1" applyAlignment="1">
      <alignment horizontal="left" wrapText="1"/>
    </xf>
    <xf numFmtId="0" fontId="13" fillId="0" borderId="0" xfId="569" applyAlignment="1">
      <alignment horizontal="left" vertical="center" wrapText="1"/>
    </xf>
    <xf numFmtId="0" fontId="14" fillId="0" borderId="0" xfId="244" applyNumberFormat="1" applyFill="1" applyAlignment="1" applyProtection="1">
      <alignment horizontal="left"/>
    </xf>
    <xf numFmtId="0" fontId="20" fillId="0" borderId="16" xfId="569" applyFont="1" applyBorder="1" applyAlignment="1">
      <alignment horizontal="left"/>
    </xf>
    <xf numFmtId="0" fontId="13" fillId="0" borderId="0" xfId="569" applyAlignment="1">
      <alignmen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2" fillId="5" borderId="11" xfId="0" applyFont="1" applyFill="1" applyBorder="1" applyAlignment="1" applyProtection="1">
      <alignment horizontal="center"/>
      <protection locked="0"/>
    </xf>
    <xf numFmtId="3" fontId="22" fillId="5" borderId="11" xfId="0" applyNumberFormat="1" applyFont="1" applyFill="1" applyBorder="1" applyAlignment="1" applyProtection="1">
      <alignment horizontal="center"/>
      <protection locked="0"/>
    </xf>
    <xf numFmtId="10" fontId="22" fillId="0" borderId="11" xfId="0" applyNumberFormat="1" applyFont="1" applyBorder="1" applyAlignment="1">
      <alignment horizontal="center"/>
    </xf>
    <xf numFmtId="168" fontId="22" fillId="0" borderId="11" xfId="0" applyNumberFormat="1" applyFont="1" applyBorder="1" applyAlignment="1">
      <alignment horizontal="center"/>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3" fontId="0" fillId="0" borderId="6" xfId="0" applyNumberFormat="1" applyBorder="1" applyAlignment="1">
      <alignment horizontal="right"/>
    </xf>
    <xf numFmtId="0" fontId="13" fillId="5" borderId="3"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0" fillId="0" borderId="3" xfId="0" applyFont="1" applyBorder="1" applyAlignment="1">
      <alignment horizontal="center" vertical="center" wrapText="1"/>
    </xf>
    <xf numFmtId="0" fontId="20" fillId="0" borderId="4" xfId="0" applyFont="1" applyBorder="1" applyAlignment="1">
      <alignment horizontal="center" vertical="center" wrapText="1"/>
    </xf>
    <xf numFmtId="0" fontId="20" fillId="0" borderId="5" xfId="0" applyFont="1" applyBorder="1" applyAlignment="1">
      <alignment horizontal="center" vertical="center" wrapText="1"/>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3" fillId="5" borderId="4" xfId="0" applyFont="1" applyFill="1" applyBorder="1" applyAlignment="1" applyProtection="1">
      <alignment horizontal="center"/>
      <protection locked="0"/>
    </xf>
    <xf numFmtId="0" fontId="0" fillId="5" borderId="6" xfId="0" applyFill="1" applyBorder="1" applyAlignment="1" applyProtection="1">
      <alignment horizontal="left"/>
      <protection locked="0"/>
    </xf>
    <xf numFmtId="0" fontId="22" fillId="45" borderId="11" xfId="0" applyFont="1" applyFill="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20" fillId="0" borderId="4" xfId="0" applyFont="1" applyBorder="1" applyAlignment="1">
      <alignment horizontal="center"/>
    </xf>
    <xf numFmtId="0" fontId="20" fillId="0" borderId="5" xfId="0" applyFont="1" applyBorder="1" applyAlignment="1">
      <alignment horizontal="center"/>
    </xf>
    <xf numFmtId="0" fontId="13" fillId="0" borderId="3" xfId="0" applyFont="1" applyBorder="1" applyAlignment="1">
      <alignment horizontal="center"/>
    </xf>
    <xf numFmtId="0" fontId="13" fillId="0" borderId="5" xfId="0" applyFont="1" applyBorder="1" applyAlignment="1">
      <alignment horizontal="center"/>
    </xf>
    <xf numFmtId="0" fontId="20" fillId="0" borderId="3"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 fontId="13" fillId="43" borderId="3" xfId="0" applyNumberFormat="1" applyFon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13" fillId="5" borderId="9" xfId="0" applyFont="1" applyFill="1" applyBorder="1" applyAlignment="1" applyProtection="1">
      <alignment horizontal="center"/>
      <protection locked="0"/>
    </xf>
    <xf numFmtId="0" fontId="0" fillId="43" borderId="6" xfId="0" applyFill="1" applyBorder="1" applyAlignment="1" applyProtection="1">
      <alignment horizontal="center"/>
      <protection locked="0"/>
    </xf>
    <xf numFmtId="168" fontId="22" fillId="5" borderId="6" xfId="0" applyNumberFormat="1" applyFont="1" applyFill="1" applyBorder="1" applyAlignment="1" applyProtection="1">
      <alignment horizontal="right"/>
      <protection locked="0"/>
    </xf>
    <xf numFmtId="166" fontId="22" fillId="5" borderId="4" xfId="0" applyNumberFormat="1" applyFont="1" applyFill="1" applyBorder="1" applyAlignment="1" applyProtection="1">
      <alignment horizontal="lef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0" fontId="19" fillId="3" borderId="2" xfId="0" applyFont="1" applyFill="1" applyBorder="1" applyAlignment="1">
      <alignment horizontal="center" vertical="center"/>
    </xf>
    <xf numFmtId="0" fontId="19"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78" fontId="22" fillId="5" borderId="4" xfId="0" applyNumberFormat="1" applyFont="1" applyFill="1" applyBorder="1" applyAlignment="1" applyProtection="1">
      <alignment horizontal="right"/>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0" fillId="0" borderId="9" xfId="0" applyFont="1" applyBorder="1" applyAlignment="1">
      <alignment horizontal="center"/>
    </xf>
    <xf numFmtId="0" fontId="20" fillId="0" borderId="6" xfId="0" applyFont="1" applyBorder="1" applyAlignment="1">
      <alignment horizontal="center"/>
    </xf>
    <xf numFmtId="0" fontId="20" fillId="0" borderId="10" xfId="0" applyFont="1" applyBorder="1" applyAlignment="1">
      <alignment horizontal="center"/>
    </xf>
    <xf numFmtId="0" fontId="13"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1" fillId="43" borderId="6" xfId="0" applyFont="1" applyFill="1" applyBorder="1" applyAlignment="1" applyProtection="1">
      <alignment horizontal="left"/>
      <protection locked="0"/>
    </xf>
    <xf numFmtId="168" fontId="13" fillId="0" borderId="3" xfId="0" applyNumberFormat="1" applyFont="1" applyBorder="1" applyAlignment="1">
      <alignment horizontal="left" vertical="top"/>
    </xf>
    <xf numFmtId="0" fontId="167" fillId="0" borderId="0" xfId="0" applyFont="1" applyAlignment="1" applyProtection="1">
      <alignment horizontal="left" vertical="top" wrapText="1"/>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3" fontId="22" fillId="0" borderId="11" xfId="0" applyNumberFormat="1" applyFont="1" applyBorder="1" applyAlignment="1">
      <alignment horizontal="center"/>
    </xf>
    <xf numFmtId="0" fontId="13" fillId="5" borderId="4" xfId="0" applyFont="1" applyFill="1" applyBorder="1" applyAlignment="1" applyProtection="1">
      <alignment horizontal="left"/>
      <protection locked="0"/>
    </xf>
    <xf numFmtId="0" fontId="22" fillId="5" borderId="4" xfId="0" applyFont="1" applyFill="1" applyBorder="1" applyAlignment="1" applyProtection="1">
      <alignment horizontal="left"/>
      <protection locked="0"/>
    </xf>
    <xf numFmtId="0" fontId="13"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5" borderId="6" xfId="244" applyFont="1" applyFill="1" applyBorder="1" applyAlignment="1" applyProtection="1">
      <alignment horizontal="left"/>
      <protection locked="0"/>
    </xf>
    <xf numFmtId="0" fontId="14"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1" fontId="22"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3" fillId="5" borderId="6" xfId="0" applyFont="1" applyFill="1" applyBorder="1" applyAlignment="1" applyProtection="1">
      <alignment horizontal="left"/>
      <protection locked="0"/>
    </xf>
    <xf numFmtId="0" fontId="13" fillId="5" borderId="11" xfId="0" applyFont="1" applyFill="1" applyBorder="1" applyAlignment="1" applyProtection="1">
      <alignment vertical="center" wrapText="1"/>
      <protection locked="0"/>
    </xf>
    <xf numFmtId="0" fontId="13" fillId="5" borderId="11" xfId="0" applyFont="1" applyFill="1" applyBorder="1" applyAlignment="1" applyProtection="1">
      <alignment horizontal="left" vertical="center" wrapText="1"/>
      <protection locked="0"/>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20" fillId="0" borderId="0" xfId="0" applyFont="1" applyAlignment="1">
      <alignment horizontal="center" vertical="center"/>
    </xf>
    <xf numFmtId="0" fontId="22" fillId="0" borderId="3" xfId="0" applyFont="1" applyBorder="1" applyAlignment="1">
      <alignment horizontal="center"/>
    </xf>
    <xf numFmtId="0" fontId="22" fillId="0" borderId="5" xfId="0" applyFont="1" applyBorder="1" applyAlignment="1">
      <alignment horizontal="center"/>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0" borderId="4" xfId="0" applyFont="1" applyBorder="1" applyAlignment="1">
      <alignment horizontal="center"/>
    </xf>
    <xf numFmtId="0" fontId="13" fillId="0" borderId="11" xfId="543" applyBorder="1" applyAlignment="1">
      <alignment horizontal="center"/>
    </xf>
    <xf numFmtId="0" fontId="0" fillId="0" borderId="6" xfId="0" applyBorder="1" applyAlignment="1">
      <alignment horizontal="left"/>
    </xf>
    <xf numFmtId="166" fontId="13" fillId="5" borderId="4" xfId="0" applyNumberFormat="1" applyFont="1" applyFill="1" applyBorder="1" applyAlignment="1" applyProtection="1">
      <alignment horizontal="left"/>
      <protection locked="0"/>
    </xf>
    <xf numFmtId="0" fontId="20" fillId="0" borderId="11" xfId="0" applyFont="1" applyBorder="1" applyAlignment="1">
      <alignment horizontal="center"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0" fillId="0" borderId="3" xfId="0" applyFont="1" applyBorder="1" applyAlignment="1">
      <alignment horizontal="right"/>
    </xf>
    <xf numFmtId="0" fontId="20" fillId="0" borderId="4" xfId="0" applyFont="1" applyBorder="1" applyAlignment="1">
      <alignment horizontal="right"/>
    </xf>
    <xf numFmtId="0" fontId="20" fillId="0" borderId="6" xfId="0" applyFont="1" applyBorder="1" applyAlignment="1">
      <alignment horizontal="right"/>
    </xf>
    <xf numFmtId="0" fontId="20" fillId="0" borderId="5" xfId="0" applyFont="1" applyBorder="1" applyAlignment="1">
      <alignment horizontal="right"/>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0" fontId="32" fillId="5" borderId="6" xfId="0" applyFont="1" applyFill="1" applyBorder="1" applyAlignment="1" applyProtection="1">
      <alignment horizontal="left"/>
      <protection locked="0"/>
    </xf>
    <xf numFmtId="168" fontId="170" fillId="0" borderId="0" xfId="0" applyNumberFormat="1" applyFont="1" applyAlignment="1">
      <alignment horizontal="center" vertical="center" wrapText="1"/>
    </xf>
    <xf numFmtId="0" fontId="0" fillId="43" borderId="4" xfId="0" applyFill="1" applyBorder="1" applyAlignment="1" applyProtection="1">
      <alignment horizontal="center"/>
      <protection locked="0"/>
    </xf>
    <xf numFmtId="2" fontId="0" fillId="0" borderId="6" xfId="0" applyNumberFormat="1" applyBorder="1" applyAlignment="1">
      <alignment horizontal="center"/>
    </xf>
    <xf numFmtId="0" fontId="13" fillId="43" borderId="4" xfId="0" applyFont="1" applyFill="1" applyBorder="1" applyAlignment="1" applyProtection="1">
      <alignment horizontal="left" wrapText="1"/>
      <protection locked="0"/>
    </xf>
    <xf numFmtId="166" fontId="22" fillId="5" borderId="6" xfId="271" applyNumberFormat="1" applyFill="1" applyBorder="1" applyAlignment="1" applyProtection="1">
      <alignment horizontal="left"/>
      <protection locked="0"/>
    </xf>
    <xf numFmtId="0" fontId="22" fillId="5" borderId="6" xfId="0" applyFont="1" applyFill="1" applyBorder="1" applyAlignment="1" applyProtection="1">
      <alignment horizontal="left"/>
      <protection locked="0"/>
    </xf>
    <xf numFmtId="0" fontId="0" fillId="5" borderId="3" xfId="0" applyFill="1" applyBorder="1" applyAlignment="1" applyProtection="1">
      <alignment horizontal="left"/>
      <protection locked="0"/>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14" fontId="0" fillId="5" borderId="6" xfId="0" applyNumberFormat="1" applyFill="1" applyBorder="1" applyAlignment="1" applyProtection="1">
      <alignment horizontal="center"/>
      <protection locked="0"/>
    </xf>
    <xf numFmtId="166" fontId="13" fillId="5" borderId="6" xfId="271" applyNumberFormat="1" applyFont="1" applyFill="1" applyBorder="1" applyAlignment="1" applyProtection="1">
      <alignment horizontal="left"/>
      <protection locked="0"/>
    </xf>
    <xf numFmtId="0" fontId="22" fillId="0" borderId="6" xfId="0" applyFont="1" applyBorder="1" applyAlignment="1">
      <alignment horizontal="left"/>
    </xf>
    <xf numFmtId="0" fontId="13" fillId="5" borderId="0" xfId="244" applyFont="1" applyFill="1" applyBorder="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0" fontId="28" fillId="0" borderId="0" xfId="0" applyFont="1" applyAlignment="1">
      <alignment horizontal="center"/>
    </xf>
    <xf numFmtId="1" fontId="0" fillId="5" borderId="4" xfId="0" applyNumberFormat="1" applyFill="1" applyBorder="1" applyAlignment="1" applyProtection="1">
      <alignment horizontal="center"/>
      <protection locked="0"/>
    </xf>
    <xf numFmtId="0" fontId="13"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13" fillId="5" borderId="0" xfId="0" applyFont="1" applyFill="1" applyAlignment="1" applyProtection="1">
      <alignment horizontal="left" vertical="top" wrapText="1"/>
      <protection locked="0"/>
    </xf>
    <xf numFmtId="0" fontId="13" fillId="0" borderId="0" xfId="0" applyFont="1" applyAlignment="1">
      <alignment horizontal="center"/>
    </xf>
    <xf numFmtId="0" fontId="22" fillId="0" borderId="0" xfId="0" applyFont="1" applyAlignment="1">
      <alignment horizontal="center"/>
    </xf>
    <xf numFmtId="173" fontId="0" fillId="5" borderId="6" xfId="0" applyNumberFormat="1" applyFill="1" applyBorder="1" applyAlignment="1" applyProtection="1">
      <alignment horizontal="center"/>
      <protection locked="0"/>
    </xf>
    <xf numFmtId="168" fontId="22" fillId="0" borderId="6" xfId="0" applyNumberFormat="1" applyFont="1" applyBorder="1" applyAlignment="1">
      <alignment horizontal="center"/>
    </xf>
    <xf numFmtId="0" fontId="21" fillId="0" borderId="0" xfId="0" applyFont="1" applyAlignment="1">
      <alignment horizontal="center"/>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6" fontId="22" fillId="5" borderId="4" xfId="271" applyNumberFormat="1" applyFill="1" applyBorder="1" applyAlignment="1" applyProtection="1">
      <alignment horizontal="left"/>
      <protection locked="0"/>
    </xf>
    <xf numFmtId="0" fontId="0" fillId="0" borderId="6" xfId="0" applyBorder="1" applyAlignment="1" applyProtection="1">
      <alignment horizontal="center"/>
      <protection locked="0"/>
    </xf>
    <xf numFmtId="0" fontId="22" fillId="5" borderId="6" xfId="271" applyFill="1" applyBorder="1" applyProtection="1">
      <protection locked="0"/>
    </xf>
    <xf numFmtId="168" fontId="13" fillId="53" borderId="3" xfId="0" applyNumberFormat="1" applyFont="1" applyFill="1" applyBorder="1" applyAlignment="1" applyProtection="1">
      <alignment horizontal="center"/>
      <protection locked="0"/>
    </xf>
    <xf numFmtId="168" fontId="13" fillId="53" borderId="4" xfId="0" applyNumberFormat="1" applyFont="1" applyFill="1" applyBorder="1" applyAlignment="1" applyProtection="1">
      <alignment horizontal="center"/>
      <protection locked="0"/>
    </xf>
    <xf numFmtId="168" fontId="13" fillId="53" borderId="5" xfId="0" applyNumberFormat="1" applyFont="1" applyFill="1" applyBorder="1" applyAlignment="1" applyProtection="1">
      <alignment horizontal="center"/>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0" fontId="13" fillId="0" borderId="1" xfId="0" applyFont="1" applyBorder="1" applyAlignment="1">
      <alignment horizontal="center" vertical="top" wrapText="1"/>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20" fillId="0" borderId="9" xfId="0" applyFont="1" applyBorder="1" applyAlignment="1">
      <alignment horizontal="right"/>
    </xf>
    <xf numFmtId="0" fontId="20" fillId="0" borderId="10" xfId="0" applyFon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0" fontId="0" fillId="0" borderId="9" xfId="0" applyBorder="1" applyAlignment="1">
      <alignment horizontal="left"/>
    </xf>
    <xf numFmtId="168" fontId="22"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2" fillId="0" borderId="0" xfId="0" applyFont="1" applyAlignment="1">
      <alignment horizontal="left" vertical="top" wrapText="1"/>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160" fillId="44" borderId="8" xfId="0" applyFont="1" applyFill="1" applyBorder="1" applyAlignment="1">
      <alignment horizontal="center" vertical="top" wrapText="1"/>
    </xf>
    <xf numFmtId="0" fontId="160" fillId="44" borderId="0" xfId="0" applyFont="1" applyFill="1" applyAlignment="1">
      <alignment horizontal="center" vertical="top" wrapText="1"/>
    </xf>
    <xf numFmtId="9" fontId="160" fillId="44" borderId="8" xfId="0" applyNumberFormat="1" applyFont="1" applyFill="1" applyBorder="1" applyAlignment="1">
      <alignment horizontal="center"/>
    </xf>
    <xf numFmtId="9" fontId="160" fillId="44" borderId="0" xfId="0" applyNumberFormat="1" applyFont="1" applyFill="1" applyAlignment="1">
      <alignment horizontal="center"/>
    </xf>
    <xf numFmtId="0" fontId="20"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71" fontId="13" fillId="0" borderId="0" xfId="543" applyNumberFormat="1" applyAlignment="1">
      <alignment horizontal="right"/>
    </xf>
    <xf numFmtId="2" fontId="13" fillId="0" borderId="0" xfId="543" applyNumberFormat="1" applyAlignment="1">
      <alignment horizontal="center"/>
    </xf>
    <xf numFmtId="0" fontId="13" fillId="0" borderId="0" xfId="543" applyAlignment="1">
      <alignment horizontal="center"/>
    </xf>
    <xf numFmtId="168" fontId="0" fillId="0" borderId="11" xfId="0" applyNumberFormat="1" applyBorder="1" applyAlignment="1">
      <alignment horizontal="center"/>
    </xf>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0" fontId="20" fillId="5"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2" fillId="0" borderId="3" xfId="0" applyFont="1"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171" fontId="13" fillId="0" borderId="0" xfId="543" applyNumberFormat="1" applyAlignment="1">
      <alignment horizontal="center"/>
    </xf>
    <xf numFmtId="168" fontId="0" fillId="0" borderId="11" xfId="0" applyNumberFormat="1" applyBorder="1" applyAlignment="1">
      <alignment horizontal="right"/>
    </xf>
    <xf numFmtId="9" fontId="13"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3"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0" fontId="20" fillId="0" borderId="2" xfId="0" applyFont="1" applyBorder="1" applyAlignment="1">
      <alignment horizontal="right"/>
    </xf>
    <xf numFmtId="0" fontId="20"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20" fillId="0" borderId="17" xfId="0" applyFont="1" applyBorder="1" applyAlignment="1">
      <alignment horizont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22" fillId="0" borderId="11" xfId="0" applyFont="1" applyBorder="1" applyAlignment="1">
      <alignment horizontal="center" vertical="top" wrapText="1"/>
    </xf>
    <xf numFmtId="0" fontId="13" fillId="0" borderId="11" xfId="0" applyFont="1" applyBorder="1" applyAlignment="1">
      <alignment horizontal="center"/>
    </xf>
    <xf numFmtId="0" fontId="13" fillId="43" borderId="11" xfId="0" applyFont="1" applyFill="1" applyBorder="1" applyAlignment="1" applyProtection="1">
      <alignment horizontal="center"/>
      <protection locked="0"/>
    </xf>
    <xf numFmtId="168" fontId="13" fillId="0" borderId="11" xfId="543" applyNumberFormat="1" applyBorder="1"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22" fillId="0" borderId="11" xfId="0" applyFont="1" applyBorder="1" applyAlignment="1">
      <alignment horizontal="center"/>
    </xf>
    <xf numFmtId="10" fontId="0" fillId="5" borderId="4"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2" fillId="5" borderId="4" xfId="0" applyNumberFormat="1" applyFont="1" applyFill="1" applyBorder="1" applyAlignment="1" applyProtection="1">
      <alignment horizontal="right"/>
      <protection locked="0"/>
    </xf>
    <xf numFmtId="16" fontId="13" fillId="5" borderId="4" xfId="0" quotePrefix="1" applyNumberFormat="1" applyFont="1" applyFill="1" applyBorder="1" applyAlignment="1" applyProtection="1">
      <alignment horizontal="center"/>
      <protection locked="0"/>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72" fontId="0" fillId="5" borderId="6" xfId="0" applyNumberFormat="1" applyFill="1" applyBorder="1" applyAlignment="1" applyProtection="1">
      <alignment horizontal="center"/>
      <protection locked="0"/>
    </xf>
    <xf numFmtId="0" fontId="22" fillId="2" borderId="11" xfId="0" applyFont="1" applyFill="1" applyBorder="1" applyAlignment="1">
      <alignment horizontal="center"/>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3" fontId="41" fillId="10" borderId="6" xfId="543" applyNumberFormat="1" applyFont="1" applyFill="1" applyBorder="1" applyAlignment="1">
      <alignment horizontal="left" vertical="center" wrapText="1"/>
    </xf>
    <xf numFmtId="14" fontId="0" fillId="5" borderId="4" xfId="0" applyNumberFormat="1" applyFill="1" applyBorder="1" applyAlignment="1" applyProtection="1">
      <alignment horizontal="center"/>
      <protection locked="0"/>
    </xf>
    <xf numFmtId="0" fontId="46"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4" fontId="22" fillId="5" borderId="4" xfId="0" applyNumberFormat="1" applyFon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22"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20" fillId="0" borderId="1"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19" fillId="3" borderId="0" xfId="0" applyFont="1" applyFill="1" applyAlignment="1">
      <alignment horizontal="center" vertical="center"/>
    </xf>
    <xf numFmtId="9" fontId="13" fillId="5" borderId="3" xfId="0" applyNumberFormat="1" applyFont="1" applyFill="1" applyBorder="1" applyAlignment="1" applyProtection="1">
      <alignment horizontal="right"/>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0" fontId="166" fillId="0" borderId="8" xfId="543" applyFont="1" applyBorder="1" applyAlignment="1">
      <alignment horizontal="center" vertical="center" wrapText="1"/>
    </xf>
    <xf numFmtId="0" fontId="166" fillId="0" borderId="0" xfId="543" applyFont="1" applyAlignment="1">
      <alignment horizontal="center" vertical="center" wrapText="1"/>
    </xf>
    <xf numFmtId="0" fontId="166" fillId="0" borderId="12" xfId="543" applyFont="1" applyBorder="1" applyAlignment="1">
      <alignment horizontal="center" vertical="center" wrapText="1"/>
    </xf>
    <xf numFmtId="0" fontId="13" fillId="0" borderId="4" xfId="0" applyFont="1" applyBorder="1" applyAlignment="1">
      <alignment horizontal="center"/>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0" fillId="0" borderId="11" xfId="0" applyBorder="1" applyAlignment="1">
      <alignment horizontal="center"/>
    </xf>
    <xf numFmtId="0" fontId="13" fillId="5" borderId="11" xfId="0" applyFont="1" applyFill="1" applyBorder="1" applyAlignment="1" applyProtection="1">
      <alignment horizontal="left" wrapText="1"/>
      <protection locked="0"/>
    </xf>
    <xf numFmtId="172" fontId="20" fillId="0" borderId="11" xfId="0" applyNumberFormat="1" applyFont="1" applyBorder="1" applyAlignment="1">
      <alignment horizontal="center" vertical="center" wrapText="1"/>
    </xf>
    <xf numFmtId="0" fontId="20" fillId="0" borderId="11" xfId="0" applyFont="1" applyBorder="1" applyAlignment="1">
      <alignment horizontal="center" vertical="center"/>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0" fillId="0" borderId="0" xfId="0"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3" xfId="4495" applyFill="1" applyBorder="1" applyAlignment="1">
      <alignment horizontal="center"/>
    </xf>
    <xf numFmtId="0" fontId="117" fillId="5" borderId="64"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3" xfId="4495" applyFill="1" applyBorder="1" applyAlignment="1" applyProtection="1">
      <alignment horizontal="center"/>
      <protection locked="0"/>
    </xf>
    <xf numFmtId="0" fontId="117" fillId="5" borderId="64"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5" xfId="4499" applyNumberFormat="1" applyFont="1" applyFill="1" applyBorder="1" applyAlignment="1" applyProtection="1">
      <alignment horizontal="left" vertical="center" indent="1"/>
    </xf>
    <xf numFmtId="168" fontId="95" fillId="0" borderId="84"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2"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1" xfId="4496" applyFont="1" applyBorder="1" applyAlignment="1">
      <alignment horizontal="center" vertical="top" wrapText="1"/>
    </xf>
    <xf numFmtId="0" fontId="134" fillId="0" borderId="90" xfId="4496" applyFont="1" applyBorder="1" applyAlignment="1">
      <alignment horizontal="center" vertical="top" wrapText="1"/>
    </xf>
    <xf numFmtId="0" fontId="95" fillId="0" borderId="72" xfId="4496" applyFont="1" applyBorder="1"/>
    <xf numFmtId="0" fontId="95" fillId="0" borderId="75" xfId="4496" applyFont="1" applyBorder="1"/>
    <xf numFmtId="0" fontId="95" fillId="0" borderId="11" xfId="4496" applyFont="1" applyBorder="1"/>
    <xf numFmtId="0" fontId="95" fillId="0" borderId="92" xfId="4496" applyFont="1" applyBorder="1"/>
    <xf numFmtId="0" fontId="95" fillId="0" borderId="81" xfId="4496" applyFont="1" applyBorder="1" applyAlignment="1">
      <alignment horizontal="right"/>
    </xf>
    <xf numFmtId="0" fontId="95" fillId="0" borderId="11" xfId="4496" applyFont="1" applyBorder="1" applyAlignment="1">
      <alignment horizontal="right"/>
    </xf>
    <xf numFmtId="0" fontId="95" fillId="0" borderId="73" xfId="4496" applyFont="1" applyBorder="1" applyAlignment="1">
      <alignment horizontal="right"/>
    </xf>
    <xf numFmtId="0" fontId="95" fillId="0" borderId="74" xfId="4496" applyFont="1" applyBorder="1" applyAlignment="1">
      <alignment horizontal="right"/>
    </xf>
    <xf numFmtId="0" fontId="95" fillId="0" borderId="74" xfId="4496" applyFont="1" applyBorder="1"/>
    <xf numFmtId="0" fontId="95" fillId="0" borderId="94" xfId="4496" applyFont="1" applyBorder="1"/>
    <xf numFmtId="0" fontId="95" fillId="0" borderId="71" xfId="4496" applyFont="1" applyBorder="1" applyAlignment="1">
      <alignment horizontal="right"/>
    </xf>
    <xf numFmtId="0" fontId="95" fillId="0" borderId="72" xfId="4496" applyFont="1" applyBorder="1" applyAlignment="1">
      <alignment horizontal="right"/>
    </xf>
    <xf numFmtId="0" fontId="146" fillId="44" borderId="68" xfId="8723" applyFont="1" applyFill="1" applyBorder="1" applyAlignment="1">
      <alignment horizontal="left"/>
    </xf>
    <xf numFmtId="0" fontId="146" fillId="44" borderId="69" xfId="8723" applyFont="1" applyFill="1" applyBorder="1" applyAlignment="1">
      <alignment horizontal="left"/>
    </xf>
    <xf numFmtId="0" fontId="146" fillId="44" borderId="70" xfId="8723" applyFont="1" applyFill="1" applyBorder="1" applyAlignment="1">
      <alignment horizontal="left"/>
    </xf>
    <xf numFmtId="0" fontId="144" fillId="45" borderId="11" xfId="8723" applyFont="1" applyFill="1" applyBorder="1" applyAlignment="1">
      <alignment horizontal="right"/>
    </xf>
    <xf numFmtId="1" fontId="146" fillId="49" borderId="11" xfId="8723" applyNumberFormat="1" applyFont="1" applyFill="1" applyBorder="1" applyAlignment="1" applyProtection="1">
      <alignment horizontal="center"/>
      <protection locked="0"/>
    </xf>
    <xf numFmtId="0" fontId="2" fillId="44" borderId="68" xfId="8723" applyFill="1" applyBorder="1" applyAlignment="1">
      <alignment horizontal="center"/>
    </xf>
    <xf numFmtId="0" fontId="2" fillId="44" borderId="69" xfId="8723" applyFill="1" applyBorder="1" applyAlignment="1">
      <alignment horizontal="center"/>
    </xf>
    <xf numFmtId="0" fontId="2" fillId="44" borderId="70" xfId="8723" applyFill="1" applyBorder="1" applyAlignment="1">
      <alignment horizontal="center"/>
    </xf>
    <xf numFmtId="0" fontId="142" fillId="47" borderId="66" xfId="8723" applyFont="1" applyFill="1" applyBorder="1" applyAlignment="1">
      <alignment horizontal="center"/>
    </xf>
    <xf numFmtId="0" fontId="142" fillId="47" borderId="29" xfId="8723" applyFont="1" applyFill="1" applyBorder="1" applyAlignment="1">
      <alignment horizontal="center"/>
    </xf>
    <xf numFmtId="0" fontId="142" fillId="47" borderId="31" xfId="8723" applyFont="1" applyFill="1" applyBorder="1" applyAlignment="1">
      <alignment horizontal="center"/>
    </xf>
    <xf numFmtId="0" fontId="143" fillId="49" borderId="67" xfId="8723" applyFont="1" applyFill="1" applyBorder="1" applyAlignment="1">
      <alignment horizontal="center"/>
    </xf>
    <xf numFmtId="0" fontId="143" fillId="49" borderId="0" xfId="8723" applyFont="1" applyFill="1" applyAlignment="1">
      <alignment horizontal="center"/>
    </xf>
    <xf numFmtId="0" fontId="143" fillId="49" borderId="41" xfId="8723" applyFont="1" applyFill="1" applyBorder="1" applyAlignment="1">
      <alignment horizontal="center"/>
    </xf>
    <xf numFmtId="0" fontId="159" fillId="45" borderId="11" xfId="8723" applyFont="1" applyFill="1" applyBorder="1" applyAlignment="1">
      <alignment horizontal="right"/>
    </xf>
    <xf numFmtId="14" fontId="146" fillId="49" borderId="11" xfId="8723" applyNumberFormat="1" applyFont="1" applyFill="1" applyBorder="1" applyAlignment="1" applyProtection="1">
      <alignment horizontal="center"/>
      <protection locked="0"/>
    </xf>
    <xf numFmtId="0" fontId="146" fillId="49" borderId="11" xfId="8723" applyFont="1" applyFill="1" applyBorder="1" applyAlignment="1" applyProtection="1">
      <alignment horizontal="center"/>
      <protection locked="0"/>
    </xf>
    <xf numFmtId="0" fontId="147" fillId="45" borderId="11" xfId="8723" applyFont="1" applyFill="1" applyBorder="1" applyAlignment="1">
      <alignment horizontal="right"/>
    </xf>
    <xf numFmtId="14" fontId="146" fillId="49" borderId="11" xfId="8723" applyNumberFormat="1" applyFont="1" applyFill="1" applyBorder="1" applyAlignment="1" applyProtection="1">
      <alignment horizontal="center" vertical="center"/>
      <protection locked="0"/>
    </xf>
    <xf numFmtId="0" fontId="146" fillId="49" borderId="11" xfId="8723" applyFont="1" applyFill="1" applyBorder="1" applyAlignment="1" applyProtection="1">
      <alignment horizontal="center" vertical="center"/>
      <protection locked="0"/>
    </xf>
    <xf numFmtId="0" fontId="99" fillId="45" borderId="68" xfId="8723" applyFont="1" applyFill="1" applyBorder="1" applyAlignment="1">
      <alignment horizontal="center"/>
    </xf>
    <xf numFmtId="0" fontId="99" fillId="45" borderId="69" xfId="8723" applyFont="1" applyFill="1" applyBorder="1" applyAlignment="1">
      <alignment horizontal="center"/>
    </xf>
    <xf numFmtId="0" fontId="99" fillId="45" borderId="70" xfId="8723" applyFont="1" applyFill="1" applyBorder="1" applyAlignment="1">
      <alignment horizontal="center"/>
    </xf>
    <xf numFmtId="0" fontId="146" fillId="49" borderId="68" xfId="8723" applyFont="1" applyFill="1" applyBorder="1" applyAlignment="1" applyProtection="1">
      <alignment horizontal="center"/>
      <protection locked="0"/>
    </xf>
    <xf numFmtId="0" fontId="146" fillId="49" borderId="69" xfId="8723" applyFont="1" applyFill="1" applyBorder="1" applyAlignment="1" applyProtection="1">
      <alignment horizontal="center"/>
      <protection locked="0"/>
    </xf>
    <xf numFmtId="0" fontId="146" fillId="49" borderId="70" xfId="8723" applyFont="1" applyFill="1" applyBorder="1" applyAlignment="1" applyProtection="1">
      <alignment horizontal="center"/>
      <protection locked="0"/>
    </xf>
    <xf numFmtId="0" fontId="99" fillId="45" borderId="68" xfId="8723" applyFont="1" applyFill="1" applyBorder="1" applyAlignment="1">
      <alignment horizontal="right"/>
    </xf>
    <xf numFmtId="0" fontId="99" fillId="45" borderId="69" xfId="8723" applyFont="1" applyFill="1" applyBorder="1" applyAlignment="1">
      <alignment horizontal="right"/>
    </xf>
    <xf numFmtId="0" fontId="99" fillId="45" borderId="101" xfId="8723" applyFont="1" applyFill="1" applyBorder="1" applyAlignment="1">
      <alignment horizontal="right"/>
    </xf>
    <xf numFmtId="0" fontId="2" fillId="44" borderId="98" xfId="8723" applyFill="1" applyBorder="1" applyAlignment="1">
      <alignment horizontal="center"/>
    </xf>
    <xf numFmtId="0" fontId="2" fillId="44" borderId="99" xfId="8723" applyFill="1" applyBorder="1" applyAlignment="1">
      <alignment horizontal="center"/>
    </xf>
    <xf numFmtId="168" fontId="163" fillId="44" borderId="11" xfId="8724" applyNumberFormat="1" applyFont="1" applyFill="1" applyBorder="1" applyAlignment="1" applyProtection="1">
      <alignment horizontal="left"/>
    </xf>
    <xf numFmtId="1" fontId="2" fillId="44" borderId="11" xfId="8723" applyNumberFormat="1" applyFill="1" applyBorder="1" applyAlignment="1">
      <alignment horizontal="center"/>
    </xf>
    <xf numFmtId="0" fontId="2" fillId="44" borderId="11" xfId="8723" applyFill="1" applyBorder="1" applyAlignment="1">
      <alignment horizontal="center"/>
    </xf>
    <xf numFmtId="0" fontId="144" fillId="45" borderId="11" xfId="8723" applyFont="1" applyFill="1" applyBorder="1" applyAlignment="1">
      <alignment horizontal="right" wrapText="1"/>
    </xf>
    <xf numFmtId="0" fontId="143" fillId="45" borderId="76" xfId="8723" applyFont="1" applyFill="1" applyBorder="1" applyAlignment="1">
      <alignment horizontal="center"/>
    </xf>
    <xf numFmtId="0" fontId="143" fillId="45" borderId="77" xfId="8723" applyFont="1" applyFill="1" applyBorder="1" applyAlignment="1">
      <alignment horizontal="center"/>
    </xf>
    <xf numFmtId="0" fontId="143" fillId="45" borderId="78" xfId="8723" applyFont="1" applyFill="1" applyBorder="1" applyAlignment="1">
      <alignment horizontal="center"/>
    </xf>
    <xf numFmtId="0" fontId="147" fillId="45" borderId="79" xfId="8723" applyFont="1" applyFill="1" applyBorder="1" applyAlignment="1">
      <alignment horizontal="center"/>
    </xf>
    <xf numFmtId="0" fontId="147" fillId="45" borderId="2" xfId="8723" applyFont="1" applyFill="1" applyBorder="1" applyAlignment="1">
      <alignment horizontal="center"/>
    </xf>
    <xf numFmtId="0" fontId="147" fillId="45" borderId="7" xfId="8723" applyFont="1" applyFill="1" applyBorder="1" applyAlignment="1">
      <alignment horizontal="center"/>
    </xf>
    <xf numFmtId="0" fontId="147" fillId="45" borderId="3" xfId="8723" applyFont="1" applyFill="1" applyBorder="1" applyAlignment="1">
      <alignment horizontal="center"/>
    </xf>
    <xf numFmtId="0" fontId="147" fillId="45" borderId="4" xfId="8723" applyFont="1" applyFill="1" applyBorder="1" applyAlignment="1">
      <alignment horizontal="center"/>
    </xf>
    <xf numFmtId="0" fontId="147" fillId="45" borderId="5" xfId="8723" applyFont="1" applyFill="1" applyBorder="1" applyAlignment="1">
      <alignment horizontal="center"/>
    </xf>
    <xf numFmtId="0" fontId="147" fillId="45" borderId="80" xfId="8723" applyFont="1" applyFill="1" applyBorder="1" applyAlignment="1">
      <alignment horizontal="center"/>
    </xf>
    <xf numFmtId="0" fontId="161" fillId="44" borderId="3" xfId="8723" applyFont="1" applyFill="1" applyBorder="1" applyAlignment="1">
      <alignment horizontal="center"/>
    </xf>
    <xf numFmtId="0" fontId="161" fillId="44" borderId="4" xfId="8723" applyFont="1" applyFill="1" applyBorder="1" applyAlignment="1">
      <alignment horizontal="center"/>
    </xf>
    <xf numFmtId="0" fontId="161" fillId="44" borderId="5" xfId="8723" applyFont="1" applyFill="1" applyBorder="1" applyAlignment="1">
      <alignment horizontal="center"/>
    </xf>
    <xf numFmtId="9" fontId="147" fillId="44" borderId="3" xfId="8723" applyNumberFormat="1" applyFont="1" applyFill="1" applyBorder="1" applyAlignment="1">
      <alignment horizontal="center"/>
    </xf>
    <xf numFmtId="9" fontId="147" fillId="44" borderId="4" xfId="8723" applyNumberFormat="1" applyFont="1" applyFill="1" applyBorder="1" applyAlignment="1">
      <alignment horizontal="center"/>
    </xf>
    <xf numFmtId="9" fontId="147" fillId="44" borderId="80" xfId="8723" applyNumberFormat="1" applyFont="1" applyFill="1" applyBorder="1" applyAlignment="1">
      <alignment horizontal="center"/>
    </xf>
    <xf numFmtId="9" fontId="161" fillId="49" borderId="93" xfId="8723" applyNumberFormat="1" applyFont="1" applyFill="1" applyBorder="1" applyAlignment="1">
      <alignment horizontal="center"/>
    </xf>
    <xf numFmtId="9" fontId="161" fillId="49" borderId="4" xfId="8723" applyNumberFormat="1" applyFont="1" applyFill="1" applyBorder="1" applyAlignment="1">
      <alignment horizontal="center"/>
    </xf>
    <xf numFmtId="9" fontId="161" fillId="49" borderId="5" xfId="8723" applyNumberFormat="1" applyFont="1" applyFill="1" applyBorder="1" applyAlignment="1">
      <alignment horizontal="center"/>
    </xf>
    <xf numFmtId="0" fontId="147" fillId="44" borderId="82" xfId="8723" applyFont="1" applyFill="1" applyBorder="1" applyAlignment="1">
      <alignment horizontal="center"/>
    </xf>
    <xf numFmtId="0" fontId="147" fillId="44" borderId="83" xfId="8723" applyFont="1" applyFill="1" applyBorder="1" applyAlignment="1">
      <alignment horizontal="center"/>
    </xf>
    <xf numFmtId="0" fontId="147" fillId="44" borderId="84" xfId="8723" applyFont="1" applyFill="1" applyBorder="1" applyAlignment="1">
      <alignment horizontal="center"/>
    </xf>
    <xf numFmtId="0" fontId="161" fillId="44" borderId="85" xfId="8723" applyFont="1" applyFill="1" applyBorder="1" applyAlignment="1">
      <alignment horizontal="center"/>
    </xf>
    <xf numFmtId="0" fontId="161" fillId="44" borderId="83" xfId="8723" applyFont="1" applyFill="1" applyBorder="1" applyAlignment="1">
      <alignment horizontal="center"/>
    </xf>
    <xf numFmtId="0" fontId="161" fillId="44" borderId="84" xfId="8723" applyFont="1" applyFill="1" applyBorder="1" applyAlignment="1">
      <alignment horizontal="center"/>
    </xf>
    <xf numFmtId="9" fontId="147" fillId="44" borderId="85" xfId="8723" applyNumberFormat="1" applyFont="1" applyFill="1" applyBorder="1" applyAlignment="1">
      <alignment horizontal="center"/>
    </xf>
    <xf numFmtId="9" fontId="147" fillId="44" borderId="83" xfId="8723" applyNumberFormat="1" applyFont="1" applyFill="1" applyBorder="1" applyAlignment="1">
      <alignment horizontal="center"/>
    </xf>
    <xf numFmtId="9" fontId="147" fillId="44" borderId="86" xfId="8723" applyNumberFormat="1" applyFont="1" applyFill="1" applyBorder="1" applyAlignment="1">
      <alignment horizontal="center"/>
    </xf>
    <xf numFmtId="9" fontId="147" fillId="49" borderId="11" xfId="8723" applyNumberFormat="1" applyFont="1" applyFill="1" applyBorder="1" applyAlignment="1" applyProtection="1">
      <alignment horizontal="center"/>
      <protection locked="0"/>
    </xf>
    <xf numFmtId="9" fontId="148" fillId="49" borderId="11" xfId="8723" applyNumberFormat="1" applyFont="1" applyFill="1" applyBorder="1" applyAlignment="1" applyProtection="1">
      <alignment horizontal="center"/>
      <protection locked="0"/>
    </xf>
    <xf numFmtId="0" fontId="148" fillId="44" borderId="11" xfId="8723" applyFont="1" applyFill="1" applyBorder="1" applyAlignment="1">
      <alignment horizontal="center"/>
    </xf>
    <xf numFmtId="0" fontId="148" fillId="44" borderId="92" xfId="8723" applyFont="1" applyFill="1" applyBorder="1" applyAlignment="1">
      <alignment horizontal="center"/>
    </xf>
    <xf numFmtId="0" fontId="147" fillId="44" borderId="89" xfId="8723" applyFont="1" applyFill="1" applyBorder="1" applyAlignment="1">
      <alignment horizontal="center"/>
    </xf>
    <xf numFmtId="0" fontId="147" fillId="44" borderId="42" xfId="8723" applyFont="1" applyFill="1" applyBorder="1" applyAlignment="1">
      <alignment horizontal="center"/>
    </xf>
    <xf numFmtId="0" fontId="147" fillId="44" borderId="88" xfId="8723" applyFont="1" applyFill="1" applyBorder="1" applyAlignment="1">
      <alignment horizontal="center"/>
    </xf>
    <xf numFmtId="9" fontId="147" fillId="44" borderId="89"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143" fillId="45" borderId="71" xfId="8723" applyFont="1" applyFill="1" applyBorder="1" applyAlignment="1">
      <alignment horizontal="center"/>
    </xf>
    <xf numFmtId="0" fontId="143" fillId="45" borderId="72" xfId="8723" applyFont="1" applyFill="1" applyBorder="1" applyAlignment="1">
      <alignment horizontal="center"/>
    </xf>
    <xf numFmtId="0" fontId="143" fillId="45" borderId="75" xfId="8723" applyFont="1" applyFill="1" applyBorder="1" applyAlignment="1">
      <alignment horizontal="center"/>
    </xf>
    <xf numFmtId="0" fontId="148" fillId="45" borderId="81" xfId="8723" applyFont="1" applyFill="1" applyBorder="1" applyAlignment="1">
      <alignment horizontal="center" vertical="center" wrapText="1"/>
    </xf>
    <xf numFmtId="0" fontId="148" fillId="45" borderId="11" xfId="8723" applyFont="1" applyFill="1" applyBorder="1" applyAlignment="1">
      <alignment horizontal="center" vertical="center"/>
    </xf>
    <xf numFmtId="0" fontId="148" fillId="45" borderId="81" xfId="8723" applyFont="1" applyFill="1" applyBorder="1" applyAlignment="1">
      <alignment horizontal="center" vertical="center"/>
    </xf>
    <xf numFmtId="0" fontId="147" fillId="45" borderId="1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8" fillId="45" borderId="11" xfId="8723" applyFont="1" applyFill="1" applyBorder="1" applyAlignment="1">
      <alignment horizontal="center"/>
    </xf>
    <xf numFmtId="0" fontId="148" fillId="45" borderId="92" xfId="8723" applyFont="1" applyFill="1" applyBorder="1" applyAlignment="1">
      <alignment horizontal="center"/>
    </xf>
    <xf numFmtId="0" fontId="148" fillId="45" borderId="11" xfId="8723" applyFont="1" applyFill="1" applyBorder="1" applyAlignment="1">
      <alignment horizontal="center" vertical="center" wrapText="1"/>
    </xf>
    <xf numFmtId="0" fontId="147" fillId="45" borderId="92" xfId="8723" applyFont="1" applyFill="1" applyBorder="1" applyAlignment="1">
      <alignment horizontal="center" vertical="center" wrapText="1"/>
    </xf>
    <xf numFmtId="0" fontId="147" fillId="44" borderId="87" xfId="8723" applyFont="1" applyFill="1" applyBorder="1" applyAlignment="1">
      <alignment horizontal="center"/>
    </xf>
    <xf numFmtId="0" fontId="163" fillId="49" borderId="81" xfId="8723" applyFont="1" applyFill="1" applyBorder="1" applyAlignment="1" applyProtection="1">
      <alignment horizontal="right"/>
      <protection locked="0"/>
    </xf>
    <xf numFmtId="0" fontId="163" fillId="49" borderId="11" xfId="8723" applyFont="1" applyFill="1" applyBorder="1" applyAlignment="1" applyProtection="1">
      <alignment horizontal="right"/>
      <protection locked="0"/>
    </xf>
    <xf numFmtId="0" fontId="162" fillId="49" borderId="11" xfId="8723" applyFont="1" applyFill="1" applyBorder="1" applyAlignment="1" applyProtection="1">
      <alignment horizontal="center"/>
      <protection locked="0"/>
    </xf>
    <xf numFmtId="1" fontId="162" fillId="49" borderId="11" xfId="8723" applyNumberFormat="1" applyFont="1" applyFill="1" applyBorder="1" applyAlignment="1" applyProtection="1">
      <alignment horizontal="center"/>
      <protection locked="0"/>
    </xf>
    <xf numFmtId="1" fontId="148" fillId="44" borderId="11" xfId="8723" applyNumberFormat="1" applyFont="1" applyFill="1" applyBorder="1" applyAlignment="1">
      <alignment horizontal="center"/>
    </xf>
    <xf numFmtId="9" fontId="148" fillId="44" borderId="11" xfId="8725" applyFont="1" applyFill="1" applyBorder="1" applyAlignment="1">
      <alignment horizontal="center"/>
    </xf>
    <xf numFmtId="9" fontId="148" fillId="44" borderId="92" xfId="8725" applyFont="1" applyFill="1" applyBorder="1" applyAlignment="1">
      <alignment horizontal="center"/>
    </xf>
    <xf numFmtId="0" fontId="161" fillId="49" borderId="81" xfId="8723" applyFont="1" applyFill="1" applyBorder="1" applyAlignment="1" applyProtection="1">
      <alignment horizontal="right"/>
      <protection locked="0"/>
    </xf>
    <xf numFmtId="0" fontId="161" fillId="49" borderId="11" xfId="8723" applyFont="1" applyFill="1" applyBorder="1" applyAlignment="1" applyProtection="1">
      <alignment horizontal="right"/>
      <protection locked="0"/>
    </xf>
    <xf numFmtId="9" fontId="148" fillId="44" borderId="74" xfId="8725" applyFont="1" applyFill="1" applyBorder="1" applyAlignment="1">
      <alignment horizontal="center"/>
    </xf>
    <xf numFmtId="9" fontId="148" fillId="44" borderId="94" xfId="8725" applyFont="1" applyFill="1" applyBorder="1" applyAlignment="1">
      <alignment horizontal="center"/>
    </xf>
    <xf numFmtId="0" fontId="161" fillId="49" borderId="73" xfId="8723" applyFont="1" applyFill="1" applyBorder="1" applyAlignment="1" applyProtection="1">
      <alignment horizontal="right"/>
      <protection locked="0"/>
    </xf>
    <xf numFmtId="0" fontId="161" fillId="49" borderId="74" xfId="8723" applyFont="1" applyFill="1" applyBorder="1" applyAlignment="1" applyProtection="1">
      <alignment horizontal="right"/>
      <protection locked="0"/>
    </xf>
    <xf numFmtId="0" fontId="162" fillId="49" borderId="74" xfId="8723" applyFont="1" applyFill="1" applyBorder="1" applyAlignment="1" applyProtection="1">
      <alignment horizontal="center"/>
      <protection locked="0"/>
    </xf>
    <xf numFmtId="1" fontId="162" fillId="49" borderId="74" xfId="8723" applyNumberFormat="1" applyFont="1" applyFill="1" applyBorder="1" applyAlignment="1" applyProtection="1">
      <alignment horizontal="center"/>
      <protection locked="0"/>
    </xf>
    <xf numFmtId="0" fontId="147" fillId="45" borderId="81" xfId="8723" applyFont="1" applyFill="1" applyBorder="1" applyAlignment="1">
      <alignment horizontal="center"/>
    </xf>
    <xf numFmtId="0" fontId="147" fillId="45" borderId="11" xfId="8723" applyFont="1" applyFill="1" applyBorder="1" applyAlignment="1">
      <alignment horizontal="center"/>
    </xf>
    <xf numFmtId="0" fontId="148" fillId="45" borderId="92" xfId="8723" applyFont="1" applyFill="1" applyBorder="1" applyAlignment="1">
      <alignment horizontal="center" vertical="center" wrapText="1"/>
    </xf>
    <xf numFmtId="1" fontId="148" fillId="44" borderId="74" xfId="8723" applyNumberFormat="1" applyFont="1" applyFill="1" applyBorder="1" applyAlignment="1">
      <alignment horizontal="center"/>
    </xf>
    <xf numFmtId="0" fontId="161" fillId="49" borderId="11" xfId="8723" applyFont="1" applyFill="1" applyBorder="1" applyAlignment="1" applyProtection="1">
      <alignment horizontal="center"/>
      <protection locked="0"/>
    </xf>
    <xf numFmtId="168" fontId="161" fillId="49" borderId="11" xfId="8724" applyNumberFormat="1" applyFont="1" applyFill="1" applyBorder="1" applyAlignment="1" applyProtection="1">
      <alignment horizontal="center"/>
      <protection locked="0"/>
    </xf>
    <xf numFmtId="1" fontId="161" fillId="49" borderId="11" xfId="8723" applyNumberFormat="1" applyFont="1" applyFill="1" applyBorder="1" applyAlignment="1" applyProtection="1">
      <alignment horizontal="center"/>
      <protection locked="0"/>
    </xf>
    <xf numFmtId="0" fontId="161" fillId="49" borderId="11" xfId="700" applyNumberFormat="1" applyFont="1" applyFill="1" applyBorder="1" applyAlignment="1" applyProtection="1">
      <alignment horizontal="left"/>
      <protection locked="0"/>
    </xf>
    <xf numFmtId="0" fontId="161" fillId="49" borderId="92" xfId="700" applyNumberFormat="1" applyFont="1" applyFill="1" applyBorder="1" applyAlignment="1" applyProtection="1">
      <alignment horizontal="left"/>
      <protection locked="0"/>
    </xf>
    <xf numFmtId="0" fontId="143" fillId="45" borderId="66" xfId="8723" applyFont="1" applyFill="1" applyBorder="1" applyAlignment="1">
      <alignment horizontal="center"/>
    </xf>
    <xf numFmtId="0" fontId="143" fillId="45" borderId="29" xfId="8723" applyFont="1" applyFill="1" applyBorder="1" applyAlignment="1">
      <alignment horizontal="center"/>
    </xf>
    <xf numFmtId="0" fontId="143" fillId="45" borderId="31" xfId="8723" applyFont="1" applyFill="1" applyBorder="1" applyAlignment="1">
      <alignment horizontal="center"/>
    </xf>
    <xf numFmtId="0" fontId="161" fillId="44" borderId="81" xfId="8723" applyFont="1" applyFill="1" applyBorder="1" applyAlignment="1" applyProtection="1">
      <alignment horizontal="right"/>
      <protection locked="0"/>
    </xf>
    <xf numFmtId="0" fontId="161" fillId="44" borderId="11" xfId="8723" applyFont="1" applyFill="1" applyBorder="1" applyAlignment="1" applyProtection="1">
      <alignment horizontal="right"/>
      <protection locked="0"/>
    </xf>
    <xf numFmtId="0" fontId="161" fillId="44" borderId="92" xfId="8723" applyFont="1" applyFill="1" applyBorder="1" applyAlignment="1" applyProtection="1">
      <alignment horizontal="right"/>
      <protection locked="0"/>
    </xf>
    <xf numFmtId="0" fontId="161" fillId="49" borderId="5" xfId="8723" applyFont="1" applyFill="1" applyBorder="1" applyAlignment="1" applyProtection="1">
      <alignment horizontal="left"/>
      <protection locked="0"/>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47" fillId="45" borderId="73" xfId="8723" applyFont="1" applyFill="1" applyBorder="1" applyAlignment="1">
      <alignment horizontal="center"/>
    </xf>
    <xf numFmtId="0" fontId="147" fillId="45" borderId="74" xfId="8723" applyFont="1" applyFill="1" applyBorder="1" applyAlignment="1">
      <alignment horizontal="center"/>
    </xf>
    <xf numFmtId="168" fontId="147" fillId="45" borderId="74" xfId="8724" applyNumberFormat="1" applyFont="1" applyFill="1" applyBorder="1" applyAlignment="1">
      <alignment horizontal="center"/>
    </xf>
    <xf numFmtId="1" fontId="147" fillId="45" borderId="74" xfId="8724" applyNumberFormat="1" applyFont="1" applyFill="1" applyBorder="1" applyAlignment="1">
      <alignment horizontal="center"/>
    </xf>
    <xf numFmtId="0" fontId="147" fillId="45" borderId="74" xfId="8724" applyNumberFormat="1" applyFont="1" applyFill="1" applyBorder="1" applyAlignment="1">
      <alignment horizontal="center"/>
    </xf>
    <xf numFmtId="0" fontId="147" fillId="45" borderId="94" xfId="8724" applyNumberFormat="1" applyFont="1" applyFill="1" applyBorder="1" applyAlignment="1">
      <alignment horizontal="center"/>
    </xf>
    <xf numFmtId="0" fontId="146" fillId="49" borderId="90" xfId="8723" applyFont="1" applyFill="1" applyBorder="1" applyAlignment="1" applyProtection="1">
      <alignment horizontal="left"/>
      <protection locked="0"/>
    </xf>
    <xf numFmtId="0" fontId="146" fillId="49" borderId="72" xfId="8723" applyFont="1" applyFill="1" applyBorder="1" applyAlignment="1" applyProtection="1">
      <alignment horizontal="left"/>
      <protection locked="0"/>
    </xf>
    <xf numFmtId="0" fontId="146" fillId="49" borderId="75" xfId="8723" applyFont="1" applyFill="1" applyBorder="1" applyAlignment="1" applyProtection="1">
      <alignment horizontal="left"/>
      <protection locked="0"/>
    </xf>
    <xf numFmtId="0" fontId="143" fillId="45" borderId="81" xfId="8723" applyFont="1" applyFill="1" applyBorder="1" applyAlignment="1">
      <alignment horizontal="center"/>
    </xf>
    <xf numFmtId="0" fontId="143" fillId="45" borderId="11" xfId="8723" applyFont="1" applyFill="1" applyBorder="1" applyAlignment="1">
      <alignment horizontal="center"/>
    </xf>
    <xf numFmtId="0" fontId="143" fillId="45" borderId="3" xfId="8723" applyFont="1" applyFill="1" applyBorder="1" applyAlignment="1">
      <alignment horizontal="center"/>
    </xf>
    <xf numFmtId="0" fontId="143" fillId="45" borderId="4" xfId="8723" applyFont="1" applyFill="1" applyBorder="1" applyAlignment="1">
      <alignment horizontal="center"/>
    </xf>
    <xf numFmtId="0" fontId="143" fillId="45" borderId="80" xfId="8723" applyFont="1" applyFill="1" applyBorder="1" applyAlignment="1">
      <alignment horizontal="center"/>
    </xf>
    <xf numFmtId="0" fontId="99" fillId="45" borderId="73" xfId="8723" applyFont="1" applyFill="1" applyBorder="1" applyAlignment="1">
      <alignment horizontal="center"/>
    </xf>
    <xf numFmtId="0" fontId="99" fillId="45" borderId="74" xfId="8723" applyFont="1" applyFill="1" applyBorder="1" applyAlignment="1">
      <alignment horizontal="center"/>
    </xf>
    <xf numFmtId="14" fontId="146" fillId="49" borderId="84" xfId="8723" applyNumberFormat="1" applyFont="1" applyFill="1" applyBorder="1" applyAlignment="1" applyProtection="1">
      <alignment horizontal="center"/>
      <protection locked="0"/>
    </xf>
    <xf numFmtId="0" fontId="146" fillId="49" borderId="74" xfId="8723" applyFont="1" applyFill="1" applyBorder="1" applyAlignment="1" applyProtection="1">
      <alignment horizontal="center"/>
      <protection locked="0"/>
    </xf>
    <xf numFmtId="0" fontId="146" fillId="49" borderId="94" xfId="8723" applyFont="1" applyFill="1" applyBorder="1" applyAlignment="1" applyProtection="1">
      <alignment horizontal="center"/>
      <protection locked="0"/>
    </xf>
    <xf numFmtId="0" fontId="161" fillId="44" borderId="73" xfId="8723" applyFont="1" applyFill="1" applyBorder="1" applyAlignment="1" applyProtection="1">
      <alignment horizontal="right"/>
      <protection locked="0"/>
    </xf>
    <xf numFmtId="0" fontId="161" fillId="44" borderId="74" xfId="8723" applyFont="1" applyFill="1" applyBorder="1" applyAlignment="1" applyProtection="1">
      <alignment horizontal="right"/>
      <protection locked="0"/>
    </xf>
    <xf numFmtId="0" fontId="161" fillId="44" borderId="94" xfId="8723" applyFont="1" applyFill="1" applyBorder="1" applyAlignment="1" applyProtection="1">
      <alignment horizontal="right"/>
      <protection locked="0"/>
    </xf>
    <xf numFmtId="0" fontId="161" fillId="49" borderId="84" xfId="8723" applyFont="1" applyFill="1" applyBorder="1" applyAlignment="1" applyProtection="1">
      <alignment horizontal="left"/>
      <protection locked="0"/>
    </xf>
    <xf numFmtId="0" fontId="161" fillId="49" borderId="74" xfId="8723" applyFont="1" applyFill="1" applyBorder="1" applyAlignment="1" applyProtection="1">
      <alignment horizontal="left"/>
      <protection locked="0"/>
    </xf>
    <xf numFmtId="0" fontId="161" fillId="49" borderId="94" xfId="8723" applyFont="1" applyFill="1" applyBorder="1" applyAlignment="1" applyProtection="1">
      <alignment horizontal="left"/>
      <protection locked="0"/>
    </xf>
    <xf numFmtId="168" fontId="163" fillId="49" borderId="11" xfId="700" applyNumberFormat="1" applyFont="1" applyFill="1" applyBorder="1" applyAlignment="1" applyProtection="1">
      <alignment horizontal="left"/>
      <protection locked="0"/>
    </xf>
    <xf numFmtId="168" fontId="163" fillId="49" borderId="92" xfId="700" applyNumberFormat="1" applyFont="1" applyFill="1" applyBorder="1" applyAlignment="1" applyProtection="1">
      <alignment horizontal="left"/>
      <protection locked="0"/>
    </xf>
    <xf numFmtId="0" fontId="161" fillId="49" borderId="72" xfId="8723" applyFont="1" applyFill="1" applyBorder="1" applyAlignment="1" applyProtection="1">
      <alignment horizontal="left"/>
      <protection locked="0"/>
    </xf>
    <xf numFmtId="0" fontId="161" fillId="49" borderId="75" xfId="8723" applyFont="1" applyFill="1" applyBorder="1" applyAlignment="1" applyProtection="1">
      <alignment horizontal="left"/>
      <protection locked="0"/>
    </xf>
    <xf numFmtId="0" fontId="143" fillId="45" borderId="73" xfId="8723" applyFont="1" applyFill="1" applyBorder="1" applyAlignment="1">
      <alignment horizontal="center"/>
    </xf>
    <xf numFmtId="0" fontId="143" fillId="45" borderId="74" xfId="8723" applyFont="1" applyFill="1" applyBorder="1" applyAlignment="1">
      <alignment horizontal="center"/>
    </xf>
    <xf numFmtId="0" fontId="99" fillId="45" borderId="71" xfId="8723" applyFont="1" applyFill="1" applyBorder="1" applyAlignment="1">
      <alignment horizontal="center"/>
    </xf>
    <xf numFmtId="0" fontId="99" fillId="45" borderId="72" xfId="8723" applyFont="1" applyFill="1" applyBorder="1" applyAlignment="1">
      <alignment horizontal="center"/>
    </xf>
    <xf numFmtId="0" fontId="143" fillId="45" borderId="96" xfId="8723" applyFont="1" applyFill="1" applyBorder="1" applyAlignment="1">
      <alignment horizontal="center"/>
    </xf>
    <xf numFmtId="0" fontId="143" fillId="45" borderId="13" xfId="8723" applyFont="1" applyFill="1" applyBorder="1" applyAlignment="1">
      <alignment horizontal="center"/>
    </xf>
    <xf numFmtId="0" fontId="161" fillId="49" borderId="81" xfId="8723" applyFont="1" applyFill="1" applyBorder="1" applyAlignment="1" applyProtection="1">
      <alignment horizontal="left" vertical="top"/>
      <protection locked="0"/>
    </xf>
    <xf numFmtId="0" fontId="161" fillId="49" borderId="11" xfId="8723" applyFont="1" applyFill="1" applyBorder="1" applyAlignment="1" applyProtection="1">
      <alignment horizontal="left" vertical="top"/>
      <protection locked="0"/>
    </xf>
    <xf numFmtId="0" fontId="161" fillId="49" borderId="92" xfId="8723" applyFont="1" applyFill="1" applyBorder="1" applyAlignment="1" applyProtection="1">
      <alignment horizontal="left" vertical="top"/>
      <protection locked="0"/>
    </xf>
    <xf numFmtId="0" fontId="161" fillId="49" borderId="73" xfId="8723" applyFont="1" applyFill="1" applyBorder="1" applyAlignment="1" applyProtection="1">
      <alignment horizontal="left" vertical="top"/>
      <protection locked="0"/>
    </xf>
    <xf numFmtId="0" fontId="161" fillId="49" borderId="74" xfId="8723" applyFont="1" applyFill="1" applyBorder="1" applyAlignment="1" applyProtection="1">
      <alignment horizontal="left" vertical="top"/>
      <protection locked="0"/>
    </xf>
    <xf numFmtId="0" fontId="161" fillId="49" borderId="94" xfId="8723" applyFont="1" applyFill="1" applyBorder="1" applyAlignment="1" applyProtection="1">
      <alignment horizontal="left" vertical="top"/>
      <protection locked="0"/>
    </xf>
    <xf numFmtId="0" fontId="161" fillId="49" borderId="81" xfId="8723" applyFont="1" applyFill="1" applyBorder="1" applyAlignment="1" applyProtection="1">
      <alignment horizontal="center"/>
      <protection locked="0"/>
    </xf>
    <xf numFmtId="0" fontId="143" fillId="45" borderId="95" xfId="8723" applyFont="1" applyFill="1" applyBorder="1" applyAlignment="1">
      <alignment horizontal="right"/>
    </xf>
    <xf numFmtId="0" fontId="143" fillId="45" borderId="43" xfId="8723" applyFont="1" applyFill="1" applyBorder="1" applyAlignment="1">
      <alignment horizontal="right"/>
    </xf>
    <xf numFmtId="168" fontId="143" fillId="45" borderId="43" xfId="8723" applyNumberFormat="1" applyFont="1" applyFill="1" applyBorder="1" applyAlignment="1">
      <alignment horizontal="left"/>
    </xf>
    <xf numFmtId="168" fontId="143" fillId="45" borderId="97" xfId="8723" applyNumberFormat="1" applyFont="1" applyFill="1" applyBorder="1" applyAlignment="1">
      <alignment horizontal="left"/>
    </xf>
    <xf numFmtId="0" fontId="99" fillId="45" borderId="71" xfId="8723" applyFont="1" applyFill="1" applyBorder="1" applyAlignment="1">
      <alignment horizontal="center" wrapText="1"/>
    </xf>
    <xf numFmtId="0" fontId="99" fillId="45" borderId="72" xfId="8723" applyFont="1" applyFill="1" applyBorder="1" applyAlignment="1">
      <alignment horizontal="center" wrapText="1"/>
    </xf>
    <xf numFmtId="0" fontId="99" fillId="45" borderId="75" xfId="8723" applyFont="1" applyFill="1" applyBorder="1" applyAlignment="1">
      <alignment horizontal="center" wrapText="1"/>
    </xf>
    <xf numFmtId="0" fontId="99" fillId="45" borderId="71" xfId="8723" applyFont="1" applyFill="1" applyBorder="1" applyAlignment="1">
      <alignment horizontal="left" wrapText="1"/>
    </xf>
    <xf numFmtId="0" fontId="99" fillId="45" borderId="72" xfId="8723" applyFont="1" applyFill="1" applyBorder="1" applyAlignment="1">
      <alignment horizontal="left" wrapText="1"/>
    </xf>
    <xf numFmtId="0" fontId="99" fillId="45" borderId="81" xfId="8723" applyFont="1" applyFill="1" applyBorder="1" applyAlignment="1">
      <alignment horizontal="left" wrapText="1"/>
    </xf>
    <xf numFmtId="0" fontId="99" fillId="45" borderId="11" xfId="8723" applyFont="1" applyFill="1" applyBorder="1" applyAlignment="1">
      <alignment horizontal="left" wrapText="1"/>
    </xf>
    <xf numFmtId="0" fontId="146" fillId="49" borderId="72" xfId="8723" applyFont="1" applyFill="1" applyBorder="1" applyAlignment="1" applyProtection="1">
      <alignment horizontal="left" wrapText="1"/>
      <protection locked="0"/>
    </xf>
    <xf numFmtId="0" fontId="146" fillId="49" borderId="75" xfId="8723" applyFont="1" applyFill="1" applyBorder="1" applyAlignment="1" applyProtection="1">
      <alignment horizontal="left" wrapText="1"/>
      <protection locked="0"/>
    </xf>
    <xf numFmtId="0" fontId="146" fillId="49" borderId="11" xfId="8723" applyFont="1" applyFill="1" applyBorder="1" applyAlignment="1" applyProtection="1">
      <alignment horizontal="left" wrapText="1"/>
      <protection locked="0"/>
    </xf>
    <xf numFmtId="0" fontId="146" fillId="49" borderId="92" xfId="8723" applyFont="1" applyFill="1" applyBorder="1" applyAlignment="1" applyProtection="1">
      <alignment horizontal="left" wrapText="1"/>
      <protection locked="0"/>
    </xf>
    <xf numFmtId="0" fontId="147" fillId="45" borderId="11" xfId="8723" applyFont="1" applyFill="1" applyBorder="1" applyAlignment="1">
      <alignment horizontal="center" wrapText="1"/>
    </xf>
    <xf numFmtId="0" fontId="2" fillId="49" borderId="11" xfId="8723" applyFill="1" applyBorder="1" applyAlignment="1" applyProtection="1">
      <alignment horizontal="center"/>
      <protection locked="0"/>
    </xf>
    <xf numFmtId="0" fontId="161" fillId="49" borderId="81" xfId="8723" applyFont="1" applyFill="1" applyBorder="1" applyAlignment="1">
      <alignment horizontal="left" vertical="top"/>
    </xf>
    <xf numFmtId="0" fontId="161" fillId="49" borderId="11" xfId="8723" applyFont="1" applyFill="1" applyBorder="1" applyAlignment="1">
      <alignment horizontal="left" vertical="top"/>
    </xf>
    <xf numFmtId="0" fontId="161" fillId="49" borderId="92" xfId="8723" applyFont="1" applyFill="1" applyBorder="1" applyAlignment="1">
      <alignment horizontal="left" vertical="top"/>
    </xf>
    <xf numFmtId="0" fontId="161" fillId="49" borderId="73" xfId="8723" applyFont="1" applyFill="1" applyBorder="1" applyAlignment="1">
      <alignment horizontal="left" vertical="top"/>
    </xf>
    <xf numFmtId="0" fontId="161" fillId="49" borderId="74" xfId="8723" applyFont="1" applyFill="1" applyBorder="1" applyAlignment="1">
      <alignment horizontal="left" vertical="top"/>
    </xf>
    <xf numFmtId="0" fontId="161" fillId="49" borderId="94" xfId="8723" applyFont="1" applyFill="1" applyBorder="1" applyAlignment="1">
      <alignment horizontal="left" vertical="top"/>
    </xf>
    <xf numFmtId="0" fontId="2" fillId="49" borderId="74" xfId="8723" applyFill="1" applyBorder="1" applyAlignment="1" applyProtection="1">
      <alignment horizontal="center"/>
      <protection locked="0"/>
    </xf>
    <xf numFmtId="0" fontId="2" fillId="49" borderId="94" xfId="8723" applyFill="1" applyBorder="1" applyAlignment="1" applyProtection="1">
      <alignment horizontal="center"/>
      <protection locked="0"/>
    </xf>
    <xf numFmtId="0" fontId="2" fillId="49" borderId="92" xfId="8723" applyFill="1" applyBorder="1" applyAlignment="1" applyProtection="1">
      <alignment horizontal="center"/>
      <protection locked="0"/>
    </xf>
    <xf numFmtId="0" fontId="99" fillId="45" borderId="75" xfId="8723" applyFont="1" applyFill="1" applyBorder="1" applyAlignment="1">
      <alignment horizontal="center"/>
    </xf>
    <xf numFmtId="0" fontId="2" fillId="47" borderId="74" xfId="8723" applyFill="1" applyBorder="1" applyAlignment="1" applyProtection="1">
      <alignment horizontal="center"/>
      <protection locked="0"/>
    </xf>
    <xf numFmtId="0" fontId="2" fillId="47" borderId="94" xfId="8723" applyFill="1" applyBorder="1" applyAlignment="1" applyProtection="1">
      <alignment horizontal="center"/>
      <protection locked="0"/>
    </xf>
    <xf numFmtId="0" fontId="99" fillId="45" borderId="81" xfId="8723" applyFont="1" applyFill="1" applyBorder="1" applyAlignment="1">
      <alignment horizontal="center"/>
    </xf>
    <xf numFmtId="0" fontId="99" fillId="45" borderId="11" xfId="8723" applyFont="1" applyFill="1" applyBorder="1" applyAlignment="1">
      <alignment horizontal="center"/>
    </xf>
    <xf numFmtId="0" fontId="148" fillId="45" borderId="11" xfId="8723" applyFont="1" applyFill="1" applyBorder="1" applyAlignment="1">
      <alignment horizontal="center" wrapText="1"/>
    </xf>
    <xf numFmtId="0" fontId="148" fillId="45" borderId="92" xfId="8723" applyFont="1" applyFill="1" applyBorder="1" applyAlignment="1">
      <alignment horizontal="center" wrapText="1"/>
    </xf>
    <xf numFmtId="0" fontId="99" fillId="45" borderId="75" xfId="8723" applyFont="1" applyFill="1" applyBorder="1" applyAlignment="1">
      <alignment horizontal="left" wrapText="1"/>
    </xf>
    <xf numFmtId="0" fontId="99" fillId="45" borderId="92" xfId="8723" applyFont="1" applyFill="1" applyBorder="1" applyAlignment="1">
      <alignment horizontal="left" wrapText="1"/>
    </xf>
    <xf numFmtId="0" fontId="99" fillId="45" borderId="66" xfId="8723" applyFont="1" applyFill="1" applyBorder="1" applyAlignment="1">
      <alignment horizontal="center"/>
    </xf>
    <xf numFmtId="0" fontId="99" fillId="45" borderId="29" xfId="8723" applyFont="1" applyFill="1" applyBorder="1" applyAlignment="1">
      <alignment horizontal="center"/>
    </xf>
    <xf numFmtId="0" fontId="99" fillId="45" borderId="31" xfId="8723" applyFont="1" applyFill="1" applyBorder="1" applyAlignment="1">
      <alignment horizontal="center"/>
    </xf>
    <xf numFmtId="0" fontId="158" fillId="45" borderId="11" xfId="8723" applyFont="1" applyFill="1" applyBorder="1" applyAlignment="1">
      <alignment horizontal="left"/>
    </xf>
    <xf numFmtId="0" fontId="158" fillId="45" borderId="92" xfId="8723" applyFont="1" applyFill="1" applyBorder="1" applyAlignment="1">
      <alignment horizontal="left"/>
    </xf>
    <xf numFmtId="0" fontId="159" fillId="45" borderId="81" xfId="8723" applyFont="1" applyFill="1" applyBorder="1" applyAlignment="1">
      <alignment horizontal="left"/>
    </xf>
    <xf numFmtId="0" fontId="159" fillId="45" borderId="11" xfId="8723" applyFont="1" applyFill="1" applyBorder="1" applyAlignment="1">
      <alignment horizontal="left"/>
    </xf>
    <xf numFmtId="0" fontId="159" fillId="45" borderId="73" xfId="8723" applyFont="1" applyFill="1" applyBorder="1" applyAlignment="1">
      <alignment horizontal="left"/>
    </xf>
    <xf numFmtId="0" fontId="159" fillId="45" borderId="74" xfId="8723" applyFont="1" applyFill="1" applyBorder="1" applyAlignment="1">
      <alignment horizontal="left"/>
    </xf>
    <xf numFmtId="0" fontId="143" fillId="45" borderId="71" xfId="8723" applyFont="1" applyFill="1" applyBorder="1" applyAlignment="1">
      <alignment horizontal="left"/>
    </xf>
    <xf numFmtId="0" fontId="143" fillId="45" borderId="72" xfId="8723" applyFont="1" applyFill="1" applyBorder="1" applyAlignment="1">
      <alignment horizontal="left"/>
    </xf>
    <xf numFmtId="0" fontId="152" fillId="45" borderId="81" xfId="8723" applyFont="1" applyFill="1" applyBorder="1" applyAlignment="1">
      <alignment horizontal="left"/>
    </xf>
    <xf numFmtId="0" fontId="152" fillId="45" borderId="11" xfId="8723" applyFont="1" applyFill="1" applyBorder="1" applyAlignment="1">
      <alignment horizontal="left"/>
    </xf>
    <xf numFmtId="0" fontId="162" fillId="49" borderId="11" xfId="8723" applyFont="1" applyFill="1" applyBorder="1" applyAlignment="1" applyProtection="1">
      <alignment horizontal="left"/>
      <protection locked="0"/>
    </xf>
    <xf numFmtId="0" fontId="162" fillId="49" borderId="92" xfId="8723" applyFont="1" applyFill="1" applyBorder="1" applyAlignment="1" applyProtection="1">
      <alignment horizontal="left"/>
      <protection locked="0"/>
    </xf>
    <xf numFmtId="0" fontId="163" fillId="49" borderId="81" xfId="8723" applyFont="1" applyFill="1" applyBorder="1" applyAlignment="1" applyProtection="1">
      <alignment horizontal="left" vertical="top"/>
      <protection locked="0"/>
    </xf>
    <xf numFmtId="0" fontId="163" fillId="49" borderId="11" xfId="8723" applyFont="1" applyFill="1" applyBorder="1" applyAlignment="1" applyProtection="1">
      <alignment horizontal="left" vertical="top"/>
      <protection locked="0"/>
    </xf>
    <xf numFmtId="0" fontId="163" fillId="49" borderId="92" xfId="8723" applyFont="1" applyFill="1" applyBorder="1" applyAlignment="1" applyProtection="1">
      <alignment horizontal="left" vertical="top"/>
      <protection locked="0"/>
    </xf>
    <xf numFmtId="0" fontId="163" fillId="49" borderId="73" xfId="8723" applyFont="1" applyFill="1" applyBorder="1" applyAlignment="1" applyProtection="1">
      <alignment horizontal="left" vertical="top"/>
      <protection locked="0"/>
    </xf>
    <xf numFmtId="0" fontId="163" fillId="49" borderId="74" xfId="8723" applyFont="1" applyFill="1" applyBorder="1" applyAlignment="1" applyProtection="1">
      <alignment horizontal="left" vertical="top"/>
      <protection locked="0"/>
    </xf>
    <xf numFmtId="0" fontId="163" fillId="49" borderId="94" xfId="8723" applyFont="1" applyFill="1" applyBorder="1" applyAlignment="1" applyProtection="1">
      <alignment horizontal="left" vertical="top"/>
      <protection locked="0"/>
    </xf>
    <xf numFmtId="0" fontId="171" fillId="45" borderId="81" xfId="8723" applyFont="1" applyFill="1" applyBorder="1" applyAlignment="1">
      <alignment horizontal="center"/>
    </xf>
    <xf numFmtId="0" fontId="171" fillId="45" borderId="11" xfId="8723" applyFont="1" applyFill="1" applyBorder="1" applyAlignment="1">
      <alignment horizontal="center"/>
    </xf>
    <xf numFmtId="0" fontId="163" fillId="49" borderId="11" xfId="8723" applyFont="1" applyFill="1" applyBorder="1" applyAlignment="1" applyProtection="1">
      <alignment horizontal="center"/>
      <protection locked="0"/>
    </xf>
    <xf numFmtId="14" fontId="161" fillId="49" borderId="11" xfId="8723" applyNumberFormat="1" applyFont="1" applyFill="1" applyBorder="1" applyAlignment="1" applyProtection="1">
      <alignment horizontal="center"/>
      <protection locked="0"/>
    </xf>
    <xf numFmtId="14" fontId="163" fillId="49" borderId="11" xfId="8723" applyNumberFormat="1" applyFont="1" applyFill="1" applyBorder="1" applyAlignment="1" applyProtection="1">
      <alignment horizontal="center"/>
      <protection locked="0"/>
    </xf>
    <xf numFmtId="0" fontId="99" fillId="45" borderId="92" xfId="8723" applyFont="1" applyFill="1" applyBorder="1" applyAlignment="1">
      <alignment horizontal="center"/>
    </xf>
    <xf numFmtId="168" fontId="163" fillId="49" borderId="11" xfId="8724" applyNumberFormat="1" applyFont="1" applyFill="1" applyBorder="1" applyAlignment="1" applyProtection="1">
      <alignment horizontal="center"/>
      <protection locked="0"/>
    </xf>
    <xf numFmtId="168" fontId="163" fillId="49" borderId="92" xfId="8724" applyNumberFormat="1" applyFont="1" applyFill="1" applyBorder="1" applyAlignment="1" applyProtection="1">
      <alignment horizontal="center"/>
      <protection locked="0"/>
    </xf>
    <xf numFmtId="0" fontId="157" fillId="49" borderId="11" xfId="8723" applyFont="1" applyFill="1" applyBorder="1" applyAlignment="1" applyProtection="1">
      <alignment horizontal="left"/>
      <protection locked="0"/>
    </xf>
    <xf numFmtId="0" fontId="171" fillId="45" borderId="73" xfId="8723" applyFont="1" applyFill="1" applyBorder="1" applyAlignment="1">
      <alignment horizontal="center"/>
    </xf>
    <xf numFmtId="0" fontId="171" fillId="45" borderId="74" xfId="8723" applyFont="1" applyFill="1" applyBorder="1" applyAlignment="1">
      <alignment horizontal="center"/>
    </xf>
    <xf numFmtId="0" fontId="157" fillId="49" borderId="74" xfId="8723" applyFont="1" applyFill="1" applyBorder="1" applyAlignment="1" applyProtection="1">
      <alignment horizontal="left"/>
      <protection locked="0"/>
    </xf>
    <xf numFmtId="0" fontId="163" fillId="49" borderId="74" xfId="8723" applyFont="1" applyFill="1" applyBorder="1" applyAlignment="1" applyProtection="1">
      <alignment horizontal="center"/>
      <protection locked="0"/>
    </xf>
    <xf numFmtId="14" fontId="163" fillId="49" borderId="74" xfId="8723" applyNumberFormat="1" applyFont="1" applyFill="1" applyBorder="1" applyAlignment="1" applyProtection="1">
      <alignment horizontal="center"/>
      <protection locked="0"/>
    </xf>
    <xf numFmtId="168" fontId="163" fillId="49" borderId="74" xfId="8724" applyNumberFormat="1" applyFont="1" applyFill="1" applyBorder="1" applyAlignment="1" applyProtection="1">
      <alignment horizontal="center"/>
      <protection locked="0"/>
    </xf>
    <xf numFmtId="168" fontId="163" fillId="49" borderId="94" xfId="8724" applyNumberFormat="1" applyFont="1" applyFill="1" applyBorder="1" applyAlignment="1" applyProtection="1">
      <alignment horizontal="center"/>
      <protection locked="0"/>
    </xf>
    <xf numFmtId="14" fontId="161" fillId="49" borderId="92" xfId="8723" applyNumberFormat="1" applyFont="1" applyFill="1" applyBorder="1" applyAlignment="1" applyProtection="1">
      <alignment horizontal="center"/>
      <protection locked="0"/>
    </xf>
    <xf numFmtId="0" fontId="143" fillId="45" borderId="75" xfId="8723" applyFont="1" applyFill="1" applyBorder="1" applyAlignment="1">
      <alignment horizontal="left"/>
    </xf>
    <xf numFmtId="0" fontId="161" fillId="45" borderId="81" xfId="8723" applyFont="1" applyFill="1" applyBorder="1" applyAlignment="1">
      <alignment horizontal="right"/>
    </xf>
    <xf numFmtId="0" fontId="161" fillId="45" borderId="11" xfId="8723" applyFont="1" applyFill="1" applyBorder="1" applyAlignment="1">
      <alignment horizontal="right"/>
    </xf>
    <xf numFmtId="168" fontId="163" fillId="44" borderId="11" xfId="700" applyNumberFormat="1" applyFont="1" applyFill="1" applyBorder="1" applyAlignment="1">
      <alignment horizontal="left"/>
    </xf>
    <xf numFmtId="0" fontId="147" fillId="47" borderId="11" xfId="8723" applyFont="1" applyFill="1" applyBorder="1" applyAlignment="1">
      <alignment horizontal="center"/>
    </xf>
    <xf numFmtId="0" fontId="147" fillId="47" borderId="92" xfId="8723" applyFont="1" applyFill="1" applyBorder="1" applyAlignment="1">
      <alignment horizontal="center"/>
    </xf>
    <xf numFmtId="0" fontId="163" fillId="45" borderId="81" xfId="8723" applyFont="1" applyFill="1" applyBorder="1" applyAlignment="1">
      <alignment horizontal="right"/>
    </xf>
    <xf numFmtId="0" fontId="163" fillId="45" borderId="11" xfId="8723" applyFont="1" applyFill="1" applyBorder="1" applyAlignment="1">
      <alignment horizontal="right"/>
    </xf>
    <xf numFmtId="0" fontId="161" fillId="49" borderId="73" xfId="8723" applyFont="1" applyFill="1" applyBorder="1" applyAlignment="1" applyProtection="1">
      <alignment horizontal="center"/>
      <protection locked="0"/>
    </xf>
    <xf numFmtId="0" fontId="161" fillId="49" borderId="74" xfId="8723" applyFont="1" applyFill="1" applyBorder="1" applyAlignment="1" applyProtection="1">
      <alignment horizontal="center"/>
      <protection locked="0"/>
    </xf>
    <xf numFmtId="14" fontId="161" fillId="49" borderId="74" xfId="8723" applyNumberFormat="1" applyFont="1" applyFill="1" applyBorder="1" applyAlignment="1" applyProtection="1">
      <alignment horizontal="center"/>
      <protection locked="0"/>
    </xf>
    <xf numFmtId="14" fontId="161" fillId="49" borderId="94" xfId="8723" applyNumberFormat="1" applyFont="1" applyFill="1" applyBorder="1" applyAlignment="1" applyProtection="1">
      <alignment horizontal="center"/>
      <protection locked="0"/>
    </xf>
    <xf numFmtId="0" fontId="99" fillId="0" borderId="0" xfId="8723" applyFont="1" applyAlignment="1">
      <alignment horizontal="left" wrapText="1"/>
    </xf>
    <xf numFmtId="0" fontId="148" fillId="45" borderId="82" xfId="8723" applyFont="1" applyFill="1" applyBorder="1" applyAlignment="1">
      <alignment horizontal="center"/>
    </xf>
    <xf numFmtId="0" fontId="148" fillId="45" borderId="83" xfId="8723" applyFont="1" applyFill="1" applyBorder="1" applyAlignment="1">
      <alignment horizontal="center"/>
    </xf>
    <xf numFmtId="168" fontId="157" fillId="44" borderId="74" xfId="8724" applyNumberFormat="1" applyFont="1" applyFill="1" applyBorder="1" applyAlignment="1">
      <alignment horizontal="left"/>
    </xf>
    <xf numFmtId="168" fontId="157" fillId="44" borderId="94" xfId="8724" applyNumberFormat="1" applyFont="1" applyFill="1" applyBorder="1" applyAlignment="1">
      <alignment horizontal="left"/>
    </xf>
    <xf numFmtId="168" fontId="161" fillId="44" borderId="11" xfId="700" applyNumberFormat="1" applyFont="1" applyFill="1" applyBorder="1" applyAlignment="1">
      <alignment horizontal="left"/>
    </xf>
    <xf numFmtId="0" fontId="147" fillId="45" borderId="66" xfId="8723" applyFont="1" applyFill="1" applyBorder="1" applyAlignment="1">
      <alignment horizontal="center"/>
    </xf>
    <xf numFmtId="0" fontId="147" fillId="45" borderId="29" xfId="8723" applyFont="1" applyFill="1" applyBorder="1" applyAlignment="1">
      <alignment horizontal="center"/>
    </xf>
    <xf numFmtId="0" fontId="147" fillId="45" borderId="28" xfId="8723" applyFont="1" applyFill="1" applyBorder="1" applyAlignment="1">
      <alignment horizontal="center"/>
    </xf>
    <xf numFmtId="0" fontId="147" fillId="45" borderId="104" xfId="8723" applyFont="1" applyFill="1" applyBorder="1" applyAlignment="1">
      <alignment horizontal="center"/>
    </xf>
    <xf numFmtId="0" fontId="147" fillId="45" borderId="6" xfId="8723" applyFont="1" applyFill="1" applyBorder="1" applyAlignment="1">
      <alignment horizontal="center"/>
    </xf>
    <xf numFmtId="0" fontId="147" fillId="45" borderId="10" xfId="8723" applyFont="1" applyFill="1" applyBorder="1" applyAlignment="1">
      <alignment horizontal="center"/>
    </xf>
    <xf numFmtId="164" fontId="148" fillId="45" borderId="100" xfId="8724" applyNumberFormat="1" applyFont="1" applyFill="1" applyBorder="1" applyAlignment="1" applyProtection="1">
      <alignment horizontal="center" wrapText="1"/>
      <protection locked="0"/>
    </xf>
    <xf numFmtId="164" fontId="148" fillId="45" borderId="29" xfId="8724" applyNumberFormat="1" applyFont="1" applyFill="1" applyBorder="1" applyAlignment="1" applyProtection="1">
      <alignment horizontal="center" wrapText="1"/>
      <protection locked="0"/>
    </xf>
    <xf numFmtId="164" fontId="148" fillId="45" borderId="28" xfId="8724" applyNumberFormat="1" applyFont="1" applyFill="1" applyBorder="1" applyAlignment="1" applyProtection="1">
      <alignment horizontal="center" wrapText="1"/>
      <protection locked="0"/>
    </xf>
    <xf numFmtId="164" fontId="148" fillId="45" borderId="9" xfId="8724" applyNumberFormat="1" applyFont="1" applyFill="1" applyBorder="1" applyAlignment="1" applyProtection="1">
      <alignment horizontal="center" wrapText="1"/>
      <protection locked="0"/>
    </xf>
    <xf numFmtId="164" fontId="148" fillId="45" borderId="6" xfId="8724" applyNumberFormat="1" applyFont="1" applyFill="1" applyBorder="1" applyAlignment="1" applyProtection="1">
      <alignment horizontal="center" wrapText="1"/>
      <protection locked="0"/>
    </xf>
    <xf numFmtId="164" fontId="148" fillId="45" borderId="10" xfId="8724" applyNumberFormat="1" applyFont="1" applyFill="1" applyBorder="1" applyAlignment="1" applyProtection="1">
      <alignment horizontal="center" wrapText="1"/>
      <protection locked="0"/>
    </xf>
    <xf numFmtId="164" fontId="148" fillId="45" borderId="31" xfId="8724" applyNumberFormat="1" applyFont="1" applyFill="1" applyBorder="1" applyAlignment="1" applyProtection="1">
      <alignment horizontal="center" wrapText="1"/>
      <protection locked="0"/>
    </xf>
    <xf numFmtId="164" fontId="148" fillId="45" borderId="105" xfId="8724" applyNumberFormat="1" applyFont="1" applyFill="1" applyBorder="1" applyAlignment="1" applyProtection="1">
      <alignment horizontal="center" wrapText="1"/>
      <protection locked="0"/>
    </xf>
    <xf numFmtId="168" fontId="161" fillId="49" borderId="11" xfId="700" applyNumberFormat="1" applyFont="1" applyFill="1" applyBorder="1" applyAlignment="1" applyProtection="1">
      <alignment horizontal="left"/>
    </xf>
    <xf numFmtId="0" fontId="171" fillId="49" borderId="81" xfId="8723" applyFont="1" applyFill="1" applyBorder="1" applyAlignment="1">
      <alignment horizontal="left"/>
    </xf>
    <xf numFmtId="0" fontId="171" fillId="49" borderId="11" xfId="8723" applyFont="1" applyFill="1" applyBorder="1" applyAlignment="1">
      <alignment horizontal="left"/>
    </xf>
    <xf numFmtId="168" fontId="157" fillId="49" borderId="11" xfId="700" applyNumberFormat="1" applyFont="1" applyFill="1" applyBorder="1" applyAlignment="1" applyProtection="1">
      <alignment horizontal="left"/>
      <protection locked="0"/>
    </xf>
    <xf numFmtId="168" fontId="157" fillId="49" borderId="92" xfId="700" applyNumberFormat="1" applyFont="1" applyFill="1" applyBorder="1" applyAlignment="1" applyProtection="1">
      <alignment horizontal="left"/>
      <protection locked="0"/>
    </xf>
    <xf numFmtId="0" fontId="163" fillId="49" borderId="11" xfId="8723" applyFont="1" applyFill="1" applyBorder="1" applyAlignment="1" applyProtection="1">
      <alignment horizontal="left"/>
      <protection locked="0"/>
    </xf>
    <xf numFmtId="0" fontId="163" fillId="49" borderId="81" xfId="8723" applyFont="1" applyFill="1" applyBorder="1" applyAlignment="1" applyProtection="1">
      <alignment horizontal="center"/>
      <protection locked="0"/>
    </xf>
    <xf numFmtId="0" fontId="163" fillId="45" borderId="71" xfId="8723" applyFont="1" applyFill="1" applyBorder="1" applyAlignment="1">
      <alignment horizontal="right"/>
    </xf>
    <xf numFmtId="0" fontId="163" fillId="45" borderId="72" xfId="8723" applyFont="1" applyFill="1" applyBorder="1" applyAlignment="1">
      <alignment horizontal="right"/>
    </xf>
    <xf numFmtId="168" fontId="146" fillId="44" borderId="72" xfId="700" applyNumberFormat="1" applyFont="1" applyFill="1" applyBorder="1" applyAlignment="1">
      <alignment horizontal="left"/>
    </xf>
    <xf numFmtId="168" fontId="146" fillId="44" borderId="75" xfId="700" applyNumberFormat="1" applyFont="1" applyFill="1" applyBorder="1" applyAlignment="1">
      <alignment horizontal="left"/>
    </xf>
    <xf numFmtId="0" fontId="161" fillId="49" borderId="82" xfId="8723" applyFont="1" applyFill="1" applyBorder="1" applyAlignment="1" applyProtection="1">
      <alignment horizontal="center"/>
      <protection locked="0"/>
    </xf>
    <xf numFmtId="0" fontId="161" fillId="49" borderId="83" xfId="8723" applyFont="1" applyFill="1" applyBorder="1" applyAlignment="1" applyProtection="1">
      <alignment horizontal="center"/>
      <protection locked="0"/>
    </xf>
    <xf numFmtId="0" fontId="163" fillId="49" borderId="74" xfId="8723" applyFont="1" applyFill="1" applyBorder="1" applyAlignment="1" applyProtection="1">
      <alignment horizontal="left"/>
      <protection locked="0"/>
    </xf>
    <xf numFmtId="0" fontId="163" fillId="49" borderId="94" xfId="8723" applyFont="1" applyFill="1" applyBorder="1" applyAlignment="1" applyProtection="1">
      <alignment horizontal="left"/>
      <protection locked="0"/>
    </xf>
    <xf numFmtId="168" fontId="161" fillId="49" borderId="83" xfId="700" applyNumberFormat="1" applyFont="1" applyFill="1" applyBorder="1" applyAlignment="1" applyProtection="1">
      <alignment horizontal="left"/>
      <protection locked="0"/>
    </xf>
    <xf numFmtId="168" fontId="161" fillId="49" borderId="86" xfId="700" applyNumberFormat="1" applyFont="1" applyFill="1" applyBorder="1" applyAlignment="1" applyProtection="1">
      <alignment horizontal="left"/>
      <protection locked="0"/>
    </xf>
    <xf numFmtId="0" fontId="161" fillId="49" borderId="82" xfId="8723" applyFont="1" applyFill="1" applyBorder="1" applyAlignment="1" applyProtection="1">
      <alignment horizontal="left"/>
      <protection locked="0"/>
    </xf>
    <xf numFmtId="0" fontId="161" fillId="49" borderId="83" xfId="8723" applyFont="1" applyFill="1" applyBorder="1" applyAlignment="1" applyProtection="1">
      <alignment horizontal="left"/>
      <protection locked="0"/>
    </xf>
    <xf numFmtId="0" fontId="161" fillId="49" borderId="86" xfId="8723" applyFont="1" applyFill="1" applyBorder="1" applyAlignment="1" applyProtection="1">
      <alignment horizontal="left"/>
      <protection locked="0"/>
    </xf>
    <xf numFmtId="0" fontId="172" fillId="48" borderId="66" xfId="8723" applyFont="1" applyFill="1" applyBorder="1" applyAlignment="1">
      <alignment horizontal="center"/>
    </xf>
    <xf numFmtId="0" fontId="172" fillId="48" borderId="29" xfId="8723" applyFont="1" applyFill="1" applyBorder="1" applyAlignment="1">
      <alignment horizontal="center"/>
    </xf>
    <xf numFmtId="0" fontId="172" fillId="48" borderId="31" xfId="8723" applyFont="1" applyFill="1" applyBorder="1" applyAlignment="1">
      <alignment horizontal="center"/>
    </xf>
    <xf numFmtId="0" fontId="2" fillId="48" borderId="67" xfId="8723" applyFill="1" applyBorder="1" applyAlignment="1">
      <alignment horizontal="center"/>
    </xf>
    <xf numFmtId="0" fontId="2" fillId="48" borderId="0" xfId="8723" applyFill="1" applyAlignment="1">
      <alignment horizontal="center"/>
    </xf>
    <xf numFmtId="0" fontId="2" fillId="48" borderId="41" xfId="8723" applyFill="1" applyBorder="1" applyAlignment="1">
      <alignment horizontal="center"/>
    </xf>
    <xf numFmtId="0" fontId="143" fillId="48" borderId="67" xfId="8723" applyFont="1" applyFill="1" applyBorder="1" applyAlignment="1">
      <alignment horizontal="center"/>
    </xf>
    <xf numFmtId="0" fontId="143" fillId="48" borderId="0" xfId="8723" applyFont="1" applyFill="1" applyAlignment="1">
      <alignment horizontal="center"/>
    </xf>
    <xf numFmtId="0" fontId="143" fillId="48" borderId="41" xfId="8723" applyFont="1" applyFill="1" applyBorder="1" applyAlignment="1">
      <alignment horizontal="center"/>
    </xf>
    <xf numFmtId="0" fontId="99" fillId="48" borderId="67" xfId="8723" applyFont="1" applyFill="1" applyBorder="1" applyAlignment="1">
      <alignment horizontal="center"/>
    </xf>
    <xf numFmtId="0" fontId="99" fillId="48" borderId="0" xfId="8723" applyFont="1" applyFill="1" applyAlignment="1">
      <alignment horizontal="center"/>
    </xf>
    <xf numFmtId="0" fontId="99" fillId="48" borderId="41" xfId="8723" applyFont="1" applyFill="1" applyBorder="1" applyAlignment="1">
      <alignment horizontal="center"/>
    </xf>
    <xf numFmtId="0" fontId="99" fillId="48" borderId="0" xfId="8723" applyFont="1" applyFill="1" applyAlignment="1">
      <alignment horizontal="left"/>
    </xf>
    <xf numFmtId="0" fontId="147" fillId="45" borderId="73" xfId="8723" applyFont="1" applyFill="1" applyBorder="1" applyAlignment="1">
      <alignment horizontal="right"/>
    </xf>
    <xf numFmtId="0" fontId="147" fillId="45" borderId="74" xfId="8723" applyFont="1" applyFill="1" applyBorder="1" applyAlignment="1">
      <alignment horizontal="right"/>
    </xf>
    <xf numFmtId="0" fontId="148" fillId="44" borderId="74" xfId="700" applyNumberFormat="1" applyFont="1" applyFill="1" applyBorder="1" applyAlignment="1">
      <alignment horizontal="left"/>
    </xf>
    <xf numFmtId="168" fontId="148" fillId="44" borderId="74" xfId="700" applyNumberFormat="1" applyFont="1" applyFill="1" applyBorder="1" applyAlignment="1">
      <alignment horizontal="left"/>
    </xf>
    <xf numFmtId="168" fontId="148" fillId="44" borderId="94" xfId="700" applyNumberFormat="1" applyFont="1" applyFill="1" applyBorder="1" applyAlignment="1">
      <alignment horizontal="left"/>
    </xf>
    <xf numFmtId="0" fontId="143" fillId="45" borderId="73" xfId="8723" applyFont="1" applyFill="1" applyBorder="1" applyAlignment="1">
      <alignment horizontal="right"/>
    </xf>
    <xf numFmtId="0" fontId="143" fillId="45" borderId="74" xfId="8723" applyFont="1" applyFill="1" applyBorder="1" applyAlignment="1">
      <alignment horizontal="right"/>
    </xf>
    <xf numFmtId="168" fontId="144" fillId="44" borderId="74" xfId="700" applyNumberFormat="1" applyFont="1" applyFill="1" applyBorder="1" applyAlignment="1" applyProtection="1">
      <alignment horizontal="left"/>
      <protection locked="0"/>
    </xf>
    <xf numFmtId="168" fontId="144" fillId="44" borderId="94" xfId="700" applyNumberFormat="1" applyFont="1" applyFill="1" applyBorder="1" applyAlignment="1" applyProtection="1">
      <alignment horizontal="left"/>
      <protection locked="0"/>
    </xf>
    <xf numFmtId="0" fontId="99" fillId="44" borderId="0" xfId="8723" applyFont="1" applyFill="1" applyAlignment="1">
      <alignment horizontal="left"/>
    </xf>
    <xf numFmtId="0" fontId="2" fillId="49" borderId="68" xfId="8723" applyFill="1" applyBorder="1" applyAlignment="1" applyProtection="1">
      <alignment horizontal="left"/>
      <protection locked="0"/>
    </xf>
    <xf numFmtId="0" fontId="2" fillId="49" borderId="69" xfId="8723" applyFill="1" applyBorder="1" applyAlignment="1" applyProtection="1">
      <alignment horizontal="left"/>
      <protection locked="0"/>
    </xf>
    <xf numFmtId="0" fontId="2" fillId="49" borderId="70" xfId="8723" applyFill="1" applyBorder="1" applyAlignment="1" applyProtection="1">
      <alignment horizontal="left"/>
      <protection locked="0"/>
    </xf>
    <xf numFmtId="0" fontId="148" fillId="44" borderId="0" xfId="8723" applyFont="1" applyFill="1" applyAlignment="1">
      <alignment horizontal="left" vertical="top"/>
    </xf>
    <xf numFmtId="0" fontId="99" fillId="44" borderId="0" xfId="4503" applyFont="1" applyFill="1" applyBorder="1" applyAlignment="1">
      <alignment horizontal="left" vertical="top"/>
    </xf>
    <xf numFmtId="14" fontId="2" fillId="49" borderId="68" xfId="8723" applyNumberFormat="1" applyFill="1" applyBorder="1" applyAlignment="1" applyProtection="1">
      <alignment horizontal="center"/>
      <protection locked="0"/>
    </xf>
    <xf numFmtId="0" fontId="2" fillId="49" borderId="69" xfId="8723" applyFill="1" applyBorder="1" applyAlignment="1" applyProtection="1">
      <alignment horizontal="center"/>
      <protection locked="0"/>
    </xf>
    <xf numFmtId="0" fontId="2" fillId="49" borderId="70" xfId="8723" applyFill="1" applyBorder="1" applyAlignment="1" applyProtection="1">
      <alignment horizontal="center"/>
      <protection locked="0"/>
    </xf>
    <xf numFmtId="0" fontId="143" fillId="48" borderId="0" xfId="8723" applyFont="1" applyFill="1" applyAlignment="1">
      <alignment horizontal="left" vertical="top" wrapText="1"/>
    </xf>
    <xf numFmtId="0" fontId="99" fillId="48" borderId="42" xfId="8723" applyFont="1" applyFill="1" applyBorder="1" applyAlignment="1">
      <alignment horizontal="center"/>
    </xf>
    <xf numFmtId="0" fontId="2" fillId="49" borderId="68" xfId="8723" applyFill="1" applyBorder="1" applyAlignment="1" applyProtection="1">
      <alignment horizontal="center"/>
      <protection locked="0"/>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xf numFmtId="0" fontId="18" fillId="0" borderId="6" xfId="271" applyFont="1" applyBorder="1" applyAlignment="1">
      <alignment horizontal="center"/>
    </xf>
  </cellXfs>
  <cellStyles count="17164">
    <cellStyle name="20% - Accent1" xfId="1" builtinId="30" customBuiltin="1"/>
    <cellStyle name="20% - Accent1 10" xfId="4505" xr:uid="{00000000-0005-0000-0000-000001000000}"/>
    <cellStyle name="20% - Accent1 10 2" xfId="12944" xr:uid="{4F637928-4B87-4FEF-923C-7372F06F7A9F}"/>
    <cellStyle name="20% - Accent1 11" xfId="8726" xr:uid="{024CEEFF-B186-4FC0-B874-4435FB2C8468}"/>
    <cellStyle name="20% - Accent1 2" xfId="2" xr:uid="{00000000-0005-0000-0000-000002000000}"/>
    <cellStyle name="20% - Accent1 2 10" xfId="8727" xr:uid="{76FBAAD6-723D-4416-AAA6-40CA45AA83E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2 2 2" xfId="15506" xr:uid="{DCB1CDE1-361D-497A-8672-31C2956341FD}"/>
    <cellStyle name="20% - Accent1 2 2 2 2 2 3" xfId="11288" xr:uid="{67F494EF-954B-4511-A9B3-6CD39EDC5FD8}"/>
    <cellStyle name="20% - Accent1 2 2 2 2 3" xfId="4922" xr:uid="{00000000-0005-0000-0000-000008000000}"/>
    <cellStyle name="20% - Accent1 2 2 2 2 3 2" xfId="13361" xr:uid="{EE1EFA87-E241-4511-9FFD-615FE8DABD3C}"/>
    <cellStyle name="20% - Accent1 2 2 2 2 4" xfId="9143" xr:uid="{5CD29463-0A6A-4610-8683-01782FE98DD6}"/>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2 2 2" xfId="15919" xr:uid="{F6A227D7-5E33-4480-A2A9-6368E1B9EAF4}"/>
    <cellStyle name="20% - Accent1 2 2 2 3 2 3" xfId="11701" xr:uid="{42B82504-D7BD-4E05-993C-7CFF6FADA50C}"/>
    <cellStyle name="20% - Accent1 2 2 2 3 3" xfId="5335" xr:uid="{00000000-0005-0000-0000-00000C000000}"/>
    <cellStyle name="20% - Accent1 2 2 2 3 3 2" xfId="13774" xr:uid="{95868DD8-778F-401C-91CF-912F9EF4C2C9}"/>
    <cellStyle name="20% - Accent1 2 2 2 3 4" xfId="9556" xr:uid="{99BCEBA0-A964-4453-BCCB-DB8A8E7DF1D7}"/>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2 2 2" xfId="16332" xr:uid="{43617685-25A3-4363-BF0E-338F9BE15CBB}"/>
    <cellStyle name="20% - Accent1 2 2 2 4 2 3" xfId="12114" xr:uid="{2F8F37AB-811F-424C-A5E5-5DC51B84CFA9}"/>
    <cellStyle name="20% - Accent1 2 2 2 4 3" xfId="5748" xr:uid="{00000000-0005-0000-0000-000010000000}"/>
    <cellStyle name="20% - Accent1 2 2 2 4 3 2" xfId="14187" xr:uid="{09B670B0-6A7B-4CBC-B9E6-57780F19C8D4}"/>
    <cellStyle name="20% - Accent1 2 2 2 4 4" xfId="9969" xr:uid="{27506365-BEC3-4FA9-9CF7-1295D537C05B}"/>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2 2 2" xfId="16745" xr:uid="{9AA8A941-B03C-4CAC-BC42-FFC2B55D5034}"/>
    <cellStyle name="20% - Accent1 2 2 2 5 2 3" xfId="12527" xr:uid="{343C3236-45C0-4A48-915E-D7E88630EB5F}"/>
    <cellStyle name="20% - Accent1 2 2 2 5 3" xfId="6161" xr:uid="{00000000-0005-0000-0000-000014000000}"/>
    <cellStyle name="20% - Accent1 2 2 2 5 3 2" xfId="14600" xr:uid="{848063F8-25B0-4CA4-8071-216F374131ED}"/>
    <cellStyle name="20% - Accent1 2 2 2 5 4" xfId="10382" xr:uid="{28E15C21-6C47-458B-BB3F-735174C500C3}"/>
    <cellStyle name="20% - Accent1 2 2 2 6" xfId="2267" xr:uid="{00000000-0005-0000-0000-000015000000}"/>
    <cellStyle name="20% - Accent1 2 2 2 6 2" xfId="6574" xr:uid="{00000000-0005-0000-0000-000016000000}"/>
    <cellStyle name="20% - Accent1 2 2 2 6 2 2" xfId="15013" xr:uid="{56AD6DA7-B195-4BFB-BEBC-05D4E26F08AD}"/>
    <cellStyle name="20% - Accent1 2 2 2 6 3" xfId="10795" xr:uid="{F92488FC-B7EA-43EF-9E5C-83FBEA434463}"/>
    <cellStyle name="20% - Accent1 2 2 2 7" xfId="4508" xr:uid="{00000000-0005-0000-0000-000017000000}"/>
    <cellStyle name="20% - Accent1 2 2 2 7 2" xfId="12947" xr:uid="{D3D3F5B5-40A2-41DE-BF3D-7AB02DDBC4EA}"/>
    <cellStyle name="20% - Accent1 2 2 2 8" xfId="8729" xr:uid="{F615B5BD-F64E-4309-987D-CCDFAD9C327C}"/>
    <cellStyle name="20% - Accent1 2 2 3" xfId="572" xr:uid="{00000000-0005-0000-0000-000018000000}"/>
    <cellStyle name="20% - Accent1 2 2 3 2" xfId="2843" xr:uid="{00000000-0005-0000-0000-000019000000}"/>
    <cellStyle name="20% - Accent1 2 2 3 2 2" xfId="7066" xr:uid="{00000000-0005-0000-0000-00001A000000}"/>
    <cellStyle name="20% - Accent1 2 2 3 2 2 2" xfId="15505" xr:uid="{96A337CC-6308-493A-9A52-C61AC540949B}"/>
    <cellStyle name="20% - Accent1 2 2 3 2 3" xfId="11287" xr:uid="{9375471F-4D4D-468D-8A14-AF872E0F918F}"/>
    <cellStyle name="20% - Accent1 2 2 3 3" xfId="4921" xr:uid="{00000000-0005-0000-0000-00001B000000}"/>
    <cellStyle name="20% - Accent1 2 2 3 3 2" xfId="13360" xr:uid="{529C18E8-8DAC-4867-968A-DE08F806BE2C}"/>
    <cellStyle name="20% - Accent1 2 2 3 4" xfId="9142" xr:uid="{D5D6F7E5-9271-4A0A-9AF8-E75AA98D4E76}"/>
    <cellStyle name="20% - Accent1 2 2 4" xfId="1025" xr:uid="{00000000-0005-0000-0000-00001C000000}"/>
    <cellStyle name="20% - Accent1 2 2 4 2" xfId="3256" xr:uid="{00000000-0005-0000-0000-00001D000000}"/>
    <cellStyle name="20% - Accent1 2 2 4 2 2" xfId="7479" xr:uid="{00000000-0005-0000-0000-00001E000000}"/>
    <cellStyle name="20% - Accent1 2 2 4 2 2 2" xfId="15918" xr:uid="{FAA63D49-97D2-483A-BAEC-A9D74A35C374}"/>
    <cellStyle name="20% - Accent1 2 2 4 2 3" xfId="11700" xr:uid="{A8FDB535-74AC-4C67-9C2F-7F4CF3DCD0E8}"/>
    <cellStyle name="20% - Accent1 2 2 4 3" xfId="5334" xr:uid="{00000000-0005-0000-0000-00001F000000}"/>
    <cellStyle name="20% - Accent1 2 2 4 3 2" xfId="13773" xr:uid="{0D2A373D-5759-4295-85DA-AA1A84DD0BE7}"/>
    <cellStyle name="20% - Accent1 2 2 4 4" xfId="9555" xr:uid="{6E8553ED-8E9D-4E0B-BF97-BEA8594FA45B}"/>
    <cellStyle name="20% - Accent1 2 2 5" xfId="1439" xr:uid="{00000000-0005-0000-0000-000020000000}"/>
    <cellStyle name="20% - Accent1 2 2 5 2" xfId="3669" xr:uid="{00000000-0005-0000-0000-000021000000}"/>
    <cellStyle name="20% - Accent1 2 2 5 2 2" xfId="7892" xr:uid="{00000000-0005-0000-0000-000022000000}"/>
    <cellStyle name="20% - Accent1 2 2 5 2 2 2" xfId="16331" xr:uid="{AA7DDDBA-143D-404B-9083-630ED7513B56}"/>
    <cellStyle name="20% - Accent1 2 2 5 2 3" xfId="12113" xr:uid="{0FB38388-0579-404C-BEDB-75B0ED0C43AA}"/>
    <cellStyle name="20% - Accent1 2 2 5 3" xfId="5747" xr:uid="{00000000-0005-0000-0000-000023000000}"/>
    <cellStyle name="20% - Accent1 2 2 5 3 2" xfId="14186" xr:uid="{C33F5077-EFC1-4840-98BF-25AF290AAE53}"/>
    <cellStyle name="20% - Accent1 2 2 5 4" xfId="9968" xr:uid="{AE181F60-C639-4285-9A47-D19E9D186659}"/>
    <cellStyle name="20% - Accent1 2 2 6" xfId="1853" xr:uid="{00000000-0005-0000-0000-000024000000}"/>
    <cellStyle name="20% - Accent1 2 2 6 2" xfId="4082" xr:uid="{00000000-0005-0000-0000-000025000000}"/>
    <cellStyle name="20% - Accent1 2 2 6 2 2" xfId="8305" xr:uid="{00000000-0005-0000-0000-000026000000}"/>
    <cellStyle name="20% - Accent1 2 2 6 2 2 2" xfId="16744" xr:uid="{DDC8452B-2D65-4C62-B1D3-D53F2F858B65}"/>
    <cellStyle name="20% - Accent1 2 2 6 2 3" xfId="12526" xr:uid="{9CF8CA16-4272-4A07-86E4-BAFA6B4C0F97}"/>
    <cellStyle name="20% - Accent1 2 2 6 3" xfId="6160" xr:uid="{00000000-0005-0000-0000-000027000000}"/>
    <cellStyle name="20% - Accent1 2 2 6 3 2" xfId="14599" xr:uid="{7087CEC8-E2AF-4756-9F4D-6BF95417B9A6}"/>
    <cellStyle name="20% - Accent1 2 2 6 4" xfId="10381" xr:uid="{03798232-FE12-4E4A-85AF-8157E1A9CB66}"/>
    <cellStyle name="20% - Accent1 2 2 7" xfId="2266" xr:uid="{00000000-0005-0000-0000-000028000000}"/>
    <cellStyle name="20% - Accent1 2 2 7 2" xfId="6573" xr:uid="{00000000-0005-0000-0000-000029000000}"/>
    <cellStyle name="20% - Accent1 2 2 7 2 2" xfId="15012" xr:uid="{C29D16A0-EF8E-45F0-A6C4-76E1FAA9CE4F}"/>
    <cellStyle name="20% - Accent1 2 2 7 3" xfId="10794" xr:uid="{EA0AFE87-7A42-4020-AAA7-C554E9CFE23F}"/>
    <cellStyle name="20% - Accent1 2 2 8" xfId="4507" xr:uid="{00000000-0005-0000-0000-00002A000000}"/>
    <cellStyle name="20% - Accent1 2 2 8 2" xfId="12946" xr:uid="{46428E12-41D7-4B53-8D3E-3E35D2DD4169}"/>
    <cellStyle name="20% - Accent1 2 2 9" xfId="8728" xr:uid="{BD90C331-9AB8-4F75-9B09-D7B6589EB033}"/>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2 2 2" xfId="15507" xr:uid="{14ED16E0-326E-4AD2-AB1A-94F76FDB3C7F}"/>
    <cellStyle name="20% - Accent1 2 3 2 2 3" xfId="11289" xr:uid="{7468DF8F-33B3-4B19-B168-41D0102E635F}"/>
    <cellStyle name="20% - Accent1 2 3 2 3" xfId="4923" xr:uid="{00000000-0005-0000-0000-00002F000000}"/>
    <cellStyle name="20% - Accent1 2 3 2 3 2" xfId="13362" xr:uid="{3C1B65B4-D453-4A76-9B3D-E0A0F5F1D09D}"/>
    <cellStyle name="20% - Accent1 2 3 2 4" xfId="9144" xr:uid="{22568C88-393F-47DF-9ED7-FB1789114C36}"/>
    <cellStyle name="20% - Accent1 2 3 3" xfId="1027" xr:uid="{00000000-0005-0000-0000-000030000000}"/>
    <cellStyle name="20% - Accent1 2 3 3 2" xfId="3258" xr:uid="{00000000-0005-0000-0000-000031000000}"/>
    <cellStyle name="20% - Accent1 2 3 3 2 2" xfId="7481" xr:uid="{00000000-0005-0000-0000-000032000000}"/>
    <cellStyle name="20% - Accent1 2 3 3 2 2 2" xfId="15920" xr:uid="{1650AA81-9874-468C-A51E-C833490D727C}"/>
    <cellStyle name="20% - Accent1 2 3 3 2 3" xfId="11702" xr:uid="{74C76209-1A1A-43F8-B03C-B6D2A746D180}"/>
    <cellStyle name="20% - Accent1 2 3 3 3" xfId="5336" xr:uid="{00000000-0005-0000-0000-000033000000}"/>
    <cellStyle name="20% - Accent1 2 3 3 3 2" xfId="13775" xr:uid="{48E467E1-B0AE-43FE-B16E-14C5B2709946}"/>
    <cellStyle name="20% - Accent1 2 3 3 4" xfId="9557" xr:uid="{18A96181-C36D-4C86-983F-B95BCF06BBAF}"/>
    <cellStyle name="20% - Accent1 2 3 4" xfId="1441" xr:uid="{00000000-0005-0000-0000-000034000000}"/>
    <cellStyle name="20% - Accent1 2 3 4 2" xfId="3671" xr:uid="{00000000-0005-0000-0000-000035000000}"/>
    <cellStyle name="20% - Accent1 2 3 4 2 2" xfId="7894" xr:uid="{00000000-0005-0000-0000-000036000000}"/>
    <cellStyle name="20% - Accent1 2 3 4 2 2 2" xfId="16333" xr:uid="{9B8A323A-2B45-4806-A07A-781458C67901}"/>
    <cellStyle name="20% - Accent1 2 3 4 2 3" xfId="12115" xr:uid="{726F4FDF-9243-4FA0-9DE7-346B3490AE73}"/>
    <cellStyle name="20% - Accent1 2 3 4 3" xfId="5749" xr:uid="{00000000-0005-0000-0000-000037000000}"/>
    <cellStyle name="20% - Accent1 2 3 4 3 2" xfId="14188" xr:uid="{1B51F935-DBEF-4B02-87DB-2F65CA9E2D10}"/>
    <cellStyle name="20% - Accent1 2 3 4 4" xfId="9970" xr:uid="{08910643-0DD7-4430-83B8-588BFE5B8490}"/>
    <cellStyle name="20% - Accent1 2 3 5" xfId="1855" xr:uid="{00000000-0005-0000-0000-000038000000}"/>
    <cellStyle name="20% - Accent1 2 3 5 2" xfId="4084" xr:uid="{00000000-0005-0000-0000-000039000000}"/>
    <cellStyle name="20% - Accent1 2 3 5 2 2" xfId="8307" xr:uid="{00000000-0005-0000-0000-00003A000000}"/>
    <cellStyle name="20% - Accent1 2 3 5 2 2 2" xfId="16746" xr:uid="{FDD403A4-F664-4226-8F01-B369EA31AD2A}"/>
    <cellStyle name="20% - Accent1 2 3 5 2 3" xfId="12528" xr:uid="{B5C825DC-4561-41A6-9B2A-20A1E9D75D38}"/>
    <cellStyle name="20% - Accent1 2 3 5 3" xfId="6162" xr:uid="{00000000-0005-0000-0000-00003B000000}"/>
    <cellStyle name="20% - Accent1 2 3 5 3 2" xfId="14601" xr:uid="{99BA8500-ECB2-4691-8582-4F30817C2FBC}"/>
    <cellStyle name="20% - Accent1 2 3 5 4" xfId="10383" xr:uid="{9DCB40BF-FD6F-420F-B383-53907BE7B10A}"/>
    <cellStyle name="20% - Accent1 2 3 6" xfId="2268" xr:uid="{00000000-0005-0000-0000-00003C000000}"/>
    <cellStyle name="20% - Accent1 2 3 6 2" xfId="6575" xr:uid="{00000000-0005-0000-0000-00003D000000}"/>
    <cellStyle name="20% - Accent1 2 3 6 2 2" xfId="15014" xr:uid="{45D727E3-A712-45B5-A973-BAA7478012D2}"/>
    <cellStyle name="20% - Accent1 2 3 6 3" xfId="10796" xr:uid="{58E2941A-776F-41D7-8C55-8A58939A1C74}"/>
    <cellStyle name="20% - Accent1 2 3 7" xfId="4509" xr:uid="{00000000-0005-0000-0000-00003E000000}"/>
    <cellStyle name="20% - Accent1 2 3 7 2" xfId="12948" xr:uid="{8A87743C-BB53-4B94-801F-26080432ECA6}"/>
    <cellStyle name="20% - Accent1 2 3 8" xfId="8730" xr:uid="{5FC82815-7D03-4D27-9D2A-D7704DEABD66}"/>
    <cellStyle name="20% - Accent1 2 4" xfId="571" xr:uid="{00000000-0005-0000-0000-00003F000000}"/>
    <cellStyle name="20% - Accent1 2 4 2" xfId="2842" xr:uid="{00000000-0005-0000-0000-000040000000}"/>
    <cellStyle name="20% - Accent1 2 4 2 2" xfId="7065" xr:uid="{00000000-0005-0000-0000-000041000000}"/>
    <cellStyle name="20% - Accent1 2 4 2 2 2" xfId="15504" xr:uid="{BCBA723C-5E6C-4AA2-B1DC-A3AC65EC298F}"/>
    <cellStyle name="20% - Accent1 2 4 2 3" xfId="11286" xr:uid="{043FF4D5-6F17-47D5-B9D2-81CAC4967CAA}"/>
    <cellStyle name="20% - Accent1 2 4 3" xfId="4920" xr:uid="{00000000-0005-0000-0000-000042000000}"/>
    <cellStyle name="20% - Accent1 2 4 3 2" xfId="13359" xr:uid="{8673CF18-7E3B-4E7F-9F2A-9DC191F4D8B9}"/>
    <cellStyle name="20% - Accent1 2 4 4" xfId="9141" xr:uid="{9E7786F3-6D2C-4E3C-824A-3A2B743F4BC8}"/>
    <cellStyle name="20% - Accent1 2 5" xfId="1024" xr:uid="{00000000-0005-0000-0000-000043000000}"/>
    <cellStyle name="20% - Accent1 2 5 2" xfId="3255" xr:uid="{00000000-0005-0000-0000-000044000000}"/>
    <cellStyle name="20% - Accent1 2 5 2 2" xfId="7478" xr:uid="{00000000-0005-0000-0000-000045000000}"/>
    <cellStyle name="20% - Accent1 2 5 2 2 2" xfId="15917" xr:uid="{B070357F-30F9-4BB5-B08B-6FF23E804F76}"/>
    <cellStyle name="20% - Accent1 2 5 2 3" xfId="11699" xr:uid="{28922A83-D14F-4724-B59D-E3F50810160B}"/>
    <cellStyle name="20% - Accent1 2 5 3" xfId="5333" xr:uid="{00000000-0005-0000-0000-000046000000}"/>
    <cellStyle name="20% - Accent1 2 5 3 2" xfId="13772" xr:uid="{272C0DD2-2AB9-4083-85B3-978F7AACFA30}"/>
    <cellStyle name="20% - Accent1 2 5 4" xfId="9554" xr:uid="{3FE8B13F-C022-48BE-A557-BD1D942A1463}"/>
    <cellStyle name="20% - Accent1 2 6" xfId="1438" xr:uid="{00000000-0005-0000-0000-000047000000}"/>
    <cellStyle name="20% - Accent1 2 6 2" xfId="3668" xr:uid="{00000000-0005-0000-0000-000048000000}"/>
    <cellStyle name="20% - Accent1 2 6 2 2" xfId="7891" xr:uid="{00000000-0005-0000-0000-000049000000}"/>
    <cellStyle name="20% - Accent1 2 6 2 2 2" xfId="16330" xr:uid="{16E8580A-4508-4576-A17D-9D9ECA3280D8}"/>
    <cellStyle name="20% - Accent1 2 6 2 3" xfId="12112" xr:uid="{975485AA-FB6B-4C82-AF31-917E540EF8F4}"/>
    <cellStyle name="20% - Accent1 2 6 3" xfId="5746" xr:uid="{00000000-0005-0000-0000-00004A000000}"/>
    <cellStyle name="20% - Accent1 2 6 3 2" xfId="14185" xr:uid="{7F75356C-CC5A-440C-B103-244549BA5B92}"/>
    <cellStyle name="20% - Accent1 2 6 4" xfId="9967" xr:uid="{39D38446-993C-4C3E-9816-8AE01FA543F2}"/>
    <cellStyle name="20% - Accent1 2 7" xfId="1852" xr:uid="{00000000-0005-0000-0000-00004B000000}"/>
    <cellStyle name="20% - Accent1 2 7 2" xfId="4081" xr:uid="{00000000-0005-0000-0000-00004C000000}"/>
    <cellStyle name="20% - Accent1 2 7 2 2" xfId="8304" xr:uid="{00000000-0005-0000-0000-00004D000000}"/>
    <cellStyle name="20% - Accent1 2 7 2 2 2" xfId="16743" xr:uid="{E9695448-6A1D-4D59-922A-65CBB88F804F}"/>
    <cellStyle name="20% - Accent1 2 7 2 3" xfId="12525" xr:uid="{D70F2990-C0F0-4A43-8A57-9D5B09E6ECF8}"/>
    <cellStyle name="20% - Accent1 2 7 3" xfId="6159" xr:uid="{00000000-0005-0000-0000-00004E000000}"/>
    <cellStyle name="20% - Accent1 2 7 3 2" xfId="14598" xr:uid="{A733461C-1AF1-4853-A874-D1A498DAD4E9}"/>
    <cellStyle name="20% - Accent1 2 7 4" xfId="10380" xr:uid="{DC11A80F-67B2-43A1-8C3A-047A7B5EC2B1}"/>
    <cellStyle name="20% - Accent1 2 8" xfId="2265" xr:uid="{00000000-0005-0000-0000-00004F000000}"/>
    <cellStyle name="20% - Accent1 2 8 2" xfId="6572" xr:uid="{00000000-0005-0000-0000-000050000000}"/>
    <cellStyle name="20% - Accent1 2 8 2 2" xfId="15011" xr:uid="{1C102F29-0044-4CD9-878B-43665386688C}"/>
    <cellStyle name="20% - Accent1 2 8 3" xfId="10793" xr:uid="{74C3F25C-9033-442F-9157-727127E53E88}"/>
    <cellStyle name="20% - Accent1 2 9" xfId="4506" xr:uid="{00000000-0005-0000-0000-000051000000}"/>
    <cellStyle name="20% - Accent1 2 9 2" xfId="12945" xr:uid="{42313DEB-3BE9-4C6D-B3A5-81FC65D7504C}"/>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2 2 2" xfId="15509" xr:uid="{0DD83566-00DC-4953-8256-3A0BDDDD3A32}"/>
    <cellStyle name="20% - Accent1 3 2 2 2 3" xfId="11291" xr:uid="{F42053C3-57D0-4D17-B4EC-DCB0FB1C3BA0}"/>
    <cellStyle name="20% - Accent1 3 2 2 3" xfId="4925" xr:uid="{00000000-0005-0000-0000-000057000000}"/>
    <cellStyle name="20% - Accent1 3 2 2 3 2" xfId="13364" xr:uid="{F50D31A2-7779-4009-97E0-91583ECBA8F5}"/>
    <cellStyle name="20% - Accent1 3 2 2 4" xfId="9146" xr:uid="{F5A0A6C9-B25E-4631-A7C1-9A7EB0C3E704}"/>
    <cellStyle name="20% - Accent1 3 2 3" xfId="1029" xr:uid="{00000000-0005-0000-0000-000058000000}"/>
    <cellStyle name="20% - Accent1 3 2 3 2" xfId="3260" xr:uid="{00000000-0005-0000-0000-000059000000}"/>
    <cellStyle name="20% - Accent1 3 2 3 2 2" xfId="7483" xr:uid="{00000000-0005-0000-0000-00005A000000}"/>
    <cellStyle name="20% - Accent1 3 2 3 2 2 2" xfId="15922" xr:uid="{0D5CEBD0-9635-474F-81E6-D486FC36F357}"/>
    <cellStyle name="20% - Accent1 3 2 3 2 3" xfId="11704" xr:uid="{63BDC661-66FA-424A-9944-17995905DCE8}"/>
    <cellStyle name="20% - Accent1 3 2 3 3" xfId="5338" xr:uid="{00000000-0005-0000-0000-00005B000000}"/>
    <cellStyle name="20% - Accent1 3 2 3 3 2" xfId="13777" xr:uid="{FDDB703A-9612-4B50-9421-B4214172BE06}"/>
    <cellStyle name="20% - Accent1 3 2 3 4" xfId="9559" xr:uid="{6FDB1563-03C6-446F-8DED-7E2F574651EE}"/>
    <cellStyle name="20% - Accent1 3 2 4" xfId="1443" xr:uid="{00000000-0005-0000-0000-00005C000000}"/>
    <cellStyle name="20% - Accent1 3 2 4 2" xfId="3673" xr:uid="{00000000-0005-0000-0000-00005D000000}"/>
    <cellStyle name="20% - Accent1 3 2 4 2 2" xfId="7896" xr:uid="{00000000-0005-0000-0000-00005E000000}"/>
    <cellStyle name="20% - Accent1 3 2 4 2 2 2" xfId="16335" xr:uid="{3BE92673-5DE5-4168-A026-93D9F202C85A}"/>
    <cellStyle name="20% - Accent1 3 2 4 2 3" xfId="12117" xr:uid="{C1367702-2620-4214-AEC0-0881F17F1E77}"/>
    <cellStyle name="20% - Accent1 3 2 4 3" xfId="5751" xr:uid="{00000000-0005-0000-0000-00005F000000}"/>
    <cellStyle name="20% - Accent1 3 2 4 3 2" xfId="14190" xr:uid="{2AAE2321-6E79-4978-9475-DE9BE7E39447}"/>
    <cellStyle name="20% - Accent1 3 2 4 4" xfId="9972" xr:uid="{7057B315-A8AA-4765-8B8C-581DCE7AF24E}"/>
    <cellStyle name="20% - Accent1 3 2 5" xfId="1857" xr:uid="{00000000-0005-0000-0000-000060000000}"/>
    <cellStyle name="20% - Accent1 3 2 5 2" xfId="4086" xr:uid="{00000000-0005-0000-0000-000061000000}"/>
    <cellStyle name="20% - Accent1 3 2 5 2 2" xfId="8309" xr:uid="{00000000-0005-0000-0000-000062000000}"/>
    <cellStyle name="20% - Accent1 3 2 5 2 2 2" xfId="16748" xr:uid="{3334AE63-7D56-465E-B14D-0997697D343A}"/>
    <cellStyle name="20% - Accent1 3 2 5 2 3" xfId="12530" xr:uid="{5577F70C-F89C-4EEE-99D6-AAC0F620FD9F}"/>
    <cellStyle name="20% - Accent1 3 2 5 3" xfId="6164" xr:uid="{00000000-0005-0000-0000-000063000000}"/>
    <cellStyle name="20% - Accent1 3 2 5 3 2" xfId="14603" xr:uid="{47CD76DD-A77A-4147-AA37-4000E4AD6ED6}"/>
    <cellStyle name="20% - Accent1 3 2 5 4" xfId="10385" xr:uid="{670C9702-9253-44E9-AE9C-62BDAFAAB745}"/>
    <cellStyle name="20% - Accent1 3 2 6" xfId="2270" xr:uid="{00000000-0005-0000-0000-000064000000}"/>
    <cellStyle name="20% - Accent1 3 2 6 2" xfId="6577" xr:uid="{00000000-0005-0000-0000-000065000000}"/>
    <cellStyle name="20% - Accent1 3 2 6 2 2" xfId="15016" xr:uid="{F690B19E-7659-4EA1-B747-0A18B366C41F}"/>
    <cellStyle name="20% - Accent1 3 2 6 3" xfId="10798" xr:uid="{3AEAEB47-4307-4EC6-86D7-3DBE3ECE3532}"/>
    <cellStyle name="20% - Accent1 3 2 7" xfId="4511" xr:uid="{00000000-0005-0000-0000-000066000000}"/>
    <cellStyle name="20% - Accent1 3 2 7 2" xfId="12950" xr:uid="{EF67C680-AE32-42BE-B852-75A8E6D004A4}"/>
    <cellStyle name="20% - Accent1 3 2 8" xfId="8732" xr:uid="{8960A59D-7D6E-44E6-8D27-EF3D81FB0AE4}"/>
    <cellStyle name="20% - Accent1 3 3" xfId="575" xr:uid="{00000000-0005-0000-0000-000067000000}"/>
    <cellStyle name="20% - Accent1 3 3 2" xfId="2846" xr:uid="{00000000-0005-0000-0000-000068000000}"/>
    <cellStyle name="20% - Accent1 3 3 2 2" xfId="7069" xr:uid="{00000000-0005-0000-0000-000069000000}"/>
    <cellStyle name="20% - Accent1 3 3 2 2 2" xfId="15508" xr:uid="{F5780FA6-CD66-4D0A-9859-FC295E8DD757}"/>
    <cellStyle name="20% - Accent1 3 3 2 3" xfId="11290" xr:uid="{7B53065F-3331-493A-8960-761D18566E61}"/>
    <cellStyle name="20% - Accent1 3 3 3" xfId="4924" xr:uid="{00000000-0005-0000-0000-00006A000000}"/>
    <cellStyle name="20% - Accent1 3 3 3 2" xfId="13363" xr:uid="{E61416AE-3695-4E66-8F46-E0E64F921CB1}"/>
    <cellStyle name="20% - Accent1 3 3 4" xfId="9145" xr:uid="{9F6662DC-F4E6-4A13-B77F-5CC50FF4207E}"/>
    <cellStyle name="20% - Accent1 3 4" xfId="1028" xr:uid="{00000000-0005-0000-0000-00006B000000}"/>
    <cellStyle name="20% - Accent1 3 4 2" xfId="3259" xr:uid="{00000000-0005-0000-0000-00006C000000}"/>
    <cellStyle name="20% - Accent1 3 4 2 2" xfId="7482" xr:uid="{00000000-0005-0000-0000-00006D000000}"/>
    <cellStyle name="20% - Accent1 3 4 2 2 2" xfId="15921" xr:uid="{DC242F59-3EFE-4748-8D8D-B16DC6FB64C2}"/>
    <cellStyle name="20% - Accent1 3 4 2 3" xfId="11703" xr:uid="{121C4C2C-33A6-4B44-BEF7-7F67EB628498}"/>
    <cellStyle name="20% - Accent1 3 4 3" xfId="5337" xr:uid="{00000000-0005-0000-0000-00006E000000}"/>
    <cellStyle name="20% - Accent1 3 4 3 2" xfId="13776" xr:uid="{E0840AFD-0878-45F0-9A6B-6CA03FDDCF15}"/>
    <cellStyle name="20% - Accent1 3 4 4" xfId="9558" xr:uid="{31B271E2-6BD1-4ECC-A6CC-76B4BA0DAAE8}"/>
    <cellStyle name="20% - Accent1 3 5" xfId="1442" xr:uid="{00000000-0005-0000-0000-00006F000000}"/>
    <cellStyle name="20% - Accent1 3 5 2" xfId="3672" xr:uid="{00000000-0005-0000-0000-000070000000}"/>
    <cellStyle name="20% - Accent1 3 5 2 2" xfId="7895" xr:uid="{00000000-0005-0000-0000-000071000000}"/>
    <cellStyle name="20% - Accent1 3 5 2 2 2" xfId="16334" xr:uid="{60AD5272-EB79-4BB4-9B9D-8CF7B5B9F640}"/>
    <cellStyle name="20% - Accent1 3 5 2 3" xfId="12116" xr:uid="{89F08E00-091F-4F44-A308-3B4C2F590616}"/>
    <cellStyle name="20% - Accent1 3 5 3" xfId="5750" xr:uid="{00000000-0005-0000-0000-000072000000}"/>
    <cellStyle name="20% - Accent1 3 5 3 2" xfId="14189" xr:uid="{0FCAE43D-A373-4632-971E-A5DF128D144F}"/>
    <cellStyle name="20% - Accent1 3 5 4" xfId="9971" xr:uid="{27793679-6B41-4225-B643-22B714C4476E}"/>
    <cellStyle name="20% - Accent1 3 6" xfId="1856" xr:uid="{00000000-0005-0000-0000-000073000000}"/>
    <cellStyle name="20% - Accent1 3 6 2" xfId="4085" xr:uid="{00000000-0005-0000-0000-000074000000}"/>
    <cellStyle name="20% - Accent1 3 6 2 2" xfId="8308" xr:uid="{00000000-0005-0000-0000-000075000000}"/>
    <cellStyle name="20% - Accent1 3 6 2 2 2" xfId="16747" xr:uid="{3CE95682-76B0-4FAE-8F85-B9AFD9FBB291}"/>
    <cellStyle name="20% - Accent1 3 6 2 3" xfId="12529" xr:uid="{7327A2C8-8953-4D65-AAA0-ACFB830303EB}"/>
    <cellStyle name="20% - Accent1 3 6 3" xfId="6163" xr:uid="{00000000-0005-0000-0000-000076000000}"/>
    <cellStyle name="20% - Accent1 3 6 3 2" xfId="14602" xr:uid="{C20364D3-7FEF-45AD-9053-F5F87E18924E}"/>
    <cellStyle name="20% - Accent1 3 6 4" xfId="10384" xr:uid="{FD6879EA-0E76-44ED-B071-CEAE6442CE4E}"/>
    <cellStyle name="20% - Accent1 3 7" xfId="2269" xr:uid="{00000000-0005-0000-0000-000077000000}"/>
    <cellStyle name="20% - Accent1 3 7 2" xfId="6576" xr:uid="{00000000-0005-0000-0000-000078000000}"/>
    <cellStyle name="20% - Accent1 3 7 2 2" xfId="15015" xr:uid="{AD6037B0-9DFA-4269-BEAD-2A0096527198}"/>
    <cellStyle name="20% - Accent1 3 7 3" xfId="10797" xr:uid="{3517406D-38E0-49E3-91EF-04BDED01A4D4}"/>
    <cellStyle name="20% - Accent1 3 8" xfId="4510" xr:uid="{00000000-0005-0000-0000-000079000000}"/>
    <cellStyle name="20% - Accent1 3 8 2" xfId="12949" xr:uid="{323EA63B-E77D-4E45-9F75-2D0789274A32}"/>
    <cellStyle name="20% - Accent1 3 9" xfId="8731" xr:uid="{26255CFC-659F-4C28-93B2-10590016AB9C}"/>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2 2 2" xfId="15510" xr:uid="{44416DC4-5085-4ACF-8A67-1A42333939BF}"/>
    <cellStyle name="20% - Accent1 4 2 2 3" xfId="11292" xr:uid="{4B6FBC57-4780-45BB-B264-41823B8061B6}"/>
    <cellStyle name="20% - Accent1 4 2 3" xfId="4926" xr:uid="{00000000-0005-0000-0000-00007E000000}"/>
    <cellStyle name="20% - Accent1 4 2 3 2" xfId="13365" xr:uid="{17D357F0-A8D4-474A-9115-F98E920C4C7E}"/>
    <cellStyle name="20% - Accent1 4 2 4" xfId="9147" xr:uid="{55EC6405-960D-488B-B1BD-4431C81D530D}"/>
    <cellStyle name="20% - Accent1 4 3" xfId="1030" xr:uid="{00000000-0005-0000-0000-00007F000000}"/>
    <cellStyle name="20% - Accent1 4 3 2" xfId="3261" xr:uid="{00000000-0005-0000-0000-000080000000}"/>
    <cellStyle name="20% - Accent1 4 3 2 2" xfId="7484" xr:uid="{00000000-0005-0000-0000-000081000000}"/>
    <cellStyle name="20% - Accent1 4 3 2 2 2" xfId="15923" xr:uid="{5064C4B2-3180-493C-82EC-F9B53E4E66C4}"/>
    <cellStyle name="20% - Accent1 4 3 2 3" xfId="11705" xr:uid="{2ED838B2-F319-4286-8A9A-9282194EB866}"/>
    <cellStyle name="20% - Accent1 4 3 3" xfId="5339" xr:uid="{00000000-0005-0000-0000-000082000000}"/>
    <cellStyle name="20% - Accent1 4 3 3 2" xfId="13778" xr:uid="{683E14F6-C577-48CD-BA9C-1F84E72D17FF}"/>
    <cellStyle name="20% - Accent1 4 3 4" xfId="9560" xr:uid="{FA38443B-E4EB-4874-BA59-67FC7716FC31}"/>
    <cellStyle name="20% - Accent1 4 4" xfId="1444" xr:uid="{00000000-0005-0000-0000-000083000000}"/>
    <cellStyle name="20% - Accent1 4 4 2" xfId="3674" xr:uid="{00000000-0005-0000-0000-000084000000}"/>
    <cellStyle name="20% - Accent1 4 4 2 2" xfId="7897" xr:uid="{00000000-0005-0000-0000-000085000000}"/>
    <cellStyle name="20% - Accent1 4 4 2 2 2" xfId="16336" xr:uid="{0FE640D7-33CC-4133-9E0D-9517B00E34E9}"/>
    <cellStyle name="20% - Accent1 4 4 2 3" xfId="12118" xr:uid="{D797C727-8DA0-4FDE-832E-D62F683D5FD7}"/>
    <cellStyle name="20% - Accent1 4 4 3" xfId="5752" xr:uid="{00000000-0005-0000-0000-000086000000}"/>
    <cellStyle name="20% - Accent1 4 4 3 2" xfId="14191" xr:uid="{A0423F2E-7159-4DB0-BEBD-7997C676F872}"/>
    <cellStyle name="20% - Accent1 4 4 4" xfId="9973" xr:uid="{8415DB07-3C8E-44A7-A832-92889D6623F7}"/>
    <cellStyle name="20% - Accent1 4 5" xfId="1858" xr:uid="{00000000-0005-0000-0000-000087000000}"/>
    <cellStyle name="20% - Accent1 4 5 2" xfId="4087" xr:uid="{00000000-0005-0000-0000-000088000000}"/>
    <cellStyle name="20% - Accent1 4 5 2 2" xfId="8310" xr:uid="{00000000-0005-0000-0000-000089000000}"/>
    <cellStyle name="20% - Accent1 4 5 2 2 2" xfId="16749" xr:uid="{E20F41C8-555E-4F80-9D09-B0212A30AE03}"/>
    <cellStyle name="20% - Accent1 4 5 2 3" xfId="12531" xr:uid="{21D2F569-8C8A-49BD-B48B-8E4B36FB349C}"/>
    <cellStyle name="20% - Accent1 4 5 3" xfId="6165" xr:uid="{00000000-0005-0000-0000-00008A000000}"/>
    <cellStyle name="20% - Accent1 4 5 3 2" xfId="14604" xr:uid="{DFF876B5-AA69-48DB-B044-39DE1CFC2EDD}"/>
    <cellStyle name="20% - Accent1 4 5 4" xfId="10386" xr:uid="{75983923-DF98-41E9-A965-73433636A464}"/>
    <cellStyle name="20% - Accent1 4 6" xfId="2271" xr:uid="{00000000-0005-0000-0000-00008B000000}"/>
    <cellStyle name="20% - Accent1 4 6 2" xfId="6578" xr:uid="{00000000-0005-0000-0000-00008C000000}"/>
    <cellStyle name="20% - Accent1 4 6 2 2" xfId="15017" xr:uid="{42A842E5-B0E4-46F9-9CBA-5976E9FA6118}"/>
    <cellStyle name="20% - Accent1 4 6 3" xfId="10799" xr:uid="{BFE0600A-6FD1-4EC8-845B-82F950A06682}"/>
    <cellStyle name="20% - Accent1 4 7" xfId="4512" xr:uid="{00000000-0005-0000-0000-00008D000000}"/>
    <cellStyle name="20% - Accent1 4 7 2" xfId="12951" xr:uid="{8124EF35-A552-4D9D-8673-A679D9B0159C}"/>
    <cellStyle name="20% - Accent1 4 8" xfId="8733" xr:uid="{1DB990DB-1CB9-45C9-B5E2-2761A4B60AD4}"/>
    <cellStyle name="20% - Accent1 5" xfId="570" xr:uid="{00000000-0005-0000-0000-00008E000000}"/>
    <cellStyle name="20% - Accent1 5 2" xfId="2841" xr:uid="{00000000-0005-0000-0000-00008F000000}"/>
    <cellStyle name="20% - Accent1 5 2 2" xfId="7064" xr:uid="{00000000-0005-0000-0000-000090000000}"/>
    <cellStyle name="20% - Accent1 5 2 2 2" xfId="15503" xr:uid="{49B71AC0-D8F6-488D-B8B9-BF05FB52DB55}"/>
    <cellStyle name="20% - Accent1 5 2 3" xfId="11285" xr:uid="{7A56B447-96CB-4FA1-BFCE-FEB8952E6377}"/>
    <cellStyle name="20% - Accent1 5 3" xfId="4919" xr:uid="{00000000-0005-0000-0000-000091000000}"/>
    <cellStyle name="20% - Accent1 5 3 2" xfId="13358" xr:uid="{5B1228B1-84BD-4301-8B56-7EF94A5FFD3D}"/>
    <cellStyle name="20% - Accent1 5 4" xfId="9140" xr:uid="{D3FB466F-A0DE-4677-BC0C-BCBC331AE2BF}"/>
    <cellStyle name="20% - Accent1 6" xfId="1023" xr:uid="{00000000-0005-0000-0000-000092000000}"/>
    <cellStyle name="20% - Accent1 6 2" xfId="3254" xr:uid="{00000000-0005-0000-0000-000093000000}"/>
    <cellStyle name="20% - Accent1 6 2 2" xfId="7477" xr:uid="{00000000-0005-0000-0000-000094000000}"/>
    <cellStyle name="20% - Accent1 6 2 2 2" xfId="15916" xr:uid="{21A69BBB-D0A5-47ED-A23F-C5049B004C1B}"/>
    <cellStyle name="20% - Accent1 6 2 3" xfId="11698" xr:uid="{81FA408B-21CA-40A1-8B87-ED77E279EC2D}"/>
    <cellStyle name="20% - Accent1 6 3" xfId="5332" xr:uid="{00000000-0005-0000-0000-000095000000}"/>
    <cellStyle name="20% - Accent1 6 3 2" xfId="13771" xr:uid="{DF441FD3-DB05-4A76-8751-A9CDE04F9017}"/>
    <cellStyle name="20% - Accent1 6 4" xfId="9553" xr:uid="{CA00A207-21AB-46AB-8048-F6B7BC7CB4C3}"/>
    <cellStyle name="20% - Accent1 7" xfId="1437" xr:uid="{00000000-0005-0000-0000-000096000000}"/>
    <cellStyle name="20% - Accent1 7 2" xfId="3667" xr:uid="{00000000-0005-0000-0000-000097000000}"/>
    <cellStyle name="20% - Accent1 7 2 2" xfId="7890" xr:uid="{00000000-0005-0000-0000-000098000000}"/>
    <cellStyle name="20% - Accent1 7 2 2 2" xfId="16329" xr:uid="{0E8FC6BA-D8A6-40D1-A54A-2EB26065E2E7}"/>
    <cellStyle name="20% - Accent1 7 2 3" xfId="12111" xr:uid="{CC07B466-FF0E-4789-BBE4-2BEE79304D8B}"/>
    <cellStyle name="20% - Accent1 7 3" xfId="5745" xr:uid="{00000000-0005-0000-0000-000099000000}"/>
    <cellStyle name="20% - Accent1 7 3 2" xfId="14184" xr:uid="{9F4B4B0A-2744-4571-BC35-D08517A63C2E}"/>
    <cellStyle name="20% - Accent1 7 4" xfId="9966" xr:uid="{559627CE-45B8-4D03-AAD1-C1DDC700A219}"/>
    <cellStyle name="20% - Accent1 8" xfId="1851" xr:uid="{00000000-0005-0000-0000-00009A000000}"/>
    <cellStyle name="20% - Accent1 8 2" xfId="4080" xr:uid="{00000000-0005-0000-0000-00009B000000}"/>
    <cellStyle name="20% - Accent1 8 2 2" xfId="8303" xr:uid="{00000000-0005-0000-0000-00009C000000}"/>
    <cellStyle name="20% - Accent1 8 2 2 2" xfId="16742" xr:uid="{8E8BB738-011C-432C-87D3-EC7401212DCC}"/>
    <cellStyle name="20% - Accent1 8 2 3" xfId="12524" xr:uid="{50887DC7-4962-4FC1-9409-CD5D71728A71}"/>
    <cellStyle name="20% - Accent1 8 3" xfId="6158" xr:uid="{00000000-0005-0000-0000-00009D000000}"/>
    <cellStyle name="20% - Accent1 8 3 2" xfId="14597" xr:uid="{96352817-08D1-42F5-B931-F4BBC1E2BD4C}"/>
    <cellStyle name="20% - Accent1 8 4" xfId="10379" xr:uid="{2A1A163C-25D8-4A5C-A261-ECA402848928}"/>
    <cellStyle name="20% - Accent1 9" xfId="2264" xr:uid="{00000000-0005-0000-0000-00009E000000}"/>
    <cellStyle name="20% - Accent1 9 2" xfId="6571" xr:uid="{00000000-0005-0000-0000-00009F000000}"/>
    <cellStyle name="20% - Accent1 9 2 2" xfId="15010" xr:uid="{8161ACF0-D051-4EA9-AF86-721B300ACF71}"/>
    <cellStyle name="20% - Accent1 9 3" xfId="10792" xr:uid="{7E5BE667-B30F-4BCB-8FE1-03CED0D866C9}"/>
    <cellStyle name="20% - Accent2" xfId="9" builtinId="34" customBuiltin="1"/>
    <cellStyle name="20% - Accent2 10" xfId="4513" xr:uid="{00000000-0005-0000-0000-0000A1000000}"/>
    <cellStyle name="20% - Accent2 10 2" xfId="12952" xr:uid="{65485596-66CF-4E9A-A447-2665CFA61E72}"/>
    <cellStyle name="20% - Accent2 11" xfId="8734" xr:uid="{9CEE0014-BB98-4E07-8C84-C26C6AECAEDD}"/>
    <cellStyle name="20% - Accent2 2" xfId="10" xr:uid="{00000000-0005-0000-0000-0000A2000000}"/>
    <cellStyle name="20% - Accent2 2 10" xfId="8735" xr:uid="{CE963536-6817-4B72-A4CC-83049A2CE21A}"/>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2 2 2" xfId="15514" xr:uid="{24D4276B-9F15-4931-BA31-5C48B523ACE9}"/>
    <cellStyle name="20% - Accent2 2 2 2 2 2 3" xfId="11296" xr:uid="{97161D5C-E41A-452D-BE1B-1A643BAE71CE}"/>
    <cellStyle name="20% - Accent2 2 2 2 2 3" xfId="4930" xr:uid="{00000000-0005-0000-0000-0000A8000000}"/>
    <cellStyle name="20% - Accent2 2 2 2 2 3 2" xfId="13369" xr:uid="{98CA6C33-D763-4A9E-9482-E60580BA40DE}"/>
    <cellStyle name="20% - Accent2 2 2 2 2 4" xfId="9151" xr:uid="{B4C3497A-39A9-4FBB-87E0-BC88B96F7226}"/>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2 2 2" xfId="15927" xr:uid="{B6EA6CBB-67A3-44CE-AE06-73F1A402AB4D}"/>
    <cellStyle name="20% - Accent2 2 2 2 3 2 3" xfId="11709" xr:uid="{06E62C3A-8DF2-463C-84CC-38025F99A75F}"/>
    <cellStyle name="20% - Accent2 2 2 2 3 3" xfId="5343" xr:uid="{00000000-0005-0000-0000-0000AC000000}"/>
    <cellStyle name="20% - Accent2 2 2 2 3 3 2" xfId="13782" xr:uid="{C71A15E6-4FE6-43C1-A4F3-9884C580FC75}"/>
    <cellStyle name="20% - Accent2 2 2 2 3 4" xfId="9564" xr:uid="{903B7957-263D-4100-9A2E-8AA88FE7EEB2}"/>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2 2 2" xfId="16340" xr:uid="{6445E663-E01B-4891-81E4-57A6C9ABFBDF}"/>
    <cellStyle name="20% - Accent2 2 2 2 4 2 3" xfId="12122" xr:uid="{B59B235F-3AEC-4379-AC58-1729963A6A09}"/>
    <cellStyle name="20% - Accent2 2 2 2 4 3" xfId="5756" xr:uid="{00000000-0005-0000-0000-0000B0000000}"/>
    <cellStyle name="20% - Accent2 2 2 2 4 3 2" xfId="14195" xr:uid="{91EED822-E76B-4B72-BA4C-0856CB285519}"/>
    <cellStyle name="20% - Accent2 2 2 2 4 4" xfId="9977" xr:uid="{9B50BD59-9454-451E-A3B0-545CAD842F98}"/>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2 2 2" xfId="16753" xr:uid="{5F4EDE0E-AE4E-4741-8DAC-E49BF63758BA}"/>
    <cellStyle name="20% - Accent2 2 2 2 5 2 3" xfId="12535" xr:uid="{E1CFFEB5-7E0B-4B14-BD75-82AD18966621}"/>
    <cellStyle name="20% - Accent2 2 2 2 5 3" xfId="6169" xr:uid="{00000000-0005-0000-0000-0000B4000000}"/>
    <cellStyle name="20% - Accent2 2 2 2 5 3 2" xfId="14608" xr:uid="{AB5CAF7A-EEE7-4EB6-A02E-7421D941DB61}"/>
    <cellStyle name="20% - Accent2 2 2 2 5 4" xfId="10390" xr:uid="{561F105D-0248-4190-9CAE-C76034B369EB}"/>
    <cellStyle name="20% - Accent2 2 2 2 6" xfId="2275" xr:uid="{00000000-0005-0000-0000-0000B5000000}"/>
    <cellStyle name="20% - Accent2 2 2 2 6 2" xfId="6582" xr:uid="{00000000-0005-0000-0000-0000B6000000}"/>
    <cellStyle name="20% - Accent2 2 2 2 6 2 2" xfId="15021" xr:uid="{FBA6F70F-2987-4890-A5AF-8765966606FB}"/>
    <cellStyle name="20% - Accent2 2 2 2 6 3" xfId="10803" xr:uid="{1733A8F9-0F32-4593-96C4-ED93A8A23FA2}"/>
    <cellStyle name="20% - Accent2 2 2 2 7" xfId="4516" xr:uid="{00000000-0005-0000-0000-0000B7000000}"/>
    <cellStyle name="20% - Accent2 2 2 2 7 2" xfId="12955" xr:uid="{3AA81CD2-1C42-4EC1-8F16-40F6B05C86DE}"/>
    <cellStyle name="20% - Accent2 2 2 2 8" xfId="8737" xr:uid="{FC5D97C7-EA2C-41FB-A52B-10475278CAA4}"/>
    <cellStyle name="20% - Accent2 2 2 3" xfId="580" xr:uid="{00000000-0005-0000-0000-0000B8000000}"/>
    <cellStyle name="20% - Accent2 2 2 3 2" xfId="2851" xr:uid="{00000000-0005-0000-0000-0000B9000000}"/>
    <cellStyle name="20% - Accent2 2 2 3 2 2" xfId="7074" xr:uid="{00000000-0005-0000-0000-0000BA000000}"/>
    <cellStyle name="20% - Accent2 2 2 3 2 2 2" xfId="15513" xr:uid="{59B8A0B7-FC89-4DD5-A3E1-477CBA7100EB}"/>
    <cellStyle name="20% - Accent2 2 2 3 2 3" xfId="11295" xr:uid="{B649B25F-E2E9-4348-8ECD-98B517C3736F}"/>
    <cellStyle name="20% - Accent2 2 2 3 3" xfId="4929" xr:uid="{00000000-0005-0000-0000-0000BB000000}"/>
    <cellStyle name="20% - Accent2 2 2 3 3 2" xfId="13368" xr:uid="{9C55EDCA-C667-418D-87FC-58957B3D4BA6}"/>
    <cellStyle name="20% - Accent2 2 2 3 4" xfId="9150" xr:uid="{86F607D7-93FE-429F-8221-F163FE4B897D}"/>
    <cellStyle name="20% - Accent2 2 2 4" xfId="1033" xr:uid="{00000000-0005-0000-0000-0000BC000000}"/>
    <cellStyle name="20% - Accent2 2 2 4 2" xfId="3264" xr:uid="{00000000-0005-0000-0000-0000BD000000}"/>
    <cellStyle name="20% - Accent2 2 2 4 2 2" xfId="7487" xr:uid="{00000000-0005-0000-0000-0000BE000000}"/>
    <cellStyle name="20% - Accent2 2 2 4 2 2 2" xfId="15926" xr:uid="{C835BBD7-096D-46DF-9FCF-8127ED15C64D}"/>
    <cellStyle name="20% - Accent2 2 2 4 2 3" xfId="11708" xr:uid="{CC10B1C0-0D4C-4A62-8C7E-E17F7199D428}"/>
    <cellStyle name="20% - Accent2 2 2 4 3" xfId="5342" xr:uid="{00000000-0005-0000-0000-0000BF000000}"/>
    <cellStyle name="20% - Accent2 2 2 4 3 2" xfId="13781" xr:uid="{DE6F984D-F879-42D2-AACF-3AFBC7E9AB34}"/>
    <cellStyle name="20% - Accent2 2 2 4 4" xfId="9563" xr:uid="{02D022CC-DC31-4EB7-B175-7EB1DA4EFCCE}"/>
    <cellStyle name="20% - Accent2 2 2 5" xfId="1447" xr:uid="{00000000-0005-0000-0000-0000C0000000}"/>
    <cellStyle name="20% - Accent2 2 2 5 2" xfId="3677" xr:uid="{00000000-0005-0000-0000-0000C1000000}"/>
    <cellStyle name="20% - Accent2 2 2 5 2 2" xfId="7900" xr:uid="{00000000-0005-0000-0000-0000C2000000}"/>
    <cellStyle name="20% - Accent2 2 2 5 2 2 2" xfId="16339" xr:uid="{DE3A5441-7C45-4AA1-8134-5A31D8F03A37}"/>
    <cellStyle name="20% - Accent2 2 2 5 2 3" xfId="12121" xr:uid="{B69D5C01-365A-4E33-9C0B-C64A7C828643}"/>
    <cellStyle name="20% - Accent2 2 2 5 3" xfId="5755" xr:uid="{00000000-0005-0000-0000-0000C3000000}"/>
    <cellStyle name="20% - Accent2 2 2 5 3 2" xfId="14194" xr:uid="{19618C35-B389-491E-95A7-1D1688013B91}"/>
    <cellStyle name="20% - Accent2 2 2 5 4" xfId="9976" xr:uid="{9550A300-BC89-47D1-BEF5-88F0A68BF9C1}"/>
    <cellStyle name="20% - Accent2 2 2 6" xfId="1861" xr:uid="{00000000-0005-0000-0000-0000C4000000}"/>
    <cellStyle name="20% - Accent2 2 2 6 2" xfId="4090" xr:uid="{00000000-0005-0000-0000-0000C5000000}"/>
    <cellStyle name="20% - Accent2 2 2 6 2 2" xfId="8313" xr:uid="{00000000-0005-0000-0000-0000C6000000}"/>
    <cellStyle name="20% - Accent2 2 2 6 2 2 2" xfId="16752" xr:uid="{8D1A2CBF-09A8-463D-BF81-29D412EDC31E}"/>
    <cellStyle name="20% - Accent2 2 2 6 2 3" xfId="12534" xr:uid="{E8492298-7A1F-41C7-9ACD-E050F76A6F20}"/>
    <cellStyle name="20% - Accent2 2 2 6 3" xfId="6168" xr:uid="{00000000-0005-0000-0000-0000C7000000}"/>
    <cellStyle name="20% - Accent2 2 2 6 3 2" xfId="14607" xr:uid="{1DCA8BF5-EA4F-444C-9DF5-482CE156C560}"/>
    <cellStyle name="20% - Accent2 2 2 6 4" xfId="10389" xr:uid="{3EB51FE1-BF9E-466D-A74D-50BF6F5A9274}"/>
    <cellStyle name="20% - Accent2 2 2 7" xfId="2274" xr:uid="{00000000-0005-0000-0000-0000C8000000}"/>
    <cellStyle name="20% - Accent2 2 2 7 2" xfId="6581" xr:uid="{00000000-0005-0000-0000-0000C9000000}"/>
    <cellStyle name="20% - Accent2 2 2 7 2 2" xfId="15020" xr:uid="{97973BA2-796E-4DA9-B4CE-7F38DC9FB862}"/>
    <cellStyle name="20% - Accent2 2 2 7 3" xfId="10802" xr:uid="{BCE61BF9-4A0B-4734-B14B-F891C93CF2E7}"/>
    <cellStyle name="20% - Accent2 2 2 8" xfId="4515" xr:uid="{00000000-0005-0000-0000-0000CA000000}"/>
    <cellStyle name="20% - Accent2 2 2 8 2" xfId="12954" xr:uid="{B1080929-1D61-48FE-A6F3-22267CAF4ED8}"/>
    <cellStyle name="20% - Accent2 2 2 9" xfId="8736" xr:uid="{FA778394-365F-4E18-8369-97595E57F057}"/>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2 2 2" xfId="15515" xr:uid="{5718657F-E50C-4700-B460-577CF89DD7BE}"/>
    <cellStyle name="20% - Accent2 2 3 2 2 3" xfId="11297" xr:uid="{90F4C088-E811-486A-A071-D784FCA38E72}"/>
    <cellStyle name="20% - Accent2 2 3 2 3" xfId="4931" xr:uid="{00000000-0005-0000-0000-0000CF000000}"/>
    <cellStyle name="20% - Accent2 2 3 2 3 2" xfId="13370" xr:uid="{DE6903EB-F3D7-4543-822E-94A5188B050B}"/>
    <cellStyle name="20% - Accent2 2 3 2 4" xfId="9152" xr:uid="{AE2F2DA3-034F-47D0-A9A4-EA6944531529}"/>
    <cellStyle name="20% - Accent2 2 3 3" xfId="1035" xr:uid="{00000000-0005-0000-0000-0000D0000000}"/>
    <cellStyle name="20% - Accent2 2 3 3 2" xfId="3266" xr:uid="{00000000-0005-0000-0000-0000D1000000}"/>
    <cellStyle name="20% - Accent2 2 3 3 2 2" xfId="7489" xr:uid="{00000000-0005-0000-0000-0000D2000000}"/>
    <cellStyle name="20% - Accent2 2 3 3 2 2 2" xfId="15928" xr:uid="{7F14BDA8-DF90-4590-AED0-1D72D4E657F6}"/>
    <cellStyle name="20% - Accent2 2 3 3 2 3" xfId="11710" xr:uid="{DC24F19F-A662-4E22-BE9A-A8915FEEB4C4}"/>
    <cellStyle name="20% - Accent2 2 3 3 3" xfId="5344" xr:uid="{00000000-0005-0000-0000-0000D3000000}"/>
    <cellStyle name="20% - Accent2 2 3 3 3 2" xfId="13783" xr:uid="{8E3C77A6-4562-40DE-9AB2-E55B45A9C5F4}"/>
    <cellStyle name="20% - Accent2 2 3 3 4" xfId="9565" xr:uid="{D558D304-9CDE-4CDF-888F-4A65DB3D3EB2}"/>
    <cellStyle name="20% - Accent2 2 3 4" xfId="1449" xr:uid="{00000000-0005-0000-0000-0000D4000000}"/>
    <cellStyle name="20% - Accent2 2 3 4 2" xfId="3679" xr:uid="{00000000-0005-0000-0000-0000D5000000}"/>
    <cellStyle name="20% - Accent2 2 3 4 2 2" xfId="7902" xr:uid="{00000000-0005-0000-0000-0000D6000000}"/>
    <cellStyle name="20% - Accent2 2 3 4 2 2 2" xfId="16341" xr:uid="{A4271AF3-DD7A-4BAB-BE8B-B6F7C7EE4428}"/>
    <cellStyle name="20% - Accent2 2 3 4 2 3" xfId="12123" xr:uid="{7C1F93C8-9B84-41FC-9091-16257C701C70}"/>
    <cellStyle name="20% - Accent2 2 3 4 3" xfId="5757" xr:uid="{00000000-0005-0000-0000-0000D7000000}"/>
    <cellStyle name="20% - Accent2 2 3 4 3 2" xfId="14196" xr:uid="{16DCAC21-C5FD-4160-8E69-ADEDB41141B8}"/>
    <cellStyle name="20% - Accent2 2 3 4 4" xfId="9978" xr:uid="{A31A2760-17A4-4AB9-8E7B-6D5127F64041}"/>
    <cellStyle name="20% - Accent2 2 3 5" xfId="1863" xr:uid="{00000000-0005-0000-0000-0000D8000000}"/>
    <cellStyle name="20% - Accent2 2 3 5 2" xfId="4092" xr:uid="{00000000-0005-0000-0000-0000D9000000}"/>
    <cellStyle name="20% - Accent2 2 3 5 2 2" xfId="8315" xr:uid="{00000000-0005-0000-0000-0000DA000000}"/>
    <cellStyle name="20% - Accent2 2 3 5 2 2 2" xfId="16754" xr:uid="{994A7EFE-594E-4532-B991-411087B9F34E}"/>
    <cellStyle name="20% - Accent2 2 3 5 2 3" xfId="12536" xr:uid="{0C1673B1-51A4-400D-9BAD-D59F176E084E}"/>
    <cellStyle name="20% - Accent2 2 3 5 3" xfId="6170" xr:uid="{00000000-0005-0000-0000-0000DB000000}"/>
    <cellStyle name="20% - Accent2 2 3 5 3 2" xfId="14609" xr:uid="{1C6492D1-EE9F-4B65-98DB-7B9E20E11D22}"/>
    <cellStyle name="20% - Accent2 2 3 5 4" xfId="10391" xr:uid="{4F952EE4-318C-49E7-A261-F9DFD341C7FF}"/>
    <cellStyle name="20% - Accent2 2 3 6" xfId="2276" xr:uid="{00000000-0005-0000-0000-0000DC000000}"/>
    <cellStyle name="20% - Accent2 2 3 6 2" xfId="6583" xr:uid="{00000000-0005-0000-0000-0000DD000000}"/>
    <cellStyle name="20% - Accent2 2 3 6 2 2" xfId="15022" xr:uid="{9D03A48F-894B-4333-A0BC-98961F16C11E}"/>
    <cellStyle name="20% - Accent2 2 3 6 3" xfId="10804" xr:uid="{BD38B5B9-84C2-4DB3-B8C5-995058DF68EC}"/>
    <cellStyle name="20% - Accent2 2 3 7" xfId="4517" xr:uid="{00000000-0005-0000-0000-0000DE000000}"/>
    <cellStyle name="20% - Accent2 2 3 7 2" xfId="12956" xr:uid="{DEC8D419-9DAB-454A-BBFD-E1C0EE82CA5A}"/>
    <cellStyle name="20% - Accent2 2 3 8" xfId="8738" xr:uid="{9157E64C-FC66-4595-824A-B13664B40328}"/>
    <cellStyle name="20% - Accent2 2 4" xfId="579" xr:uid="{00000000-0005-0000-0000-0000DF000000}"/>
    <cellStyle name="20% - Accent2 2 4 2" xfId="2850" xr:uid="{00000000-0005-0000-0000-0000E0000000}"/>
    <cellStyle name="20% - Accent2 2 4 2 2" xfId="7073" xr:uid="{00000000-0005-0000-0000-0000E1000000}"/>
    <cellStyle name="20% - Accent2 2 4 2 2 2" xfId="15512" xr:uid="{61F6BEAA-7D99-44F8-BA97-D6ECA3C1E22B}"/>
    <cellStyle name="20% - Accent2 2 4 2 3" xfId="11294" xr:uid="{9F98C7C7-409F-4499-B0E5-B7E210F4F765}"/>
    <cellStyle name="20% - Accent2 2 4 3" xfId="4928" xr:uid="{00000000-0005-0000-0000-0000E2000000}"/>
    <cellStyle name="20% - Accent2 2 4 3 2" xfId="13367" xr:uid="{9EEC012E-A1F7-43DD-B813-A629FCF2FD38}"/>
    <cellStyle name="20% - Accent2 2 4 4" xfId="9149" xr:uid="{8BB675B3-BA05-4303-8D15-957D8AA1EAC7}"/>
    <cellStyle name="20% - Accent2 2 5" xfId="1032" xr:uid="{00000000-0005-0000-0000-0000E3000000}"/>
    <cellStyle name="20% - Accent2 2 5 2" xfId="3263" xr:uid="{00000000-0005-0000-0000-0000E4000000}"/>
    <cellStyle name="20% - Accent2 2 5 2 2" xfId="7486" xr:uid="{00000000-0005-0000-0000-0000E5000000}"/>
    <cellStyle name="20% - Accent2 2 5 2 2 2" xfId="15925" xr:uid="{35129071-2411-4E8D-A672-AE01813621C5}"/>
    <cellStyle name="20% - Accent2 2 5 2 3" xfId="11707" xr:uid="{7E4AD8FE-5C0C-4FDB-B369-6527DEB151CA}"/>
    <cellStyle name="20% - Accent2 2 5 3" xfId="5341" xr:uid="{00000000-0005-0000-0000-0000E6000000}"/>
    <cellStyle name="20% - Accent2 2 5 3 2" xfId="13780" xr:uid="{82708B02-E759-4474-B8AA-758CACE75BC6}"/>
    <cellStyle name="20% - Accent2 2 5 4" xfId="9562" xr:uid="{A7C184AE-DAD9-4E3C-BE32-20ED76BFD7D1}"/>
    <cellStyle name="20% - Accent2 2 6" xfId="1446" xr:uid="{00000000-0005-0000-0000-0000E7000000}"/>
    <cellStyle name="20% - Accent2 2 6 2" xfId="3676" xr:uid="{00000000-0005-0000-0000-0000E8000000}"/>
    <cellStyle name="20% - Accent2 2 6 2 2" xfId="7899" xr:uid="{00000000-0005-0000-0000-0000E9000000}"/>
    <cellStyle name="20% - Accent2 2 6 2 2 2" xfId="16338" xr:uid="{1B8602FA-3D61-4892-A443-EAF2ACC691C7}"/>
    <cellStyle name="20% - Accent2 2 6 2 3" xfId="12120" xr:uid="{E2493B23-9447-45DA-9725-FEF5A52AE5CC}"/>
    <cellStyle name="20% - Accent2 2 6 3" xfId="5754" xr:uid="{00000000-0005-0000-0000-0000EA000000}"/>
    <cellStyle name="20% - Accent2 2 6 3 2" xfId="14193" xr:uid="{68B00AAC-0BDA-4502-8915-A807958D356C}"/>
    <cellStyle name="20% - Accent2 2 6 4" xfId="9975" xr:uid="{DCB6A00D-13BD-47BF-9138-03F8494C4A5C}"/>
    <cellStyle name="20% - Accent2 2 7" xfId="1860" xr:uid="{00000000-0005-0000-0000-0000EB000000}"/>
    <cellStyle name="20% - Accent2 2 7 2" xfId="4089" xr:uid="{00000000-0005-0000-0000-0000EC000000}"/>
    <cellStyle name="20% - Accent2 2 7 2 2" xfId="8312" xr:uid="{00000000-0005-0000-0000-0000ED000000}"/>
    <cellStyle name="20% - Accent2 2 7 2 2 2" xfId="16751" xr:uid="{C09D52D5-444D-4F45-AAA1-768D8A31AB84}"/>
    <cellStyle name="20% - Accent2 2 7 2 3" xfId="12533" xr:uid="{01ECB935-5942-4BB7-9C4B-818D770C9307}"/>
    <cellStyle name="20% - Accent2 2 7 3" xfId="6167" xr:uid="{00000000-0005-0000-0000-0000EE000000}"/>
    <cellStyle name="20% - Accent2 2 7 3 2" xfId="14606" xr:uid="{3F66A016-1C76-472E-8E67-8C6B91F158EB}"/>
    <cellStyle name="20% - Accent2 2 7 4" xfId="10388" xr:uid="{DCE17CA9-FBA2-4614-A4BE-319AB802DC7B}"/>
    <cellStyle name="20% - Accent2 2 8" xfId="2273" xr:uid="{00000000-0005-0000-0000-0000EF000000}"/>
    <cellStyle name="20% - Accent2 2 8 2" xfId="6580" xr:uid="{00000000-0005-0000-0000-0000F0000000}"/>
    <cellStyle name="20% - Accent2 2 8 2 2" xfId="15019" xr:uid="{87695AA7-2B96-419B-89BA-7CABCA08E679}"/>
    <cellStyle name="20% - Accent2 2 8 3" xfId="10801" xr:uid="{BE4D1B74-2990-4F20-B505-3C0139A9DFA6}"/>
    <cellStyle name="20% - Accent2 2 9" xfId="4514" xr:uid="{00000000-0005-0000-0000-0000F1000000}"/>
    <cellStyle name="20% - Accent2 2 9 2" xfId="12953" xr:uid="{1E241C99-3024-4C2A-A1A4-B7C07AF1E16E}"/>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2 2 2" xfId="15517" xr:uid="{20C27D59-BF36-4BB5-970F-300ECCEDDDAA}"/>
    <cellStyle name="20% - Accent2 3 2 2 2 3" xfId="11299" xr:uid="{F0A404C7-C842-44E2-A0FA-D7218D9D0DB2}"/>
    <cellStyle name="20% - Accent2 3 2 2 3" xfId="4933" xr:uid="{00000000-0005-0000-0000-0000F7000000}"/>
    <cellStyle name="20% - Accent2 3 2 2 3 2" xfId="13372" xr:uid="{F39A7B5C-98A5-4250-9FBF-F52FEFEB09F0}"/>
    <cellStyle name="20% - Accent2 3 2 2 4" xfId="9154" xr:uid="{EE3320A4-58BD-4B07-90AC-10DC2AA3424A}"/>
    <cellStyle name="20% - Accent2 3 2 3" xfId="1037" xr:uid="{00000000-0005-0000-0000-0000F8000000}"/>
    <cellStyle name="20% - Accent2 3 2 3 2" xfId="3268" xr:uid="{00000000-0005-0000-0000-0000F9000000}"/>
    <cellStyle name="20% - Accent2 3 2 3 2 2" xfId="7491" xr:uid="{00000000-0005-0000-0000-0000FA000000}"/>
    <cellStyle name="20% - Accent2 3 2 3 2 2 2" xfId="15930" xr:uid="{675D8F61-98B1-44AA-9BFA-36CE891AB3DB}"/>
    <cellStyle name="20% - Accent2 3 2 3 2 3" xfId="11712" xr:uid="{A4215DFB-AF81-4121-8223-70EEF0205632}"/>
    <cellStyle name="20% - Accent2 3 2 3 3" xfId="5346" xr:uid="{00000000-0005-0000-0000-0000FB000000}"/>
    <cellStyle name="20% - Accent2 3 2 3 3 2" xfId="13785" xr:uid="{E3BF2495-FAB3-4773-9FB2-639AB3B1FB1A}"/>
    <cellStyle name="20% - Accent2 3 2 3 4" xfId="9567" xr:uid="{48926473-EF24-43C1-AF0E-D10602438713}"/>
    <cellStyle name="20% - Accent2 3 2 4" xfId="1451" xr:uid="{00000000-0005-0000-0000-0000FC000000}"/>
    <cellStyle name="20% - Accent2 3 2 4 2" xfId="3681" xr:uid="{00000000-0005-0000-0000-0000FD000000}"/>
    <cellStyle name="20% - Accent2 3 2 4 2 2" xfId="7904" xr:uid="{00000000-0005-0000-0000-0000FE000000}"/>
    <cellStyle name="20% - Accent2 3 2 4 2 2 2" xfId="16343" xr:uid="{1C97A2F8-9D33-4F1F-B48A-57F9233BA863}"/>
    <cellStyle name="20% - Accent2 3 2 4 2 3" xfId="12125" xr:uid="{0FD51E59-64A0-4DFA-94EB-AEEF428E96D9}"/>
    <cellStyle name="20% - Accent2 3 2 4 3" xfId="5759" xr:uid="{00000000-0005-0000-0000-0000FF000000}"/>
    <cellStyle name="20% - Accent2 3 2 4 3 2" xfId="14198" xr:uid="{8A27D58E-C1E9-406D-BFB9-51D22127A0BB}"/>
    <cellStyle name="20% - Accent2 3 2 4 4" xfId="9980" xr:uid="{216F7AEE-7F0D-40B1-BB32-C66B980B6464}"/>
    <cellStyle name="20% - Accent2 3 2 5" xfId="1865" xr:uid="{00000000-0005-0000-0000-000000010000}"/>
    <cellStyle name="20% - Accent2 3 2 5 2" xfId="4094" xr:uid="{00000000-0005-0000-0000-000001010000}"/>
    <cellStyle name="20% - Accent2 3 2 5 2 2" xfId="8317" xr:uid="{00000000-0005-0000-0000-000002010000}"/>
    <cellStyle name="20% - Accent2 3 2 5 2 2 2" xfId="16756" xr:uid="{9DADD4DB-12B4-46FF-9238-BC7E42E2FA97}"/>
    <cellStyle name="20% - Accent2 3 2 5 2 3" xfId="12538" xr:uid="{F8881A62-D06F-4804-87DA-26A1BD17C784}"/>
    <cellStyle name="20% - Accent2 3 2 5 3" xfId="6172" xr:uid="{00000000-0005-0000-0000-000003010000}"/>
    <cellStyle name="20% - Accent2 3 2 5 3 2" xfId="14611" xr:uid="{F9B0586E-CD49-420E-B0E2-D51F7A3AE76A}"/>
    <cellStyle name="20% - Accent2 3 2 5 4" xfId="10393" xr:uid="{583AADB0-CDB6-4B7B-85FE-1F76B6674B36}"/>
    <cellStyle name="20% - Accent2 3 2 6" xfId="2278" xr:uid="{00000000-0005-0000-0000-000004010000}"/>
    <cellStyle name="20% - Accent2 3 2 6 2" xfId="6585" xr:uid="{00000000-0005-0000-0000-000005010000}"/>
    <cellStyle name="20% - Accent2 3 2 6 2 2" xfId="15024" xr:uid="{2FBE4B89-54D7-4834-8489-14EE6F116176}"/>
    <cellStyle name="20% - Accent2 3 2 6 3" xfId="10806" xr:uid="{161C733A-0FA4-4FEA-8FCE-F3E1D03C2858}"/>
    <cellStyle name="20% - Accent2 3 2 7" xfId="4519" xr:uid="{00000000-0005-0000-0000-000006010000}"/>
    <cellStyle name="20% - Accent2 3 2 7 2" xfId="12958" xr:uid="{C6C64D9E-29B2-4D7C-8C9B-B324C8B9B095}"/>
    <cellStyle name="20% - Accent2 3 2 8" xfId="8740" xr:uid="{25D08789-2F59-4297-89C0-3498A742BAC3}"/>
    <cellStyle name="20% - Accent2 3 3" xfId="583" xr:uid="{00000000-0005-0000-0000-000007010000}"/>
    <cellStyle name="20% - Accent2 3 3 2" xfId="2854" xr:uid="{00000000-0005-0000-0000-000008010000}"/>
    <cellStyle name="20% - Accent2 3 3 2 2" xfId="7077" xr:uid="{00000000-0005-0000-0000-000009010000}"/>
    <cellStyle name="20% - Accent2 3 3 2 2 2" xfId="15516" xr:uid="{9C11C855-0B5B-43FD-B1CE-1A08C0259AC6}"/>
    <cellStyle name="20% - Accent2 3 3 2 3" xfId="11298" xr:uid="{1BA79A79-CFEF-402A-B845-776A77AF9509}"/>
    <cellStyle name="20% - Accent2 3 3 3" xfId="4932" xr:uid="{00000000-0005-0000-0000-00000A010000}"/>
    <cellStyle name="20% - Accent2 3 3 3 2" xfId="13371" xr:uid="{4E47D392-CA56-407A-BE3F-3D890AD5133F}"/>
    <cellStyle name="20% - Accent2 3 3 4" xfId="9153" xr:uid="{907D834C-57C9-498F-8F90-E4ACCCD2A0B1}"/>
    <cellStyle name="20% - Accent2 3 4" xfId="1036" xr:uid="{00000000-0005-0000-0000-00000B010000}"/>
    <cellStyle name="20% - Accent2 3 4 2" xfId="3267" xr:uid="{00000000-0005-0000-0000-00000C010000}"/>
    <cellStyle name="20% - Accent2 3 4 2 2" xfId="7490" xr:uid="{00000000-0005-0000-0000-00000D010000}"/>
    <cellStyle name="20% - Accent2 3 4 2 2 2" xfId="15929" xr:uid="{FB291A87-A60A-45BC-B86C-4484587570F1}"/>
    <cellStyle name="20% - Accent2 3 4 2 3" xfId="11711" xr:uid="{1AAE0A51-FDEA-4217-8F9B-F9506D9A84C4}"/>
    <cellStyle name="20% - Accent2 3 4 3" xfId="5345" xr:uid="{00000000-0005-0000-0000-00000E010000}"/>
    <cellStyle name="20% - Accent2 3 4 3 2" xfId="13784" xr:uid="{F0DB8A22-CC2D-4BD6-82E7-5737957CE73A}"/>
    <cellStyle name="20% - Accent2 3 4 4" xfId="9566" xr:uid="{4F15B28E-7A4F-48E7-AEA5-2863E09521C7}"/>
    <cellStyle name="20% - Accent2 3 5" xfId="1450" xr:uid="{00000000-0005-0000-0000-00000F010000}"/>
    <cellStyle name="20% - Accent2 3 5 2" xfId="3680" xr:uid="{00000000-0005-0000-0000-000010010000}"/>
    <cellStyle name="20% - Accent2 3 5 2 2" xfId="7903" xr:uid="{00000000-0005-0000-0000-000011010000}"/>
    <cellStyle name="20% - Accent2 3 5 2 2 2" xfId="16342" xr:uid="{9F6E0245-2FBD-4591-944D-59485F2AFCCA}"/>
    <cellStyle name="20% - Accent2 3 5 2 3" xfId="12124" xr:uid="{5CC92A7C-0170-4E9A-A4B2-E292AC8657C8}"/>
    <cellStyle name="20% - Accent2 3 5 3" xfId="5758" xr:uid="{00000000-0005-0000-0000-000012010000}"/>
    <cellStyle name="20% - Accent2 3 5 3 2" xfId="14197" xr:uid="{4C4A74D8-772F-4190-8F45-8EFD49FFBC9B}"/>
    <cellStyle name="20% - Accent2 3 5 4" xfId="9979" xr:uid="{06CEE235-C8F0-4753-9FB1-AD7B16FFDDD8}"/>
    <cellStyle name="20% - Accent2 3 6" xfId="1864" xr:uid="{00000000-0005-0000-0000-000013010000}"/>
    <cellStyle name="20% - Accent2 3 6 2" xfId="4093" xr:uid="{00000000-0005-0000-0000-000014010000}"/>
    <cellStyle name="20% - Accent2 3 6 2 2" xfId="8316" xr:uid="{00000000-0005-0000-0000-000015010000}"/>
    <cellStyle name="20% - Accent2 3 6 2 2 2" xfId="16755" xr:uid="{8AAA0E11-C70D-4276-85E8-C6EBDE6B1468}"/>
    <cellStyle name="20% - Accent2 3 6 2 3" xfId="12537" xr:uid="{173B7D30-7C63-486B-A08D-E58877176A3B}"/>
    <cellStyle name="20% - Accent2 3 6 3" xfId="6171" xr:uid="{00000000-0005-0000-0000-000016010000}"/>
    <cellStyle name="20% - Accent2 3 6 3 2" xfId="14610" xr:uid="{FFB75A6A-6981-4DAA-B161-F1B2713FD9DF}"/>
    <cellStyle name="20% - Accent2 3 6 4" xfId="10392" xr:uid="{A6D53683-9C80-4650-AA63-FECA4F236553}"/>
    <cellStyle name="20% - Accent2 3 7" xfId="2277" xr:uid="{00000000-0005-0000-0000-000017010000}"/>
    <cellStyle name="20% - Accent2 3 7 2" xfId="6584" xr:uid="{00000000-0005-0000-0000-000018010000}"/>
    <cellStyle name="20% - Accent2 3 7 2 2" xfId="15023" xr:uid="{592950B9-7C11-4CD6-985B-F346DB831A4D}"/>
    <cellStyle name="20% - Accent2 3 7 3" xfId="10805" xr:uid="{8FD375E3-EE3E-4E8B-AFC1-BB56730C901D}"/>
    <cellStyle name="20% - Accent2 3 8" xfId="4518" xr:uid="{00000000-0005-0000-0000-000019010000}"/>
    <cellStyle name="20% - Accent2 3 8 2" xfId="12957" xr:uid="{7F527BEF-0E37-442B-B536-12EE563BF5F5}"/>
    <cellStyle name="20% - Accent2 3 9" xfId="8739" xr:uid="{72BF74A7-8165-4DDB-B756-6DB158E6AE61}"/>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2 2 2" xfId="15518" xr:uid="{2BEBE6A7-A5AA-413E-9690-F33E8A19CD86}"/>
    <cellStyle name="20% - Accent2 4 2 2 3" xfId="11300" xr:uid="{36BB365F-31DA-401E-A184-B9771CC7C567}"/>
    <cellStyle name="20% - Accent2 4 2 3" xfId="4934" xr:uid="{00000000-0005-0000-0000-00001E010000}"/>
    <cellStyle name="20% - Accent2 4 2 3 2" xfId="13373" xr:uid="{BAE2DECE-CF40-445C-A459-F97243749686}"/>
    <cellStyle name="20% - Accent2 4 2 4" xfId="9155" xr:uid="{F524AF23-E163-44A4-A7A8-CCDE30D64704}"/>
    <cellStyle name="20% - Accent2 4 3" xfId="1038" xr:uid="{00000000-0005-0000-0000-00001F010000}"/>
    <cellStyle name="20% - Accent2 4 3 2" xfId="3269" xr:uid="{00000000-0005-0000-0000-000020010000}"/>
    <cellStyle name="20% - Accent2 4 3 2 2" xfId="7492" xr:uid="{00000000-0005-0000-0000-000021010000}"/>
    <cellStyle name="20% - Accent2 4 3 2 2 2" xfId="15931" xr:uid="{D2D176C4-F399-44DC-B5B3-6BA239C22E39}"/>
    <cellStyle name="20% - Accent2 4 3 2 3" xfId="11713" xr:uid="{F33D1E66-980F-4F05-A27E-DA509A002C50}"/>
    <cellStyle name="20% - Accent2 4 3 3" xfId="5347" xr:uid="{00000000-0005-0000-0000-000022010000}"/>
    <cellStyle name="20% - Accent2 4 3 3 2" xfId="13786" xr:uid="{B225DCA5-A424-4C7A-9572-DD7DB58DB0B4}"/>
    <cellStyle name="20% - Accent2 4 3 4" xfId="9568" xr:uid="{6D8D0F41-EE45-4434-811E-86E421C1CB17}"/>
    <cellStyle name="20% - Accent2 4 4" xfId="1452" xr:uid="{00000000-0005-0000-0000-000023010000}"/>
    <cellStyle name="20% - Accent2 4 4 2" xfId="3682" xr:uid="{00000000-0005-0000-0000-000024010000}"/>
    <cellStyle name="20% - Accent2 4 4 2 2" xfId="7905" xr:uid="{00000000-0005-0000-0000-000025010000}"/>
    <cellStyle name="20% - Accent2 4 4 2 2 2" xfId="16344" xr:uid="{36179457-589D-4729-B813-615899314AC6}"/>
    <cellStyle name="20% - Accent2 4 4 2 3" xfId="12126" xr:uid="{DC7D45B9-BF3A-4286-A08B-C44A38AAD6DA}"/>
    <cellStyle name="20% - Accent2 4 4 3" xfId="5760" xr:uid="{00000000-0005-0000-0000-000026010000}"/>
    <cellStyle name="20% - Accent2 4 4 3 2" xfId="14199" xr:uid="{109E418A-F7D8-4215-A73C-C9A9458B8354}"/>
    <cellStyle name="20% - Accent2 4 4 4" xfId="9981" xr:uid="{B8C0DC95-72B1-4D58-84F8-A9A79379A729}"/>
    <cellStyle name="20% - Accent2 4 5" xfId="1866" xr:uid="{00000000-0005-0000-0000-000027010000}"/>
    <cellStyle name="20% - Accent2 4 5 2" xfId="4095" xr:uid="{00000000-0005-0000-0000-000028010000}"/>
    <cellStyle name="20% - Accent2 4 5 2 2" xfId="8318" xr:uid="{00000000-0005-0000-0000-000029010000}"/>
    <cellStyle name="20% - Accent2 4 5 2 2 2" xfId="16757" xr:uid="{C9FBD3C5-0873-4CA4-B818-D3C9F40C6689}"/>
    <cellStyle name="20% - Accent2 4 5 2 3" xfId="12539" xr:uid="{C3D5A8DF-291B-4599-8263-4E7CF7C25988}"/>
    <cellStyle name="20% - Accent2 4 5 3" xfId="6173" xr:uid="{00000000-0005-0000-0000-00002A010000}"/>
    <cellStyle name="20% - Accent2 4 5 3 2" xfId="14612" xr:uid="{30E9009D-7EE2-450D-B346-A678D135CDB9}"/>
    <cellStyle name="20% - Accent2 4 5 4" xfId="10394" xr:uid="{05889D69-F6ED-402C-A427-FED6203E826E}"/>
    <cellStyle name="20% - Accent2 4 6" xfId="2279" xr:uid="{00000000-0005-0000-0000-00002B010000}"/>
    <cellStyle name="20% - Accent2 4 6 2" xfId="6586" xr:uid="{00000000-0005-0000-0000-00002C010000}"/>
    <cellStyle name="20% - Accent2 4 6 2 2" xfId="15025" xr:uid="{494CDFA7-0496-4EFD-A4CF-BD0AFE56845B}"/>
    <cellStyle name="20% - Accent2 4 6 3" xfId="10807" xr:uid="{39F026CE-D432-4B6B-B699-AAD373807C58}"/>
    <cellStyle name="20% - Accent2 4 7" xfId="4520" xr:uid="{00000000-0005-0000-0000-00002D010000}"/>
    <cellStyle name="20% - Accent2 4 7 2" xfId="12959" xr:uid="{7EE404C0-EC4B-4B27-8391-0D3E96A4613E}"/>
    <cellStyle name="20% - Accent2 4 8" xfId="8741" xr:uid="{4036F74A-3963-4A59-9736-4596F877E8D0}"/>
    <cellStyle name="20% - Accent2 5" xfId="578" xr:uid="{00000000-0005-0000-0000-00002E010000}"/>
    <cellStyle name="20% - Accent2 5 2" xfId="2849" xr:uid="{00000000-0005-0000-0000-00002F010000}"/>
    <cellStyle name="20% - Accent2 5 2 2" xfId="7072" xr:uid="{00000000-0005-0000-0000-000030010000}"/>
    <cellStyle name="20% - Accent2 5 2 2 2" xfId="15511" xr:uid="{8469C571-0473-4516-BA32-0A92E6DDA8FD}"/>
    <cellStyle name="20% - Accent2 5 2 3" xfId="11293" xr:uid="{CD93C70B-12CD-4D69-ACFA-CB0B5A500D2E}"/>
    <cellStyle name="20% - Accent2 5 3" xfId="4927" xr:uid="{00000000-0005-0000-0000-000031010000}"/>
    <cellStyle name="20% - Accent2 5 3 2" xfId="13366" xr:uid="{0C4BFFEC-1216-43C5-9B96-039E10A101FC}"/>
    <cellStyle name="20% - Accent2 5 4" xfId="9148" xr:uid="{8AD90035-50AF-47AF-9183-F0AD3445D09A}"/>
    <cellStyle name="20% - Accent2 6" xfId="1031" xr:uid="{00000000-0005-0000-0000-000032010000}"/>
    <cellStyle name="20% - Accent2 6 2" xfId="3262" xr:uid="{00000000-0005-0000-0000-000033010000}"/>
    <cellStyle name="20% - Accent2 6 2 2" xfId="7485" xr:uid="{00000000-0005-0000-0000-000034010000}"/>
    <cellStyle name="20% - Accent2 6 2 2 2" xfId="15924" xr:uid="{E8760C38-D504-49A2-A1FD-21D7878B33CC}"/>
    <cellStyle name="20% - Accent2 6 2 3" xfId="11706" xr:uid="{8719D05A-7AF9-4BD9-B2A3-075969283D07}"/>
    <cellStyle name="20% - Accent2 6 3" xfId="5340" xr:uid="{00000000-0005-0000-0000-000035010000}"/>
    <cellStyle name="20% - Accent2 6 3 2" xfId="13779" xr:uid="{A05217AE-0CD1-43D7-A88B-C1EF2A85C405}"/>
    <cellStyle name="20% - Accent2 6 4" xfId="9561" xr:uid="{58C49914-2602-46A4-A68F-4523D1BC9A07}"/>
    <cellStyle name="20% - Accent2 7" xfId="1445" xr:uid="{00000000-0005-0000-0000-000036010000}"/>
    <cellStyle name="20% - Accent2 7 2" xfId="3675" xr:uid="{00000000-0005-0000-0000-000037010000}"/>
    <cellStyle name="20% - Accent2 7 2 2" xfId="7898" xr:uid="{00000000-0005-0000-0000-000038010000}"/>
    <cellStyle name="20% - Accent2 7 2 2 2" xfId="16337" xr:uid="{FCF71622-B469-4592-BFD8-857C53B5762B}"/>
    <cellStyle name="20% - Accent2 7 2 3" xfId="12119" xr:uid="{71F506D7-CC36-4172-8FE5-CFD0C39A699F}"/>
    <cellStyle name="20% - Accent2 7 3" xfId="5753" xr:uid="{00000000-0005-0000-0000-000039010000}"/>
    <cellStyle name="20% - Accent2 7 3 2" xfId="14192" xr:uid="{0CF89610-F76B-40AD-BBE5-09B2B1063C8B}"/>
    <cellStyle name="20% - Accent2 7 4" xfId="9974" xr:uid="{3671B112-2465-45D9-A19C-84D08FF57520}"/>
    <cellStyle name="20% - Accent2 8" xfId="1859" xr:uid="{00000000-0005-0000-0000-00003A010000}"/>
    <cellStyle name="20% - Accent2 8 2" xfId="4088" xr:uid="{00000000-0005-0000-0000-00003B010000}"/>
    <cellStyle name="20% - Accent2 8 2 2" xfId="8311" xr:uid="{00000000-0005-0000-0000-00003C010000}"/>
    <cellStyle name="20% - Accent2 8 2 2 2" xfId="16750" xr:uid="{9A0C0D20-9631-4CEE-AF6F-B28313A027D5}"/>
    <cellStyle name="20% - Accent2 8 2 3" xfId="12532" xr:uid="{63D0AEC5-38EE-4BA6-9E9C-62313E8773EC}"/>
    <cellStyle name="20% - Accent2 8 3" xfId="6166" xr:uid="{00000000-0005-0000-0000-00003D010000}"/>
    <cellStyle name="20% - Accent2 8 3 2" xfId="14605" xr:uid="{20C55387-019C-435C-8BC2-6A648BC5231F}"/>
    <cellStyle name="20% - Accent2 8 4" xfId="10387" xr:uid="{92227E7E-7EE1-4913-912F-989980C82D3F}"/>
    <cellStyle name="20% - Accent2 9" xfId="2272" xr:uid="{00000000-0005-0000-0000-00003E010000}"/>
    <cellStyle name="20% - Accent2 9 2" xfId="6579" xr:uid="{00000000-0005-0000-0000-00003F010000}"/>
    <cellStyle name="20% - Accent2 9 2 2" xfId="15018" xr:uid="{17456456-F7D0-47EF-81CC-0F03BE3793EF}"/>
    <cellStyle name="20% - Accent2 9 3" xfId="10800" xr:uid="{719ED7B0-2BB7-48B7-B86A-CF96C9E95E2A}"/>
    <cellStyle name="20% - Accent3" xfId="17" builtinId="38" customBuiltin="1"/>
    <cellStyle name="20% - Accent3 10" xfId="4521" xr:uid="{00000000-0005-0000-0000-000041010000}"/>
    <cellStyle name="20% - Accent3 10 2" xfId="12960" xr:uid="{E63BC2BF-C1E6-40A5-89DB-09140551ABD6}"/>
    <cellStyle name="20% - Accent3 11" xfId="8742" xr:uid="{2DA0774E-9B31-4178-98FB-E76F8A418A90}"/>
    <cellStyle name="20% - Accent3 2" xfId="18" xr:uid="{00000000-0005-0000-0000-000042010000}"/>
    <cellStyle name="20% - Accent3 2 10" xfId="8743" xr:uid="{ED836A95-200B-4DFA-A25E-EC21EE32068D}"/>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2 2 2" xfId="15522" xr:uid="{4E529AA5-8E97-4838-9F01-347A8B67A6E0}"/>
    <cellStyle name="20% - Accent3 2 2 2 2 2 3" xfId="11304" xr:uid="{FAF73403-1360-4309-9FCB-287DF3743D64}"/>
    <cellStyle name="20% - Accent3 2 2 2 2 3" xfId="4938" xr:uid="{00000000-0005-0000-0000-000048010000}"/>
    <cellStyle name="20% - Accent3 2 2 2 2 3 2" xfId="13377" xr:uid="{DCD6E0BB-31AC-49C2-9299-F507819EE2F9}"/>
    <cellStyle name="20% - Accent3 2 2 2 2 4" xfId="9159" xr:uid="{4F9A8E01-066C-4A8F-B6BB-A398304F6DAC}"/>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2 2 2" xfId="15935" xr:uid="{ED246624-42B7-4952-B566-1F203FF33C7C}"/>
    <cellStyle name="20% - Accent3 2 2 2 3 2 3" xfId="11717" xr:uid="{2B9EF845-1A45-49B5-9705-6E64D1C7BA97}"/>
    <cellStyle name="20% - Accent3 2 2 2 3 3" xfId="5351" xr:uid="{00000000-0005-0000-0000-00004C010000}"/>
    <cellStyle name="20% - Accent3 2 2 2 3 3 2" xfId="13790" xr:uid="{1D52DDF4-0B50-4E8E-B7CC-5ABAA36490D9}"/>
    <cellStyle name="20% - Accent3 2 2 2 3 4" xfId="9572" xr:uid="{9F132975-FD0F-426E-B46A-ADF69D832F28}"/>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2 2 2" xfId="16348" xr:uid="{4E478B36-FC32-4C48-BD29-B9A2C6DCFDDD}"/>
    <cellStyle name="20% - Accent3 2 2 2 4 2 3" xfId="12130" xr:uid="{3CF1113F-B746-46EB-BA05-D76D75AFEFCF}"/>
    <cellStyle name="20% - Accent3 2 2 2 4 3" xfId="5764" xr:uid="{00000000-0005-0000-0000-000050010000}"/>
    <cellStyle name="20% - Accent3 2 2 2 4 3 2" xfId="14203" xr:uid="{04D79096-515A-493F-9EF0-E6BEB37F0642}"/>
    <cellStyle name="20% - Accent3 2 2 2 4 4" xfId="9985" xr:uid="{695BBDA7-6146-429F-8254-4CA43A71F007}"/>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2 2 2" xfId="16761" xr:uid="{1AC59088-2DDC-482E-8120-64D443146F09}"/>
    <cellStyle name="20% - Accent3 2 2 2 5 2 3" xfId="12543" xr:uid="{E711A789-6F11-425C-B029-E28F90471E97}"/>
    <cellStyle name="20% - Accent3 2 2 2 5 3" xfId="6177" xr:uid="{00000000-0005-0000-0000-000054010000}"/>
    <cellStyle name="20% - Accent3 2 2 2 5 3 2" xfId="14616" xr:uid="{1F0DF96C-671C-4152-90C9-D61463D78041}"/>
    <cellStyle name="20% - Accent3 2 2 2 5 4" xfId="10398" xr:uid="{F5415F55-FBD4-46D3-AFC9-4A2A6EE05238}"/>
    <cellStyle name="20% - Accent3 2 2 2 6" xfId="2283" xr:uid="{00000000-0005-0000-0000-000055010000}"/>
    <cellStyle name="20% - Accent3 2 2 2 6 2" xfId="6590" xr:uid="{00000000-0005-0000-0000-000056010000}"/>
    <cellStyle name="20% - Accent3 2 2 2 6 2 2" xfId="15029" xr:uid="{2DFA1609-D6F2-4F3C-B37B-1A1BEBACB594}"/>
    <cellStyle name="20% - Accent3 2 2 2 6 3" xfId="10811" xr:uid="{6F5A7099-5E60-4414-82B8-E79632FAC8FC}"/>
    <cellStyle name="20% - Accent3 2 2 2 7" xfId="4524" xr:uid="{00000000-0005-0000-0000-000057010000}"/>
    <cellStyle name="20% - Accent3 2 2 2 7 2" xfId="12963" xr:uid="{294432C5-2A75-4A44-94F0-980EBA17C4EA}"/>
    <cellStyle name="20% - Accent3 2 2 2 8" xfId="8745" xr:uid="{59831D26-703A-43C6-BC34-59D84C4416B5}"/>
    <cellStyle name="20% - Accent3 2 2 3" xfId="588" xr:uid="{00000000-0005-0000-0000-000058010000}"/>
    <cellStyle name="20% - Accent3 2 2 3 2" xfId="2859" xr:uid="{00000000-0005-0000-0000-000059010000}"/>
    <cellStyle name="20% - Accent3 2 2 3 2 2" xfId="7082" xr:uid="{00000000-0005-0000-0000-00005A010000}"/>
    <cellStyle name="20% - Accent3 2 2 3 2 2 2" xfId="15521" xr:uid="{D68357C4-395D-42D8-8E2A-B8EE3F75736A}"/>
    <cellStyle name="20% - Accent3 2 2 3 2 3" xfId="11303" xr:uid="{A2734ABF-9F8F-4753-B063-39E74FB0008E}"/>
    <cellStyle name="20% - Accent3 2 2 3 3" xfId="4937" xr:uid="{00000000-0005-0000-0000-00005B010000}"/>
    <cellStyle name="20% - Accent3 2 2 3 3 2" xfId="13376" xr:uid="{8A2859E4-9722-41BA-80DF-760E816C8505}"/>
    <cellStyle name="20% - Accent3 2 2 3 4" xfId="9158" xr:uid="{A22A3A53-5B22-4415-BBD1-3D1AC1AF713C}"/>
    <cellStyle name="20% - Accent3 2 2 4" xfId="1041" xr:uid="{00000000-0005-0000-0000-00005C010000}"/>
    <cellStyle name="20% - Accent3 2 2 4 2" xfId="3272" xr:uid="{00000000-0005-0000-0000-00005D010000}"/>
    <cellStyle name="20% - Accent3 2 2 4 2 2" xfId="7495" xr:uid="{00000000-0005-0000-0000-00005E010000}"/>
    <cellStyle name="20% - Accent3 2 2 4 2 2 2" xfId="15934" xr:uid="{FF5E549F-ACCB-4BEB-93B9-D146597211D7}"/>
    <cellStyle name="20% - Accent3 2 2 4 2 3" xfId="11716" xr:uid="{D9B759CB-316E-4D5A-BA31-CD391E11D4FD}"/>
    <cellStyle name="20% - Accent3 2 2 4 3" xfId="5350" xr:uid="{00000000-0005-0000-0000-00005F010000}"/>
    <cellStyle name="20% - Accent3 2 2 4 3 2" xfId="13789" xr:uid="{0423722A-1040-44BB-9D9D-C325E1F7017C}"/>
    <cellStyle name="20% - Accent3 2 2 4 4" xfId="9571" xr:uid="{327B9CDD-A0F4-4CA8-9728-4DCA8409DB42}"/>
    <cellStyle name="20% - Accent3 2 2 5" xfId="1455" xr:uid="{00000000-0005-0000-0000-000060010000}"/>
    <cellStyle name="20% - Accent3 2 2 5 2" xfId="3685" xr:uid="{00000000-0005-0000-0000-000061010000}"/>
    <cellStyle name="20% - Accent3 2 2 5 2 2" xfId="7908" xr:uid="{00000000-0005-0000-0000-000062010000}"/>
    <cellStyle name="20% - Accent3 2 2 5 2 2 2" xfId="16347" xr:uid="{DD94FBB2-829B-4C68-97F0-BF26C93687BD}"/>
    <cellStyle name="20% - Accent3 2 2 5 2 3" xfId="12129" xr:uid="{8C6AA79C-FCDD-4A32-9E77-66F53A9663A6}"/>
    <cellStyle name="20% - Accent3 2 2 5 3" xfId="5763" xr:uid="{00000000-0005-0000-0000-000063010000}"/>
    <cellStyle name="20% - Accent3 2 2 5 3 2" xfId="14202" xr:uid="{7DD6B292-38FA-441A-A225-3C713E18362A}"/>
    <cellStyle name="20% - Accent3 2 2 5 4" xfId="9984" xr:uid="{A5F1F94B-A893-4A69-9B15-E6528D35E0AD}"/>
    <cellStyle name="20% - Accent3 2 2 6" xfId="1869" xr:uid="{00000000-0005-0000-0000-000064010000}"/>
    <cellStyle name="20% - Accent3 2 2 6 2" xfId="4098" xr:uid="{00000000-0005-0000-0000-000065010000}"/>
    <cellStyle name="20% - Accent3 2 2 6 2 2" xfId="8321" xr:uid="{00000000-0005-0000-0000-000066010000}"/>
    <cellStyle name="20% - Accent3 2 2 6 2 2 2" xfId="16760" xr:uid="{8B93DDC2-BB41-42DB-8ECB-E34B5FA1D221}"/>
    <cellStyle name="20% - Accent3 2 2 6 2 3" xfId="12542" xr:uid="{061F4621-E807-4F9D-8E9E-A9E5B9E36D3E}"/>
    <cellStyle name="20% - Accent3 2 2 6 3" xfId="6176" xr:uid="{00000000-0005-0000-0000-000067010000}"/>
    <cellStyle name="20% - Accent3 2 2 6 3 2" xfId="14615" xr:uid="{119C412B-648E-424B-829E-6E9118CCA8A7}"/>
    <cellStyle name="20% - Accent3 2 2 6 4" xfId="10397" xr:uid="{33E54CA5-41C9-40A3-BC52-F14AEE289C11}"/>
    <cellStyle name="20% - Accent3 2 2 7" xfId="2282" xr:uid="{00000000-0005-0000-0000-000068010000}"/>
    <cellStyle name="20% - Accent3 2 2 7 2" xfId="6589" xr:uid="{00000000-0005-0000-0000-000069010000}"/>
    <cellStyle name="20% - Accent3 2 2 7 2 2" xfId="15028" xr:uid="{9A7DB9C6-7C62-48ED-8544-A74A00A01953}"/>
    <cellStyle name="20% - Accent3 2 2 7 3" xfId="10810" xr:uid="{D0B9A65C-C691-4FB4-B84B-AF4C4AFEB479}"/>
    <cellStyle name="20% - Accent3 2 2 8" xfId="4523" xr:uid="{00000000-0005-0000-0000-00006A010000}"/>
    <cellStyle name="20% - Accent3 2 2 8 2" xfId="12962" xr:uid="{88574C82-09F2-4E38-BBE8-DF770C17CD8F}"/>
    <cellStyle name="20% - Accent3 2 2 9" xfId="8744" xr:uid="{590890DA-FA88-4717-B6F3-66FB8E9D35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2 2 2" xfId="15523" xr:uid="{AA7EFAFF-21A2-4FDE-A23D-66F435423600}"/>
    <cellStyle name="20% - Accent3 2 3 2 2 3" xfId="11305" xr:uid="{2E87F794-DF5B-4D8B-9E77-6403CE01618A}"/>
    <cellStyle name="20% - Accent3 2 3 2 3" xfId="4939" xr:uid="{00000000-0005-0000-0000-00006F010000}"/>
    <cellStyle name="20% - Accent3 2 3 2 3 2" xfId="13378" xr:uid="{C4563E7F-24B1-4FF4-B73C-164DAFCE2F5A}"/>
    <cellStyle name="20% - Accent3 2 3 2 4" xfId="9160" xr:uid="{41FD7752-24DC-4BFF-82E2-817923CE8ED9}"/>
    <cellStyle name="20% - Accent3 2 3 3" xfId="1043" xr:uid="{00000000-0005-0000-0000-000070010000}"/>
    <cellStyle name="20% - Accent3 2 3 3 2" xfId="3274" xr:uid="{00000000-0005-0000-0000-000071010000}"/>
    <cellStyle name="20% - Accent3 2 3 3 2 2" xfId="7497" xr:uid="{00000000-0005-0000-0000-000072010000}"/>
    <cellStyle name="20% - Accent3 2 3 3 2 2 2" xfId="15936" xr:uid="{3AFCC5DC-B1BB-434B-8FFC-76868E865EE1}"/>
    <cellStyle name="20% - Accent3 2 3 3 2 3" xfId="11718" xr:uid="{58177DA4-F198-4F47-8E94-877A3FA42E5C}"/>
    <cellStyle name="20% - Accent3 2 3 3 3" xfId="5352" xr:uid="{00000000-0005-0000-0000-000073010000}"/>
    <cellStyle name="20% - Accent3 2 3 3 3 2" xfId="13791" xr:uid="{5A39C905-382B-4AD0-9FA2-B22AC9336651}"/>
    <cellStyle name="20% - Accent3 2 3 3 4" xfId="9573" xr:uid="{0B939617-D366-46C9-A350-530A66F5129A}"/>
    <cellStyle name="20% - Accent3 2 3 4" xfId="1457" xr:uid="{00000000-0005-0000-0000-000074010000}"/>
    <cellStyle name="20% - Accent3 2 3 4 2" xfId="3687" xr:uid="{00000000-0005-0000-0000-000075010000}"/>
    <cellStyle name="20% - Accent3 2 3 4 2 2" xfId="7910" xr:uid="{00000000-0005-0000-0000-000076010000}"/>
    <cellStyle name="20% - Accent3 2 3 4 2 2 2" xfId="16349" xr:uid="{9B9E6452-DDF2-46D0-BC17-8AAB143959BE}"/>
    <cellStyle name="20% - Accent3 2 3 4 2 3" xfId="12131" xr:uid="{36C42CDA-F3BE-4E26-AEAF-AD4E569B7AB8}"/>
    <cellStyle name="20% - Accent3 2 3 4 3" xfId="5765" xr:uid="{00000000-0005-0000-0000-000077010000}"/>
    <cellStyle name="20% - Accent3 2 3 4 3 2" xfId="14204" xr:uid="{B9A0AE93-3286-4D6D-BC9C-74901A907E6C}"/>
    <cellStyle name="20% - Accent3 2 3 4 4" xfId="9986" xr:uid="{3D4EFCC0-DA93-4E6B-96C3-90C249B55FF6}"/>
    <cellStyle name="20% - Accent3 2 3 5" xfId="1871" xr:uid="{00000000-0005-0000-0000-000078010000}"/>
    <cellStyle name="20% - Accent3 2 3 5 2" xfId="4100" xr:uid="{00000000-0005-0000-0000-000079010000}"/>
    <cellStyle name="20% - Accent3 2 3 5 2 2" xfId="8323" xr:uid="{00000000-0005-0000-0000-00007A010000}"/>
    <cellStyle name="20% - Accent3 2 3 5 2 2 2" xfId="16762" xr:uid="{21E92150-EB68-430F-9799-0E2F1F2C172C}"/>
    <cellStyle name="20% - Accent3 2 3 5 2 3" xfId="12544" xr:uid="{8ABDD3E6-50CD-4AD4-93C2-805FE46EEA14}"/>
    <cellStyle name="20% - Accent3 2 3 5 3" xfId="6178" xr:uid="{00000000-0005-0000-0000-00007B010000}"/>
    <cellStyle name="20% - Accent3 2 3 5 3 2" xfId="14617" xr:uid="{43E74299-9FA5-43C9-8538-323DC858FE55}"/>
    <cellStyle name="20% - Accent3 2 3 5 4" xfId="10399" xr:uid="{4F597736-ED82-49B9-AA2F-93971002FA4B}"/>
    <cellStyle name="20% - Accent3 2 3 6" xfId="2284" xr:uid="{00000000-0005-0000-0000-00007C010000}"/>
    <cellStyle name="20% - Accent3 2 3 6 2" xfId="6591" xr:uid="{00000000-0005-0000-0000-00007D010000}"/>
    <cellStyle name="20% - Accent3 2 3 6 2 2" xfId="15030" xr:uid="{63084F87-8CB4-419D-99EA-76BCC18105B7}"/>
    <cellStyle name="20% - Accent3 2 3 6 3" xfId="10812" xr:uid="{809613EC-4BFB-4A83-8893-E2DD72743ABB}"/>
    <cellStyle name="20% - Accent3 2 3 7" xfId="4525" xr:uid="{00000000-0005-0000-0000-00007E010000}"/>
    <cellStyle name="20% - Accent3 2 3 7 2" xfId="12964" xr:uid="{54F6CD00-C3E9-4A22-AB5A-B4F5AF8BD9F3}"/>
    <cellStyle name="20% - Accent3 2 3 8" xfId="8746" xr:uid="{23766770-2825-4D5D-8D75-8697FF951926}"/>
    <cellStyle name="20% - Accent3 2 4" xfId="587" xr:uid="{00000000-0005-0000-0000-00007F010000}"/>
    <cellStyle name="20% - Accent3 2 4 2" xfId="2858" xr:uid="{00000000-0005-0000-0000-000080010000}"/>
    <cellStyle name="20% - Accent3 2 4 2 2" xfId="7081" xr:uid="{00000000-0005-0000-0000-000081010000}"/>
    <cellStyle name="20% - Accent3 2 4 2 2 2" xfId="15520" xr:uid="{94B19018-61E6-41DD-933E-8AF7E6AE68EB}"/>
    <cellStyle name="20% - Accent3 2 4 2 3" xfId="11302" xr:uid="{7D2506CD-CF98-48E5-8C6F-81E381D4D1E0}"/>
    <cellStyle name="20% - Accent3 2 4 3" xfId="4936" xr:uid="{00000000-0005-0000-0000-000082010000}"/>
    <cellStyle name="20% - Accent3 2 4 3 2" xfId="13375" xr:uid="{5B592614-1588-4542-B3CC-3545E004E506}"/>
    <cellStyle name="20% - Accent3 2 4 4" xfId="9157" xr:uid="{1CDCF361-3989-4D9B-8741-AD53373434E0}"/>
    <cellStyle name="20% - Accent3 2 5" xfId="1040" xr:uid="{00000000-0005-0000-0000-000083010000}"/>
    <cellStyle name="20% - Accent3 2 5 2" xfId="3271" xr:uid="{00000000-0005-0000-0000-000084010000}"/>
    <cellStyle name="20% - Accent3 2 5 2 2" xfId="7494" xr:uid="{00000000-0005-0000-0000-000085010000}"/>
    <cellStyle name="20% - Accent3 2 5 2 2 2" xfId="15933" xr:uid="{8DEE278D-7976-4082-A569-AF4BB480DAD5}"/>
    <cellStyle name="20% - Accent3 2 5 2 3" xfId="11715" xr:uid="{A8DF3561-EBF2-4FF5-8464-62E7599D0AF1}"/>
    <cellStyle name="20% - Accent3 2 5 3" xfId="5349" xr:uid="{00000000-0005-0000-0000-000086010000}"/>
    <cellStyle name="20% - Accent3 2 5 3 2" xfId="13788" xr:uid="{916D8CC3-479A-4A32-BB2F-FCC57FC29154}"/>
    <cellStyle name="20% - Accent3 2 5 4" xfId="9570" xr:uid="{0FFD0E3B-6CB1-4F99-B687-2BA018A29B2E}"/>
    <cellStyle name="20% - Accent3 2 6" xfId="1454" xr:uid="{00000000-0005-0000-0000-000087010000}"/>
    <cellStyle name="20% - Accent3 2 6 2" xfId="3684" xr:uid="{00000000-0005-0000-0000-000088010000}"/>
    <cellStyle name="20% - Accent3 2 6 2 2" xfId="7907" xr:uid="{00000000-0005-0000-0000-000089010000}"/>
    <cellStyle name="20% - Accent3 2 6 2 2 2" xfId="16346" xr:uid="{FF2638A7-0298-4E01-ACDA-A27B23204740}"/>
    <cellStyle name="20% - Accent3 2 6 2 3" xfId="12128" xr:uid="{7D23A780-704D-4BF6-AB36-F94A93B7256D}"/>
    <cellStyle name="20% - Accent3 2 6 3" xfId="5762" xr:uid="{00000000-0005-0000-0000-00008A010000}"/>
    <cellStyle name="20% - Accent3 2 6 3 2" xfId="14201" xr:uid="{F7DAACDB-5C15-45D3-A40C-732DDBF8B788}"/>
    <cellStyle name="20% - Accent3 2 6 4" xfId="9983" xr:uid="{BCB48A90-AF45-49BA-B318-B5655D6AB57A}"/>
    <cellStyle name="20% - Accent3 2 7" xfId="1868" xr:uid="{00000000-0005-0000-0000-00008B010000}"/>
    <cellStyle name="20% - Accent3 2 7 2" xfId="4097" xr:uid="{00000000-0005-0000-0000-00008C010000}"/>
    <cellStyle name="20% - Accent3 2 7 2 2" xfId="8320" xr:uid="{00000000-0005-0000-0000-00008D010000}"/>
    <cellStyle name="20% - Accent3 2 7 2 2 2" xfId="16759" xr:uid="{7BF295E3-B288-482B-A8B9-B2E0C13F3703}"/>
    <cellStyle name="20% - Accent3 2 7 2 3" xfId="12541" xr:uid="{E4394D61-3D49-4A2E-9EA7-B4CA8F097C18}"/>
    <cellStyle name="20% - Accent3 2 7 3" xfId="6175" xr:uid="{00000000-0005-0000-0000-00008E010000}"/>
    <cellStyle name="20% - Accent3 2 7 3 2" xfId="14614" xr:uid="{A980F420-61A4-4932-AD7A-0BC33A61EE12}"/>
    <cellStyle name="20% - Accent3 2 7 4" xfId="10396" xr:uid="{FF98B4DE-45F1-42AE-BE57-047A0ADEEF68}"/>
    <cellStyle name="20% - Accent3 2 8" xfId="2281" xr:uid="{00000000-0005-0000-0000-00008F010000}"/>
    <cellStyle name="20% - Accent3 2 8 2" xfId="6588" xr:uid="{00000000-0005-0000-0000-000090010000}"/>
    <cellStyle name="20% - Accent3 2 8 2 2" xfId="15027" xr:uid="{7ED1942B-2F36-4F2B-86F9-5DF398BE8C88}"/>
    <cellStyle name="20% - Accent3 2 8 3" xfId="10809" xr:uid="{CCF28F4C-D272-4FDD-9844-E34B9B5693C1}"/>
    <cellStyle name="20% - Accent3 2 9" xfId="4522" xr:uid="{00000000-0005-0000-0000-000091010000}"/>
    <cellStyle name="20% - Accent3 2 9 2" xfId="12961" xr:uid="{3853014D-9988-421C-BE71-E10FCD5A9311}"/>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2 2 2" xfId="15525" xr:uid="{D13271A3-EAD7-48B0-BF89-7F4713E904D5}"/>
    <cellStyle name="20% - Accent3 3 2 2 2 3" xfId="11307" xr:uid="{67621E78-FE34-4CCC-A1ED-8CA4EF50CF0E}"/>
    <cellStyle name="20% - Accent3 3 2 2 3" xfId="4941" xr:uid="{00000000-0005-0000-0000-000097010000}"/>
    <cellStyle name="20% - Accent3 3 2 2 3 2" xfId="13380" xr:uid="{E579379F-8765-4722-B5E1-B7EE108FB11B}"/>
    <cellStyle name="20% - Accent3 3 2 2 4" xfId="9162" xr:uid="{E32DDFA9-8ED7-4DD5-BA5F-7184F83AD5E2}"/>
    <cellStyle name="20% - Accent3 3 2 3" xfId="1045" xr:uid="{00000000-0005-0000-0000-000098010000}"/>
    <cellStyle name="20% - Accent3 3 2 3 2" xfId="3276" xr:uid="{00000000-0005-0000-0000-000099010000}"/>
    <cellStyle name="20% - Accent3 3 2 3 2 2" xfId="7499" xr:uid="{00000000-0005-0000-0000-00009A010000}"/>
    <cellStyle name="20% - Accent3 3 2 3 2 2 2" xfId="15938" xr:uid="{A9BE873A-2F29-42C0-B5F7-461AAD9B4E00}"/>
    <cellStyle name="20% - Accent3 3 2 3 2 3" xfId="11720" xr:uid="{24ED7AF3-9BA7-4EBD-9F5F-A724C24D710D}"/>
    <cellStyle name="20% - Accent3 3 2 3 3" xfId="5354" xr:uid="{00000000-0005-0000-0000-00009B010000}"/>
    <cellStyle name="20% - Accent3 3 2 3 3 2" xfId="13793" xr:uid="{E030B415-28A4-422A-A3E4-B8A2B750F2B0}"/>
    <cellStyle name="20% - Accent3 3 2 3 4" xfId="9575" xr:uid="{8465B3C7-C76C-426D-BB76-FBC31A9FE97C}"/>
    <cellStyle name="20% - Accent3 3 2 4" xfId="1459" xr:uid="{00000000-0005-0000-0000-00009C010000}"/>
    <cellStyle name="20% - Accent3 3 2 4 2" xfId="3689" xr:uid="{00000000-0005-0000-0000-00009D010000}"/>
    <cellStyle name="20% - Accent3 3 2 4 2 2" xfId="7912" xr:uid="{00000000-0005-0000-0000-00009E010000}"/>
    <cellStyle name="20% - Accent3 3 2 4 2 2 2" xfId="16351" xr:uid="{7A7492CD-65D3-422B-BF14-0932109F1CA0}"/>
    <cellStyle name="20% - Accent3 3 2 4 2 3" xfId="12133" xr:uid="{BDE1EFD2-0A9C-4404-BC22-52002DAD7A97}"/>
    <cellStyle name="20% - Accent3 3 2 4 3" xfId="5767" xr:uid="{00000000-0005-0000-0000-00009F010000}"/>
    <cellStyle name="20% - Accent3 3 2 4 3 2" xfId="14206" xr:uid="{6F2E815F-C2BB-4C1A-8881-C6E6CE1A3A3C}"/>
    <cellStyle name="20% - Accent3 3 2 4 4" xfId="9988" xr:uid="{3E2DBBEA-5876-4346-AD5E-25AF69E345F6}"/>
    <cellStyle name="20% - Accent3 3 2 5" xfId="1873" xr:uid="{00000000-0005-0000-0000-0000A0010000}"/>
    <cellStyle name="20% - Accent3 3 2 5 2" xfId="4102" xr:uid="{00000000-0005-0000-0000-0000A1010000}"/>
    <cellStyle name="20% - Accent3 3 2 5 2 2" xfId="8325" xr:uid="{00000000-0005-0000-0000-0000A2010000}"/>
    <cellStyle name="20% - Accent3 3 2 5 2 2 2" xfId="16764" xr:uid="{8EC48E53-F43A-4BCC-9376-6F42689C8BA1}"/>
    <cellStyle name="20% - Accent3 3 2 5 2 3" xfId="12546" xr:uid="{759F05C7-A369-4E2E-9739-6D06F315793A}"/>
    <cellStyle name="20% - Accent3 3 2 5 3" xfId="6180" xr:uid="{00000000-0005-0000-0000-0000A3010000}"/>
    <cellStyle name="20% - Accent3 3 2 5 3 2" xfId="14619" xr:uid="{0201BCA6-1BA3-4C58-8626-3DCEF3DC5BC1}"/>
    <cellStyle name="20% - Accent3 3 2 5 4" xfId="10401" xr:uid="{89B16E1A-8414-4DCB-A769-F8C30D7DE4E2}"/>
    <cellStyle name="20% - Accent3 3 2 6" xfId="2286" xr:uid="{00000000-0005-0000-0000-0000A4010000}"/>
    <cellStyle name="20% - Accent3 3 2 6 2" xfId="6593" xr:uid="{00000000-0005-0000-0000-0000A5010000}"/>
    <cellStyle name="20% - Accent3 3 2 6 2 2" xfId="15032" xr:uid="{BEA82DE1-2CDD-4C7A-A662-EE85B31ED662}"/>
    <cellStyle name="20% - Accent3 3 2 6 3" xfId="10814" xr:uid="{B0F24863-12DE-4E06-82B6-49E000447A64}"/>
    <cellStyle name="20% - Accent3 3 2 7" xfId="4527" xr:uid="{00000000-0005-0000-0000-0000A6010000}"/>
    <cellStyle name="20% - Accent3 3 2 7 2" xfId="12966" xr:uid="{99ED4EEB-F48C-4B3A-8CDB-2AD75AECBA7A}"/>
    <cellStyle name="20% - Accent3 3 2 8" xfId="8748" xr:uid="{F9548B0B-2B32-4B88-A28C-2A42FDC81449}"/>
    <cellStyle name="20% - Accent3 3 3" xfId="591" xr:uid="{00000000-0005-0000-0000-0000A7010000}"/>
    <cellStyle name="20% - Accent3 3 3 2" xfId="2862" xr:uid="{00000000-0005-0000-0000-0000A8010000}"/>
    <cellStyle name="20% - Accent3 3 3 2 2" xfId="7085" xr:uid="{00000000-0005-0000-0000-0000A9010000}"/>
    <cellStyle name="20% - Accent3 3 3 2 2 2" xfId="15524" xr:uid="{0A718AE9-31B5-438A-B58D-B7E41D3532FF}"/>
    <cellStyle name="20% - Accent3 3 3 2 3" xfId="11306" xr:uid="{10036086-5C66-491E-AA3B-36930C1B1DDB}"/>
    <cellStyle name="20% - Accent3 3 3 3" xfId="4940" xr:uid="{00000000-0005-0000-0000-0000AA010000}"/>
    <cellStyle name="20% - Accent3 3 3 3 2" xfId="13379" xr:uid="{DF7809AD-E22D-4AEF-929D-C9D5E96A6074}"/>
    <cellStyle name="20% - Accent3 3 3 4" xfId="9161" xr:uid="{826AB8BF-968A-4141-B936-FC51EA2F3A88}"/>
    <cellStyle name="20% - Accent3 3 4" xfId="1044" xr:uid="{00000000-0005-0000-0000-0000AB010000}"/>
    <cellStyle name="20% - Accent3 3 4 2" xfId="3275" xr:uid="{00000000-0005-0000-0000-0000AC010000}"/>
    <cellStyle name="20% - Accent3 3 4 2 2" xfId="7498" xr:uid="{00000000-0005-0000-0000-0000AD010000}"/>
    <cellStyle name="20% - Accent3 3 4 2 2 2" xfId="15937" xr:uid="{CC457C45-0B90-4390-84AB-FC0D971D37D2}"/>
    <cellStyle name="20% - Accent3 3 4 2 3" xfId="11719" xr:uid="{ABC09669-1A0A-4B24-BEE7-0DB0FD64410A}"/>
    <cellStyle name="20% - Accent3 3 4 3" xfId="5353" xr:uid="{00000000-0005-0000-0000-0000AE010000}"/>
    <cellStyle name="20% - Accent3 3 4 3 2" xfId="13792" xr:uid="{45D19C1C-4263-4E79-A87B-FE9506895E9A}"/>
    <cellStyle name="20% - Accent3 3 4 4" xfId="9574" xr:uid="{A999C579-9D33-4909-A33C-AF942C9ED459}"/>
    <cellStyle name="20% - Accent3 3 5" xfId="1458" xr:uid="{00000000-0005-0000-0000-0000AF010000}"/>
    <cellStyle name="20% - Accent3 3 5 2" xfId="3688" xr:uid="{00000000-0005-0000-0000-0000B0010000}"/>
    <cellStyle name="20% - Accent3 3 5 2 2" xfId="7911" xr:uid="{00000000-0005-0000-0000-0000B1010000}"/>
    <cellStyle name="20% - Accent3 3 5 2 2 2" xfId="16350" xr:uid="{2F111939-63B6-4645-BBEB-A8B81777B056}"/>
    <cellStyle name="20% - Accent3 3 5 2 3" xfId="12132" xr:uid="{A07763BB-EED0-488B-919F-2156E7DD7E3A}"/>
    <cellStyle name="20% - Accent3 3 5 3" xfId="5766" xr:uid="{00000000-0005-0000-0000-0000B2010000}"/>
    <cellStyle name="20% - Accent3 3 5 3 2" xfId="14205" xr:uid="{413A5A34-82D2-44E9-B661-F56D5DCA09F7}"/>
    <cellStyle name="20% - Accent3 3 5 4" xfId="9987" xr:uid="{3BB990AE-B9A7-40C3-B331-0B421B96DB39}"/>
    <cellStyle name="20% - Accent3 3 6" xfId="1872" xr:uid="{00000000-0005-0000-0000-0000B3010000}"/>
    <cellStyle name="20% - Accent3 3 6 2" xfId="4101" xr:uid="{00000000-0005-0000-0000-0000B4010000}"/>
    <cellStyle name="20% - Accent3 3 6 2 2" xfId="8324" xr:uid="{00000000-0005-0000-0000-0000B5010000}"/>
    <cellStyle name="20% - Accent3 3 6 2 2 2" xfId="16763" xr:uid="{F483F0ED-E9B2-4F70-A2B3-EA0C709A4602}"/>
    <cellStyle name="20% - Accent3 3 6 2 3" xfId="12545" xr:uid="{1F2F8DF8-8075-4AB5-B89F-C27BEC8BE579}"/>
    <cellStyle name="20% - Accent3 3 6 3" xfId="6179" xr:uid="{00000000-0005-0000-0000-0000B6010000}"/>
    <cellStyle name="20% - Accent3 3 6 3 2" xfId="14618" xr:uid="{3A0962F4-0B55-4D00-ADA7-861A8AA123C6}"/>
    <cellStyle name="20% - Accent3 3 6 4" xfId="10400" xr:uid="{4176A062-345D-40F6-8827-6B4A30A04F1C}"/>
    <cellStyle name="20% - Accent3 3 7" xfId="2285" xr:uid="{00000000-0005-0000-0000-0000B7010000}"/>
    <cellStyle name="20% - Accent3 3 7 2" xfId="6592" xr:uid="{00000000-0005-0000-0000-0000B8010000}"/>
    <cellStyle name="20% - Accent3 3 7 2 2" xfId="15031" xr:uid="{E1867EE2-8325-4577-AA70-BA395A4CB401}"/>
    <cellStyle name="20% - Accent3 3 7 3" xfId="10813" xr:uid="{63B067C6-B1F5-402E-83D6-9D1629BCF433}"/>
    <cellStyle name="20% - Accent3 3 8" xfId="4526" xr:uid="{00000000-0005-0000-0000-0000B9010000}"/>
    <cellStyle name="20% - Accent3 3 8 2" xfId="12965" xr:uid="{01E6DAD2-9EA8-48B1-B05E-D2BB956ED259}"/>
    <cellStyle name="20% - Accent3 3 9" xfId="8747" xr:uid="{6BFBA1EE-E42D-4814-BDC7-AAADB3584D1B}"/>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2 2 2" xfId="15526" xr:uid="{C53C1846-0EF5-4FF6-8102-5CBEBEC8A58A}"/>
    <cellStyle name="20% - Accent3 4 2 2 3" xfId="11308" xr:uid="{EE44BD78-3BB6-4D81-BEA8-D1F1C746820B}"/>
    <cellStyle name="20% - Accent3 4 2 3" xfId="4942" xr:uid="{00000000-0005-0000-0000-0000BE010000}"/>
    <cellStyle name="20% - Accent3 4 2 3 2" xfId="13381" xr:uid="{640A904C-0A45-4811-B290-522C2810F0D1}"/>
    <cellStyle name="20% - Accent3 4 2 4" xfId="9163" xr:uid="{A307FCB9-9FE9-464F-BD2D-A57874FA399C}"/>
    <cellStyle name="20% - Accent3 4 3" xfId="1046" xr:uid="{00000000-0005-0000-0000-0000BF010000}"/>
    <cellStyle name="20% - Accent3 4 3 2" xfId="3277" xr:uid="{00000000-0005-0000-0000-0000C0010000}"/>
    <cellStyle name="20% - Accent3 4 3 2 2" xfId="7500" xr:uid="{00000000-0005-0000-0000-0000C1010000}"/>
    <cellStyle name="20% - Accent3 4 3 2 2 2" xfId="15939" xr:uid="{761BB93A-2F51-4BB7-AA95-5274D9735E13}"/>
    <cellStyle name="20% - Accent3 4 3 2 3" xfId="11721" xr:uid="{52F000A0-BC8C-4E92-A927-67A3C1EB1242}"/>
    <cellStyle name="20% - Accent3 4 3 3" xfId="5355" xr:uid="{00000000-0005-0000-0000-0000C2010000}"/>
    <cellStyle name="20% - Accent3 4 3 3 2" xfId="13794" xr:uid="{C2F425E1-47ED-45C3-843B-447FC70C8290}"/>
    <cellStyle name="20% - Accent3 4 3 4" xfId="9576" xr:uid="{BEAFA2E6-D847-49BA-BFC1-9F3500A82874}"/>
    <cellStyle name="20% - Accent3 4 4" xfId="1460" xr:uid="{00000000-0005-0000-0000-0000C3010000}"/>
    <cellStyle name="20% - Accent3 4 4 2" xfId="3690" xr:uid="{00000000-0005-0000-0000-0000C4010000}"/>
    <cellStyle name="20% - Accent3 4 4 2 2" xfId="7913" xr:uid="{00000000-0005-0000-0000-0000C5010000}"/>
    <cellStyle name="20% - Accent3 4 4 2 2 2" xfId="16352" xr:uid="{00EE4144-F24B-487B-99A6-2CF561EB4388}"/>
    <cellStyle name="20% - Accent3 4 4 2 3" xfId="12134" xr:uid="{4EA2CA3E-15AF-4623-A360-D134137F60AD}"/>
    <cellStyle name="20% - Accent3 4 4 3" xfId="5768" xr:uid="{00000000-0005-0000-0000-0000C6010000}"/>
    <cellStyle name="20% - Accent3 4 4 3 2" xfId="14207" xr:uid="{A00E1824-A751-4961-8266-7C17E2BCD503}"/>
    <cellStyle name="20% - Accent3 4 4 4" xfId="9989" xr:uid="{69E3FB36-C03A-4144-9B5D-619DD70C669F}"/>
    <cellStyle name="20% - Accent3 4 5" xfId="1874" xr:uid="{00000000-0005-0000-0000-0000C7010000}"/>
    <cellStyle name="20% - Accent3 4 5 2" xfId="4103" xr:uid="{00000000-0005-0000-0000-0000C8010000}"/>
    <cellStyle name="20% - Accent3 4 5 2 2" xfId="8326" xr:uid="{00000000-0005-0000-0000-0000C9010000}"/>
    <cellStyle name="20% - Accent3 4 5 2 2 2" xfId="16765" xr:uid="{C9D90015-A2D3-4602-A398-0DF5744E0DD5}"/>
    <cellStyle name="20% - Accent3 4 5 2 3" xfId="12547" xr:uid="{1F893747-7811-4815-82FB-F22B7478E2FF}"/>
    <cellStyle name="20% - Accent3 4 5 3" xfId="6181" xr:uid="{00000000-0005-0000-0000-0000CA010000}"/>
    <cellStyle name="20% - Accent3 4 5 3 2" xfId="14620" xr:uid="{A9AD756F-FFE0-4985-B898-C24FDC797601}"/>
    <cellStyle name="20% - Accent3 4 5 4" xfId="10402" xr:uid="{A1A6F82F-02BE-40AE-BF6C-AFFEC04BE7D5}"/>
    <cellStyle name="20% - Accent3 4 6" xfId="2287" xr:uid="{00000000-0005-0000-0000-0000CB010000}"/>
    <cellStyle name="20% - Accent3 4 6 2" xfId="6594" xr:uid="{00000000-0005-0000-0000-0000CC010000}"/>
    <cellStyle name="20% - Accent3 4 6 2 2" xfId="15033" xr:uid="{44F32FD0-AACB-4DC0-93BA-E169AB970A89}"/>
    <cellStyle name="20% - Accent3 4 6 3" xfId="10815" xr:uid="{EA441439-ADA6-456F-9686-C124A4822681}"/>
    <cellStyle name="20% - Accent3 4 7" xfId="4528" xr:uid="{00000000-0005-0000-0000-0000CD010000}"/>
    <cellStyle name="20% - Accent3 4 7 2" xfId="12967" xr:uid="{04F48DD8-B929-4E61-B80A-7F7C9E191B92}"/>
    <cellStyle name="20% - Accent3 4 8" xfId="8749" xr:uid="{1983F024-FD6B-4B16-A6FB-420CF650CC80}"/>
    <cellStyle name="20% - Accent3 5" xfId="586" xr:uid="{00000000-0005-0000-0000-0000CE010000}"/>
    <cellStyle name="20% - Accent3 5 2" xfId="2857" xr:uid="{00000000-0005-0000-0000-0000CF010000}"/>
    <cellStyle name="20% - Accent3 5 2 2" xfId="7080" xr:uid="{00000000-0005-0000-0000-0000D0010000}"/>
    <cellStyle name="20% - Accent3 5 2 2 2" xfId="15519" xr:uid="{AA64281F-6AD0-4E54-8CA6-69E5CCCDDF1F}"/>
    <cellStyle name="20% - Accent3 5 2 3" xfId="11301" xr:uid="{65210169-D376-436D-91AC-8D43BA5CE247}"/>
    <cellStyle name="20% - Accent3 5 3" xfId="4935" xr:uid="{00000000-0005-0000-0000-0000D1010000}"/>
    <cellStyle name="20% - Accent3 5 3 2" xfId="13374" xr:uid="{977EC57B-ECD0-4250-B3B8-6685FE935CF7}"/>
    <cellStyle name="20% - Accent3 5 4" xfId="9156" xr:uid="{F3833A0D-0F2C-4B37-9387-A5B5ED74C0C2}"/>
    <cellStyle name="20% - Accent3 6" xfId="1039" xr:uid="{00000000-0005-0000-0000-0000D2010000}"/>
    <cellStyle name="20% - Accent3 6 2" xfId="3270" xr:uid="{00000000-0005-0000-0000-0000D3010000}"/>
    <cellStyle name="20% - Accent3 6 2 2" xfId="7493" xr:uid="{00000000-0005-0000-0000-0000D4010000}"/>
    <cellStyle name="20% - Accent3 6 2 2 2" xfId="15932" xr:uid="{6AF50EFD-16D3-48E1-8782-23C57015BC07}"/>
    <cellStyle name="20% - Accent3 6 2 3" xfId="11714" xr:uid="{E43DCD57-3A1F-4059-A151-0E5A8EBBD5BD}"/>
    <cellStyle name="20% - Accent3 6 3" xfId="5348" xr:uid="{00000000-0005-0000-0000-0000D5010000}"/>
    <cellStyle name="20% - Accent3 6 3 2" xfId="13787" xr:uid="{65A0418F-5EAB-4C14-9A7B-E31FA658425C}"/>
    <cellStyle name="20% - Accent3 6 4" xfId="9569" xr:uid="{62DE32ED-298C-494B-A3E6-E78309E6B09F}"/>
    <cellStyle name="20% - Accent3 7" xfId="1453" xr:uid="{00000000-0005-0000-0000-0000D6010000}"/>
    <cellStyle name="20% - Accent3 7 2" xfId="3683" xr:uid="{00000000-0005-0000-0000-0000D7010000}"/>
    <cellStyle name="20% - Accent3 7 2 2" xfId="7906" xr:uid="{00000000-0005-0000-0000-0000D8010000}"/>
    <cellStyle name="20% - Accent3 7 2 2 2" xfId="16345" xr:uid="{44B546C5-4A16-4F8D-8578-AB708A51F706}"/>
    <cellStyle name="20% - Accent3 7 2 3" xfId="12127" xr:uid="{E83CC488-7913-4062-9566-1B1497184508}"/>
    <cellStyle name="20% - Accent3 7 3" xfId="5761" xr:uid="{00000000-0005-0000-0000-0000D9010000}"/>
    <cellStyle name="20% - Accent3 7 3 2" xfId="14200" xr:uid="{444A37E9-A861-419B-8017-1A79C689C071}"/>
    <cellStyle name="20% - Accent3 7 4" xfId="9982" xr:uid="{351A99D6-C1C1-452B-8D3E-06A95A7888EF}"/>
    <cellStyle name="20% - Accent3 8" xfId="1867" xr:uid="{00000000-0005-0000-0000-0000DA010000}"/>
    <cellStyle name="20% - Accent3 8 2" xfId="4096" xr:uid="{00000000-0005-0000-0000-0000DB010000}"/>
    <cellStyle name="20% - Accent3 8 2 2" xfId="8319" xr:uid="{00000000-0005-0000-0000-0000DC010000}"/>
    <cellStyle name="20% - Accent3 8 2 2 2" xfId="16758" xr:uid="{01EDEF04-33E9-48FF-A0A7-BB9ABEFAE16C}"/>
    <cellStyle name="20% - Accent3 8 2 3" xfId="12540" xr:uid="{03825267-41E9-4726-A75D-78C662137B27}"/>
    <cellStyle name="20% - Accent3 8 3" xfId="6174" xr:uid="{00000000-0005-0000-0000-0000DD010000}"/>
    <cellStyle name="20% - Accent3 8 3 2" xfId="14613" xr:uid="{5C2953E8-DBC8-4229-9484-E86A2AB7671A}"/>
    <cellStyle name="20% - Accent3 8 4" xfId="10395" xr:uid="{CF1D2A00-9EB5-4B8A-858F-B3CA0B039499}"/>
    <cellStyle name="20% - Accent3 9" xfId="2280" xr:uid="{00000000-0005-0000-0000-0000DE010000}"/>
    <cellStyle name="20% - Accent3 9 2" xfId="6587" xr:uid="{00000000-0005-0000-0000-0000DF010000}"/>
    <cellStyle name="20% - Accent3 9 2 2" xfId="15026" xr:uid="{6194EEF2-281C-48C3-BEEB-6F67D8FAEC4E}"/>
    <cellStyle name="20% - Accent3 9 3" xfId="10808" xr:uid="{548806FE-9D9E-4D3C-8E89-8EBB2089D7CD}"/>
    <cellStyle name="20% - Accent4" xfId="25" builtinId="42" customBuiltin="1"/>
    <cellStyle name="20% - Accent4 10" xfId="4529" xr:uid="{00000000-0005-0000-0000-0000E1010000}"/>
    <cellStyle name="20% - Accent4 10 2" xfId="12968" xr:uid="{3F14FDF5-0A25-4F98-AA24-284977331315}"/>
    <cellStyle name="20% - Accent4 11" xfId="8750" xr:uid="{6C8047DB-0082-4842-AE56-5D8997C1D0C1}"/>
    <cellStyle name="20% - Accent4 2" xfId="26" xr:uid="{00000000-0005-0000-0000-0000E2010000}"/>
    <cellStyle name="20% - Accent4 2 10" xfId="8751" xr:uid="{9A79E6A4-1E1D-42CA-9E22-3AB446160456}"/>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2 2 2" xfId="15530" xr:uid="{7B683D2A-571E-4488-94EE-38C39E627B6E}"/>
    <cellStyle name="20% - Accent4 2 2 2 2 2 3" xfId="11312" xr:uid="{E57735A1-08CB-4F49-B2F2-139E43403FE0}"/>
    <cellStyle name="20% - Accent4 2 2 2 2 3" xfId="4946" xr:uid="{00000000-0005-0000-0000-0000E8010000}"/>
    <cellStyle name="20% - Accent4 2 2 2 2 3 2" xfId="13385" xr:uid="{2F10E225-3220-44BD-B1CF-32AC74F35499}"/>
    <cellStyle name="20% - Accent4 2 2 2 2 4" xfId="9167" xr:uid="{F6342788-DB0F-40AA-86C3-9928E3701CAD}"/>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2 2 2" xfId="15943" xr:uid="{0B24E4A2-4113-4F06-8AA0-30CB67FB2840}"/>
    <cellStyle name="20% - Accent4 2 2 2 3 2 3" xfId="11725" xr:uid="{12D63FC3-BAE6-4FB8-A4A1-449DCB264C47}"/>
    <cellStyle name="20% - Accent4 2 2 2 3 3" xfId="5359" xr:uid="{00000000-0005-0000-0000-0000EC010000}"/>
    <cellStyle name="20% - Accent4 2 2 2 3 3 2" xfId="13798" xr:uid="{1CDDAD55-8EC9-4E0E-968E-ADA5A3E10962}"/>
    <cellStyle name="20% - Accent4 2 2 2 3 4" xfId="9580" xr:uid="{3C77AE06-F4E6-49EA-96AB-CC7520DD98C9}"/>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2 2 2" xfId="16356" xr:uid="{2F8A334F-05E2-4D10-B699-5F38A9B7F658}"/>
    <cellStyle name="20% - Accent4 2 2 2 4 2 3" xfId="12138" xr:uid="{152DB374-E23B-4C91-9A60-D65B6DBBD841}"/>
    <cellStyle name="20% - Accent4 2 2 2 4 3" xfId="5772" xr:uid="{00000000-0005-0000-0000-0000F0010000}"/>
    <cellStyle name="20% - Accent4 2 2 2 4 3 2" xfId="14211" xr:uid="{78114A96-7C68-4802-9985-9E774E1289D9}"/>
    <cellStyle name="20% - Accent4 2 2 2 4 4" xfId="9993" xr:uid="{394F3912-DEF3-4534-B017-0F8A93A2056A}"/>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2 2 2" xfId="16769" xr:uid="{F84289DD-2717-422F-A1CC-B21BA0697909}"/>
    <cellStyle name="20% - Accent4 2 2 2 5 2 3" xfId="12551" xr:uid="{FC380349-7504-4B14-BF6F-74126EF5BDB6}"/>
    <cellStyle name="20% - Accent4 2 2 2 5 3" xfId="6185" xr:uid="{00000000-0005-0000-0000-0000F4010000}"/>
    <cellStyle name="20% - Accent4 2 2 2 5 3 2" xfId="14624" xr:uid="{7D2948EE-5CAD-4210-A202-B7395314323A}"/>
    <cellStyle name="20% - Accent4 2 2 2 5 4" xfId="10406" xr:uid="{09EFEC6F-BACF-4663-A20B-E7B56B5A1AA4}"/>
    <cellStyle name="20% - Accent4 2 2 2 6" xfId="2291" xr:uid="{00000000-0005-0000-0000-0000F5010000}"/>
    <cellStyle name="20% - Accent4 2 2 2 6 2" xfId="6598" xr:uid="{00000000-0005-0000-0000-0000F6010000}"/>
    <cellStyle name="20% - Accent4 2 2 2 6 2 2" xfId="15037" xr:uid="{38C93631-5F48-4F06-BBA6-A8E74478A9AF}"/>
    <cellStyle name="20% - Accent4 2 2 2 6 3" xfId="10819" xr:uid="{68579DCE-1D1B-432C-99C9-8C151FFCE18E}"/>
    <cellStyle name="20% - Accent4 2 2 2 7" xfId="4532" xr:uid="{00000000-0005-0000-0000-0000F7010000}"/>
    <cellStyle name="20% - Accent4 2 2 2 7 2" xfId="12971" xr:uid="{C87A0511-E988-4019-9C65-509A07B488BD}"/>
    <cellStyle name="20% - Accent4 2 2 2 8" xfId="8753" xr:uid="{19634C68-2226-41B6-9E62-857914015E42}"/>
    <cellStyle name="20% - Accent4 2 2 3" xfId="596" xr:uid="{00000000-0005-0000-0000-0000F8010000}"/>
    <cellStyle name="20% - Accent4 2 2 3 2" xfId="2867" xr:uid="{00000000-0005-0000-0000-0000F9010000}"/>
    <cellStyle name="20% - Accent4 2 2 3 2 2" xfId="7090" xr:uid="{00000000-0005-0000-0000-0000FA010000}"/>
    <cellStyle name="20% - Accent4 2 2 3 2 2 2" xfId="15529" xr:uid="{DA238528-95B2-4DC4-8430-0611446BAE42}"/>
    <cellStyle name="20% - Accent4 2 2 3 2 3" xfId="11311" xr:uid="{D0727B2F-F9F5-414F-B6B4-7FD24532950D}"/>
    <cellStyle name="20% - Accent4 2 2 3 3" xfId="4945" xr:uid="{00000000-0005-0000-0000-0000FB010000}"/>
    <cellStyle name="20% - Accent4 2 2 3 3 2" xfId="13384" xr:uid="{A8EF956A-DE23-45CF-AE3A-C7217C444BD6}"/>
    <cellStyle name="20% - Accent4 2 2 3 4" xfId="9166" xr:uid="{6EDFA999-BED7-450D-B99F-AC3BFFC5ADB9}"/>
    <cellStyle name="20% - Accent4 2 2 4" xfId="1049" xr:uid="{00000000-0005-0000-0000-0000FC010000}"/>
    <cellStyle name="20% - Accent4 2 2 4 2" xfId="3280" xr:uid="{00000000-0005-0000-0000-0000FD010000}"/>
    <cellStyle name="20% - Accent4 2 2 4 2 2" xfId="7503" xr:uid="{00000000-0005-0000-0000-0000FE010000}"/>
    <cellStyle name="20% - Accent4 2 2 4 2 2 2" xfId="15942" xr:uid="{C08D4C91-CF19-4BBD-8D8D-C52E0091F4F1}"/>
    <cellStyle name="20% - Accent4 2 2 4 2 3" xfId="11724" xr:uid="{7F76FF00-2376-473F-8BEC-509C9B07DE63}"/>
    <cellStyle name="20% - Accent4 2 2 4 3" xfId="5358" xr:uid="{00000000-0005-0000-0000-0000FF010000}"/>
    <cellStyle name="20% - Accent4 2 2 4 3 2" xfId="13797" xr:uid="{8B6C8A10-8D0D-4C05-8F8D-2C8B5DA70DBD}"/>
    <cellStyle name="20% - Accent4 2 2 4 4" xfId="9579" xr:uid="{3B386A01-9CA8-4E4C-8900-60DA950CEE22}"/>
    <cellStyle name="20% - Accent4 2 2 5" xfId="1463" xr:uid="{00000000-0005-0000-0000-000000020000}"/>
    <cellStyle name="20% - Accent4 2 2 5 2" xfId="3693" xr:uid="{00000000-0005-0000-0000-000001020000}"/>
    <cellStyle name="20% - Accent4 2 2 5 2 2" xfId="7916" xr:uid="{00000000-0005-0000-0000-000002020000}"/>
    <cellStyle name="20% - Accent4 2 2 5 2 2 2" xfId="16355" xr:uid="{531F480B-AE1B-42FE-A975-2AA9312EEA0C}"/>
    <cellStyle name="20% - Accent4 2 2 5 2 3" xfId="12137" xr:uid="{09138FFB-AF4B-451A-A0ED-13E6A882D6DD}"/>
    <cellStyle name="20% - Accent4 2 2 5 3" xfId="5771" xr:uid="{00000000-0005-0000-0000-000003020000}"/>
    <cellStyle name="20% - Accent4 2 2 5 3 2" xfId="14210" xr:uid="{69BAD814-CBC6-4493-9275-F19632217235}"/>
    <cellStyle name="20% - Accent4 2 2 5 4" xfId="9992" xr:uid="{74B671DB-BE78-4ED8-84D3-F976883E7D73}"/>
    <cellStyle name="20% - Accent4 2 2 6" xfId="1877" xr:uid="{00000000-0005-0000-0000-000004020000}"/>
    <cellStyle name="20% - Accent4 2 2 6 2" xfId="4106" xr:uid="{00000000-0005-0000-0000-000005020000}"/>
    <cellStyle name="20% - Accent4 2 2 6 2 2" xfId="8329" xr:uid="{00000000-0005-0000-0000-000006020000}"/>
    <cellStyle name="20% - Accent4 2 2 6 2 2 2" xfId="16768" xr:uid="{515F0C02-C5E2-4DB1-91B6-9B0827BA5B99}"/>
    <cellStyle name="20% - Accent4 2 2 6 2 3" xfId="12550" xr:uid="{090D5DF0-366D-42FB-85EA-028A831DCA59}"/>
    <cellStyle name="20% - Accent4 2 2 6 3" xfId="6184" xr:uid="{00000000-0005-0000-0000-000007020000}"/>
    <cellStyle name="20% - Accent4 2 2 6 3 2" xfId="14623" xr:uid="{6F65FBB7-6490-4619-B71C-AFFFEC0BB2A6}"/>
    <cellStyle name="20% - Accent4 2 2 6 4" xfId="10405" xr:uid="{1005E6DC-9B85-49F1-8DB4-F9C1B3C727D4}"/>
    <cellStyle name="20% - Accent4 2 2 7" xfId="2290" xr:uid="{00000000-0005-0000-0000-000008020000}"/>
    <cellStyle name="20% - Accent4 2 2 7 2" xfId="6597" xr:uid="{00000000-0005-0000-0000-000009020000}"/>
    <cellStyle name="20% - Accent4 2 2 7 2 2" xfId="15036" xr:uid="{62E1ED7D-6CC8-4669-8691-9FCCDD6D252D}"/>
    <cellStyle name="20% - Accent4 2 2 7 3" xfId="10818" xr:uid="{650FD14F-9C80-4301-9DEA-798D5F67FA0F}"/>
    <cellStyle name="20% - Accent4 2 2 8" xfId="4531" xr:uid="{00000000-0005-0000-0000-00000A020000}"/>
    <cellStyle name="20% - Accent4 2 2 8 2" xfId="12970" xr:uid="{537803BC-7749-4188-AB1B-EF570665CF42}"/>
    <cellStyle name="20% - Accent4 2 2 9" xfId="8752" xr:uid="{42FF9703-B73D-4753-BA29-A7484DEA374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2 2 2" xfId="15531" xr:uid="{6618F7C7-0030-480F-8BFF-301EA107C604}"/>
    <cellStyle name="20% - Accent4 2 3 2 2 3" xfId="11313" xr:uid="{1BD38EAC-7D4B-4C06-A5B3-CA0316AAF2ED}"/>
    <cellStyle name="20% - Accent4 2 3 2 3" xfId="4947" xr:uid="{00000000-0005-0000-0000-00000F020000}"/>
    <cellStyle name="20% - Accent4 2 3 2 3 2" xfId="13386" xr:uid="{144B4C1B-2ED7-48BE-B863-659BDFB669F9}"/>
    <cellStyle name="20% - Accent4 2 3 2 4" xfId="9168" xr:uid="{286E252B-C89D-4057-B3C7-3373A6B21F4B}"/>
    <cellStyle name="20% - Accent4 2 3 3" xfId="1051" xr:uid="{00000000-0005-0000-0000-000010020000}"/>
    <cellStyle name="20% - Accent4 2 3 3 2" xfId="3282" xr:uid="{00000000-0005-0000-0000-000011020000}"/>
    <cellStyle name="20% - Accent4 2 3 3 2 2" xfId="7505" xr:uid="{00000000-0005-0000-0000-000012020000}"/>
    <cellStyle name="20% - Accent4 2 3 3 2 2 2" xfId="15944" xr:uid="{CABD6EAA-0682-44B0-88DA-1513AB173211}"/>
    <cellStyle name="20% - Accent4 2 3 3 2 3" xfId="11726" xr:uid="{01F686B3-FD83-4A21-9762-6D3C8AE4A553}"/>
    <cellStyle name="20% - Accent4 2 3 3 3" xfId="5360" xr:uid="{00000000-0005-0000-0000-000013020000}"/>
    <cellStyle name="20% - Accent4 2 3 3 3 2" xfId="13799" xr:uid="{5A1AF9AA-EBE3-4D09-8079-F8740E083826}"/>
    <cellStyle name="20% - Accent4 2 3 3 4" xfId="9581" xr:uid="{08730B9D-6E0A-470E-95B9-22CF5D8A7F13}"/>
    <cellStyle name="20% - Accent4 2 3 4" xfId="1465" xr:uid="{00000000-0005-0000-0000-000014020000}"/>
    <cellStyle name="20% - Accent4 2 3 4 2" xfId="3695" xr:uid="{00000000-0005-0000-0000-000015020000}"/>
    <cellStyle name="20% - Accent4 2 3 4 2 2" xfId="7918" xr:uid="{00000000-0005-0000-0000-000016020000}"/>
    <cellStyle name="20% - Accent4 2 3 4 2 2 2" xfId="16357" xr:uid="{B669F3F6-D233-4339-9AEA-16361E8F7A94}"/>
    <cellStyle name="20% - Accent4 2 3 4 2 3" xfId="12139" xr:uid="{B1493443-6E34-4DEE-ABD0-509F156EF1B5}"/>
    <cellStyle name="20% - Accent4 2 3 4 3" xfId="5773" xr:uid="{00000000-0005-0000-0000-000017020000}"/>
    <cellStyle name="20% - Accent4 2 3 4 3 2" xfId="14212" xr:uid="{26BED34C-244C-4ED6-8E3C-A4DF3104EB22}"/>
    <cellStyle name="20% - Accent4 2 3 4 4" xfId="9994" xr:uid="{2A20DEB2-3D4A-40F3-85B9-4DAFA1A74D4F}"/>
    <cellStyle name="20% - Accent4 2 3 5" xfId="1879" xr:uid="{00000000-0005-0000-0000-000018020000}"/>
    <cellStyle name="20% - Accent4 2 3 5 2" xfId="4108" xr:uid="{00000000-0005-0000-0000-000019020000}"/>
    <cellStyle name="20% - Accent4 2 3 5 2 2" xfId="8331" xr:uid="{00000000-0005-0000-0000-00001A020000}"/>
    <cellStyle name="20% - Accent4 2 3 5 2 2 2" xfId="16770" xr:uid="{A37BECC0-A167-4CDC-A9C4-FF61BF847FF6}"/>
    <cellStyle name="20% - Accent4 2 3 5 2 3" xfId="12552" xr:uid="{E6984B94-78FC-42E2-B2CE-B7B399000906}"/>
    <cellStyle name="20% - Accent4 2 3 5 3" xfId="6186" xr:uid="{00000000-0005-0000-0000-00001B020000}"/>
    <cellStyle name="20% - Accent4 2 3 5 3 2" xfId="14625" xr:uid="{39223255-AC12-42DE-A57F-3F81072A19C9}"/>
    <cellStyle name="20% - Accent4 2 3 5 4" xfId="10407" xr:uid="{BE8F36FF-D043-4557-AEEF-E1AAD8F591FC}"/>
    <cellStyle name="20% - Accent4 2 3 6" xfId="2292" xr:uid="{00000000-0005-0000-0000-00001C020000}"/>
    <cellStyle name="20% - Accent4 2 3 6 2" xfId="6599" xr:uid="{00000000-0005-0000-0000-00001D020000}"/>
    <cellStyle name="20% - Accent4 2 3 6 2 2" xfId="15038" xr:uid="{A17F8803-026B-4C28-BE0D-7E13E44AB40C}"/>
    <cellStyle name="20% - Accent4 2 3 6 3" xfId="10820" xr:uid="{7EF418DB-7D9C-4477-8189-F4192A1BA0CD}"/>
    <cellStyle name="20% - Accent4 2 3 7" xfId="4533" xr:uid="{00000000-0005-0000-0000-00001E020000}"/>
    <cellStyle name="20% - Accent4 2 3 7 2" xfId="12972" xr:uid="{AC04F152-244A-444B-A3A6-F217C3EC8C7D}"/>
    <cellStyle name="20% - Accent4 2 3 8" xfId="8754" xr:uid="{F31FB417-AFDE-49BD-B29B-095997054C6B}"/>
    <cellStyle name="20% - Accent4 2 4" xfId="595" xr:uid="{00000000-0005-0000-0000-00001F020000}"/>
    <cellStyle name="20% - Accent4 2 4 2" xfId="2866" xr:uid="{00000000-0005-0000-0000-000020020000}"/>
    <cellStyle name="20% - Accent4 2 4 2 2" xfId="7089" xr:uid="{00000000-0005-0000-0000-000021020000}"/>
    <cellStyle name="20% - Accent4 2 4 2 2 2" xfId="15528" xr:uid="{DD94F7A5-06D6-4E6F-B92C-977024EB6E45}"/>
    <cellStyle name="20% - Accent4 2 4 2 3" xfId="11310" xr:uid="{7426963F-4E4B-4FAE-86F7-262B6900BCA3}"/>
    <cellStyle name="20% - Accent4 2 4 3" xfId="4944" xr:uid="{00000000-0005-0000-0000-000022020000}"/>
    <cellStyle name="20% - Accent4 2 4 3 2" xfId="13383" xr:uid="{F81B6493-6FD7-469C-BCA2-13C2172C3AAE}"/>
    <cellStyle name="20% - Accent4 2 4 4" xfId="9165" xr:uid="{02E3F9AC-9D1A-454E-9FE1-96E039A23257}"/>
    <cellStyle name="20% - Accent4 2 5" xfId="1048" xr:uid="{00000000-0005-0000-0000-000023020000}"/>
    <cellStyle name="20% - Accent4 2 5 2" xfId="3279" xr:uid="{00000000-0005-0000-0000-000024020000}"/>
    <cellStyle name="20% - Accent4 2 5 2 2" xfId="7502" xr:uid="{00000000-0005-0000-0000-000025020000}"/>
    <cellStyle name="20% - Accent4 2 5 2 2 2" xfId="15941" xr:uid="{136E4D22-7188-4A99-884A-0D5A3F60D814}"/>
    <cellStyle name="20% - Accent4 2 5 2 3" xfId="11723" xr:uid="{8B7C9DDC-B712-4444-AAAB-663D46C437CD}"/>
    <cellStyle name="20% - Accent4 2 5 3" xfId="5357" xr:uid="{00000000-0005-0000-0000-000026020000}"/>
    <cellStyle name="20% - Accent4 2 5 3 2" xfId="13796" xr:uid="{FD1CC156-C493-476B-B9FB-BFA5FB5CBBED}"/>
    <cellStyle name="20% - Accent4 2 5 4" xfId="9578" xr:uid="{C71F2F10-5CF1-4721-8A0E-01D4F9CA5204}"/>
    <cellStyle name="20% - Accent4 2 6" xfId="1462" xr:uid="{00000000-0005-0000-0000-000027020000}"/>
    <cellStyle name="20% - Accent4 2 6 2" xfId="3692" xr:uid="{00000000-0005-0000-0000-000028020000}"/>
    <cellStyle name="20% - Accent4 2 6 2 2" xfId="7915" xr:uid="{00000000-0005-0000-0000-000029020000}"/>
    <cellStyle name="20% - Accent4 2 6 2 2 2" xfId="16354" xr:uid="{3CB667D9-8F7C-4D9B-B819-E55C523699FE}"/>
    <cellStyle name="20% - Accent4 2 6 2 3" xfId="12136" xr:uid="{D90E4FA8-A174-42B8-97F2-D36F5F98AEB4}"/>
    <cellStyle name="20% - Accent4 2 6 3" xfId="5770" xr:uid="{00000000-0005-0000-0000-00002A020000}"/>
    <cellStyle name="20% - Accent4 2 6 3 2" xfId="14209" xr:uid="{6E9E9811-88C7-4382-A3CE-5CFA3380D3FB}"/>
    <cellStyle name="20% - Accent4 2 6 4" xfId="9991" xr:uid="{7A2C86AB-5A72-4218-942D-1DB005D07E08}"/>
    <cellStyle name="20% - Accent4 2 7" xfId="1876" xr:uid="{00000000-0005-0000-0000-00002B020000}"/>
    <cellStyle name="20% - Accent4 2 7 2" xfId="4105" xr:uid="{00000000-0005-0000-0000-00002C020000}"/>
    <cellStyle name="20% - Accent4 2 7 2 2" xfId="8328" xr:uid="{00000000-0005-0000-0000-00002D020000}"/>
    <cellStyle name="20% - Accent4 2 7 2 2 2" xfId="16767" xr:uid="{6EA62E9A-2D6B-47C9-BC24-582FA0798C3D}"/>
    <cellStyle name="20% - Accent4 2 7 2 3" xfId="12549" xr:uid="{03221552-B2D3-409C-92C4-F1D42B214BAD}"/>
    <cellStyle name="20% - Accent4 2 7 3" xfId="6183" xr:uid="{00000000-0005-0000-0000-00002E020000}"/>
    <cellStyle name="20% - Accent4 2 7 3 2" xfId="14622" xr:uid="{5E959CD4-298B-448F-A94A-AF7700572FAF}"/>
    <cellStyle name="20% - Accent4 2 7 4" xfId="10404" xr:uid="{985C5759-3CE0-469F-99D9-E3177626B12F}"/>
    <cellStyle name="20% - Accent4 2 8" xfId="2289" xr:uid="{00000000-0005-0000-0000-00002F020000}"/>
    <cellStyle name="20% - Accent4 2 8 2" xfId="6596" xr:uid="{00000000-0005-0000-0000-000030020000}"/>
    <cellStyle name="20% - Accent4 2 8 2 2" xfId="15035" xr:uid="{BE8E2AFA-0EE3-416C-95DE-561626191D37}"/>
    <cellStyle name="20% - Accent4 2 8 3" xfId="10817" xr:uid="{CE5C3670-7C6E-4D9D-8995-24F02EDC4DEB}"/>
    <cellStyle name="20% - Accent4 2 9" xfId="4530" xr:uid="{00000000-0005-0000-0000-000031020000}"/>
    <cellStyle name="20% - Accent4 2 9 2" xfId="12969" xr:uid="{E6A3E817-A1F9-4110-B792-652C4DA96C24}"/>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2 2 2" xfId="15533" xr:uid="{369DA140-8821-4C36-8DBD-5BD6FC6B9BAB}"/>
    <cellStyle name="20% - Accent4 3 2 2 2 3" xfId="11315" xr:uid="{A7ABB871-0F0A-406E-831C-ED1F5C3D6BC8}"/>
    <cellStyle name="20% - Accent4 3 2 2 3" xfId="4949" xr:uid="{00000000-0005-0000-0000-000037020000}"/>
    <cellStyle name="20% - Accent4 3 2 2 3 2" xfId="13388" xr:uid="{9F8BAA14-63E6-432D-9A83-B90562664218}"/>
    <cellStyle name="20% - Accent4 3 2 2 4" xfId="9170" xr:uid="{DDE5F8BA-CE44-4071-84D4-73C4F0CC7DCC}"/>
    <cellStyle name="20% - Accent4 3 2 3" xfId="1053" xr:uid="{00000000-0005-0000-0000-000038020000}"/>
    <cellStyle name="20% - Accent4 3 2 3 2" xfId="3284" xr:uid="{00000000-0005-0000-0000-000039020000}"/>
    <cellStyle name="20% - Accent4 3 2 3 2 2" xfId="7507" xr:uid="{00000000-0005-0000-0000-00003A020000}"/>
    <cellStyle name="20% - Accent4 3 2 3 2 2 2" xfId="15946" xr:uid="{48D2CFFE-2D78-49DD-94BF-6139F1CC0B53}"/>
    <cellStyle name="20% - Accent4 3 2 3 2 3" xfId="11728" xr:uid="{78A32074-108C-4B4F-904F-6A97F52E1DA0}"/>
    <cellStyle name="20% - Accent4 3 2 3 3" xfId="5362" xr:uid="{00000000-0005-0000-0000-00003B020000}"/>
    <cellStyle name="20% - Accent4 3 2 3 3 2" xfId="13801" xr:uid="{76B7B0E8-22D3-4964-A6FC-92B43ABB358B}"/>
    <cellStyle name="20% - Accent4 3 2 3 4" xfId="9583" xr:uid="{17F98864-47A4-4DDA-99A1-DACA32420985}"/>
    <cellStyle name="20% - Accent4 3 2 4" xfId="1467" xr:uid="{00000000-0005-0000-0000-00003C020000}"/>
    <cellStyle name="20% - Accent4 3 2 4 2" xfId="3697" xr:uid="{00000000-0005-0000-0000-00003D020000}"/>
    <cellStyle name="20% - Accent4 3 2 4 2 2" xfId="7920" xr:uid="{00000000-0005-0000-0000-00003E020000}"/>
    <cellStyle name="20% - Accent4 3 2 4 2 2 2" xfId="16359" xr:uid="{0D24D8D9-CE44-48E3-A00C-1B2CD2C84D91}"/>
    <cellStyle name="20% - Accent4 3 2 4 2 3" xfId="12141" xr:uid="{10007A37-AD46-4C80-8337-631A21FFC873}"/>
    <cellStyle name="20% - Accent4 3 2 4 3" xfId="5775" xr:uid="{00000000-0005-0000-0000-00003F020000}"/>
    <cellStyle name="20% - Accent4 3 2 4 3 2" xfId="14214" xr:uid="{7D937636-F659-4496-BBB6-077A3855EB4C}"/>
    <cellStyle name="20% - Accent4 3 2 4 4" xfId="9996" xr:uid="{96FACB98-E361-4834-BA3F-8A69EC924588}"/>
    <cellStyle name="20% - Accent4 3 2 5" xfId="1881" xr:uid="{00000000-0005-0000-0000-000040020000}"/>
    <cellStyle name="20% - Accent4 3 2 5 2" xfId="4110" xr:uid="{00000000-0005-0000-0000-000041020000}"/>
    <cellStyle name="20% - Accent4 3 2 5 2 2" xfId="8333" xr:uid="{00000000-0005-0000-0000-000042020000}"/>
    <cellStyle name="20% - Accent4 3 2 5 2 2 2" xfId="16772" xr:uid="{0FF519DC-5EEC-4D1E-A379-BFD73DA609C2}"/>
    <cellStyle name="20% - Accent4 3 2 5 2 3" xfId="12554" xr:uid="{1FBB7CAB-CEB4-48F4-99EA-EB2A754C6D43}"/>
    <cellStyle name="20% - Accent4 3 2 5 3" xfId="6188" xr:uid="{00000000-0005-0000-0000-000043020000}"/>
    <cellStyle name="20% - Accent4 3 2 5 3 2" xfId="14627" xr:uid="{D23FA27D-268D-432E-B227-8C9464BD9D40}"/>
    <cellStyle name="20% - Accent4 3 2 5 4" xfId="10409" xr:uid="{6C108B6D-C002-4A43-BE9E-76378AE4F03D}"/>
    <cellStyle name="20% - Accent4 3 2 6" xfId="2294" xr:uid="{00000000-0005-0000-0000-000044020000}"/>
    <cellStyle name="20% - Accent4 3 2 6 2" xfId="6601" xr:uid="{00000000-0005-0000-0000-000045020000}"/>
    <cellStyle name="20% - Accent4 3 2 6 2 2" xfId="15040" xr:uid="{D3BC4D86-4BBC-48E2-A1FB-59293BF40E08}"/>
    <cellStyle name="20% - Accent4 3 2 6 3" xfId="10822" xr:uid="{0875D2DB-2C25-4F10-B328-2B5106EE14C0}"/>
    <cellStyle name="20% - Accent4 3 2 7" xfId="4535" xr:uid="{00000000-0005-0000-0000-000046020000}"/>
    <cellStyle name="20% - Accent4 3 2 7 2" xfId="12974" xr:uid="{93D98A43-47B7-4946-A466-1442BA87B5FC}"/>
    <cellStyle name="20% - Accent4 3 2 8" xfId="8756" xr:uid="{3B54CA07-0058-4BF6-8D9F-CB778D6F11D3}"/>
    <cellStyle name="20% - Accent4 3 3" xfId="599" xr:uid="{00000000-0005-0000-0000-000047020000}"/>
    <cellStyle name="20% - Accent4 3 3 2" xfId="2870" xr:uid="{00000000-0005-0000-0000-000048020000}"/>
    <cellStyle name="20% - Accent4 3 3 2 2" xfId="7093" xr:uid="{00000000-0005-0000-0000-000049020000}"/>
    <cellStyle name="20% - Accent4 3 3 2 2 2" xfId="15532" xr:uid="{23307602-A502-4439-A3A0-4A80DDBF0536}"/>
    <cellStyle name="20% - Accent4 3 3 2 3" xfId="11314" xr:uid="{0B5229D2-3542-4D1D-8A74-397074150B6F}"/>
    <cellStyle name="20% - Accent4 3 3 3" xfId="4948" xr:uid="{00000000-0005-0000-0000-00004A020000}"/>
    <cellStyle name="20% - Accent4 3 3 3 2" xfId="13387" xr:uid="{7934EA08-EBDE-4511-A942-163BDB294DA0}"/>
    <cellStyle name="20% - Accent4 3 3 4" xfId="9169" xr:uid="{A43268EC-7DFF-4470-863C-124B953FFE9D}"/>
    <cellStyle name="20% - Accent4 3 4" xfId="1052" xr:uid="{00000000-0005-0000-0000-00004B020000}"/>
    <cellStyle name="20% - Accent4 3 4 2" xfId="3283" xr:uid="{00000000-0005-0000-0000-00004C020000}"/>
    <cellStyle name="20% - Accent4 3 4 2 2" xfId="7506" xr:uid="{00000000-0005-0000-0000-00004D020000}"/>
    <cellStyle name="20% - Accent4 3 4 2 2 2" xfId="15945" xr:uid="{C47EA848-E8D0-46FB-B032-ECD274106883}"/>
    <cellStyle name="20% - Accent4 3 4 2 3" xfId="11727" xr:uid="{D3326DF8-CE60-481D-96EB-FAD4FB4A3824}"/>
    <cellStyle name="20% - Accent4 3 4 3" xfId="5361" xr:uid="{00000000-0005-0000-0000-00004E020000}"/>
    <cellStyle name="20% - Accent4 3 4 3 2" xfId="13800" xr:uid="{E3A10409-9E98-4558-948E-84AF34AD3B00}"/>
    <cellStyle name="20% - Accent4 3 4 4" xfId="9582" xr:uid="{03202EB8-02C0-49B8-A0CF-27D934AE24AB}"/>
    <cellStyle name="20% - Accent4 3 5" xfId="1466" xr:uid="{00000000-0005-0000-0000-00004F020000}"/>
    <cellStyle name="20% - Accent4 3 5 2" xfId="3696" xr:uid="{00000000-0005-0000-0000-000050020000}"/>
    <cellStyle name="20% - Accent4 3 5 2 2" xfId="7919" xr:uid="{00000000-0005-0000-0000-000051020000}"/>
    <cellStyle name="20% - Accent4 3 5 2 2 2" xfId="16358" xr:uid="{4B53AD22-B602-4184-90E7-3D87287F21AA}"/>
    <cellStyle name="20% - Accent4 3 5 2 3" xfId="12140" xr:uid="{0EDEA86D-3156-4672-A7F4-75C22CFE5346}"/>
    <cellStyle name="20% - Accent4 3 5 3" xfId="5774" xr:uid="{00000000-0005-0000-0000-000052020000}"/>
    <cellStyle name="20% - Accent4 3 5 3 2" xfId="14213" xr:uid="{4969CFA8-F79C-44FB-9360-D23699EA7594}"/>
    <cellStyle name="20% - Accent4 3 5 4" xfId="9995" xr:uid="{38FE5AEA-CF0E-41B8-BB0A-304831994577}"/>
    <cellStyle name="20% - Accent4 3 6" xfId="1880" xr:uid="{00000000-0005-0000-0000-000053020000}"/>
    <cellStyle name="20% - Accent4 3 6 2" xfId="4109" xr:uid="{00000000-0005-0000-0000-000054020000}"/>
    <cellStyle name="20% - Accent4 3 6 2 2" xfId="8332" xr:uid="{00000000-0005-0000-0000-000055020000}"/>
    <cellStyle name="20% - Accent4 3 6 2 2 2" xfId="16771" xr:uid="{FDD066CD-5FC3-4D43-810D-C3A971A930C4}"/>
    <cellStyle name="20% - Accent4 3 6 2 3" xfId="12553" xr:uid="{675A416E-7C4B-4566-A802-64A6D6E08F20}"/>
    <cellStyle name="20% - Accent4 3 6 3" xfId="6187" xr:uid="{00000000-0005-0000-0000-000056020000}"/>
    <cellStyle name="20% - Accent4 3 6 3 2" xfId="14626" xr:uid="{BCE83EC4-3865-45C5-B653-AA67489C7828}"/>
    <cellStyle name="20% - Accent4 3 6 4" xfId="10408" xr:uid="{358B5872-835C-4F44-8511-08836A816CC1}"/>
    <cellStyle name="20% - Accent4 3 7" xfId="2293" xr:uid="{00000000-0005-0000-0000-000057020000}"/>
    <cellStyle name="20% - Accent4 3 7 2" xfId="6600" xr:uid="{00000000-0005-0000-0000-000058020000}"/>
    <cellStyle name="20% - Accent4 3 7 2 2" xfId="15039" xr:uid="{D1507002-6611-46AA-AC3C-3F49DDB6ED22}"/>
    <cellStyle name="20% - Accent4 3 7 3" xfId="10821" xr:uid="{E24921A4-BE98-4B33-8EBC-BF1349EAF500}"/>
    <cellStyle name="20% - Accent4 3 8" xfId="4534" xr:uid="{00000000-0005-0000-0000-000059020000}"/>
    <cellStyle name="20% - Accent4 3 8 2" xfId="12973" xr:uid="{14C2003B-3729-467D-AA79-B4D3CD544AB0}"/>
    <cellStyle name="20% - Accent4 3 9" xfId="8755" xr:uid="{0C67F5DA-98EA-43D0-9940-7F58EF60BDC1}"/>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2 2 2" xfId="15534" xr:uid="{BCE098D5-1A5D-4E84-90DE-F62F0C64A768}"/>
    <cellStyle name="20% - Accent4 4 2 2 3" xfId="11316" xr:uid="{F75E0BD9-228A-48F8-8C9A-C6E6FFDC0282}"/>
    <cellStyle name="20% - Accent4 4 2 3" xfId="4950" xr:uid="{00000000-0005-0000-0000-00005E020000}"/>
    <cellStyle name="20% - Accent4 4 2 3 2" xfId="13389" xr:uid="{7CAE9299-CFFF-4E22-A3A7-525199EFCB86}"/>
    <cellStyle name="20% - Accent4 4 2 4" xfId="9171" xr:uid="{E02F2595-3626-452F-BF87-32AF0082B6E0}"/>
    <cellStyle name="20% - Accent4 4 3" xfId="1054" xr:uid="{00000000-0005-0000-0000-00005F020000}"/>
    <cellStyle name="20% - Accent4 4 3 2" xfId="3285" xr:uid="{00000000-0005-0000-0000-000060020000}"/>
    <cellStyle name="20% - Accent4 4 3 2 2" xfId="7508" xr:uid="{00000000-0005-0000-0000-000061020000}"/>
    <cellStyle name="20% - Accent4 4 3 2 2 2" xfId="15947" xr:uid="{990DF807-4A8D-4B9E-AAEF-D4C371328310}"/>
    <cellStyle name="20% - Accent4 4 3 2 3" xfId="11729" xr:uid="{6EF79B33-4E9E-48F8-A83B-9E95ECDAA9F3}"/>
    <cellStyle name="20% - Accent4 4 3 3" xfId="5363" xr:uid="{00000000-0005-0000-0000-000062020000}"/>
    <cellStyle name="20% - Accent4 4 3 3 2" xfId="13802" xr:uid="{3B02EE83-BC33-408F-A65C-7976870C352A}"/>
    <cellStyle name="20% - Accent4 4 3 4" xfId="9584" xr:uid="{9079855A-42C8-4E0D-91F2-A18B712993D5}"/>
    <cellStyle name="20% - Accent4 4 4" xfId="1468" xr:uid="{00000000-0005-0000-0000-000063020000}"/>
    <cellStyle name="20% - Accent4 4 4 2" xfId="3698" xr:uid="{00000000-0005-0000-0000-000064020000}"/>
    <cellStyle name="20% - Accent4 4 4 2 2" xfId="7921" xr:uid="{00000000-0005-0000-0000-000065020000}"/>
    <cellStyle name="20% - Accent4 4 4 2 2 2" xfId="16360" xr:uid="{F6C4D953-AE37-4519-9773-BDE614B0E1CC}"/>
    <cellStyle name="20% - Accent4 4 4 2 3" xfId="12142" xr:uid="{5AC92C49-438D-4169-96C5-E6DD7BCD64C0}"/>
    <cellStyle name="20% - Accent4 4 4 3" xfId="5776" xr:uid="{00000000-0005-0000-0000-000066020000}"/>
    <cellStyle name="20% - Accent4 4 4 3 2" xfId="14215" xr:uid="{00FE2928-D145-4955-ABB0-D1E52F7A6BBE}"/>
    <cellStyle name="20% - Accent4 4 4 4" xfId="9997" xr:uid="{A4C56A07-3D99-4F02-AF41-0EF78C0958DD}"/>
    <cellStyle name="20% - Accent4 4 5" xfId="1882" xr:uid="{00000000-0005-0000-0000-000067020000}"/>
    <cellStyle name="20% - Accent4 4 5 2" xfId="4111" xr:uid="{00000000-0005-0000-0000-000068020000}"/>
    <cellStyle name="20% - Accent4 4 5 2 2" xfId="8334" xr:uid="{00000000-0005-0000-0000-000069020000}"/>
    <cellStyle name="20% - Accent4 4 5 2 2 2" xfId="16773" xr:uid="{2C364CE3-925E-4F7D-841F-F12454BAC47E}"/>
    <cellStyle name="20% - Accent4 4 5 2 3" xfId="12555" xr:uid="{0BBF0DD3-0F1F-4F14-81DC-8B3519C38CC3}"/>
    <cellStyle name="20% - Accent4 4 5 3" xfId="6189" xr:uid="{00000000-0005-0000-0000-00006A020000}"/>
    <cellStyle name="20% - Accent4 4 5 3 2" xfId="14628" xr:uid="{E5B2D35B-557A-4494-873E-874FFB82E8CC}"/>
    <cellStyle name="20% - Accent4 4 5 4" xfId="10410" xr:uid="{F66EEB70-C800-4A97-B8F8-86042285E985}"/>
    <cellStyle name="20% - Accent4 4 6" xfId="2295" xr:uid="{00000000-0005-0000-0000-00006B020000}"/>
    <cellStyle name="20% - Accent4 4 6 2" xfId="6602" xr:uid="{00000000-0005-0000-0000-00006C020000}"/>
    <cellStyle name="20% - Accent4 4 6 2 2" xfId="15041" xr:uid="{E7580397-E51D-4141-9546-9AA031369919}"/>
    <cellStyle name="20% - Accent4 4 6 3" xfId="10823" xr:uid="{59A7A310-2E69-4FE8-BB11-855301B1F730}"/>
    <cellStyle name="20% - Accent4 4 7" xfId="4536" xr:uid="{00000000-0005-0000-0000-00006D020000}"/>
    <cellStyle name="20% - Accent4 4 7 2" xfId="12975" xr:uid="{B6FCA5D7-A243-43C2-8982-104AFA5481B4}"/>
    <cellStyle name="20% - Accent4 4 8" xfId="8757" xr:uid="{50765537-2D6D-448D-A748-A4E4C6E22DA8}"/>
    <cellStyle name="20% - Accent4 5" xfId="594" xr:uid="{00000000-0005-0000-0000-00006E020000}"/>
    <cellStyle name="20% - Accent4 5 2" xfId="2865" xr:uid="{00000000-0005-0000-0000-00006F020000}"/>
    <cellStyle name="20% - Accent4 5 2 2" xfId="7088" xr:uid="{00000000-0005-0000-0000-000070020000}"/>
    <cellStyle name="20% - Accent4 5 2 2 2" xfId="15527" xr:uid="{5371CAF8-779C-4C80-BDB9-F99C8D4B429A}"/>
    <cellStyle name="20% - Accent4 5 2 3" xfId="11309" xr:uid="{E7077F34-B129-49E6-BD10-0CAC431C2A9A}"/>
    <cellStyle name="20% - Accent4 5 3" xfId="4943" xr:uid="{00000000-0005-0000-0000-000071020000}"/>
    <cellStyle name="20% - Accent4 5 3 2" xfId="13382" xr:uid="{CB7767D3-BB29-4714-9637-428E061D6929}"/>
    <cellStyle name="20% - Accent4 5 4" xfId="9164" xr:uid="{4F0CF631-DFAA-4C89-90FC-CCDFA68D71A2}"/>
    <cellStyle name="20% - Accent4 6" xfId="1047" xr:uid="{00000000-0005-0000-0000-000072020000}"/>
    <cellStyle name="20% - Accent4 6 2" xfId="3278" xr:uid="{00000000-0005-0000-0000-000073020000}"/>
    <cellStyle name="20% - Accent4 6 2 2" xfId="7501" xr:uid="{00000000-0005-0000-0000-000074020000}"/>
    <cellStyle name="20% - Accent4 6 2 2 2" xfId="15940" xr:uid="{7A385C39-0F23-4B72-8E86-B62EC1688A33}"/>
    <cellStyle name="20% - Accent4 6 2 3" xfId="11722" xr:uid="{A7801A84-7242-47AF-B79B-CE59E9DD9730}"/>
    <cellStyle name="20% - Accent4 6 3" xfId="5356" xr:uid="{00000000-0005-0000-0000-000075020000}"/>
    <cellStyle name="20% - Accent4 6 3 2" xfId="13795" xr:uid="{FDEACF83-9C83-4B3F-AA00-A8B4A3E7B60B}"/>
    <cellStyle name="20% - Accent4 6 4" xfId="9577" xr:uid="{99D68EC0-65DA-4912-89A2-2CE448A8EA1A}"/>
    <cellStyle name="20% - Accent4 7" xfId="1461" xr:uid="{00000000-0005-0000-0000-000076020000}"/>
    <cellStyle name="20% - Accent4 7 2" xfId="3691" xr:uid="{00000000-0005-0000-0000-000077020000}"/>
    <cellStyle name="20% - Accent4 7 2 2" xfId="7914" xr:uid="{00000000-0005-0000-0000-000078020000}"/>
    <cellStyle name="20% - Accent4 7 2 2 2" xfId="16353" xr:uid="{A462331F-8C2F-44DB-A233-4E9D9281CD3E}"/>
    <cellStyle name="20% - Accent4 7 2 3" xfId="12135" xr:uid="{15193F3E-0BEC-4D31-845E-20AB6641121A}"/>
    <cellStyle name="20% - Accent4 7 3" xfId="5769" xr:uid="{00000000-0005-0000-0000-000079020000}"/>
    <cellStyle name="20% - Accent4 7 3 2" xfId="14208" xr:uid="{8D0A16C3-5FEF-4955-9B2C-E9774F366779}"/>
    <cellStyle name="20% - Accent4 7 4" xfId="9990" xr:uid="{526A08DA-D1D2-4821-BE34-10248FA53BF3}"/>
    <cellStyle name="20% - Accent4 8" xfId="1875" xr:uid="{00000000-0005-0000-0000-00007A020000}"/>
    <cellStyle name="20% - Accent4 8 2" xfId="4104" xr:uid="{00000000-0005-0000-0000-00007B020000}"/>
    <cellStyle name="20% - Accent4 8 2 2" xfId="8327" xr:uid="{00000000-0005-0000-0000-00007C020000}"/>
    <cellStyle name="20% - Accent4 8 2 2 2" xfId="16766" xr:uid="{588A7008-0E28-421B-AFAA-EF561DD48C98}"/>
    <cellStyle name="20% - Accent4 8 2 3" xfId="12548" xr:uid="{DDD30DED-B5DC-4ECC-B782-5CA855AA6BF0}"/>
    <cellStyle name="20% - Accent4 8 3" xfId="6182" xr:uid="{00000000-0005-0000-0000-00007D020000}"/>
    <cellStyle name="20% - Accent4 8 3 2" xfId="14621" xr:uid="{20B66B37-8C28-4DBE-9D5B-4B3C34351CF5}"/>
    <cellStyle name="20% - Accent4 8 4" xfId="10403" xr:uid="{09674725-F593-4C11-87A6-A0A3D468AC76}"/>
    <cellStyle name="20% - Accent4 9" xfId="2288" xr:uid="{00000000-0005-0000-0000-00007E020000}"/>
    <cellStyle name="20% - Accent4 9 2" xfId="6595" xr:uid="{00000000-0005-0000-0000-00007F020000}"/>
    <cellStyle name="20% - Accent4 9 2 2" xfId="15034" xr:uid="{CD38BBE2-FCFA-48DC-9DFE-77F803D62C9E}"/>
    <cellStyle name="20% - Accent4 9 3" xfId="10816" xr:uid="{AC497C4B-2A93-4659-A301-A37F309276C1}"/>
    <cellStyle name="20% - Accent5" xfId="33" builtinId="46" customBuiltin="1"/>
    <cellStyle name="20% - Accent5 10" xfId="4537" xr:uid="{00000000-0005-0000-0000-000081020000}"/>
    <cellStyle name="20% - Accent5 10 2" xfId="12976" xr:uid="{1E3382A8-BEB3-4ED2-A947-59EA3F294826}"/>
    <cellStyle name="20% - Accent5 11" xfId="8758" xr:uid="{1BB9C24C-524C-455E-A0C0-8DA20A5386D6}"/>
    <cellStyle name="20% - Accent5 2" xfId="34" xr:uid="{00000000-0005-0000-0000-000082020000}"/>
    <cellStyle name="20% - Accent5 2 10" xfId="8759" xr:uid="{525EB2AD-477C-47CC-8410-757F85A97B8B}"/>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2 2 2" xfId="15538" xr:uid="{A80D65E7-1785-4229-BFA8-65E565425D13}"/>
    <cellStyle name="20% - Accent5 2 2 2 2 2 3" xfId="11320" xr:uid="{3E190FB1-B645-47D8-AE99-DB2A12584911}"/>
    <cellStyle name="20% - Accent5 2 2 2 2 3" xfId="4954" xr:uid="{00000000-0005-0000-0000-000088020000}"/>
    <cellStyle name="20% - Accent5 2 2 2 2 3 2" xfId="13393" xr:uid="{FB76E2A3-C47B-47D4-99A9-C92D6B1FE20F}"/>
    <cellStyle name="20% - Accent5 2 2 2 2 4" xfId="9175" xr:uid="{1FB7347E-BABE-44A9-9119-0A6127431229}"/>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2 2 2" xfId="15951" xr:uid="{D4DB1A64-3F11-44F6-9CE0-ACFE51408D57}"/>
    <cellStyle name="20% - Accent5 2 2 2 3 2 3" xfId="11733" xr:uid="{DCE60BDD-22FB-40DE-94FF-FF134EBDA38F}"/>
    <cellStyle name="20% - Accent5 2 2 2 3 3" xfId="5367" xr:uid="{00000000-0005-0000-0000-00008C020000}"/>
    <cellStyle name="20% - Accent5 2 2 2 3 3 2" xfId="13806" xr:uid="{72BB7BF8-90B2-42DB-B12D-9CC2B431DD69}"/>
    <cellStyle name="20% - Accent5 2 2 2 3 4" xfId="9588" xr:uid="{F5420C2F-49FC-46FE-9DEF-2BB27ACB0F07}"/>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2 2 2" xfId="16364" xr:uid="{A6FD8170-92E6-483A-89D2-E2902838F122}"/>
    <cellStyle name="20% - Accent5 2 2 2 4 2 3" xfId="12146" xr:uid="{9B00D740-0280-4215-8FAA-CB7145C61837}"/>
    <cellStyle name="20% - Accent5 2 2 2 4 3" xfId="5780" xr:uid="{00000000-0005-0000-0000-000090020000}"/>
    <cellStyle name="20% - Accent5 2 2 2 4 3 2" xfId="14219" xr:uid="{9C6047C4-45AE-45B6-AA4E-274684D70392}"/>
    <cellStyle name="20% - Accent5 2 2 2 4 4" xfId="10001" xr:uid="{D4008126-CCF9-4ABA-8DAE-F1CB7E3F8729}"/>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2 2 2" xfId="16777" xr:uid="{578E5D62-37CD-4837-ABA6-126B5D2FEC1B}"/>
    <cellStyle name="20% - Accent5 2 2 2 5 2 3" xfId="12559" xr:uid="{F36CC750-32E5-4FAD-B746-3F4A47A0E780}"/>
    <cellStyle name="20% - Accent5 2 2 2 5 3" xfId="6193" xr:uid="{00000000-0005-0000-0000-000094020000}"/>
    <cellStyle name="20% - Accent5 2 2 2 5 3 2" xfId="14632" xr:uid="{B902EB40-42D1-412C-B843-935A02F96B0F}"/>
    <cellStyle name="20% - Accent5 2 2 2 5 4" xfId="10414" xr:uid="{FBE9DF87-EAE8-439C-9283-100ACB6329B4}"/>
    <cellStyle name="20% - Accent5 2 2 2 6" xfId="2299" xr:uid="{00000000-0005-0000-0000-000095020000}"/>
    <cellStyle name="20% - Accent5 2 2 2 6 2" xfId="6606" xr:uid="{00000000-0005-0000-0000-000096020000}"/>
    <cellStyle name="20% - Accent5 2 2 2 6 2 2" xfId="15045" xr:uid="{EDF03489-8B8A-4D20-AEB5-BBD012A92F48}"/>
    <cellStyle name="20% - Accent5 2 2 2 6 3" xfId="10827" xr:uid="{0BFAF61D-77A1-4E16-B66E-5FDC1E811563}"/>
    <cellStyle name="20% - Accent5 2 2 2 7" xfId="4540" xr:uid="{00000000-0005-0000-0000-000097020000}"/>
    <cellStyle name="20% - Accent5 2 2 2 7 2" xfId="12979" xr:uid="{DBBFB182-A93E-46A3-B218-5650F0D6FFE0}"/>
    <cellStyle name="20% - Accent5 2 2 2 8" xfId="8761" xr:uid="{54FC2405-0549-44F8-A2A8-193D09E1017E}"/>
    <cellStyle name="20% - Accent5 2 2 3" xfId="604" xr:uid="{00000000-0005-0000-0000-000098020000}"/>
    <cellStyle name="20% - Accent5 2 2 3 2" xfId="2875" xr:uid="{00000000-0005-0000-0000-000099020000}"/>
    <cellStyle name="20% - Accent5 2 2 3 2 2" xfId="7098" xr:uid="{00000000-0005-0000-0000-00009A020000}"/>
    <cellStyle name="20% - Accent5 2 2 3 2 2 2" xfId="15537" xr:uid="{3007B5E3-4D08-4323-BA66-0A6FE760FC00}"/>
    <cellStyle name="20% - Accent5 2 2 3 2 3" xfId="11319" xr:uid="{31BC0C6D-CD94-4BE8-8E57-2DFE88CEAE3C}"/>
    <cellStyle name="20% - Accent5 2 2 3 3" xfId="4953" xr:uid="{00000000-0005-0000-0000-00009B020000}"/>
    <cellStyle name="20% - Accent5 2 2 3 3 2" xfId="13392" xr:uid="{E297B1AA-A96D-4F4D-94BC-FD8E23F3C4BC}"/>
    <cellStyle name="20% - Accent5 2 2 3 4" xfId="9174" xr:uid="{E4AD4A66-691F-4F5B-9A0F-177938A60254}"/>
    <cellStyle name="20% - Accent5 2 2 4" xfId="1057" xr:uid="{00000000-0005-0000-0000-00009C020000}"/>
    <cellStyle name="20% - Accent5 2 2 4 2" xfId="3288" xr:uid="{00000000-0005-0000-0000-00009D020000}"/>
    <cellStyle name="20% - Accent5 2 2 4 2 2" xfId="7511" xr:uid="{00000000-0005-0000-0000-00009E020000}"/>
    <cellStyle name="20% - Accent5 2 2 4 2 2 2" xfId="15950" xr:uid="{44EBE0F1-934B-49FD-BD56-EA438BF48E16}"/>
    <cellStyle name="20% - Accent5 2 2 4 2 3" xfId="11732" xr:uid="{3F6B9F01-191D-4EA3-92D2-3CC99F076B82}"/>
    <cellStyle name="20% - Accent5 2 2 4 3" xfId="5366" xr:uid="{00000000-0005-0000-0000-00009F020000}"/>
    <cellStyle name="20% - Accent5 2 2 4 3 2" xfId="13805" xr:uid="{00C4A58C-2ABC-43BC-9DD1-AA87D5563AE9}"/>
    <cellStyle name="20% - Accent5 2 2 4 4" xfId="9587" xr:uid="{491B20E7-421C-41BC-B719-6EEAFDFCABB3}"/>
    <cellStyle name="20% - Accent5 2 2 5" xfId="1471" xr:uid="{00000000-0005-0000-0000-0000A0020000}"/>
    <cellStyle name="20% - Accent5 2 2 5 2" xfId="3701" xr:uid="{00000000-0005-0000-0000-0000A1020000}"/>
    <cellStyle name="20% - Accent5 2 2 5 2 2" xfId="7924" xr:uid="{00000000-0005-0000-0000-0000A2020000}"/>
    <cellStyle name="20% - Accent5 2 2 5 2 2 2" xfId="16363" xr:uid="{FCD6316F-4191-4498-A059-F594B9B58E16}"/>
    <cellStyle name="20% - Accent5 2 2 5 2 3" xfId="12145" xr:uid="{B1B331E9-4B94-4616-9439-95AD736C7D49}"/>
    <cellStyle name="20% - Accent5 2 2 5 3" xfId="5779" xr:uid="{00000000-0005-0000-0000-0000A3020000}"/>
    <cellStyle name="20% - Accent5 2 2 5 3 2" xfId="14218" xr:uid="{F95CE509-7F15-4C38-A8AF-E19DB4F326FA}"/>
    <cellStyle name="20% - Accent5 2 2 5 4" xfId="10000" xr:uid="{87D5F7FD-4910-4160-8C1D-6D87D8EC17A5}"/>
    <cellStyle name="20% - Accent5 2 2 6" xfId="1885" xr:uid="{00000000-0005-0000-0000-0000A4020000}"/>
    <cellStyle name="20% - Accent5 2 2 6 2" xfId="4114" xr:uid="{00000000-0005-0000-0000-0000A5020000}"/>
    <cellStyle name="20% - Accent5 2 2 6 2 2" xfId="8337" xr:uid="{00000000-0005-0000-0000-0000A6020000}"/>
    <cellStyle name="20% - Accent5 2 2 6 2 2 2" xfId="16776" xr:uid="{C6C798C4-AA2A-481D-9B98-593D12C8C9CB}"/>
    <cellStyle name="20% - Accent5 2 2 6 2 3" xfId="12558" xr:uid="{4997359D-87AC-4C4F-8DA5-2D4309B89F33}"/>
    <cellStyle name="20% - Accent5 2 2 6 3" xfId="6192" xr:uid="{00000000-0005-0000-0000-0000A7020000}"/>
    <cellStyle name="20% - Accent5 2 2 6 3 2" xfId="14631" xr:uid="{2A9E0124-8157-49CA-8917-2711E574A2E8}"/>
    <cellStyle name="20% - Accent5 2 2 6 4" xfId="10413" xr:uid="{A98C2616-B8AE-4947-A304-C300AC1D6726}"/>
    <cellStyle name="20% - Accent5 2 2 7" xfId="2298" xr:uid="{00000000-0005-0000-0000-0000A8020000}"/>
    <cellStyle name="20% - Accent5 2 2 7 2" xfId="6605" xr:uid="{00000000-0005-0000-0000-0000A9020000}"/>
    <cellStyle name="20% - Accent5 2 2 7 2 2" xfId="15044" xr:uid="{597D5404-3E0E-4118-A62E-A6AD8BC1DE4B}"/>
    <cellStyle name="20% - Accent5 2 2 7 3" xfId="10826" xr:uid="{29E832FA-7043-4C10-8D0A-9B1684EC4106}"/>
    <cellStyle name="20% - Accent5 2 2 8" xfId="4539" xr:uid="{00000000-0005-0000-0000-0000AA020000}"/>
    <cellStyle name="20% - Accent5 2 2 8 2" xfId="12978" xr:uid="{00C05F53-1DC9-49A9-9CB5-D058D3733E6E}"/>
    <cellStyle name="20% - Accent5 2 2 9" xfId="8760" xr:uid="{D6245975-46B5-4611-8997-4DEB8A7319E6}"/>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2 2 2" xfId="15539" xr:uid="{D443B824-EBCF-4200-ADD0-2DAFD66660A1}"/>
    <cellStyle name="20% - Accent5 2 3 2 2 3" xfId="11321" xr:uid="{0EE5785B-BD94-4FA3-8681-0C5F5909536B}"/>
    <cellStyle name="20% - Accent5 2 3 2 3" xfId="4955" xr:uid="{00000000-0005-0000-0000-0000AF020000}"/>
    <cellStyle name="20% - Accent5 2 3 2 3 2" xfId="13394" xr:uid="{56230127-4730-40F8-9C8C-4391ACD0B75C}"/>
    <cellStyle name="20% - Accent5 2 3 2 4" xfId="9176" xr:uid="{43B692EF-ABF4-40EE-903E-925A1632CC3F}"/>
    <cellStyle name="20% - Accent5 2 3 3" xfId="1059" xr:uid="{00000000-0005-0000-0000-0000B0020000}"/>
    <cellStyle name="20% - Accent5 2 3 3 2" xfId="3290" xr:uid="{00000000-0005-0000-0000-0000B1020000}"/>
    <cellStyle name="20% - Accent5 2 3 3 2 2" xfId="7513" xr:uid="{00000000-0005-0000-0000-0000B2020000}"/>
    <cellStyle name="20% - Accent5 2 3 3 2 2 2" xfId="15952" xr:uid="{40C0D397-57D8-47A0-9A9B-7A5D24792771}"/>
    <cellStyle name="20% - Accent5 2 3 3 2 3" xfId="11734" xr:uid="{0850AD37-67B8-40CD-AC8F-7EEB9861FC4E}"/>
    <cellStyle name="20% - Accent5 2 3 3 3" xfId="5368" xr:uid="{00000000-0005-0000-0000-0000B3020000}"/>
    <cellStyle name="20% - Accent5 2 3 3 3 2" xfId="13807" xr:uid="{30805DA6-5F37-428C-8851-9ADDDBCDB8ED}"/>
    <cellStyle name="20% - Accent5 2 3 3 4" xfId="9589" xr:uid="{483ED72C-D9AF-4A37-BA13-ADDFC5FAE498}"/>
    <cellStyle name="20% - Accent5 2 3 4" xfId="1473" xr:uid="{00000000-0005-0000-0000-0000B4020000}"/>
    <cellStyle name="20% - Accent5 2 3 4 2" xfId="3703" xr:uid="{00000000-0005-0000-0000-0000B5020000}"/>
    <cellStyle name="20% - Accent5 2 3 4 2 2" xfId="7926" xr:uid="{00000000-0005-0000-0000-0000B6020000}"/>
    <cellStyle name="20% - Accent5 2 3 4 2 2 2" xfId="16365" xr:uid="{3EC6C447-4F86-4511-890F-D7ED51122C63}"/>
    <cellStyle name="20% - Accent5 2 3 4 2 3" xfId="12147" xr:uid="{BB4E5712-4E46-4A14-8701-7A521A65336A}"/>
    <cellStyle name="20% - Accent5 2 3 4 3" xfId="5781" xr:uid="{00000000-0005-0000-0000-0000B7020000}"/>
    <cellStyle name="20% - Accent5 2 3 4 3 2" xfId="14220" xr:uid="{02119D73-22F3-4328-8AB4-062F6B2D24BD}"/>
    <cellStyle name="20% - Accent5 2 3 4 4" xfId="10002" xr:uid="{62D4F79F-6457-4F99-9903-B421D8E1834A}"/>
    <cellStyle name="20% - Accent5 2 3 5" xfId="1887" xr:uid="{00000000-0005-0000-0000-0000B8020000}"/>
    <cellStyle name="20% - Accent5 2 3 5 2" xfId="4116" xr:uid="{00000000-0005-0000-0000-0000B9020000}"/>
    <cellStyle name="20% - Accent5 2 3 5 2 2" xfId="8339" xr:uid="{00000000-0005-0000-0000-0000BA020000}"/>
    <cellStyle name="20% - Accent5 2 3 5 2 2 2" xfId="16778" xr:uid="{DFCDD682-812F-4978-BC5D-F86DB2FA3CE2}"/>
    <cellStyle name="20% - Accent5 2 3 5 2 3" xfId="12560" xr:uid="{B1B0D697-3F54-4230-850A-DA083565BE7A}"/>
    <cellStyle name="20% - Accent5 2 3 5 3" xfId="6194" xr:uid="{00000000-0005-0000-0000-0000BB020000}"/>
    <cellStyle name="20% - Accent5 2 3 5 3 2" xfId="14633" xr:uid="{2E60E419-E97D-4FE6-8214-1DD2768B14F2}"/>
    <cellStyle name="20% - Accent5 2 3 5 4" xfId="10415" xr:uid="{B177DBAD-D78A-44FD-87E3-E1FC4DC6737D}"/>
    <cellStyle name="20% - Accent5 2 3 6" xfId="2300" xr:uid="{00000000-0005-0000-0000-0000BC020000}"/>
    <cellStyle name="20% - Accent5 2 3 6 2" xfId="6607" xr:uid="{00000000-0005-0000-0000-0000BD020000}"/>
    <cellStyle name="20% - Accent5 2 3 6 2 2" xfId="15046" xr:uid="{D277337F-B3B2-470A-95E8-A33B512DC870}"/>
    <cellStyle name="20% - Accent5 2 3 6 3" xfId="10828" xr:uid="{1AEEC485-EEE0-471D-BEFF-C7BBF2578EF0}"/>
    <cellStyle name="20% - Accent5 2 3 7" xfId="4541" xr:uid="{00000000-0005-0000-0000-0000BE020000}"/>
    <cellStyle name="20% - Accent5 2 3 7 2" xfId="12980" xr:uid="{A0330BBC-CE96-4D93-BE16-B7F80433F96B}"/>
    <cellStyle name="20% - Accent5 2 3 8" xfId="8762" xr:uid="{BE7587AF-CFEE-45B3-88BA-30FDB275F295}"/>
    <cellStyle name="20% - Accent5 2 4" xfId="603" xr:uid="{00000000-0005-0000-0000-0000BF020000}"/>
    <cellStyle name="20% - Accent5 2 4 2" xfId="2874" xr:uid="{00000000-0005-0000-0000-0000C0020000}"/>
    <cellStyle name="20% - Accent5 2 4 2 2" xfId="7097" xr:uid="{00000000-0005-0000-0000-0000C1020000}"/>
    <cellStyle name="20% - Accent5 2 4 2 2 2" xfId="15536" xr:uid="{01822299-6BF4-48D1-B3F8-E61378B729DB}"/>
    <cellStyle name="20% - Accent5 2 4 2 3" xfId="11318" xr:uid="{E057D69E-1FA8-4F0A-9A71-E89E875889CD}"/>
    <cellStyle name="20% - Accent5 2 4 3" xfId="4952" xr:uid="{00000000-0005-0000-0000-0000C2020000}"/>
    <cellStyle name="20% - Accent5 2 4 3 2" xfId="13391" xr:uid="{CAA31848-F683-42C7-BEED-053A84AF142F}"/>
    <cellStyle name="20% - Accent5 2 4 4" xfId="9173" xr:uid="{5E917134-80F8-44F7-A859-E182ED2D2BA0}"/>
    <cellStyle name="20% - Accent5 2 5" xfId="1056" xr:uid="{00000000-0005-0000-0000-0000C3020000}"/>
    <cellStyle name="20% - Accent5 2 5 2" xfId="3287" xr:uid="{00000000-0005-0000-0000-0000C4020000}"/>
    <cellStyle name="20% - Accent5 2 5 2 2" xfId="7510" xr:uid="{00000000-0005-0000-0000-0000C5020000}"/>
    <cellStyle name="20% - Accent5 2 5 2 2 2" xfId="15949" xr:uid="{B80073AF-A5FF-4558-BC84-E3D1BC63EBE6}"/>
    <cellStyle name="20% - Accent5 2 5 2 3" xfId="11731" xr:uid="{FA46A255-45C9-400A-A26B-AD8CB51656DE}"/>
    <cellStyle name="20% - Accent5 2 5 3" xfId="5365" xr:uid="{00000000-0005-0000-0000-0000C6020000}"/>
    <cellStyle name="20% - Accent5 2 5 3 2" xfId="13804" xr:uid="{1A7B02D6-C894-4CD9-9FB2-DD4A23A11028}"/>
    <cellStyle name="20% - Accent5 2 5 4" xfId="9586" xr:uid="{F3F5530D-D232-481E-8596-5350B95B3482}"/>
    <cellStyle name="20% - Accent5 2 6" xfId="1470" xr:uid="{00000000-0005-0000-0000-0000C7020000}"/>
    <cellStyle name="20% - Accent5 2 6 2" xfId="3700" xr:uid="{00000000-0005-0000-0000-0000C8020000}"/>
    <cellStyle name="20% - Accent5 2 6 2 2" xfId="7923" xr:uid="{00000000-0005-0000-0000-0000C9020000}"/>
    <cellStyle name="20% - Accent5 2 6 2 2 2" xfId="16362" xr:uid="{C80D9C04-09D7-49FC-B255-A4415D3A1AB2}"/>
    <cellStyle name="20% - Accent5 2 6 2 3" xfId="12144" xr:uid="{B9010D0F-7510-4BCC-B755-4E107A41865B}"/>
    <cellStyle name="20% - Accent5 2 6 3" xfId="5778" xr:uid="{00000000-0005-0000-0000-0000CA020000}"/>
    <cellStyle name="20% - Accent5 2 6 3 2" xfId="14217" xr:uid="{F10FA168-7FCF-40F1-8C51-8CF6FCBE7EB6}"/>
    <cellStyle name="20% - Accent5 2 6 4" xfId="9999" xr:uid="{61895C1A-123F-4627-BC3C-FCEC195E21BB}"/>
    <cellStyle name="20% - Accent5 2 7" xfId="1884" xr:uid="{00000000-0005-0000-0000-0000CB020000}"/>
    <cellStyle name="20% - Accent5 2 7 2" xfId="4113" xr:uid="{00000000-0005-0000-0000-0000CC020000}"/>
    <cellStyle name="20% - Accent5 2 7 2 2" xfId="8336" xr:uid="{00000000-0005-0000-0000-0000CD020000}"/>
    <cellStyle name="20% - Accent5 2 7 2 2 2" xfId="16775" xr:uid="{FF2B876F-4E6E-42C6-9182-CA5C122B9995}"/>
    <cellStyle name="20% - Accent5 2 7 2 3" xfId="12557" xr:uid="{8D89082B-7CE3-406C-AFEE-E2498722AEDE}"/>
    <cellStyle name="20% - Accent5 2 7 3" xfId="6191" xr:uid="{00000000-0005-0000-0000-0000CE020000}"/>
    <cellStyle name="20% - Accent5 2 7 3 2" xfId="14630" xr:uid="{3FBCB34C-9923-4508-AE55-0C00E4B2EF1C}"/>
    <cellStyle name="20% - Accent5 2 7 4" xfId="10412" xr:uid="{2E9D2BB4-78C3-408E-8C3E-A2E7584A8B44}"/>
    <cellStyle name="20% - Accent5 2 8" xfId="2297" xr:uid="{00000000-0005-0000-0000-0000CF020000}"/>
    <cellStyle name="20% - Accent5 2 8 2" xfId="6604" xr:uid="{00000000-0005-0000-0000-0000D0020000}"/>
    <cellStyle name="20% - Accent5 2 8 2 2" xfId="15043" xr:uid="{0DD9BFCA-9924-4DDA-9FB0-1824299BE63B}"/>
    <cellStyle name="20% - Accent5 2 8 3" xfId="10825" xr:uid="{759C3524-4CEB-4CB0-BAB1-29D6EA02D383}"/>
    <cellStyle name="20% - Accent5 2 9" xfId="4538" xr:uid="{00000000-0005-0000-0000-0000D1020000}"/>
    <cellStyle name="20% - Accent5 2 9 2" xfId="12977" xr:uid="{21897A46-D197-484E-818B-5B13E53EC0AE}"/>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2 2 2" xfId="15541" xr:uid="{6892CC41-0BAB-4FDD-9C2E-0FC58A753599}"/>
    <cellStyle name="20% - Accent5 3 2 2 2 3" xfId="11323" xr:uid="{D3F2C008-8B41-43A7-AF8E-68FD4A58E8A7}"/>
    <cellStyle name="20% - Accent5 3 2 2 3" xfId="4957" xr:uid="{00000000-0005-0000-0000-0000D7020000}"/>
    <cellStyle name="20% - Accent5 3 2 2 3 2" xfId="13396" xr:uid="{CBAF5943-8A78-4ED0-A66D-ACE0EA146FBD}"/>
    <cellStyle name="20% - Accent5 3 2 2 4" xfId="9178" xr:uid="{8514DC89-DC9E-4864-84D3-0034409F1DA2}"/>
    <cellStyle name="20% - Accent5 3 2 3" xfId="1061" xr:uid="{00000000-0005-0000-0000-0000D8020000}"/>
    <cellStyle name="20% - Accent5 3 2 3 2" xfId="3292" xr:uid="{00000000-0005-0000-0000-0000D9020000}"/>
    <cellStyle name="20% - Accent5 3 2 3 2 2" xfId="7515" xr:uid="{00000000-0005-0000-0000-0000DA020000}"/>
    <cellStyle name="20% - Accent5 3 2 3 2 2 2" xfId="15954" xr:uid="{3316C0AF-5E80-4AA3-8C83-31E96C917C1C}"/>
    <cellStyle name="20% - Accent5 3 2 3 2 3" xfId="11736" xr:uid="{349F04BA-28E3-495F-9112-61C546BA691F}"/>
    <cellStyle name="20% - Accent5 3 2 3 3" xfId="5370" xr:uid="{00000000-0005-0000-0000-0000DB020000}"/>
    <cellStyle name="20% - Accent5 3 2 3 3 2" xfId="13809" xr:uid="{B551BCB9-7C79-4B28-84C3-BB52258462D4}"/>
    <cellStyle name="20% - Accent5 3 2 3 4" xfId="9591" xr:uid="{816A424E-E636-4CDD-B8A2-1C688B4F9DDA}"/>
    <cellStyle name="20% - Accent5 3 2 4" xfId="1475" xr:uid="{00000000-0005-0000-0000-0000DC020000}"/>
    <cellStyle name="20% - Accent5 3 2 4 2" xfId="3705" xr:uid="{00000000-0005-0000-0000-0000DD020000}"/>
    <cellStyle name="20% - Accent5 3 2 4 2 2" xfId="7928" xr:uid="{00000000-0005-0000-0000-0000DE020000}"/>
    <cellStyle name="20% - Accent5 3 2 4 2 2 2" xfId="16367" xr:uid="{00D691DE-5322-4CA3-948A-A6082D604C9D}"/>
    <cellStyle name="20% - Accent5 3 2 4 2 3" xfId="12149" xr:uid="{0446FCC9-1A5A-4B4A-9119-BE188C1B03E7}"/>
    <cellStyle name="20% - Accent5 3 2 4 3" xfId="5783" xr:uid="{00000000-0005-0000-0000-0000DF020000}"/>
    <cellStyle name="20% - Accent5 3 2 4 3 2" xfId="14222" xr:uid="{B15C3984-D956-4E44-8632-C0326EB355A0}"/>
    <cellStyle name="20% - Accent5 3 2 4 4" xfId="10004" xr:uid="{2C425247-24FE-4A70-B59F-FAC46A910194}"/>
    <cellStyle name="20% - Accent5 3 2 5" xfId="1889" xr:uid="{00000000-0005-0000-0000-0000E0020000}"/>
    <cellStyle name="20% - Accent5 3 2 5 2" xfId="4118" xr:uid="{00000000-0005-0000-0000-0000E1020000}"/>
    <cellStyle name="20% - Accent5 3 2 5 2 2" xfId="8341" xr:uid="{00000000-0005-0000-0000-0000E2020000}"/>
    <cellStyle name="20% - Accent5 3 2 5 2 2 2" xfId="16780" xr:uid="{F8633AC3-2BBD-4CF5-AB2E-9091A2937BE1}"/>
    <cellStyle name="20% - Accent5 3 2 5 2 3" xfId="12562" xr:uid="{F253FACF-3F14-46D2-9A7C-46C85C02FD6E}"/>
    <cellStyle name="20% - Accent5 3 2 5 3" xfId="6196" xr:uid="{00000000-0005-0000-0000-0000E3020000}"/>
    <cellStyle name="20% - Accent5 3 2 5 3 2" xfId="14635" xr:uid="{0AF9B700-3291-4787-8C08-A546262068C1}"/>
    <cellStyle name="20% - Accent5 3 2 5 4" xfId="10417" xr:uid="{E131940B-ECC7-4950-88E0-4DE156683AB8}"/>
    <cellStyle name="20% - Accent5 3 2 6" xfId="2302" xr:uid="{00000000-0005-0000-0000-0000E4020000}"/>
    <cellStyle name="20% - Accent5 3 2 6 2" xfId="6609" xr:uid="{00000000-0005-0000-0000-0000E5020000}"/>
    <cellStyle name="20% - Accent5 3 2 6 2 2" xfId="15048" xr:uid="{25978348-8401-42F9-9794-05F7EECE1FCF}"/>
    <cellStyle name="20% - Accent5 3 2 6 3" xfId="10830" xr:uid="{46E93F9D-81A0-4D79-8BD6-B6DE60EAD904}"/>
    <cellStyle name="20% - Accent5 3 2 7" xfId="4543" xr:uid="{00000000-0005-0000-0000-0000E6020000}"/>
    <cellStyle name="20% - Accent5 3 2 7 2" xfId="12982" xr:uid="{46519BDE-F4D9-4114-980E-0F4DE65ED8DF}"/>
    <cellStyle name="20% - Accent5 3 2 8" xfId="8764" xr:uid="{F3681375-158C-4503-B8EC-05A8CF69CA2B}"/>
    <cellStyle name="20% - Accent5 3 3" xfId="607" xr:uid="{00000000-0005-0000-0000-0000E7020000}"/>
    <cellStyle name="20% - Accent5 3 3 2" xfId="2878" xr:uid="{00000000-0005-0000-0000-0000E8020000}"/>
    <cellStyle name="20% - Accent5 3 3 2 2" xfId="7101" xr:uid="{00000000-0005-0000-0000-0000E9020000}"/>
    <cellStyle name="20% - Accent5 3 3 2 2 2" xfId="15540" xr:uid="{F007F223-93A5-44C1-8E40-1309150A0AFE}"/>
    <cellStyle name="20% - Accent5 3 3 2 3" xfId="11322" xr:uid="{0D75E7F2-8918-42A7-9A30-189678A60F4D}"/>
    <cellStyle name="20% - Accent5 3 3 3" xfId="4956" xr:uid="{00000000-0005-0000-0000-0000EA020000}"/>
    <cellStyle name="20% - Accent5 3 3 3 2" xfId="13395" xr:uid="{3B0DDCA7-3C27-4DA6-806F-89EBBE27CAFE}"/>
    <cellStyle name="20% - Accent5 3 3 4" xfId="9177" xr:uid="{97A98825-A76E-4CEA-AA8E-2E74549E57A3}"/>
    <cellStyle name="20% - Accent5 3 4" xfId="1060" xr:uid="{00000000-0005-0000-0000-0000EB020000}"/>
    <cellStyle name="20% - Accent5 3 4 2" xfId="3291" xr:uid="{00000000-0005-0000-0000-0000EC020000}"/>
    <cellStyle name="20% - Accent5 3 4 2 2" xfId="7514" xr:uid="{00000000-0005-0000-0000-0000ED020000}"/>
    <cellStyle name="20% - Accent5 3 4 2 2 2" xfId="15953" xr:uid="{981FEFF0-C098-405B-8031-75693D2F095F}"/>
    <cellStyle name="20% - Accent5 3 4 2 3" xfId="11735" xr:uid="{A7CB1EDF-4418-4FDA-B884-B0EBFCDAD93D}"/>
    <cellStyle name="20% - Accent5 3 4 3" xfId="5369" xr:uid="{00000000-0005-0000-0000-0000EE020000}"/>
    <cellStyle name="20% - Accent5 3 4 3 2" xfId="13808" xr:uid="{37BC541A-4B4B-4551-BBFE-F81FE46650A2}"/>
    <cellStyle name="20% - Accent5 3 4 4" xfId="9590" xr:uid="{3D5DA024-14C0-429B-A052-DF747626A2FD}"/>
    <cellStyle name="20% - Accent5 3 5" xfId="1474" xr:uid="{00000000-0005-0000-0000-0000EF020000}"/>
    <cellStyle name="20% - Accent5 3 5 2" xfId="3704" xr:uid="{00000000-0005-0000-0000-0000F0020000}"/>
    <cellStyle name="20% - Accent5 3 5 2 2" xfId="7927" xr:uid="{00000000-0005-0000-0000-0000F1020000}"/>
    <cellStyle name="20% - Accent5 3 5 2 2 2" xfId="16366" xr:uid="{AD5998B1-F818-4870-A32C-33992DCA5FC5}"/>
    <cellStyle name="20% - Accent5 3 5 2 3" xfId="12148" xr:uid="{461F9D74-883F-4E6D-A7CD-1D97854A6B81}"/>
    <cellStyle name="20% - Accent5 3 5 3" xfId="5782" xr:uid="{00000000-0005-0000-0000-0000F2020000}"/>
    <cellStyle name="20% - Accent5 3 5 3 2" xfId="14221" xr:uid="{6D9411F5-9E00-45ED-BCEF-D0978E883B00}"/>
    <cellStyle name="20% - Accent5 3 5 4" xfId="10003" xr:uid="{854B9031-8E25-4DE1-AB97-D4DB271568A8}"/>
    <cellStyle name="20% - Accent5 3 6" xfId="1888" xr:uid="{00000000-0005-0000-0000-0000F3020000}"/>
    <cellStyle name="20% - Accent5 3 6 2" xfId="4117" xr:uid="{00000000-0005-0000-0000-0000F4020000}"/>
    <cellStyle name="20% - Accent5 3 6 2 2" xfId="8340" xr:uid="{00000000-0005-0000-0000-0000F5020000}"/>
    <cellStyle name="20% - Accent5 3 6 2 2 2" xfId="16779" xr:uid="{D2DBCD77-DAF0-43FA-B786-3512C86C1598}"/>
    <cellStyle name="20% - Accent5 3 6 2 3" xfId="12561" xr:uid="{C5A56830-E825-477A-88F7-9161CD7ADECE}"/>
    <cellStyle name="20% - Accent5 3 6 3" xfId="6195" xr:uid="{00000000-0005-0000-0000-0000F6020000}"/>
    <cellStyle name="20% - Accent5 3 6 3 2" xfId="14634" xr:uid="{81133B3D-152C-409F-A23A-13A3536E98D3}"/>
    <cellStyle name="20% - Accent5 3 6 4" xfId="10416" xr:uid="{491450E7-4DC0-4D0A-9D81-E097FCD3EF20}"/>
    <cellStyle name="20% - Accent5 3 7" xfId="2301" xr:uid="{00000000-0005-0000-0000-0000F7020000}"/>
    <cellStyle name="20% - Accent5 3 7 2" xfId="6608" xr:uid="{00000000-0005-0000-0000-0000F8020000}"/>
    <cellStyle name="20% - Accent5 3 7 2 2" xfId="15047" xr:uid="{E54D3C2F-2088-4A13-AFC2-DFB66A8D8F41}"/>
    <cellStyle name="20% - Accent5 3 7 3" xfId="10829" xr:uid="{D38A64F5-5998-48D9-BD7F-578C5F3C545D}"/>
    <cellStyle name="20% - Accent5 3 8" xfId="4542" xr:uid="{00000000-0005-0000-0000-0000F9020000}"/>
    <cellStyle name="20% - Accent5 3 8 2" xfId="12981" xr:uid="{F40D5F11-AF3B-4CCE-9EB5-4165083EF7B4}"/>
    <cellStyle name="20% - Accent5 3 9" xfId="8763" xr:uid="{EC029984-CDA2-41CE-948A-8BBD4116EFA5}"/>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2 2 2" xfId="15542" xr:uid="{1DFA85F4-0C57-4756-BD59-16D7EC680CD0}"/>
    <cellStyle name="20% - Accent5 4 2 2 3" xfId="11324" xr:uid="{3E7D06F9-84C9-47AD-8032-CB1BE59679AE}"/>
    <cellStyle name="20% - Accent5 4 2 3" xfId="4958" xr:uid="{00000000-0005-0000-0000-0000FE020000}"/>
    <cellStyle name="20% - Accent5 4 2 3 2" xfId="13397" xr:uid="{739C76FA-68FF-4C9F-987A-74AE55417F8F}"/>
    <cellStyle name="20% - Accent5 4 2 4" xfId="9179" xr:uid="{DB666FD6-90FE-4DAA-BEDE-32E88859DED1}"/>
    <cellStyle name="20% - Accent5 4 3" xfId="1062" xr:uid="{00000000-0005-0000-0000-0000FF020000}"/>
    <cellStyle name="20% - Accent5 4 3 2" xfId="3293" xr:uid="{00000000-0005-0000-0000-000000030000}"/>
    <cellStyle name="20% - Accent5 4 3 2 2" xfId="7516" xr:uid="{00000000-0005-0000-0000-000001030000}"/>
    <cellStyle name="20% - Accent5 4 3 2 2 2" xfId="15955" xr:uid="{B22FB33F-5A28-4074-A6CC-AD329576F774}"/>
    <cellStyle name="20% - Accent5 4 3 2 3" xfId="11737" xr:uid="{0A694AC0-5E9F-4EA9-AF3E-AA38E2A1B59A}"/>
    <cellStyle name="20% - Accent5 4 3 3" xfId="5371" xr:uid="{00000000-0005-0000-0000-000002030000}"/>
    <cellStyle name="20% - Accent5 4 3 3 2" xfId="13810" xr:uid="{4AA3A633-6B40-4F77-9B95-8FAA4760E2EF}"/>
    <cellStyle name="20% - Accent5 4 3 4" xfId="9592" xr:uid="{7405B433-3A06-40BB-9D0F-97DB351821E8}"/>
    <cellStyle name="20% - Accent5 4 4" xfId="1476" xr:uid="{00000000-0005-0000-0000-000003030000}"/>
    <cellStyle name="20% - Accent5 4 4 2" xfId="3706" xr:uid="{00000000-0005-0000-0000-000004030000}"/>
    <cellStyle name="20% - Accent5 4 4 2 2" xfId="7929" xr:uid="{00000000-0005-0000-0000-000005030000}"/>
    <cellStyle name="20% - Accent5 4 4 2 2 2" xfId="16368" xr:uid="{B1D579CE-5B57-4746-AE74-EF4E08DA5B71}"/>
    <cellStyle name="20% - Accent5 4 4 2 3" xfId="12150" xr:uid="{0FAE5E22-5639-4746-9D7E-362CF12333B2}"/>
    <cellStyle name="20% - Accent5 4 4 3" xfId="5784" xr:uid="{00000000-0005-0000-0000-000006030000}"/>
    <cellStyle name="20% - Accent5 4 4 3 2" xfId="14223" xr:uid="{82AA5DC1-84F1-483B-B674-CDCF424694FE}"/>
    <cellStyle name="20% - Accent5 4 4 4" xfId="10005" xr:uid="{D9A3FF60-F94E-41AC-A348-EB99131E9FBF}"/>
    <cellStyle name="20% - Accent5 4 5" xfId="1890" xr:uid="{00000000-0005-0000-0000-000007030000}"/>
    <cellStyle name="20% - Accent5 4 5 2" xfId="4119" xr:uid="{00000000-0005-0000-0000-000008030000}"/>
    <cellStyle name="20% - Accent5 4 5 2 2" xfId="8342" xr:uid="{00000000-0005-0000-0000-000009030000}"/>
    <cellStyle name="20% - Accent5 4 5 2 2 2" xfId="16781" xr:uid="{806FA42E-D97A-4817-B466-57E0323A010F}"/>
    <cellStyle name="20% - Accent5 4 5 2 3" xfId="12563" xr:uid="{6A1385C1-C6E4-4EA0-9EE1-3C5F9117DEE2}"/>
    <cellStyle name="20% - Accent5 4 5 3" xfId="6197" xr:uid="{00000000-0005-0000-0000-00000A030000}"/>
    <cellStyle name="20% - Accent5 4 5 3 2" xfId="14636" xr:uid="{9D6BB68A-39D1-4425-9335-3E9DB0696454}"/>
    <cellStyle name="20% - Accent5 4 5 4" xfId="10418" xr:uid="{E6CEF4B8-9F8B-488A-AF68-1B591A3510DA}"/>
    <cellStyle name="20% - Accent5 4 6" xfId="2303" xr:uid="{00000000-0005-0000-0000-00000B030000}"/>
    <cellStyle name="20% - Accent5 4 6 2" xfId="6610" xr:uid="{00000000-0005-0000-0000-00000C030000}"/>
    <cellStyle name="20% - Accent5 4 6 2 2" xfId="15049" xr:uid="{17B4A3FD-D97A-4DFD-B869-8A7812012C64}"/>
    <cellStyle name="20% - Accent5 4 6 3" xfId="10831" xr:uid="{B8EF42D5-EA97-4EA0-B8B6-3080CE35040E}"/>
    <cellStyle name="20% - Accent5 4 7" xfId="4544" xr:uid="{00000000-0005-0000-0000-00000D030000}"/>
    <cellStyle name="20% - Accent5 4 7 2" xfId="12983" xr:uid="{39D40DC1-98B9-4BD4-8C4A-B8BFD271767F}"/>
    <cellStyle name="20% - Accent5 4 8" xfId="8765" xr:uid="{1BB3685A-B129-4F32-A33E-409CD7A950CB}"/>
    <cellStyle name="20% - Accent5 5" xfId="602" xr:uid="{00000000-0005-0000-0000-00000E030000}"/>
    <cellStyle name="20% - Accent5 5 2" xfId="2873" xr:uid="{00000000-0005-0000-0000-00000F030000}"/>
    <cellStyle name="20% - Accent5 5 2 2" xfId="7096" xr:uid="{00000000-0005-0000-0000-000010030000}"/>
    <cellStyle name="20% - Accent5 5 2 2 2" xfId="15535" xr:uid="{62B5C8D6-9F26-4238-9ABE-1A7591FA0C13}"/>
    <cellStyle name="20% - Accent5 5 2 3" xfId="11317" xr:uid="{7C9A5A11-E0E3-4A40-B088-A6F41BA06541}"/>
    <cellStyle name="20% - Accent5 5 3" xfId="4951" xr:uid="{00000000-0005-0000-0000-000011030000}"/>
    <cellStyle name="20% - Accent5 5 3 2" xfId="13390" xr:uid="{1324EA72-3143-4835-9F15-78F78BEC5B75}"/>
    <cellStyle name="20% - Accent5 5 4" xfId="9172" xr:uid="{80733E4B-7DB4-4706-A6D5-94BAB113FED4}"/>
    <cellStyle name="20% - Accent5 6" xfId="1055" xr:uid="{00000000-0005-0000-0000-000012030000}"/>
    <cellStyle name="20% - Accent5 6 2" xfId="3286" xr:uid="{00000000-0005-0000-0000-000013030000}"/>
    <cellStyle name="20% - Accent5 6 2 2" xfId="7509" xr:uid="{00000000-0005-0000-0000-000014030000}"/>
    <cellStyle name="20% - Accent5 6 2 2 2" xfId="15948" xr:uid="{D62A8663-B642-49D7-B27C-86C7E2A2BBC7}"/>
    <cellStyle name="20% - Accent5 6 2 3" xfId="11730" xr:uid="{BCBFB222-092C-4C00-AB2A-F2DDBB815F26}"/>
    <cellStyle name="20% - Accent5 6 3" xfId="5364" xr:uid="{00000000-0005-0000-0000-000015030000}"/>
    <cellStyle name="20% - Accent5 6 3 2" xfId="13803" xr:uid="{39FDA99F-C438-498A-A5B5-63859751A5B4}"/>
    <cellStyle name="20% - Accent5 6 4" xfId="9585" xr:uid="{3C18774F-F4F9-4640-9611-DC7FE99A785B}"/>
    <cellStyle name="20% - Accent5 7" xfId="1469" xr:uid="{00000000-0005-0000-0000-000016030000}"/>
    <cellStyle name="20% - Accent5 7 2" xfId="3699" xr:uid="{00000000-0005-0000-0000-000017030000}"/>
    <cellStyle name="20% - Accent5 7 2 2" xfId="7922" xr:uid="{00000000-0005-0000-0000-000018030000}"/>
    <cellStyle name="20% - Accent5 7 2 2 2" xfId="16361" xr:uid="{2155B921-328E-48E4-86E7-ABE93FCB1AB0}"/>
    <cellStyle name="20% - Accent5 7 2 3" xfId="12143" xr:uid="{E4ED93F2-4B34-4497-B784-7253A7E60991}"/>
    <cellStyle name="20% - Accent5 7 3" xfId="5777" xr:uid="{00000000-0005-0000-0000-000019030000}"/>
    <cellStyle name="20% - Accent5 7 3 2" xfId="14216" xr:uid="{97200E10-281E-4C8F-9008-7BA0C5FBB194}"/>
    <cellStyle name="20% - Accent5 7 4" xfId="9998" xr:uid="{EE5624B1-2C9A-49B2-9CE9-1CA1E170620C}"/>
    <cellStyle name="20% - Accent5 8" xfId="1883" xr:uid="{00000000-0005-0000-0000-00001A030000}"/>
    <cellStyle name="20% - Accent5 8 2" xfId="4112" xr:uid="{00000000-0005-0000-0000-00001B030000}"/>
    <cellStyle name="20% - Accent5 8 2 2" xfId="8335" xr:uid="{00000000-0005-0000-0000-00001C030000}"/>
    <cellStyle name="20% - Accent5 8 2 2 2" xfId="16774" xr:uid="{D45EFFC0-6E65-4346-B599-B9BD6D79F6D3}"/>
    <cellStyle name="20% - Accent5 8 2 3" xfId="12556" xr:uid="{A644E493-FCFD-471D-BE98-8E6431C5F64D}"/>
    <cellStyle name="20% - Accent5 8 3" xfId="6190" xr:uid="{00000000-0005-0000-0000-00001D030000}"/>
    <cellStyle name="20% - Accent5 8 3 2" xfId="14629" xr:uid="{8C05DA80-1A0D-476D-9455-207C2D13EF05}"/>
    <cellStyle name="20% - Accent5 8 4" xfId="10411" xr:uid="{B0E57917-B476-4CCC-8A54-1533B38D568B}"/>
    <cellStyle name="20% - Accent5 9" xfId="2296" xr:uid="{00000000-0005-0000-0000-00001E030000}"/>
    <cellStyle name="20% - Accent5 9 2" xfId="6603" xr:uid="{00000000-0005-0000-0000-00001F030000}"/>
    <cellStyle name="20% - Accent5 9 2 2" xfId="15042" xr:uid="{001CCCE1-885B-4888-B8FD-B1B4A0967373}"/>
    <cellStyle name="20% - Accent5 9 3" xfId="10824" xr:uid="{B7B06086-1B54-45D1-AE45-86E2785C0C45}"/>
    <cellStyle name="20% - Accent6" xfId="41" builtinId="50" customBuiltin="1"/>
    <cellStyle name="20% - Accent6 10" xfId="4545" xr:uid="{00000000-0005-0000-0000-000021030000}"/>
    <cellStyle name="20% - Accent6 10 2" xfId="12984" xr:uid="{79D21255-9630-4B04-9089-353D74DFE8C3}"/>
    <cellStyle name="20% - Accent6 11" xfId="8766" xr:uid="{482D1039-9BC5-4383-9BC3-D88A49FA1969}"/>
    <cellStyle name="20% - Accent6 2" xfId="42" xr:uid="{00000000-0005-0000-0000-000022030000}"/>
    <cellStyle name="20% - Accent6 2 10" xfId="8767" xr:uid="{10C1E076-FC4E-4742-8F63-15FFE3C332CC}"/>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2 2 2" xfId="15546" xr:uid="{CE7CD95A-F2A3-4365-8871-524384D40343}"/>
    <cellStyle name="20% - Accent6 2 2 2 2 2 3" xfId="11328" xr:uid="{EE065356-9919-4435-90B1-E614C67DEBB9}"/>
    <cellStyle name="20% - Accent6 2 2 2 2 3" xfId="4962" xr:uid="{00000000-0005-0000-0000-000028030000}"/>
    <cellStyle name="20% - Accent6 2 2 2 2 3 2" xfId="13401" xr:uid="{8DEC4643-3B6E-4FB3-ACD6-AA73D75C15FA}"/>
    <cellStyle name="20% - Accent6 2 2 2 2 4" xfId="9183" xr:uid="{FE2AE9C5-53D3-4E33-B004-C531FB498F04}"/>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2 2 2" xfId="15959" xr:uid="{4FF797F6-2099-443D-9D9C-CBEDE02BCFED}"/>
    <cellStyle name="20% - Accent6 2 2 2 3 2 3" xfId="11741" xr:uid="{5FFC91C8-6EF7-4FA0-A21E-D3D08662D791}"/>
    <cellStyle name="20% - Accent6 2 2 2 3 3" xfId="5375" xr:uid="{00000000-0005-0000-0000-00002C030000}"/>
    <cellStyle name="20% - Accent6 2 2 2 3 3 2" xfId="13814" xr:uid="{FA4C8DA9-8B71-4AC6-B551-90CD0E786C13}"/>
    <cellStyle name="20% - Accent6 2 2 2 3 4" xfId="9596" xr:uid="{C0F88023-2B51-4103-B8C3-5612AB98954B}"/>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2 2 2" xfId="16372" xr:uid="{0584E28D-8FEC-4D1E-AC92-7CF5DC1E1C5F}"/>
    <cellStyle name="20% - Accent6 2 2 2 4 2 3" xfId="12154" xr:uid="{F10DE1E1-2BC5-4C2C-9805-33219AFA4DE1}"/>
    <cellStyle name="20% - Accent6 2 2 2 4 3" xfId="5788" xr:uid="{00000000-0005-0000-0000-000030030000}"/>
    <cellStyle name="20% - Accent6 2 2 2 4 3 2" xfId="14227" xr:uid="{95EB5228-B9C2-4436-BAF9-9D81664E6774}"/>
    <cellStyle name="20% - Accent6 2 2 2 4 4" xfId="10009" xr:uid="{2DFB9ACE-B8CD-4F29-9553-42C2E319F9E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2 2 2" xfId="16785" xr:uid="{4CFF2D8D-9086-4433-8BAF-DC0FBE4539EE}"/>
    <cellStyle name="20% - Accent6 2 2 2 5 2 3" xfId="12567" xr:uid="{64830749-3EAF-4C6D-8956-B364FADCDC19}"/>
    <cellStyle name="20% - Accent6 2 2 2 5 3" xfId="6201" xr:uid="{00000000-0005-0000-0000-000034030000}"/>
    <cellStyle name="20% - Accent6 2 2 2 5 3 2" xfId="14640" xr:uid="{F9A53D4D-A5AF-4CC8-A91F-6C8DDBF7A53A}"/>
    <cellStyle name="20% - Accent6 2 2 2 5 4" xfId="10422" xr:uid="{0223DF73-8AD1-4D01-AA59-6F766572864B}"/>
    <cellStyle name="20% - Accent6 2 2 2 6" xfId="2307" xr:uid="{00000000-0005-0000-0000-000035030000}"/>
    <cellStyle name="20% - Accent6 2 2 2 6 2" xfId="6614" xr:uid="{00000000-0005-0000-0000-000036030000}"/>
    <cellStyle name="20% - Accent6 2 2 2 6 2 2" xfId="15053" xr:uid="{7B41BAC0-C1A7-4A7F-A26E-376AD0E07304}"/>
    <cellStyle name="20% - Accent6 2 2 2 6 3" xfId="10835" xr:uid="{4B1BD8FF-D4FB-4F33-BCD0-F1DFA2AE9F46}"/>
    <cellStyle name="20% - Accent6 2 2 2 7" xfId="4548" xr:uid="{00000000-0005-0000-0000-000037030000}"/>
    <cellStyle name="20% - Accent6 2 2 2 7 2" xfId="12987" xr:uid="{E58857EC-A5B6-4983-B0EE-7E5264088FE8}"/>
    <cellStyle name="20% - Accent6 2 2 2 8" xfId="8769" xr:uid="{C9EF97D0-3400-4625-BA00-F76E9D92D901}"/>
    <cellStyle name="20% - Accent6 2 2 3" xfId="612" xr:uid="{00000000-0005-0000-0000-000038030000}"/>
    <cellStyle name="20% - Accent6 2 2 3 2" xfId="2883" xr:uid="{00000000-0005-0000-0000-000039030000}"/>
    <cellStyle name="20% - Accent6 2 2 3 2 2" xfId="7106" xr:uid="{00000000-0005-0000-0000-00003A030000}"/>
    <cellStyle name="20% - Accent6 2 2 3 2 2 2" xfId="15545" xr:uid="{E4E27719-7F6C-4591-9839-24367DF91C84}"/>
    <cellStyle name="20% - Accent6 2 2 3 2 3" xfId="11327" xr:uid="{E8FF97E3-A428-4483-8E6B-EC7E2E0765BB}"/>
    <cellStyle name="20% - Accent6 2 2 3 3" xfId="4961" xr:uid="{00000000-0005-0000-0000-00003B030000}"/>
    <cellStyle name="20% - Accent6 2 2 3 3 2" xfId="13400" xr:uid="{B6F09592-9365-4053-84BE-E1DBD3A3226F}"/>
    <cellStyle name="20% - Accent6 2 2 3 4" xfId="9182" xr:uid="{A6E142D3-A26B-42CD-B464-B556012637B1}"/>
    <cellStyle name="20% - Accent6 2 2 4" xfId="1065" xr:uid="{00000000-0005-0000-0000-00003C030000}"/>
    <cellStyle name="20% - Accent6 2 2 4 2" xfId="3296" xr:uid="{00000000-0005-0000-0000-00003D030000}"/>
    <cellStyle name="20% - Accent6 2 2 4 2 2" xfId="7519" xr:uid="{00000000-0005-0000-0000-00003E030000}"/>
    <cellStyle name="20% - Accent6 2 2 4 2 2 2" xfId="15958" xr:uid="{9709293B-291B-4C9B-A3FC-85700794D01C}"/>
    <cellStyle name="20% - Accent6 2 2 4 2 3" xfId="11740" xr:uid="{AF9DEA77-E61C-4280-89C1-3E0A2CF4ABC1}"/>
    <cellStyle name="20% - Accent6 2 2 4 3" xfId="5374" xr:uid="{00000000-0005-0000-0000-00003F030000}"/>
    <cellStyle name="20% - Accent6 2 2 4 3 2" xfId="13813" xr:uid="{92003A7E-6C04-4ED8-B9D5-84FC21A77C7D}"/>
    <cellStyle name="20% - Accent6 2 2 4 4" xfId="9595" xr:uid="{2EDB84D7-8FB1-44F1-A5AD-E17EDC3161E5}"/>
    <cellStyle name="20% - Accent6 2 2 5" xfId="1479" xr:uid="{00000000-0005-0000-0000-000040030000}"/>
    <cellStyle name="20% - Accent6 2 2 5 2" xfId="3709" xr:uid="{00000000-0005-0000-0000-000041030000}"/>
    <cellStyle name="20% - Accent6 2 2 5 2 2" xfId="7932" xr:uid="{00000000-0005-0000-0000-000042030000}"/>
    <cellStyle name="20% - Accent6 2 2 5 2 2 2" xfId="16371" xr:uid="{F7985DDE-7518-4898-BF39-5E364295C868}"/>
    <cellStyle name="20% - Accent6 2 2 5 2 3" xfId="12153" xr:uid="{CABCD962-BC77-4B78-AA81-134E26D4A730}"/>
    <cellStyle name="20% - Accent6 2 2 5 3" xfId="5787" xr:uid="{00000000-0005-0000-0000-000043030000}"/>
    <cellStyle name="20% - Accent6 2 2 5 3 2" xfId="14226" xr:uid="{54140843-75EF-404F-8743-2BDC000E4656}"/>
    <cellStyle name="20% - Accent6 2 2 5 4" xfId="10008" xr:uid="{5B69F148-5DAB-4E5F-B730-F007F02CFB13}"/>
    <cellStyle name="20% - Accent6 2 2 6" xfId="1893" xr:uid="{00000000-0005-0000-0000-000044030000}"/>
    <cellStyle name="20% - Accent6 2 2 6 2" xfId="4122" xr:uid="{00000000-0005-0000-0000-000045030000}"/>
    <cellStyle name="20% - Accent6 2 2 6 2 2" xfId="8345" xr:uid="{00000000-0005-0000-0000-000046030000}"/>
    <cellStyle name="20% - Accent6 2 2 6 2 2 2" xfId="16784" xr:uid="{CC0830D8-999C-4628-9CEE-94910B1147C0}"/>
    <cellStyle name="20% - Accent6 2 2 6 2 3" xfId="12566" xr:uid="{151BB52D-C413-4B62-B765-84C5D6F246C9}"/>
    <cellStyle name="20% - Accent6 2 2 6 3" xfId="6200" xr:uid="{00000000-0005-0000-0000-000047030000}"/>
    <cellStyle name="20% - Accent6 2 2 6 3 2" xfId="14639" xr:uid="{88942A84-5201-4D6C-9075-5E5D33C12D03}"/>
    <cellStyle name="20% - Accent6 2 2 6 4" xfId="10421" xr:uid="{EE044303-558C-478C-8289-987FF4808225}"/>
    <cellStyle name="20% - Accent6 2 2 7" xfId="2306" xr:uid="{00000000-0005-0000-0000-000048030000}"/>
    <cellStyle name="20% - Accent6 2 2 7 2" xfId="6613" xr:uid="{00000000-0005-0000-0000-000049030000}"/>
    <cellStyle name="20% - Accent6 2 2 7 2 2" xfId="15052" xr:uid="{79675CD9-79F6-447A-97B5-A1DF64373744}"/>
    <cellStyle name="20% - Accent6 2 2 7 3" xfId="10834" xr:uid="{66123205-0045-4DAC-967C-743D884A5E9D}"/>
    <cellStyle name="20% - Accent6 2 2 8" xfId="4547" xr:uid="{00000000-0005-0000-0000-00004A030000}"/>
    <cellStyle name="20% - Accent6 2 2 8 2" xfId="12986" xr:uid="{4BF0119D-C7F1-4F80-B25C-5565C2E1E204}"/>
    <cellStyle name="20% - Accent6 2 2 9" xfId="8768" xr:uid="{1287A3EA-C637-4CCB-99F3-684C9CD34909}"/>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2 2 2" xfId="15547" xr:uid="{C321AE21-330D-41B7-B063-3791CF224E87}"/>
    <cellStyle name="20% - Accent6 2 3 2 2 3" xfId="11329" xr:uid="{1F4123B3-4DED-417C-A3AB-BBE8B58FE21C}"/>
    <cellStyle name="20% - Accent6 2 3 2 3" xfId="4963" xr:uid="{00000000-0005-0000-0000-00004F030000}"/>
    <cellStyle name="20% - Accent6 2 3 2 3 2" xfId="13402" xr:uid="{98B12981-717F-4FDD-B30C-DF7631CF5A3E}"/>
    <cellStyle name="20% - Accent6 2 3 2 4" xfId="9184" xr:uid="{4FA4A959-E9AF-4859-B30D-596FF711D856}"/>
    <cellStyle name="20% - Accent6 2 3 3" xfId="1067" xr:uid="{00000000-0005-0000-0000-000050030000}"/>
    <cellStyle name="20% - Accent6 2 3 3 2" xfId="3298" xr:uid="{00000000-0005-0000-0000-000051030000}"/>
    <cellStyle name="20% - Accent6 2 3 3 2 2" xfId="7521" xr:uid="{00000000-0005-0000-0000-000052030000}"/>
    <cellStyle name="20% - Accent6 2 3 3 2 2 2" xfId="15960" xr:uid="{D6ECFCF9-30D5-4191-A230-B4D5C55927F7}"/>
    <cellStyle name="20% - Accent6 2 3 3 2 3" xfId="11742" xr:uid="{7FE39F9D-D325-42D0-BCD9-3AE5A0799268}"/>
    <cellStyle name="20% - Accent6 2 3 3 3" xfId="5376" xr:uid="{00000000-0005-0000-0000-000053030000}"/>
    <cellStyle name="20% - Accent6 2 3 3 3 2" xfId="13815" xr:uid="{5914B2B3-3025-4C90-A15F-A1E5C8F8E944}"/>
    <cellStyle name="20% - Accent6 2 3 3 4" xfId="9597" xr:uid="{E48CAEF0-52DE-4831-AFC7-878295ECB57C}"/>
    <cellStyle name="20% - Accent6 2 3 4" xfId="1481" xr:uid="{00000000-0005-0000-0000-000054030000}"/>
    <cellStyle name="20% - Accent6 2 3 4 2" xfId="3711" xr:uid="{00000000-0005-0000-0000-000055030000}"/>
    <cellStyle name="20% - Accent6 2 3 4 2 2" xfId="7934" xr:uid="{00000000-0005-0000-0000-000056030000}"/>
    <cellStyle name="20% - Accent6 2 3 4 2 2 2" xfId="16373" xr:uid="{23638F69-F4E8-4941-A276-77F8E732F7DE}"/>
    <cellStyle name="20% - Accent6 2 3 4 2 3" xfId="12155" xr:uid="{3CF915D0-303E-46C2-A78C-E1007B264A46}"/>
    <cellStyle name="20% - Accent6 2 3 4 3" xfId="5789" xr:uid="{00000000-0005-0000-0000-000057030000}"/>
    <cellStyle name="20% - Accent6 2 3 4 3 2" xfId="14228" xr:uid="{FB93C0D4-95A4-42D3-965B-651B2156538B}"/>
    <cellStyle name="20% - Accent6 2 3 4 4" xfId="10010" xr:uid="{4ED0C151-9D38-42BA-932B-76F515F5F755}"/>
    <cellStyle name="20% - Accent6 2 3 5" xfId="1895" xr:uid="{00000000-0005-0000-0000-000058030000}"/>
    <cellStyle name="20% - Accent6 2 3 5 2" xfId="4124" xr:uid="{00000000-0005-0000-0000-000059030000}"/>
    <cellStyle name="20% - Accent6 2 3 5 2 2" xfId="8347" xr:uid="{00000000-0005-0000-0000-00005A030000}"/>
    <cellStyle name="20% - Accent6 2 3 5 2 2 2" xfId="16786" xr:uid="{ED51B9FC-B6BC-4461-8319-643723E8F021}"/>
    <cellStyle name="20% - Accent6 2 3 5 2 3" xfId="12568" xr:uid="{E192938A-1582-499E-A1A4-0D48E6F07E2C}"/>
    <cellStyle name="20% - Accent6 2 3 5 3" xfId="6202" xr:uid="{00000000-0005-0000-0000-00005B030000}"/>
    <cellStyle name="20% - Accent6 2 3 5 3 2" xfId="14641" xr:uid="{DB461B81-934F-46CE-A603-5073545C1FFE}"/>
    <cellStyle name="20% - Accent6 2 3 5 4" xfId="10423" xr:uid="{1EA5B4F4-5F69-4167-8186-8DA79EB67A36}"/>
    <cellStyle name="20% - Accent6 2 3 6" xfId="2308" xr:uid="{00000000-0005-0000-0000-00005C030000}"/>
    <cellStyle name="20% - Accent6 2 3 6 2" xfId="6615" xr:uid="{00000000-0005-0000-0000-00005D030000}"/>
    <cellStyle name="20% - Accent6 2 3 6 2 2" xfId="15054" xr:uid="{52EFC3E1-4660-4829-B709-D9C29F584725}"/>
    <cellStyle name="20% - Accent6 2 3 6 3" xfId="10836" xr:uid="{18FB3F1B-D7BA-43DD-87C2-F9A18D3F1925}"/>
    <cellStyle name="20% - Accent6 2 3 7" xfId="4549" xr:uid="{00000000-0005-0000-0000-00005E030000}"/>
    <cellStyle name="20% - Accent6 2 3 7 2" xfId="12988" xr:uid="{FED2E612-94C5-4252-92AE-4C88B2FB73CA}"/>
    <cellStyle name="20% - Accent6 2 3 8" xfId="8770" xr:uid="{90AA0672-44E3-46BA-9780-9B034E26CC62}"/>
    <cellStyle name="20% - Accent6 2 4" xfId="611" xr:uid="{00000000-0005-0000-0000-00005F030000}"/>
    <cellStyle name="20% - Accent6 2 4 2" xfId="2882" xr:uid="{00000000-0005-0000-0000-000060030000}"/>
    <cellStyle name="20% - Accent6 2 4 2 2" xfId="7105" xr:uid="{00000000-0005-0000-0000-000061030000}"/>
    <cellStyle name="20% - Accent6 2 4 2 2 2" xfId="15544" xr:uid="{E6BB72DD-9EBB-40D1-8939-68BDCCFC3C8E}"/>
    <cellStyle name="20% - Accent6 2 4 2 3" xfId="11326" xr:uid="{625901C5-3EB1-4F0E-9F08-D6D50C31A39A}"/>
    <cellStyle name="20% - Accent6 2 4 3" xfId="4960" xr:uid="{00000000-0005-0000-0000-000062030000}"/>
    <cellStyle name="20% - Accent6 2 4 3 2" xfId="13399" xr:uid="{015BB5A0-6F61-48D3-A51B-F1EE60C9F784}"/>
    <cellStyle name="20% - Accent6 2 4 4" xfId="9181" xr:uid="{C4B31376-779E-4F5F-8A65-B08AC737664B}"/>
    <cellStyle name="20% - Accent6 2 5" xfId="1064" xr:uid="{00000000-0005-0000-0000-000063030000}"/>
    <cellStyle name="20% - Accent6 2 5 2" xfId="3295" xr:uid="{00000000-0005-0000-0000-000064030000}"/>
    <cellStyle name="20% - Accent6 2 5 2 2" xfId="7518" xr:uid="{00000000-0005-0000-0000-000065030000}"/>
    <cellStyle name="20% - Accent6 2 5 2 2 2" xfId="15957" xr:uid="{69D9AF61-0074-479E-81CA-917323649077}"/>
    <cellStyle name="20% - Accent6 2 5 2 3" xfId="11739" xr:uid="{AE08218C-40BD-4FCA-A267-72416670823B}"/>
    <cellStyle name="20% - Accent6 2 5 3" xfId="5373" xr:uid="{00000000-0005-0000-0000-000066030000}"/>
    <cellStyle name="20% - Accent6 2 5 3 2" xfId="13812" xr:uid="{74866322-3AFF-4A7C-8918-89F9DF9BFD2D}"/>
    <cellStyle name="20% - Accent6 2 5 4" xfId="9594" xr:uid="{AC30D854-22EB-4116-9E3C-C424B9F455BE}"/>
    <cellStyle name="20% - Accent6 2 6" xfId="1478" xr:uid="{00000000-0005-0000-0000-000067030000}"/>
    <cellStyle name="20% - Accent6 2 6 2" xfId="3708" xr:uid="{00000000-0005-0000-0000-000068030000}"/>
    <cellStyle name="20% - Accent6 2 6 2 2" xfId="7931" xr:uid="{00000000-0005-0000-0000-000069030000}"/>
    <cellStyle name="20% - Accent6 2 6 2 2 2" xfId="16370" xr:uid="{96EC78F2-5A52-46A0-A589-DC044BDC032B}"/>
    <cellStyle name="20% - Accent6 2 6 2 3" xfId="12152" xr:uid="{234C7640-DEB1-4676-A889-4E9AAD95262F}"/>
    <cellStyle name="20% - Accent6 2 6 3" xfId="5786" xr:uid="{00000000-0005-0000-0000-00006A030000}"/>
    <cellStyle name="20% - Accent6 2 6 3 2" xfId="14225" xr:uid="{A4B344FB-87BE-4953-807A-FE2841449E25}"/>
    <cellStyle name="20% - Accent6 2 6 4" xfId="10007" xr:uid="{010FFA85-28E7-4CA3-BA0D-56714B950A73}"/>
    <cellStyle name="20% - Accent6 2 7" xfId="1892" xr:uid="{00000000-0005-0000-0000-00006B030000}"/>
    <cellStyle name="20% - Accent6 2 7 2" xfId="4121" xr:uid="{00000000-0005-0000-0000-00006C030000}"/>
    <cellStyle name="20% - Accent6 2 7 2 2" xfId="8344" xr:uid="{00000000-0005-0000-0000-00006D030000}"/>
    <cellStyle name="20% - Accent6 2 7 2 2 2" xfId="16783" xr:uid="{1BB8F8BC-A8D8-4196-BD4C-B9FA8DB52D4A}"/>
    <cellStyle name="20% - Accent6 2 7 2 3" xfId="12565" xr:uid="{BBD9CD19-6168-4D28-AF36-7BB42B38F499}"/>
    <cellStyle name="20% - Accent6 2 7 3" xfId="6199" xr:uid="{00000000-0005-0000-0000-00006E030000}"/>
    <cellStyle name="20% - Accent6 2 7 3 2" xfId="14638" xr:uid="{736BC8ED-CA25-4382-9E35-E010B52AD568}"/>
    <cellStyle name="20% - Accent6 2 7 4" xfId="10420" xr:uid="{004ADF3A-C059-4910-8986-5CB919B18523}"/>
    <cellStyle name="20% - Accent6 2 8" xfId="2305" xr:uid="{00000000-0005-0000-0000-00006F030000}"/>
    <cellStyle name="20% - Accent6 2 8 2" xfId="6612" xr:uid="{00000000-0005-0000-0000-000070030000}"/>
    <cellStyle name="20% - Accent6 2 8 2 2" xfId="15051" xr:uid="{A8D9A315-90A2-45FC-8DC6-1F9880876AA8}"/>
    <cellStyle name="20% - Accent6 2 8 3" xfId="10833" xr:uid="{D175E5E6-FFE3-40E3-A949-3E946CB52F6A}"/>
    <cellStyle name="20% - Accent6 2 9" xfId="4546" xr:uid="{00000000-0005-0000-0000-000071030000}"/>
    <cellStyle name="20% - Accent6 2 9 2" xfId="12985" xr:uid="{C7DEE7EC-AB8E-489A-8F76-0FDE6142F1E1}"/>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2 2 2" xfId="15549" xr:uid="{811F8643-6ACE-4F1E-BAF0-47047D921652}"/>
    <cellStyle name="20% - Accent6 3 2 2 2 3" xfId="11331" xr:uid="{5FE5DEFA-789C-4D42-AC85-E7AD9266BCA0}"/>
    <cellStyle name="20% - Accent6 3 2 2 3" xfId="4965" xr:uid="{00000000-0005-0000-0000-000077030000}"/>
    <cellStyle name="20% - Accent6 3 2 2 3 2" xfId="13404" xr:uid="{22AA0A47-A3BC-4A7A-83E1-1406906C4A39}"/>
    <cellStyle name="20% - Accent6 3 2 2 4" xfId="9186" xr:uid="{32EF4CD7-F4C5-41D0-A9C3-C6262497752C}"/>
    <cellStyle name="20% - Accent6 3 2 3" xfId="1069" xr:uid="{00000000-0005-0000-0000-000078030000}"/>
    <cellStyle name="20% - Accent6 3 2 3 2" xfId="3300" xr:uid="{00000000-0005-0000-0000-000079030000}"/>
    <cellStyle name="20% - Accent6 3 2 3 2 2" xfId="7523" xr:uid="{00000000-0005-0000-0000-00007A030000}"/>
    <cellStyle name="20% - Accent6 3 2 3 2 2 2" xfId="15962" xr:uid="{9245CD64-3B8E-474A-A764-E00D47B54CE8}"/>
    <cellStyle name="20% - Accent6 3 2 3 2 3" xfId="11744" xr:uid="{AA052D9B-65CF-4A2E-BD30-DA8F2F95FA06}"/>
    <cellStyle name="20% - Accent6 3 2 3 3" xfId="5378" xr:uid="{00000000-0005-0000-0000-00007B030000}"/>
    <cellStyle name="20% - Accent6 3 2 3 3 2" xfId="13817" xr:uid="{B6B73DF2-717F-4C01-BC4B-DF89CFA59AF6}"/>
    <cellStyle name="20% - Accent6 3 2 3 4" xfId="9599" xr:uid="{6CC70482-4E3C-4C94-B639-C6AED68F7CED}"/>
    <cellStyle name="20% - Accent6 3 2 4" xfId="1483" xr:uid="{00000000-0005-0000-0000-00007C030000}"/>
    <cellStyle name="20% - Accent6 3 2 4 2" xfId="3713" xr:uid="{00000000-0005-0000-0000-00007D030000}"/>
    <cellStyle name="20% - Accent6 3 2 4 2 2" xfId="7936" xr:uid="{00000000-0005-0000-0000-00007E030000}"/>
    <cellStyle name="20% - Accent6 3 2 4 2 2 2" xfId="16375" xr:uid="{30E51C22-4727-4826-A45F-F3BC3B5C7188}"/>
    <cellStyle name="20% - Accent6 3 2 4 2 3" xfId="12157" xr:uid="{CBE9D938-DD8E-4E95-AD9D-FDA5522B48FB}"/>
    <cellStyle name="20% - Accent6 3 2 4 3" xfId="5791" xr:uid="{00000000-0005-0000-0000-00007F030000}"/>
    <cellStyle name="20% - Accent6 3 2 4 3 2" xfId="14230" xr:uid="{8C7678D9-79D0-4903-9079-0C1C0B79A99F}"/>
    <cellStyle name="20% - Accent6 3 2 4 4" xfId="10012" xr:uid="{99148818-DDBD-4E2E-B1E5-064EB31D9D64}"/>
    <cellStyle name="20% - Accent6 3 2 5" xfId="1897" xr:uid="{00000000-0005-0000-0000-000080030000}"/>
    <cellStyle name="20% - Accent6 3 2 5 2" xfId="4126" xr:uid="{00000000-0005-0000-0000-000081030000}"/>
    <cellStyle name="20% - Accent6 3 2 5 2 2" xfId="8349" xr:uid="{00000000-0005-0000-0000-000082030000}"/>
    <cellStyle name="20% - Accent6 3 2 5 2 2 2" xfId="16788" xr:uid="{07ADCA3F-743E-4DED-822A-B3817AFD9349}"/>
    <cellStyle name="20% - Accent6 3 2 5 2 3" xfId="12570" xr:uid="{AB4B2028-958E-439D-9532-74A9F0B43384}"/>
    <cellStyle name="20% - Accent6 3 2 5 3" xfId="6204" xr:uid="{00000000-0005-0000-0000-000083030000}"/>
    <cellStyle name="20% - Accent6 3 2 5 3 2" xfId="14643" xr:uid="{4C3EEB59-945A-47D0-AC37-1265463CA458}"/>
    <cellStyle name="20% - Accent6 3 2 5 4" xfId="10425" xr:uid="{1DB3E21D-92F7-4A67-BE36-DE6AF250CBE3}"/>
    <cellStyle name="20% - Accent6 3 2 6" xfId="2310" xr:uid="{00000000-0005-0000-0000-000084030000}"/>
    <cellStyle name="20% - Accent6 3 2 6 2" xfId="6617" xr:uid="{00000000-0005-0000-0000-000085030000}"/>
    <cellStyle name="20% - Accent6 3 2 6 2 2" xfId="15056" xr:uid="{20D1CA6E-785B-4493-A192-44142BD0ED91}"/>
    <cellStyle name="20% - Accent6 3 2 6 3" xfId="10838" xr:uid="{2FADE44D-A3B8-4C4F-A10D-2ADC490E1670}"/>
    <cellStyle name="20% - Accent6 3 2 7" xfId="4551" xr:uid="{00000000-0005-0000-0000-000086030000}"/>
    <cellStyle name="20% - Accent6 3 2 7 2" xfId="12990" xr:uid="{60C4E7BF-B023-44CE-985E-9BEBD51A084D}"/>
    <cellStyle name="20% - Accent6 3 2 8" xfId="8772" xr:uid="{9161D0E3-21E9-44CF-9B73-4BC0B7D2F449}"/>
    <cellStyle name="20% - Accent6 3 3" xfId="615" xr:uid="{00000000-0005-0000-0000-000087030000}"/>
    <cellStyle name="20% - Accent6 3 3 2" xfId="2886" xr:uid="{00000000-0005-0000-0000-000088030000}"/>
    <cellStyle name="20% - Accent6 3 3 2 2" xfId="7109" xr:uid="{00000000-0005-0000-0000-000089030000}"/>
    <cellStyle name="20% - Accent6 3 3 2 2 2" xfId="15548" xr:uid="{3FD50B82-03A9-4614-B20D-92A2062F7BDD}"/>
    <cellStyle name="20% - Accent6 3 3 2 3" xfId="11330" xr:uid="{ACAA1586-B4EC-4182-B95F-96CB0BCC31A8}"/>
    <cellStyle name="20% - Accent6 3 3 3" xfId="4964" xr:uid="{00000000-0005-0000-0000-00008A030000}"/>
    <cellStyle name="20% - Accent6 3 3 3 2" xfId="13403" xr:uid="{AFFF8BF3-75FA-40CB-ABF3-C4A8D484CC17}"/>
    <cellStyle name="20% - Accent6 3 3 4" xfId="9185" xr:uid="{F42E56AC-7F94-413C-BC18-3B1F4338870E}"/>
    <cellStyle name="20% - Accent6 3 4" xfId="1068" xr:uid="{00000000-0005-0000-0000-00008B030000}"/>
    <cellStyle name="20% - Accent6 3 4 2" xfId="3299" xr:uid="{00000000-0005-0000-0000-00008C030000}"/>
    <cellStyle name="20% - Accent6 3 4 2 2" xfId="7522" xr:uid="{00000000-0005-0000-0000-00008D030000}"/>
    <cellStyle name="20% - Accent6 3 4 2 2 2" xfId="15961" xr:uid="{63C1C5DE-D5AA-4D5A-BFEB-E1BB57569AB7}"/>
    <cellStyle name="20% - Accent6 3 4 2 3" xfId="11743" xr:uid="{C0B785E4-E6A5-414E-96D8-0CD333FA2CF6}"/>
    <cellStyle name="20% - Accent6 3 4 3" xfId="5377" xr:uid="{00000000-0005-0000-0000-00008E030000}"/>
    <cellStyle name="20% - Accent6 3 4 3 2" xfId="13816" xr:uid="{B8822CBB-1D00-4E5E-B5AF-17405E57A887}"/>
    <cellStyle name="20% - Accent6 3 4 4" xfId="9598" xr:uid="{0B5AFEA8-E1B5-47E3-8879-AFBF1163D372}"/>
    <cellStyle name="20% - Accent6 3 5" xfId="1482" xr:uid="{00000000-0005-0000-0000-00008F030000}"/>
    <cellStyle name="20% - Accent6 3 5 2" xfId="3712" xr:uid="{00000000-0005-0000-0000-000090030000}"/>
    <cellStyle name="20% - Accent6 3 5 2 2" xfId="7935" xr:uid="{00000000-0005-0000-0000-000091030000}"/>
    <cellStyle name="20% - Accent6 3 5 2 2 2" xfId="16374" xr:uid="{00F6970D-214C-445B-8740-70C282FC131A}"/>
    <cellStyle name="20% - Accent6 3 5 2 3" xfId="12156" xr:uid="{F17C7D00-6472-4E07-B79A-311EF962D73F}"/>
    <cellStyle name="20% - Accent6 3 5 3" xfId="5790" xr:uid="{00000000-0005-0000-0000-000092030000}"/>
    <cellStyle name="20% - Accent6 3 5 3 2" xfId="14229" xr:uid="{5E43CA97-D883-473B-9621-42997B8545DA}"/>
    <cellStyle name="20% - Accent6 3 5 4" xfId="10011" xr:uid="{76A99881-21E1-4C5E-81E0-2E0895B0AF9F}"/>
    <cellStyle name="20% - Accent6 3 6" xfId="1896" xr:uid="{00000000-0005-0000-0000-000093030000}"/>
    <cellStyle name="20% - Accent6 3 6 2" xfId="4125" xr:uid="{00000000-0005-0000-0000-000094030000}"/>
    <cellStyle name="20% - Accent6 3 6 2 2" xfId="8348" xr:uid="{00000000-0005-0000-0000-000095030000}"/>
    <cellStyle name="20% - Accent6 3 6 2 2 2" xfId="16787" xr:uid="{3DF38912-A2C9-4B00-B020-1DBAE0B7BE18}"/>
    <cellStyle name="20% - Accent6 3 6 2 3" xfId="12569" xr:uid="{051F6F77-6C02-4CBA-864E-E0E075452A4C}"/>
    <cellStyle name="20% - Accent6 3 6 3" xfId="6203" xr:uid="{00000000-0005-0000-0000-000096030000}"/>
    <cellStyle name="20% - Accent6 3 6 3 2" xfId="14642" xr:uid="{6AE2BA49-6189-4524-9E6C-A6218BEA6726}"/>
    <cellStyle name="20% - Accent6 3 6 4" xfId="10424" xr:uid="{11D386C8-DB82-44FB-A535-9334AA812BA4}"/>
    <cellStyle name="20% - Accent6 3 7" xfId="2309" xr:uid="{00000000-0005-0000-0000-000097030000}"/>
    <cellStyle name="20% - Accent6 3 7 2" xfId="6616" xr:uid="{00000000-0005-0000-0000-000098030000}"/>
    <cellStyle name="20% - Accent6 3 7 2 2" xfId="15055" xr:uid="{AD3EE880-079E-4BC5-8854-D21BF0F5397D}"/>
    <cellStyle name="20% - Accent6 3 7 3" xfId="10837" xr:uid="{125F23F2-2565-452F-9F24-464A3DD60A39}"/>
    <cellStyle name="20% - Accent6 3 8" xfId="4550" xr:uid="{00000000-0005-0000-0000-000099030000}"/>
    <cellStyle name="20% - Accent6 3 8 2" xfId="12989" xr:uid="{3D4B480D-7314-4DAC-977F-1EB30EE44306}"/>
    <cellStyle name="20% - Accent6 3 9" xfId="8771" xr:uid="{6FAF4F67-692F-4175-93C1-A6995E162C5F}"/>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2 2 2" xfId="15550" xr:uid="{062BC5F5-21F0-4034-85B6-36BF867432D5}"/>
    <cellStyle name="20% - Accent6 4 2 2 3" xfId="11332" xr:uid="{A550EF65-0D06-449F-8829-1E30C09EA070}"/>
    <cellStyle name="20% - Accent6 4 2 3" xfId="4966" xr:uid="{00000000-0005-0000-0000-00009E030000}"/>
    <cellStyle name="20% - Accent6 4 2 3 2" xfId="13405" xr:uid="{AD2EF2BD-4AC0-4779-BD3D-655B8311C865}"/>
    <cellStyle name="20% - Accent6 4 2 4" xfId="9187" xr:uid="{5D90AAAD-1F86-49CA-A661-B87F756C5680}"/>
    <cellStyle name="20% - Accent6 4 3" xfId="1070" xr:uid="{00000000-0005-0000-0000-00009F030000}"/>
    <cellStyle name="20% - Accent6 4 3 2" xfId="3301" xr:uid="{00000000-0005-0000-0000-0000A0030000}"/>
    <cellStyle name="20% - Accent6 4 3 2 2" xfId="7524" xr:uid="{00000000-0005-0000-0000-0000A1030000}"/>
    <cellStyle name="20% - Accent6 4 3 2 2 2" xfId="15963" xr:uid="{CFA94FE8-F5E4-4F25-80EC-4B5CBD2B3157}"/>
    <cellStyle name="20% - Accent6 4 3 2 3" xfId="11745" xr:uid="{CB3F48C9-350A-4F42-BCD2-C0CE4E0AA62D}"/>
    <cellStyle name="20% - Accent6 4 3 3" xfId="5379" xr:uid="{00000000-0005-0000-0000-0000A2030000}"/>
    <cellStyle name="20% - Accent6 4 3 3 2" xfId="13818" xr:uid="{4245A9FD-C580-4C2F-9821-A29778D3062C}"/>
    <cellStyle name="20% - Accent6 4 3 4" xfId="9600" xr:uid="{4B2A04CC-5DB1-4CF4-945D-14C42B24FB8A}"/>
    <cellStyle name="20% - Accent6 4 4" xfId="1484" xr:uid="{00000000-0005-0000-0000-0000A3030000}"/>
    <cellStyle name="20% - Accent6 4 4 2" xfId="3714" xr:uid="{00000000-0005-0000-0000-0000A4030000}"/>
    <cellStyle name="20% - Accent6 4 4 2 2" xfId="7937" xr:uid="{00000000-0005-0000-0000-0000A5030000}"/>
    <cellStyle name="20% - Accent6 4 4 2 2 2" xfId="16376" xr:uid="{319AC2B2-5172-4545-AB51-8E7070F64966}"/>
    <cellStyle name="20% - Accent6 4 4 2 3" xfId="12158" xr:uid="{F695913A-C862-48C8-9847-3E26CD2AA5FC}"/>
    <cellStyle name="20% - Accent6 4 4 3" xfId="5792" xr:uid="{00000000-0005-0000-0000-0000A6030000}"/>
    <cellStyle name="20% - Accent6 4 4 3 2" xfId="14231" xr:uid="{2361B579-989C-4191-B3A9-53C63B8BDDA1}"/>
    <cellStyle name="20% - Accent6 4 4 4" xfId="10013" xr:uid="{71B85547-42C9-4626-968D-B3AB5F66F261}"/>
    <cellStyle name="20% - Accent6 4 5" xfId="1898" xr:uid="{00000000-0005-0000-0000-0000A7030000}"/>
    <cellStyle name="20% - Accent6 4 5 2" xfId="4127" xr:uid="{00000000-0005-0000-0000-0000A8030000}"/>
    <cellStyle name="20% - Accent6 4 5 2 2" xfId="8350" xr:uid="{00000000-0005-0000-0000-0000A9030000}"/>
    <cellStyle name="20% - Accent6 4 5 2 2 2" xfId="16789" xr:uid="{C2319898-E846-4E2E-82C4-EB96E8594496}"/>
    <cellStyle name="20% - Accent6 4 5 2 3" xfId="12571" xr:uid="{390D4231-83BD-4FD1-BE4C-145EC97B2BEA}"/>
    <cellStyle name="20% - Accent6 4 5 3" xfId="6205" xr:uid="{00000000-0005-0000-0000-0000AA030000}"/>
    <cellStyle name="20% - Accent6 4 5 3 2" xfId="14644" xr:uid="{A217A276-2275-4699-BB56-F463358161E2}"/>
    <cellStyle name="20% - Accent6 4 5 4" xfId="10426" xr:uid="{FB0FACFF-B45A-4884-9668-235B21B72B79}"/>
    <cellStyle name="20% - Accent6 4 6" xfId="2311" xr:uid="{00000000-0005-0000-0000-0000AB030000}"/>
    <cellStyle name="20% - Accent6 4 6 2" xfId="6618" xr:uid="{00000000-0005-0000-0000-0000AC030000}"/>
    <cellStyle name="20% - Accent6 4 6 2 2" xfId="15057" xr:uid="{FBB8CD1D-B993-4A79-AFCA-BE30F8705CF7}"/>
    <cellStyle name="20% - Accent6 4 6 3" xfId="10839" xr:uid="{D16F12B4-9AF7-4066-9D83-CEF9A29DE41C}"/>
    <cellStyle name="20% - Accent6 4 7" xfId="4552" xr:uid="{00000000-0005-0000-0000-0000AD030000}"/>
    <cellStyle name="20% - Accent6 4 7 2" xfId="12991" xr:uid="{9B033CBD-DCF9-4C79-93BF-D1213DA466CB}"/>
    <cellStyle name="20% - Accent6 4 8" xfId="8773" xr:uid="{C34D3FFF-0AFA-4BDE-9918-62F8B9F638A4}"/>
    <cellStyle name="20% - Accent6 5" xfId="610" xr:uid="{00000000-0005-0000-0000-0000AE030000}"/>
    <cellStyle name="20% - Accent6 5 2" xfId="2881" xr:uid="{00000000-0005-0000-0000-0000AF030000}"/>
    <cellStyle name="20% - Accent6 5 2 2" xfId="7104" xr:uid="{00000000-0005-0000-0000-0000B0030000}"/>
    <cellStyle name="20% - Accent6 5 2 2 2" xfId="15543" xr:uid="{63A65661-2FB9-48DD-A0ED-24821EB79764}"/>
    <cellStyle name="20% - Accent6 5 2 3" xfId="11325" xr:uid="{CE49522C-4CD0-48A9-AC63-B98C3DAB1F51}"/>
    <cellStyle name="20% - Accent6 5 3" xfId="4959" xr:uid="{00000000-0005-0000-0000-0000B1030000}"/>
    <cellStyle name="20% - Accent6 5 3 2" xfId="13398" xr:uid="{6DC26AD7-5896-4208-8EE0-4A6FDC3D1AD7}"/>
    <cellStyle name="20% - Accent6 5 4" xfId="9180" xr:uid="{191B8ACD-B15E-46BC-B0E8-238DD06CF466}"/>
    <cellStyle name="20% - Accent6 6" xfId="1063" xr:uid="{00000000-0005-0000-0000-0000B2030000}"/>
    <cellStyle name="20% - Accent6 6 2" xfId="3294" xr:uid="{00000000-0005-0000-0000-0000B3030000}"/>
    <cellStyle name="20% - Accent6 6 2 2" xfId="7517" xr:uid="{00000000-0005-0000-0000-0000B4030000}"/>
    <cellStyle name="20% - Accent6 6 2 2 2" xfId="15956" xr:uid="{052F83B4-7288-4159-9E8B-6E39309230CE}"/>
    <cellStyle name="20% - Accent6 6 2 3" xfId="11738" xr:uid="{B85798C7-8E9A-4967-8CE9-8B59BE4AD471}"/>
    <cellStyle name="20% - Accent6 6 3" xfId="5372" xr:uid="{00000000-0005-0000-0000-0000B5030000}"/>
    <cellStyle name="20% - Accent6 6 3 2" xfId="13811" xr:uid="{46FFA07E-2CE9-4263-B381-A7C3A499D919}"/>
    <cellStyle name="20% - Accent6 6 4" xfId="9593" xr:uid="{38FAA6ED-31CD-4809-A82B-DD4315A7336D}"/>
    <cellStyle name="20% - Accent6 7" xfId="1477" xr:uid="{00000000-0005-0000-0000-0000B6030000}"/>
    <cellStyle name="20% - Accent6 7 2" xfId="3707" xr:uid="{00000000-0005-0000-0000-0000B7030000}"/>
    <cellStyle name="20% - Accent6 7 2 2" xfId="7930" xr:uid="{00000000-0005-0000-0000-0000B8030000}"/>
    <cellStyle name="20% - Accent6 7 2 2 2" xfId="16369" xr:uid="{F1BDFBA7-0ECD-4A4F-B24C-35483B6F472C}"/>
    <cellStyle name="20% - Accent6 7 2 3" xfId="12151" xr:uid="{3DFF63EF-D559-425D-AE5F-FA03BD49FAC7}"/>
    <cellStyle name="20% - Accent6 7 3" xfId="5785" xr:uid="{00000000-0005-0000-0000-0000B9030000}"/>
    <cellStyle name="20% - Accent6 7 3 2" xfId="14224" xr:uid="{5F727D03-7414-4DB9-AA55-C33772AEC42F}"/>
    <cellStyle name="20% - Accent6 7 4" xfId="10006" xr:uid="{0AB51AE0-37A6-473F-ADA5-5D74D33BB696}"/>
    <cellStyle name="20% - Accent6 8" xfId="1891" xr:uid="{00000000-0005-0000-0000-0000BA030000}"/>
    <cellStyle name="20% - Accent6 8 2" xfId="4120" xr:uid="{00000000-0005-0000-0000-0000BB030000}"/>
    <cellStyle name="20% - Accent6 8 2 2" xfId="8343" xr:uid="{00000000-0005-0000-0000-0000BC030000}"/>
    <cellStyle name="20% - Accent6 8 2 2 2" xfId="16782" xr:uid="{15D7EE97-2C41-4881-9E54-33738147FF7B}"/>
    <cellStyle name="20% - Accent6 8 2 3" xfId="12564" xr:uid="{1827B722-F121-4986-8233-A89D76643566}"/>
    <cellStyle name="20% - Accent6 8 3" xfId="6198" xr:uid="{00000000-0005-0000-0000-0000BD030000}"/>
    <cellStyle name="20% - Accent6 8 3 2" xfId="14637" xr:uid="{E3ADD68C-09A4-4BB0-99B1-30DC2592EF00}"/>
    <cellStyle name="20% - Accent6 8 4" xfId="10419" xr:uid="{7471A241-31D3-42C2-87A5-AD0476436CCA}"/>
    <cellStyle name="20% - Accent6 9" xfId="2304" xr:uid="{00000000-0005-0000-0000-0000BE030000}"/>
    <cellStyle name="20% - Accent6 9 2" xfId="6611" xr:uid="{00000000-0005-0000-0000-0000BF030000}"/>
    <cellStyle name="20% - Accent6 9 2 2" xfId="15050" xr:uid="{AC85F6C1-75A3-4D27-87DC-68D48DA836AA}"/>
    <cellStyle name="20% - Accent6 9 3" xfId="10832" xr:uid="{4F554B18-245F-4379-825F-ABA12904AC11}"/>
    <cellStyle name="40% - Accent1" xfId="49" builtinId="31" customBuiltin="1"/>
    <cellStyle name="40% - Accent1 10" xfId="4553" xr:uid="{00000000-0005-0000-0000-0000C1030000}"/>
    <cellStyle name="40% - Accent1 10 2" xfId="12992" xr:uid="{A3984039-66DA-429A-880C-FF081A65CF64}"/>
    <cellStyle name="40% - Accent1 11" xfId="8774" xr:uid="{732D76E4-F83E-494B-A1D8-D5337F6A9D0D}"/>
    <cellStyle name="40% - Accent1 2" xfId="50" xr:uid="{00000000-0005-0000-0000-0000C2030000}"/>
    <cellStyle name="40% - Accent1 2 10" xfId="8775" xr:uid="{814ACD30-6068-4688-B7ED-5B009B5AEFA5}"/>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2 2 2" xfId="15554" xr:uid="{938632CF-710F-469F-9044-2484C7D4A087}"/>
    <cellStyle name="40% - Accent1 2 2 2 2 2 3" xfId="11336" xr:uid="{5AD9E7F0-327E-4F97-9A06-61120948D064}"/>
    <cellStyle name="40% - Accent1 2 2 2 2 3" xfId="4970" xr:uid="{00000000-0005-0000-0000-0000C8030000}"/>
    <cellStyle name="40% - Accent1 2 2 2 2 3 2" xfId="13409" xr:uid="{0E4D28A0-877E-4B8D-8BF5-ABBEAFEA1427}"/>
    <cellStyle name="40% - Accent1 2 2 2 2 4" xfId="9191" xr:uid="{BC14079A-420E-48F0-A639-160B8A166DFE}"/>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2 2 2" xfId="15967" xr:uid="{8AE4C4CF-9CEE-4F39-B244-9A13DFE4AEAB}"/>
    <cellStyle name="40% - Accent1 2 2 2 3 2 3" xfId="11749" xr:uid="{4F98EDC5-9E0F-4823-AA3F-9ACA500A4FEC}"/>
    <cellStyle name="40% - Accent1 2 2 2 3 3" xfId="5383" xr:uid="{00000000-0005-0000-0000-0000CC030000}"/>
    <cellStyle name="40% - Accent1 2 2 2 3 3 2" xfId="13822" xr:uid="{6C791B2A-662D-4A89-A812-06197CAFBB02}"/>
    <cellStyle name="40% - Accent1 2 2 2 3 4" xfId="9604" xr:uid="{218B66B3-E6EB-4F12-975F-65FC9054C423}"/>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2 2 2" xfId="16380" xr:uid="{2BCF9E1C-9FBF-4A8B-97A0-04751F6E7D1C}"/>
    <cellStyle name="40% - Accent1 2 2 2 4 2 3" xfId="12162" xr:uid="{D43E7CF6-B3C7-4CC4-9DE3-9A4C9B9BEC79}"/>
    <cellStyle name="40% - Accent1 2 2 2 4 3" xfId="5796" xr:uid="{00000000-0005-0000-0000-0000D0030000}"/>
    <cellStyle name="40% - Accent1 2 2 2 4 3 2" xfId="14235" xr:uid="{046EF7F2-1946-4F30-B186-DDB7E88A971F}"/>
    <cellStyle name="40% - Accent1 2 2 2 4 4" xfId="10017" xr:uid="{00F097B4-E908-47D8-90C8-60283856AF83}"/>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2 2 2" xfId="16793" xr:uid="{D5E5D4A0-AE86-431D-9734-2DB82B826600}"/>
    <cellStyle name="40% - Accent1 2 2 2 5 2 3" xfId="12575" xr:uid="{11E8DE04-9D83-48F3-A992-245EE04803AD}"/>
    <cellStyle name="40% - Accent1 2 2 2 5 3" xfId="6209" xr:uid="{00000000-0005-0000-0000-0000D4030000}"/>
    <cellStyle name="40% - Accent1 2 2 2 5 3 2" xfId="14648" xr:uid="{E1F7D0DF-AD76-4926-AD0D-40EB74D9AFE8}"/>
    <cellStyle name="40% - Accent1 2 2 2 5 4" xfId="10430" xr:uid="{C5722133-DE8F-4AB8-AD48-99F7970BCB48}"/>
    <cellStyle name="40% - Accent1 2 2 2 6" xfId="2315" xr:uid="{00000000-0005-0000-0000-0000D5030000}"/>
    <cellStyle name="40% - Accent1 2 2 2 6 2" xfId="6622" xr:uid="{00000000-0005-0000-0000-0000D6030000}"/>
    <cellStyle name="40% - Accent1 2 2 2 6 2 2" xfId="15061" xr:uid="{60AEC537-08CC-450E-B0E0-7D20010E4D26}"/>
    <cellStyle name="40% - Accent1 2 2 2 6 3" xfId="10843" xr:uid="{0DA3E8A4-CB5A-4C53-A9E5-746784894A43}"/>
    <cellStyle name="40% - Accent1 2 2 2 7" xfId="4556" xr:uid="{00000000-0005-0000-0000-0000D7030000}"/>
    <cellStyle name="40% - Accent1 2 2 2 7 2" xfId="12995" xr:uid="{DEDBA934-FCFC-4CC2-94A3-53069DBBF5C2}"/>
    <cellStyle name="40% - Accent1 2 2 2 8" xfId="8777" xr:uid="{145385C4-9EF8-4C9F-B2B0-00DACFD9610C}"/>
    <cellStyle name="40% - Accent1 2 2 3" xfId="620" xr:uid="{00000000-0005-0000-0000-0000D8030000}"/>
    <cellStyle name="40% - Accent1 2 2 3 2" xfId="2891" xr:uid="{00000000-0005-0000-0000-0000D9030000}"/>
    <cellStyle name="40% - Accent1 2 2 3 2 2" xfId="7114" xr:uid="{00000000-0005-0000-0000-0000DA030000}"/>
    <cellStyle name="40% - Accent1 2 2 3 2 2 2" xfId="15553" xr:uid="{1FE12A46-B70F-41DF-95D0-89B978E090AE}"/>
    <cellStyle name="40% - Accent1 2 2 3 2 3" xfId="11335" xr:uid="{7AFA870E-1779-4C50-B03B-26D3CC24FAAA}"/>
    <cellStyle name="40% - Accent1 2 2 3 3" xfId="4969" xr:uid="{00000000-0005-0000-0000-0000DB030000}"/>
    <cellStyle name="40% - Accent1 2 2 3 3 2" xfId="13408" xr:uid="{513E4B67-A235-407C-B056-B00F21BE8967}"/>
    <cellStyle name="40% - Accent1 2 2 3 4" xfId="9190" xr:uid="{9567CD92-BB37-43B3-93F7-E6AC0E13F35F}"/>
    <cellStyle name="40% - Accent1 2 2 4" xfId="1073" xr:uid="{00000000-0005-0000-0000-0000DC030000}"/>
    <cellStyle name="40% - Accent1 2 2 4 2" xfId="3304" xr:uid="{00000000-0005-0000-0000-0000DD030000}"/>
    <cellStyle name="40% - Accent1 2 2 4 2 2" xfId="7527" xr:uid="{00000000-0005-0000-0000-0000DE030000}"/>
    <cellStyle name="40% - Accent1 2 2 4 2 2 2" xfId="15966" xr:uid="{F8A84B01-8ECE-496E-99F5-41B33636DC60}"/>
    <cellStyle name="40% - Accent1 2 2 4 2 3" xfId="11748" xr:uid="{BC96B76C-8363-4F3A-BECA-99314C813427}"/>
    <cellStyle name="40% - Accent1 2 2 4 3" xfId="5382" xr:uid="{00000000-0005-0000-0000-0000DF030000}"/>
    <cellStyle name="40% - Accent1 2 2 4 3 2" xfId="13821" xr:uid="{2CA00665-93BE-4B32-BB47-B134A3FA5865}"/>
    <cellStyle name="40% - Accent1 2 2 4 4" xfId="9603" xr:uid="{E43EC63E-73A9-43A9-BE9A-7E15FE722390}"/>
    <cellStyle name="40% - Accent1 2 2 5" xfId="1487" xr:uid="{00000000-0005-0000-0000-0000E0030000}"/>
    <cellStyle name="40% - Accent1 2 2 5 2" xfId="3717" xr:uid="{00000000-0005-0000-0000-0000E1030000}"/>
    <cellStyle name="40% - Accent1 2 2 5 2 2" xfId="7940" xr:uid="{00000000-0005-0000-0000-0000E2030000}"/>
    <cellStyle name="40% - Accent1 2 2 5 2 2 2" xfId="16379" xr:uid="{3BC7A04A-1CB6-49F4-9265-896AB762A4C6}"/>
    <cellStyle name="40% - Accent1 2 2 5 2 3" xfId="12161" xr:uid="{3CD3290C-C05A-462F-97CC-13BBF203306D}"/>
    <cellStyle name="40% - Accent1 2 2 5 3" xfId="5795" xr:uid="{00000000-0005-0000-0000-0000E3030000}"/>
    <cellStyle name="40% - Accent1 2 2 5 3 2" xfId="14234" xr:uid="{41085D30-78AB-457C-8979-A761DE5D76AE}"/>
    <cellStyle name="40% - Accent1 2 2 5 4" xfId="10016" xr:uid="{EB828A92-EC4C-43AF-8230-9F4464FA10EF}"/>
    <cellStyle name="40% - Accent1 2 2 6" xfId="1901" xr:uid="{00000000-0005-0000-0000-0000E4030000}"/>
    <cellStyle name="40% - Accent1 2 2 6 2" xfId="4130" xr:uid="{00000000-0005-0000-0000-0000E5030000}"/>
    <cellStyle name="40% - Accent1 2 2 6 2 2" xfId="8353" xr:uid="{00000000-0005-0000-0000-0000E6030000}"/>
    <cellStyle name="40% - Accent1 2 2 6 2 2 2" xfId="16792" xr:uid="{033633A5-568D-4690-8695-827DF18DD725}"/>
    <cellStyle name="40% - Accent1 2 2 6 2 3" xfId="12574" xr:uid="{B39EF4AF-23D3-4FE8-8A45-222A3EDB8F1F}"/>
    <cellStyle name="40% - Accent1 2 2 6 3" xfId="6208" xr:uid="{00000000-0005-0000-0000-0000E7030000}"/>
    <cellStyle name="40% - Accent1 2 2 6 3 2" xfId="14647" xr:uid="{CF5913F7-1E27-486B-9744-B24B94A41620}"/>
    <cellStyle name="40% - Accent1 2 2 6 4" xfId="10429" xr:uid="{A9B96AA2-DC35-402D-9416-E7341495DDEE}"/>
    <cellStyle name="40% - Accent1 2 2 7" xfId="2314" xr:uid="{00000000-0005-0000-0000-0000E8030000}"/>
    <cellStyle name="40% - Accent1 2 2 7 2" xfId="6621" xr:uid="{00000000-0005-0000-0000-0000E9030000}"/>
    <cellStyle name="40% - Accent1 2 2 7 2 2" xfId="15060" xr:uid="{CFDFB1C9-E391-422E-AE17-E38D8DD44808}"/>
    <cellStyle name="40% - Accent1 2 2 7 3" xfId="10842" xr:uid="{FFEC9DBC-DC63-45CF-9C07-0F12B41D024A}"/>
    <cellStyle name="40% - Accent1 2 2 8" xfId="4555" xr:uid="{00000000-0005-0000-0000-0000EA030000}"/>
    <cellStyle name="40% - Accent1 2 2 8 2" xfId="12994" xr:uid="{84737CF2-B838-48D9-9A49-0081FE717710}"/>
    <cellStyle name="40% - Accent1 2 2 9" xfId="8776" xr:uid="{BE103C63-0815-424B-B7D9-28FDE1262FB9}"/>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2 2 2" xfId="15555" xr:uid="{F7369CFC-948F-44C8-A03A-3C6955A69CA8}"/>
    <cellStyle name="40% - Accent1 2 3 2 2 3" xfId="11337" xr:uid="{3C8BB9D3-92EF-4DA3-A628-84C9086A7899}"/>
    <cellStyle name="40% - Accent1 2 3 2 3" xfId="4971" xr:uid="{00000000-0005-0000-0000-0000EF030000}"/>
    <cellStyle name="40% - Accent1 2 3 2 3 2" xfId="13410" xr:uid="{3D5DAB89-E722-456E-9E11-5F4E61761BDE}"/>
    <cellStyle name="40% - Accent1 2 3 2 4" xfId="9192" xr:uid="{F7EA0060-19DD-4156-9C51-3FA7156C866B}"/>
    <cellStyle name="40% - Accent1 2 3 3" xfId="1075" xr:uid="{00000000-0005-0000-0000-0000F0030000}"/>
    <cellStyle name="40% - Accent1 2 3 3 2" xfId="3306" xr:uid="{00000000-0005-0000-0000-0000F1030000}"/>
    <cellStyle name="40% - Accent1 2 3 3 2 2" xfId="7529" xr:uid="{00000000-0005-0000-0000-0000F2030000}"/>
    <cellStyle name="40% - Accent1 2 3 3 2 2 2" xfId="15968" xr:uid="{19517998-9196-4021-AC37-81B7DB8C48C0}"/>
    <cellStyle name="40% - Accent1 2 3 3 2 3" xfId="11750" xr:uid="{5D882BBB-C900-44E3-9DEE-199686FD5F9A}"/>
    <cellStyle name="40% - Accent1 2 3 3 3" xfId="5384" xr:uid="{00000000-0005-0000-0000-0000F3030000}"/>
    <cellStyle name="40% - Accent1 2 3 3 3 2" xfId="13823" xr:uid="{5B4F735D-1466-4AAC-878D-8E2A2A4B106A}"/>
    <cellStyle name="40% - Accent1 2 3 3 4" xfId="9605" xr:uid="{E7FACD9C-749F-45C1-9193-C9B53D238906}"/>
    <cellStyle name="40% - Accent1 2 3 4" xfId="1489" xr:uid="{00000000-0005-0000-0000-0000F4030000}"/>
    <cellStyle name="40% - Accent1 2 3 4 2" xfId="3719" xr:uid="{00000000-0005-0000-0000-0000F5030000}"/>
    <cellStyle name="40% - Accent1 2 3 4 2 2" xfId="7942" xr:uid="{00000000-0005-0000-0000-0000F6030000}"/>
    <cellStyle name="40% - Accent1 2 3 4 2 2 2" xfId="16381" xr:uid="{AF7CC4DB-9BE9-45FC-B3A9-A80A31D0E1D7}"/>
    <cellStyle name="40% - Accent1 2 3 4 2 3" xfId="12163" xr:uid="{3E2025A2-1D8E-4860-99FD-F7104D3DC486}"/>
    <cellStyle name="40% - Accent1 2 3 4 3" xfId="5797" xr:uid="{00000000-0005-0000-0000-0000F7030000}"/>
    <cellStyle name="40% - Accent1 2 3 4 3 2" xfId="14236" xr:uid="{EB954372-3C32-4DDC-8445-4837E73914ED}"/>
    <cellStyle name="40% - Accent1 2 3 4 4" xfId="10018" xr:uid="{D1CD86C5-CC46-4E46-9641-33FB4872E5DA}"/>
    <cellStyle name="40% - Accent1 2 3 5" xfId="1903" xr:uid="{00000000-0005-0000-0000-0000F8030000}"/>
    <cellStyle name="40% - Accent1 2 3 5 2" xfId="4132" xr:uid="{00000000-0005-0000-0000-0000F9030000}"/>
    <cellStyle name="40% - Accent1 2 3 5 2 2" xfId="8355" xr:uid="{00000000-0005-0000-0000-0000FA030000}"/>
    <cellStyle name="40% - Accent1 2 3 5 2 2 2" xfId="16794" xr:uid="{071499BC-2226-4255-9599-D6837932C2D7}"/>
    <cellStyle name="40% - Accent1 2 3 5 2 3" xfId="12576" xr:uid="{FEC97F5F-A082-4BB9-93C1-2AD5FAF8868F}"/>
    <cellStyle name="40% - Accent1 2 3 5 3" xfId="6210" xr:uid="{00000000-0005-0000-0000-0000FB030000}"/>
    <cellStyle name="40% - Accent1 2 3 5 3 2" xfId="14649" xr:uid="{7F1FE5F9-8858-4C5C-B232-69D17747F52C}"/>
    <cellStyle name="40% - Accent1 2 3 5 4" xfId="10431" xr:uid="{DDBEE8CE-1A04-448C-BDDF-D5FA1328ACEC}"/>
    <cellStyle name="40% - Accent1 2 3 6" xfId="2316" xr:uid="{00000000-0005-0000-0000-0000FC030000}"/>
    <cellStyle name="40% - Accent1 2 3 6 2" xfId="6623" xr:uid="{00000000-0005-0000-0000-0000FD030000}"/>
    <cellStyle name="40% - Accent1 2 3 6 2 2" xfId="15062" xr:uid="{164EE31C-E05C-4FA2-BEE8-535CF6392932}"/>
    <cellStyle name="40% - Accent1 2 3 6 3" xfId="10844" xr:uid="{1278F745-1F4E-467F-96C0-3BBFB9B56EDE}"/>
    <cellStyle name="40% - Accent1 2 3 7" xfId="4557" xr:uid="{00000000-0005-0000-0000-0000FE030000}"/>
    <cellStyle name="40% - Accent1 2 3 7 2" xfId="12996" xr:uid="{0F958934-FCA8-4873-B19E-08D6B4676655}"/>
    <cellStyle name="40% - Accent1 2 3 8" xfId="8778" xr:uid="{802CCA46-8C16-4BAF-8871-F8F8630E8B81}"/>
    <cellStyle name="40% - Accent1 2 4" xfId="619" xr:uid="{00000000-0005-0000-0000-0000FF030000}"/>
    <cellStyle name="40% - Accent1 2 4 2" xfId="2890" xr:uid="{00000000-0005-0000-0000-000000040000}"/>
    <cellStyle name="40% - Accent1 2 4 2 2" xfId="7113" xr:uid="{00000000-0005-0000-0000-000001040000}"/>
    <cellStyle name="40% - Accent1 2 4 2 2 2" xfId="15552" xr:uid="{DDC455D6-801D-4BA2-B4F2-D98C003B6681}"/>
    <cellStyle name="40% - Accent1 2 4 2 3" xfId="11334" xr:uid="{70EA8964-02CB-4166-BB4B-1969D3F27E01}"/>
    <cellStyle name="40% - Accent1 2 4 3" xfId="4968" xr:uid="{00000000-0005-0000-0000-000002040000}"/>
    <cellStyle name="40% - Accent1 2 4 3 2" xfId="13407" xr:uid="{3ADBC335-B4E0-4857-8FE6-60E10173BEE9}"/>
    <cellStyle name="40% - Accent1 2 4 4" xfId="9189" xr:uid="{DCA53BD7-4CEC-44D0-86F5-F01F4A165992}"/>
    <cellStyle name="40% - Accent1 2 5" xfId="1072" xr:uid="{00000000-0005-0000-0000-000003040000}"/>
    <cellStyle name="40% - Accent1 2 5 2" xfId="3303" xr:uid="{00000000-0005-0000-0000-000004040000}"/>
    <cellStyle name="40% - Accent1 2 5 2 2" xfId="7526" xr:uid="{00000000-0005-0000-0000-000005040000}"/>
    <cellStyle name="40% - Accent1 2 5 2 2 2" xfId="15965" xr:uid="{0363D03E-A830-4176-9954-8354DA79ACFB}"/>
    <cellStyle name="40% - Accent1 2 5 2 3" xfId="11747" xr:uid="{7F5C7FB9-6E78-4D75-B36D-E71DD3FF9432}"/>
    <cellStyle name="40% - Accent1 2 5 3" xfId="5381" xr:uid="{00000000-0005-0000-0000-000006040000}"/>
    <cellStyle name="40% - Accent1 2 5 3 2" xfId="13820" xr:uid="{D848216F-A5AC-4CF8-B9AD-FA67F0C9F25D}"/>
    <cellStyle name="40% - Accent1 2 5 4" xfId="9602" xr:uid="{17B3D48F-FCBB-4806-A321-335F4AC9FF28}"/>
    <cellStyle name="40% - Accent1 2 6" xfId="1486" xr:uid="{00000000-0005-0000-0000-000007040000}"/>
    <cellStyle name="40% - Accent1 2 6 2" xfId="3716" xr:uid="{00000000-0005-0000-0000-000008040000}"/>
    <cellStyle name="40% - Accent1 2 6 2 2" xfId="7939" xr:uid="{00000000-0005-0000-0000-000009040000}"/>
    <cellStyle name="40% - Accent1 2 6 2 2 2" xfId="16378" xr:uid="{B4EAA31B-4BA4-44D2-A051-B139E9E9DB33}"/>
    <cellStyle name="40% - Accent1 2 6 2 3" xfId="12160" xr:uid="{9A3322B1-0226-413E-9F9A-7119C141D0C0}"/>
    <cellStyle name="40% - Accent1 2 6 3" xfId="5794" xr:uid="{00000000-0005-0000-0000-00000A040000}"/>
    <cellStyle name="40% - Accent1 2 6 3 2" xfId="14233" xr:uid="{F40240D7-13D4-45C1-9511-EC8805DAC763}"/>
    <cellStyle name="40% - Accent1 2 6 4" xfId="10015" xr:uid="{0AC69E09-7D59-49FB-8473-90A41E5C1356}"/>
    <cellStyle name="40% - Accent1 2 7" xfId="1900" xr:uid="{00000000-0005-0000-0000-00000B040000}"/>
    <cellStyle name="40% - Accent1 2 7 2" xfId="4129" xr:uid="{00000000-0005-0000-0000-00000C040000}"/>
    <cellStyle name="40% - Accent1 2 7 2 2" xfId="8352" xr:uid="{00000000-0005-0000-0000-00000D040000}"/>
    <cellStyle name="40% - Accent1 2 7 2 2 2" xfId="16791" xr:uid="{F00FDD09-D237-4DCC-AB6F-BBF641B7B97E}"/>
    <cellStyle name="40% - Accent1 2 7 2 3" xfId="12573" xr:uid="{390AC4F6-0DF0-403F-A560-A1D44E641ED3}"/>
    <cellStyle name="40% - Accent1 2 7 3" xfId="6207" xr:uid="{00000000-0005-0000-0000-00000E040000}"/>
    <cellStyle name="40% - Accent1 2 7 3 2" xfId="14646" xr:uid="{98452968-0C32-46C5-994E-56745C8AE566}"/>
    <cellStyle name="40% - Accent1 2 7 4" xfId="10428" xr:uid="{5EC0E164-B9AD-43F0-B473-18F8D888C5DD}"/>
    <cellStyle name="40% - Accent1 2 8" xfId="2313" xr:uid="{00000000-0005-0000-0000-00000F040000}"/>
    <cellStyle name="40% - Accent1 2 8 2" xfId="6620" xr:uid="{00000000-0005-0000-0000-000010040000}"/>
    <cellStyle name="40% - Accent1 2 8 2 2" xfId="15059" xr:uid="{C8E5B76E-AAD0-4310-94FB-52A9FB95A8FD}"/>
    <cellStyle name="40% - Accent1 2 8 3" xfId="10841" xr:uid="{76183D45-D902-441B-935D-DCCA7013D1ED}"/>
    <cellStyle name="40% - Accent1 2 9" xfId="4554" xr:uid="{00000000-0005-0000-0000-000011040000}"/>
    <cellStyle name="40% - Accent1 2 9 2" xfId="12993" xr:uid="{A0820B57-F3C2-40CC-AAA1-0AC7738C43CC}"/>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2 2 2" xfId="15557" xr:uid="{BD112DA4-14EE-4FEF-9515-38EF1EED157B}"/>
    <cellStyle name="40% - Accent1 3 2 2 2 3" xfId="11339" xr:uid="{AB8AEC4D-2478-4D50-A46D-EB4D2FF287ED}"/>
    <cellStyle name="40% - Accent1 3 2 2 3" xfId="4973" xr:uid="{00000000-0005-0000-0000-000017040000}"/>
    <cellStyle name="40% - Accent1 3 2 2 3 2" xfId="13412" xr:uid="{BFC96A72-0F76-4FED-A6BC-F15F012F6DF9}"/>
    <cellStyle name="40% - Accent1 3 2 2 4" xfId="9194" xr:uid="{952716B6-3573-49F9-9731-E2EFAEB7156D}"/>
    <cellStyle name="40% - Accent1 3 2 3" xfId="1077" xr:uid="{00000000-0005-0000-0000-000018040000}"/>
    <cellStyle name="40% - Accent1 3 2 3 2" xfId="3308" xr:uid="{00000000-0005-0000-0000-000019040000}"/>
    <cellStyle name="40% - Accent1 3 2 3 2 2" xfId="7531" xr:uid="{00000000-0005-0000-0000-00001A040000}"/>
    <cellStyle name="40% - Accent1 3 2 3 2 2 2" xfId="15970" xr:uid="{F06A50A9-31F0-4CB6-BFEA-FB9C502A2CBA}"/>
    <cellStyle name="40% - Accent1 3 2 3 2 3" xfId="11752" xr:uid="{DA05A395-8758-4CCC-A1CE-3E715C915A74}"/>
    <cellStyle name="40% - Accent1 3 2 3 3" xfId="5386" xr:uid="{00000000-0005-0000-0000-00001B040000}"/>
    <cellStyle name="40% - Accent1 3 2 3 3 2" xfId="13825" xr:uid="{C35FFB52-BF78-41DC-B762-517684A16F9A}"/>
    <cellStyle name="40% - Accent1 3 2 3 4" xfId="9607" xr:uid="{19005A5F-A84E-4772-890D-750FC92CC15D}"/>
    <cellStyle name="40% - Accent1 3 2 4" xfId="1491" xr:uid="{00000000-0005-0000-0000-00001C040000}"/>
    <cellStyle name="40% - Accent1 3 2 4 2" xfId="3721" xr:uid="{00000000-0005-0000-0000-00001D040000}"/>
    <cellStyle name="40% - Accent1 3 2 4 2 2" xfId="7944" xr:uid="{00000000-0005-0000-0000-00001E040000}"/>
    <cellStyle name="40% - Accent1 3 2 4 2 2 2" xfId="16383" xr:uid="{0220204B-0AAD-4BFD-81F9-24A952117C01}"/>
    <cellStyle name="40% - Accent1 3 2 4 2 3" xfId="12165" xr:uid="{6AAD827A-8781-4B6A-9AF4-4DE098C16EBB}"/>
    <cellStyle name="40% - Accent1 3 2 4 3" xfId="5799" xr:uid="{00000000-0005-0000-0000-00001F040000}"/>
    <cellStyle name="40% - Accent1 3 2 4 3 2" xfId="14238" xr:uid="{E944A921-F289-4956-92EA-EEF157AD2B83}"/>
    <cellStyle name="40% - Accent1 3 2 4 4" xfId="10020" xr:uid="{64963A27-431D-4BC4-A3A7-A61D9B50DD88}"/>
    <cellStyle name="40% - Accent1 3 2 5" xfId="1905" xr:uid="{00000000-0005-0000-0000-000020040000}"/>
    <cellStyle name="40% - Accent1 3 2 5 2" xfId="4134" xr:uid="{00000000-0005-0000-0000-000021040000}"/>
    <cellStyle name="40% - Accent1 3 2 5 2 2" xfId="8357" xr:uid="{00000000-0005-0000-0000-000022040000}"/>
    <cellStyle name="40% - Accent1 3 2 5 2 2 2" xfId="16796" xr:uid="{FFFC47D0-9447-41BD-A2BF-A6A91C0F4B2D}"/>
    <cellStyle name="40% - Accent1 3 2 5 2 3" xfId="12578" xr:uid="{45DCF3AD-DBD0-4BA4-9928-483274CDCF5B}"/>
    <cellStyle name="40% - Accent1 3 2 5 3" xfId="6212" xr:uid="{00000000-0005-0000-0000-000023040000}"/>
    <cellStyle name="40% - Accent1 3 2 5 3 2" xfId="14651" xr:uid="{CDD50CCB-B193-44E8-9B4E-FEE2B7ABB740}"/>
    <cellStyle name="40% - Accent1 3 2 5 4" xfId="10433" xr:uid="{AC4D0C19-0C10-4D88-90F8-447AA92763D7}"/>
    <cellStyle name="40% - Accent1 3 2 6" xfId="2318" xr:uid="{00000000-0005-0000-0000-000024040000}"/>
    <cellStyle name="40% - Accent1 3 2 6 2" xfId="6625" xr:uid="{00000000-0005-0000-0000-000025040000}"/>
    <cellStyle name="40% - Accent1 3 2 6 2 2" xfId="15064" xr:uid="{61211CD7-199C-4702-98B7-8688401563C2}"/>
    <cellStyle name="40% - Accent1 3 2 6 3" xfId="10846" xr:uid="{E8AAD4B1-6E30-42F0-BDE3-B12FE375DA51}"/>
    <cellStyle name="40% - Accent1 3 2 7" xfId="4559" xr:uid="{00000000-0005-0000-0000-000026040000}"/>
    <cellStyle name="40% - Accent1 3 2 7 2" xfId="12998" xr:uid="{8FCB695C-FA6F-44E9-9C9D-451D46E84194}"/>
    <cellStyle name="40% - Accent1 3 2 8" xfId="8780" xr:uid="{C0B304DF-6368-4BDA-B413-C6B9E03D34CC}"/>
    <cellStyle name="40% - Accent1 3 3" xfId="623" xr:uid="{00000000-0005-0000-0000-000027040000}"/>
    <cellStyle name="40% - Accent1 3 3 2" xfId="2894" xr:uid="{00000000-0005-0000-0000-000028040000}"/>
    <cellStyle name="40% - Accent1 3 3 2 2" xfId="7117" xr:uid="{00000000-0005-0000-0000-000029040000}"/>
    <cellStyle name="40% - Accent1 3 3 2 2 2" xfId="15556" xr:uid="{3D9AE301-1208-4214-9851-D151F455C2B8}"/>
    <cellStyle name="40% - Accent1 3 3 2 3" xfId="11338" xr:uid="{509FA0E1-93FC-4199-9C2A-95C0719127EE}"/>
    <cellStyle name="40% - Accent1 3 3 3" xfId="4972" xr:uid="{00000000-0005-0000-0000-00002A040000}"/>
    <cellStyle name="40% - Accent1 3 3 3 2" xfId="13411" xr:uid="{86FAB9A2-64BC-40C5-8001-7124AAD1EF69}"/>
    <cellStyle name="40% - Accent1 3 3 4" xfId="9193" xr:uid="{2AC8B9E5-B943-4ABB-9E49-ADC6BAD2DE01}"/>
    <cellStyle name="40% - Accent1 3 4" xfId="1076" xr:uid="{00000000-0005-0000-0000-00002B040000}"/>
    <cellStyle name="40% - Accent1 3 4 2" xfId="3307" xr:uid="{00000000-0005-0000-0000-00002C040000}"/>
    <cellStyle name="40% - Accent1 3 4 2 2" xfId="7530" xr:uid="{00000000-0005-0000-0000-00002D040000}"/>
    <cellStyle name="40% - Accent1 3 4 2 2 2" xfId="15969" xr:uid="{8866D1F1-F440-44E9-A567-FE65DB4E88A5}"/>
    <cellStyle name="40% - Accent1 3 4 2 3" xfId="11751" xr:uid="{99EEDEA2-F688-460C-99A1-DEC7CBBD1582}"/>
    <cellStyle name="40% - Accent1 3 4 3" xfId="5385" xr:uid="{00000000-0005-0000-0000-00002E040000}"/>
    <cellStyle name="40% - Accent1 3 4 3 2" xfId="13824" xr:uid="{B97D5F91-BD33-4592-BD71-FE19DE7F8675}"/>
    <cellStyle name="40% - Accent1 3 4 4" xfId="9606" xr:uid="{0492F46F-4FBD-4445-B830-B4FAFB9FAE42}"/>
    <cellStyle name="40% - Accent1 3 5" xfId="1490" xr:uid="{00000000-0005-0000-0000-00002F040000}"/>
    <cellStyle name="40% - Accent1 3 5 2" xfId="3720" xr:uid="{00000000-0005-0000-0000-000030040000}"/>
    <cellStyle name="40% - Accent1 3 5 2 2" xfId="7943" xr:uid="{00000000-0005-0000-0000-000031040000}"/>
    <cellStyle name="40% - Accent1 3 5 2 2 2" xfId="16382" xr:uid="{2D5BA5BE-8C89-4C7C-90EB-B45F317DBCB5}"/>
    <cellStyle name="40% - Accent1 3 5 2 3" xfId="12164" xr:uid="{C0D3EAE5-FD84-4CE7-AF92-4DDF9D7E0C3B}"/>
    <cellStyle name="40% - Accent1 3 5 3" xfId="5798" xr:uid="{00000000-0005-0000-0000-000032040000}"/>
    <cellStyle name="40% - Accent1 3 5 3 2" xfId="14237" xr:uid="{3D41D485-B2EE-4B3C-B2EE-82CB5B9D056A}"/>
    <cellStyle name="40% - Accent1 3 5 4" xfId="10019" xr:uid="{08EC4B03-1C3A-4FC7-ACA3-3629DF8DECB3}"/>
    <cellStyle name="40% - Accent1 3 6" xfId="1904" xr:uid="{00000000-0005-0000-0000-000033040000}"/>
    <cellStyle name="40% - Accent1 3 6 2" xfId="4133" xr:uid="{00000000-0005-0000-0000-000034040000}"/>
    <cellStyle name="40% - Accent1 3 6 2 2" xfId="8356" xr:uid="{00000000-0005-0000-0000-000035040000}"/>
    <cellStyle name="40% - Accent1 3 6 2 2 2" xfId="16795" xr:uid="{852C7329-18D2-444B-A89F-884279F31EEF}"/>
    <cellStyle name="40% - Accent1 3 6 2 3" xfId="12577" xr:uid="{03FEC95A-0878-4443-9D43-81E1CBE14FF2}"/>
    <cellStyle name="40% - Accent1 3 6 3" xfId="6211" xr:uid="{00000000-0005-0000-0000-000036040000}"/>
    <cellStyle name="40% - Accent1 3 6 3 2" xfId="14650" xr:uid="{82301B57-87BA-404E-8DBC-C3BC71C0BC14}"/>
    <cellStyle name="40% - Accent1 3 6 4" xfId="10432" xr:uid="{D6B65C15-3336-4022-9B7F-287913AA5447}"/>
    <cellStyle name="40% - Accent1 3 7" xfId="2317" xr:uid="{00000000-0005-0000-0000-000037040000}"/>
    <cellStyle name="40% - Accent1 3 7 2" xfId="6624" xr:uid="{00000000-0005-0000-0000-000038040000}"/>
    <cellStyle name="40% - Accent1 3 7 2 2" xfId="15063" xr:uid="{F85C67C5-F96A-44DD-9297-DE96381F4AAE}"/>
    <cellStyle name="40% - Accent1 3 7 3" xfId="10845" xr:uid="{298843DF-70F7-4D7F-8C0A-DBD33B76AF3A}"/>
    <cellStyle name="40% - Accent1 3 8" xfId="4558" xr:uid="{00000000-0005-0000-0000-000039040000}"/>
    <cellStyle name="40% - Accent1 3 8 2" xfId="12997" xr:uid="{EF21657F-B991-4344-993D-A0C14EC9DCB4}"/>
    <cellStyle name="40% - Accent1 3 9" xfId="8779" xr:uid="{D387384D-344E-42C6-80FE-5035EC9E31F8}"/>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2 2 2" xfId="15558" xr:uid="{53678CD7-8F99-444C-8B6F-1E3821181CDA}"/>
    <cellStyle name="40% - Accent1 4 2 2 3" xfId="11340" xr:uid="{CA011939-6481-43D5-8CE7-DEDE2E5D6C30}"/>
    <cellStyle name="40% - Accent1 4 2 3" xfId="4974" xr:uid="{00000000-0005-0000-0000-00003E040000}"/>
    <cellStyle name="40% - Accent1 4 2 3 2" xfId="13413" xr:uid="{CEC1FF5A-7243-4393-BF91-F9B76B8BFC05}"/>
    <cellStyle name="40% - Accent1 4 2 4" xfId="9195" xr:uid="{4089939A-6F7A-42F1-B88C-5717D9B5F233}"/>
    <cellStyle name="40% - Accent1 4 3" xfId="1078" xr:uid="{00000000-0005-0000-0000-00003F040000}"/>
    <cellStyle name="40% - Accent1 4 3 2" xfId="3309" xr:uid="{00000000-0005-0000-0000-000040040000}"/>
    <cellStyle name="40% - Accent1 4 3 2 2" xfId="7532" xr:uid="{00000000-0005-0000-0000-000041040000}"/>
    <cellStyle name="40% - Accent1 4 3 2 2 2" xfId="15971" xr:uid="{F437B07C-235B-465F-BB20-F588BEAD7EC4}"/>
    <cellStyle name="40% - Accent1 4 3 2 3" xfId="11753" xr:uid="{4776196A-6C24-44BC-8BEF-8A10030FD6DA}"/>
    <cellStyle name="40% - Accent1 4 3 3" xfId="5387" xr:uid="{00000000-0005-0000-0000-000042040000}"/>
    <cellStyle name="40% - Accent1 4 3 3 2" xfId="13826" xr:uid="{9A428EDE-86E9-4DAE-8BE4-58B4FDAF5C7A}"/>
    <cellStyle name="40% - Accent1 4 3 4" xfId="9608" xr:uid="{9D19161E-57F5-46F2-9832-13369A564AF1}"/>
    <cellStyle name="40% - Accent1 4 4" xfId="1492" xr:uid="{00000000-0005-0000-0000-000043040000}"/>
    <cellStyle name="40% - Accent1 4 4 2" xfId="3722" xr:uid="{00000000-0005-0000-0000-000044040000}"/>
    <cellStyle name="40% - Accent1 4 4 2 2" xfId="7945" xr:uid="{00000000-0005-0000-0000-000045040000}"/>
    <cellStyle name="40% - Accent1 4 4 2 2 2" xfId="16384" xr:uid="{1B21F71E-4E99-4A6C-AB06-C9FAAB817979}"/>
    <cellStyle name="40% - Accent1 4 4 2 3" xfId="12166" xr:uid="{F5DD81B1-0E03-4793-B247-17F011FDB3B8}"/>
    <cellStyle name="40% - Accent1 4 4 3" xfId="5800" xr:uid="{00000000-0005-0000-0000-000046040000}"/>
    <cellStyle name="40% - Accent1 4 4 3 2" xfId="14239" xr:uid="{379B5E7C-163D-4271-B303-07FE83ACABFB}"/>
    <cellStyle name="40% - Accent1 4 4 4" xfId="10021" xr:uid="{43EB8CFA-6C98-42C3-8BD4-5784F5A006C9}"/>
    <cellStyle name="40% - Accent1 4 5" xfId="1906" xr:uid="{00000000-0005-0000-0000-000047040000}"/>
    <cellStyle name="40% - Accent1 4 5 2" xfId="4135" xr:uid="{00000000-0005-0000-0000-000048040000}"/>
    <cellStyle name="40% - Accent1 4 5 2 2" xfId="8358" xr:uid="{00000000-0005-0000-0000-000049040000}"/>
    <cellStyle name="40% - Accent1 4 5 2 2 2" xfId="16797" xr:uid="{1CB342D4-D352-470E-9B6A-C7335713CCE9}"/>
    <cellStyle name="40% - Accent1 4 5 2 3" xfId="12579" xr:uid="{E798B307-2EFE-413A-9235-205C170AE764}"/>
    <cellStyle name="40% - Accent1 4 5 3" xfId="6213" xr:uid="{00000000-0005-0000-0000-00004A040000}"/>
    <cellStyle name="40% - Accent1 4 5 3 2" xfId="14652" xr:uid="{8261410E-A8AF-4EE7-AC3E-2797AB66197A}"/>
    <cellStyle name="40% - Accent1 4 5 4" xfId="10434" xr:uid="{D98C1BFF-6AFE-4C71-9693-0D7C1A766410}"/>
    <cellStyle name="40% - Accent1 4 6" xfId="2319" xr:uid="{00000000-0005-0000-0000-00004B040000}"/>
    <cellStyle name="40% - Accent1 4 6 2" xfId="6626" xr:uid="{00000000-0005-0000-0000-00004C040000}"/>
    <cellStyle name="40% - Accent1 4 6 2 2" xfId="15065" xr:uid="{341027A6-3CEB-44D4-ADA1-69122F109C65}"/>
    <cellStyle name="40% - Accent1 4 6 3" xfId="10847" xr:uid="{E6E52BE7-C50F-46CD-AF04-A5AE221A1A4E}"/>
    <cellStyle name="40% - Accent1 4 7" xfId="4560" xr:uid="{00000000-0005-0000-0000-00004D040000}"/>
    <cellStyle name="40% - Accent1 4 7 2" xfId="12999" xr:uid="{D9FED2FA-08A2-4F18-A6CD-C5F05FB902F2}"/>
    <cellStyle name="40% - Accent1 4 8" xfId="8781" xr:uid="{DE5CCD34-4D5F-4B92-8C66-180143E6BC3D}"/>
    <cellStyle name="40% - Accent1 5" xfId="618" xr:uid="{00000000-0005-0000-0000-00004E040000}"/>
    <cellStyle name="40% - Accent1 5 2" xfId="2889" xr:uid="{00000000-0005-0000-0000-00004F040000}"/>
    <cellStyle name="40% - Accent1 5 2 2" xfId="7112" xr:uid="{00000000-0005-0000-0000-000050040000}"/>
    <cellStyle name="40% - Accent1 5 2 2 2" xfId="15551" xr:uid="{B61FA104-DA53-4336-89EC-1C0AE6F89BB9}"/>
    <cellStyle name="40% - Accent1 5 2 3" xfId="11333" xr:uid="{11323AD4-3781-42F3-A0DC-FB4585EDBE3D}"/>
    <cellStyle name="40% - Accent1 5 3" xfId="4967" xr:uid="{00000000-0005-0000-0000-000051040000}"/>
    <cellStyle name="40% - Accent1 5 3 2" xfId="13406" xr:uid="{BD8E859D-6502-46BE-A4F3-44A2A73282D2}"/>
    <cellStyle name="40% - Accent1 5 4" xfId="9188" xr:uid="{F875FC46-EE36-4BD2-B9C5-9A9203C195D9}"/>
    <cellStyle name="40% - Accent1 6" xfId="1071" xr:uid="{00000000-0005-0000-0000-000052040000}"/>
    <cellStyle name="40% - Accent1 6 2" xfId="3302" xr:uid="{00000000-0005-0000-0000-000053040000}"/>
    <cellStyle name="40% - Accent1 6 2 2" xfId="7525" xr:uid="{00000000-0005-0000-0000-000054040000}"/>
    <cellStyle name="40% - Accent1 6 2 2 2" xfId="15964" xr:uid="{15B9566D-3924-4E78-BF68-3AAFAB2B1910}"/>
    <cellStyle name="40% - Accent1 6 2 3" xfId="11746" xr:uid="{1792C0C5-6558-46BA-AA58-C5E97BD5494B}"/>
    <cellStyle name="40% - Accent1 6 3" xfId="5380" xr:uid="{00000000-0005-0000-0000-000055040000}"/>
    <cellStyle name="40% - Accent1 6 3 2" xfId="13819" xr:uid="{730B2372-46DD-4E84-89A8-55761AE37A17}"/>
    <cellStyle name="40% - Accent1 6 4" xfId="9601" xr:uid="{808CAB18-12FD-472E-9FAA-E38A80E5507E}"/>
    <cellStyle name="40% - Accent1 7" xfId="1485" xr:uid="{00000000-0005-0000-0000-000056040000}"/>
    <cellStyle name="40% - Accent1 7 2" xfId="3715" xr:uid="{00000000-0005-0000-0000-000057040000}"/>
    <cellStyle name="40% - Accent1 7 2 2" xfId="7938" xr:uid="{00000000-0005-0000-0000-000058040000}"/>
    <cellStyle name="40% - Accent1 7 2 2 2" xfId="16377" xr:uid="{9CA1D9B2-22DE-4F4F-8F54-D2D506C14355}"/>
    <cellStyle name="40% - Accent1 7 2 3" xfId="12159" xr:uid="{4F41BF1A-56B8-4099-819E-85FF30E93104}"/>
    <cellStyle name="40% - Accent1 7 3" xfId="5793" xr:uid="{00000000-0005-0000-0000-000059040000}"/>
    <cellStyle name="40% - Accent1 7 3 2" xfId="14232" xr:uid="{98BA4190-7B2E-484B-932E-D92A14C3CF6C}"/>
    <cellStyle name="40% - Accent1 7 4" xfId="10014" xr:uid="{2D61F0E6-0BE0-4267-92CB-6AE157020299}"/>
    <cellStyle name="40% - Accent1 8" xfId="1899" xr:uid="{00000000-0005-0000-0000-00005A040000}"/>
    <cellStyle name="40% - Accent1 8 2" xfId="4128" xr:uid="{00000000-0005-0000-0000-00005B040000}"/>
    <cellStyle name="40% - Accent1 8 2 2" xfId="8351" xr:uid="{00000000-0005-0000-0000-00005C040000}"/>
    <cellStyle name="40% - Accent1 8 2 2 2" xfId="16790" xr:uid="{622BE23C-4CBD-41EE-ACD6-DBBBF1F6D172}"/>
    <cellStyle name="40% - Accent1 8 2 3" xfId="12572" xr:uid="{14805CDD-4B30-446F-9298-09A4A0748918}"/>
    <cellStyle name="40% - Accent1 8 3" xfId="6206" xr:uid="{00000000-0005-0000-0000-00005D040000}"/>
    <cellStyle name="40% - Accent1 8 3 2" xfId="14645" xr:uid="{E143676D-1048-4A33-820B-E796EB0398E2}"/>
    <cellStyle name="40% - Accent1 8 4" xfId="10427" xr:uid="{2E3AB981-FAD8-46B4-80E9-845CA318A0E3}"/>
    <cellStyle name="40% - Accent1 9" xfId="2312" xr:uid="{00000000-0005-0000-0000-00005E040000}"/>
    <cellStyle name="40% - Accent1 9 2" xfId="6619" xr:uid="{00000000-0005-0000-0000-00005F040000}"/>
    <cellStyle name="40% - Accent1 9 2 2" xfId="15058" xr:uid="{490A947D-BAEB-4000-8D8B-313D2DCABB3B}"/>
    <cellStyle name="40% - Accent1 9 3" xfId="10840" xr:uid="{DFC05C6A-7A1A-4447-A28F-06C0087A13D9}"/>
    <cellStyle name="40% - Accent2" xfId="57" builtinId="35" customBuiltin="1"/>
    <cellStyle name="40% - Accent2 10" xfId="4561" xr:uid="{00000000-0005-0000-0000-000061040000}"/>
    <cellStyle name="40% - Accent2 10 2" xfId="13000" xr:uid="{8B4B27AA-FE21-4F49-9035-F888324D2840}"/>
    <cellStyle name="40% - Accent2 11" xfId="8782" xr:uid="{F9026AAF-5032-45A8-98B0-7FFCE222C89A}"/>
    <cellStyle name="40% - Accent2 2" xfId="58" xr:uid="{00000000-0005-0000-0000-000062040000}"/>
    <cellStyle name="40% - Accent2 2 10" xfId="8783" xr:uid="{E71D9605-B820-4254-9A48-E4306A23D747}"/>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2 2 2" xfId="15562" xr:uid="{3B3ACDC5-EE50-4C81-AF7B-3E26BB8B33AE}"/>
    <cellStyle name="40% - Accent2 2 2 2 2 2 3" xfId="11344" xr:uid="{2A3C0A6B-7475-47E7-87B7-DAE1845D2D14}"/>
    <cellStyle name="40% - Accent2 2 2 2 2 3" xfId="4978" xr:uid="{00000000-0005-0000-0000-000068040000}"/>
    <cellStyle name="40% - Accent2 2 2 2 2 3 2" xfId="13417" xr:uid="{BEB879A1-7CA9-49BB-B637-8102D58A7952}"/>
    <cellStyle name="40% - Accent2 2 2 2 2 4" xfId="9199" xr:uid="{EC3C9750-60D3-48AC-A2FC-8BDFBBD13EC1}"/>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2 2 2" xfId="15975" xr:uid="{326DCAC9-3952-46B2-9928-FE119FCD3F2C}"/>
    <cellStyle name="40% - Accent2 2 2 2 3 2 3" xfId="11757" xr:uid="{BBCA9C2D-AAB0-4F47-B013-D65F06646AE8}"/>
    <cellStyle name="40% - Accent2 2 2 2 3 3" xfId="5391" xr:uid="{00000000-0005-0000-0000-00006C040000}"/>
    <cellStyle name="40% - Accent2 2 2 2 3 3 2" xfId="13830" xr:uid="{72992E83-585A-4639-8EF7-59BF7217DDFB}"/>
    <cellStyle name="40% - Accent2 2 2 2 3 4" xfId="9612" xr:uid="{0B92A3BF-0D29-467B-A9CD-14AB5FF01203}"/>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2 2 2" xfId="16388" xr:uid="{E50BEC27-4807-405B-B0FA-1718AC442F7A}"/>
    <cellStyle name="40% - Accent2 2 2 2 4 2 3" xfId="12170" xr:uid="{1087855E-B73E-43B5-A96C-99EA83F2C99D}"/>
    <cellStyle name="40% - Accent2 2 2 2 4 3" xfId="5804" xr:uid="{00000000-0005-0000-0000-000070040000}"/>
    <cellStyle name="40% - Accent2 2 2 2 4 3 2" xfId="14243" xr:uid="{06D4EF3B-8D07-4D37-B698-130462460F1E}"/>
    <cellStyle name="40% - Accent2 2 2 2 4 4" xfId="10025" xr:uid="{0295816E-FC25-4D89-BDB2-5CB01A859FC9}"/>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2 2 2" xfId="16801" xr:uid="{84266436-3BDB-498B-AB70-3A8F2381E51E}"/>
    <cellStyle name="40% - Accent2 2 2 2 5 2 3" xfId="12583" xr:uid="{9697E409-C2D3-4758-8EDD-D4BD2BB651EE}"/>
    <cellStyle name="40% - Accent2 2 2 2 5 3" xfId="6217" xr:uid="{00000000-0005-0000-0000-000074040000}"/>
    <cellStyle name="40% - Accent2 2 2 2 5 3 2" xfId="14656" xr:uid="{78F10A99-C02F-4A94-A490-BD101A9587AA}"/>
    <cellStyle name="40% - Accent2 2 2 2 5 4" xfId="10438" xr:uid="{5D77C193-1181-4315-83F8-33319D73661F}"/>
    <cellStyle name="40% - Accent2 2 2 2 6" xfId="2323" xr:uid="{00000000-0005-0000-0000-000075040000}"/>
    <cellStyle name="40% - Accent2 2 2 2 6 2" xfId="6630" xr:uid="{00000000-0005-0000-0000-000076040000}"/>
    <cellStyle name="40% - Accent2 2 2 2 6 2 2" xfId="15069" xr:uid="{2247A707-950F-4EBB-B0E6-6DAC6A734342}"/>
    <cellStyle name="40% - Accent2 2 2 2 6 3" xfId="10851" xr:uid="{433F2000-3BB0-4854-82FB-29C3B190FEF2}"/>
    <cellStyle name="40% - Accent2 2 2 2 7" xfId="4564" xr:uid="{00000000-0005-0000-0000-000077040000}"/>
    <cellStyle name="40% - Accent2 2 2 2 7 2" xfId="13003" xr:uid="{5F9ACC4C-4037-4AB9-81BB-DB208BDA41A2}"/>
    <cellStyle name="40% - Accent2 2 2 2 8" xfId="8785" xr:uid="{2C4B0558-6047-4012-BC38-B513B0F9B19A}"/>
    <cellStyle name="40% - Accent2 2 2 3" xfId="628" xr:uid="{00000000-0005-0000-0000-000078040000}"/>
    <cellStyle name="40% - Accent2 2 2 3 2" xfId="2899" xr:uid="{00000000-0005-0000-0000-000079040000}"/>
    <cellStyle name="40% - Accent2 2 2 3 2 2" xfId="7122" xr:uid="{00000000-0005-0000-0000-00007A040000}"/>
    <cellStyle name="40% - Accent2 2 2 3 2 2 2" xfId="15561" xr:uid="{6714D023-CC4D-4C25-B84D-4928FD2C6CC7}"/>
    <cellStyle name="40% - Accent2 2 2 3 2 3" xfId="11343" xr:uid="{BBB50C43-9B4B-4D5A-940A-5784B5B01886}"/>
    <cellStyle name="40% - Accent2 2 2 3 3" xfId="4977" xr:uid="{00000000-0005-0000-0000-00007B040000}"/>
    <cellStyle name="40% - Accent2 2 2 3 3 2" xfId="13416" xr:uid="{0588044B-5284-40F1-B033-9323047601C6}"/>
    <cellStyle name="40% - Accent2 2 2 3 4" xfId="9198" xr:uid="{24B1E8CF-0218-48C2-95B4-92D431365EA3}"/>
    <cellStyle name="40% - Accent2 2 2 4" xfId="1081" xr:uid="{00000000-0005-0000-0000-00007C040000}"/>
    <cellStyle name="40% - Accent2 2 2 4 2" xfId="3312" xr:uid="{00000000-0005-0000-0000-00007D040000}"/>
    <cellStyle name="40% - Accent2 2 2 4 2 2" xfId="7535" xr:uid="{00000000-0005-0000-0000-00007E040000}"/>
    <cellStyle name="40% - Accent2 2 2 4 2 2 2" xfId="15974" xr:uid="{6CE81C6B-C967-4119-A670-625D5CC028CD}"/>
    <cellStyle name="40% - Accent2 2 2 4 2 3" xfId="11756" xr:uid="{D6EBB601-3F5D-41EB-A88F-834E55A0D870}"/>
    <cellStyle name="40% - Accent2 2 2 4 3" xfId="5390" xr:uid="{00000000-0005-0000-0000-00007F040000}"/>
    <cellStyle name="40% - Accent2 2 2 4 3 2" xfId="13829" xr:uid="{9B6F5A39-24E0-4FB4-BF7E-8BA8DB8C1DBF}"/>
    <cellStyle name="40% - Accent2 2 2 4 4" xfId="9611" xr:uid="{C521B8A1-6548-42BC-ADFF-6F9FF6D60A0D}"/>
    <cellStyle name="40% - Accent2 2 2 5" xfId="1495" xr:uid="{00000000-0005-0000-0000-000080040000}"/>
    <cellStyle name="40% - Accent2 2 2 5 2" xfId="3725" xr:uid="{00000000-0005-0000-0000-000081040000}"/>
    <cellStyle name="40% - Accent2 2 2 5 2 2" xfId="7948" xr:uid="{00000000-0005-0000-0000-000082040000}"/>
    <cellStyle name="40% - Accent2 2 2 5 2 2 2" xfId="16387" xr:uid="{A92FFEE1-692E-43AE-9A04-D75E40A51D6C}"/>
    <cellStyle name="40% - Accent2 2 2 5 2 3" xfId="12169" xr:uid="{E1046581-1451-435B-9FB6-EED00BF55466}"/>
    <cellStyle name="40% - Accent2 2 2 5 3" xfId="5803" xr:uid="{00000000-0005-0000-0000-000083040000}"/>
    <cellStyle name="40% - Accent2 2 2 5 3 2" xfId="14242" xr:uid="{3B0BAE57-6702-42C5-8385-C33A33B709B4}"/>
    <cellStyle name="40% - Accent2 2 2 5 4" xfId="10024" xr:uid="{1B139BFD-B5B9-4F50-BB1B-A1DB927380D2}"/>
    <cellStyle name="40% - Accent2 2 2 6" xfId="1909" xr:uid="{00000000-0005-0000-0000-000084040000}"/>
    <cellStyle name="40% - Accent2 2 2 6 2" xfId="4138" xr:uid="{00000000-0005-0000-0000-000085040000}"/>
    <cellStyle name="40% - Accent2 2 2 6 2 2" xfId="8361" xr:uid="{00000000-0005-0000-0000-000086040000}"/>
    <cellStyle name="40% - Accent2 2 2 6 2 2 2" xfId="16800" xr:uid="{2796BA45-344A-48A1-8AA4-D9ACF5D071FF}"/>
    <cellStyle name="40% - Accent2 2 2 6 2 3" xfId="12582" xr:uid="{DDA365A1-8CA3-4F8E-86E7-2EDBD775BE98}"/>
    <cellStyle name="40% - Accent2 2 2 6 3" xfId="6216" xr:uid="{00000000-0005-0000-0000-000087040000}"/>
    <cellStyle name="40% - Accent2 2 2 6 3 2" xfId="14655" xr:uid="{D406AEDA-8DE5-4E9C-AC66-BF87553220B2}"/>
    <cellStyle name="40% - Accent2 2 2 6 4" xfId="10437" xr:uid="{E48C6003-627D-470B-9CA5-FDD37F766128}"/>
    <cellStyle name="40% - Accent2 2 2 7" xfId="2322" xr:uid="{00000000-0005-0000-0000-000088040000}"/>
    <cellStyle name="40% - Accent2 2 2 7 2" xfId="6629" xr:uid="{00000000-0005-0000-0000-000089040000}"/>
    <cellStyle name="40% - Accent2 2 2 7 2 2" xfId="15068" xr:uid="{61FC8A25-208B-413A-81B7-A1784922720E}"/>
    <cellStyle name="40% - Accent2 2 2 7 3" xfId="10850" xr:uid="{B540F1D1-5193-4D69-BBD2-747DD40C7180}"/>
    <cellStyle name="40% - Accent2 2 2 8" xfId="4563" xr:uid="{00000000-0005-0000-0000-00008A040000}"/>
    <cellStyle name="40% - Accent2 2 2 8 2" xfId="13002" xr:uid="{D5A962C7-37FF-4AC0-BE26-6757478E861D}"/>
    <cellStyle name="40% - Accent2 2 2 9" xfId="8784" xr:uid="{9F9F3045-7733-491E-BD7E-95A0965212CA}"/>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2 2 2" xfId="15563" xr:uid="{CBEA5D1E-CD4B-4C98-9F5C-B45FF1258A1F}"/>
    <cellStyle name="40% - Accent2 2 3 2 2 3" xfId="11345" xr:uid="{3B3CEBB6-04E8-48FA-96F2-0B186EF86157}"/>
    <cellStyle name="40% - Accent2 2 3 2 3" xfId="4979" xr:uid="{00000000-0005-0000-0000-00008F040000}"/>
    <cellStyle name="40% - Accent2 2 3 2 3 2" xfId="13418" xr:uid="{E196C285-51D0-4976-9CFA-DBB5B93FAEF9}"/>
    <cellStyle name="40% - Accent2 2 3 2 4" xfId="9200" xr:uid="{16131A38-8E0A-4F1A-B99F-2B35C7695A8D}"/>
    <cellStyle name="40% - Accent2 2 3 3" xfId="1083" xr:uid="{00000000-0005-0000-0000-000090040000}"/>
    <cellStyle name="40% - Accent2 2 3 3 2" xfId="3314" xr:uid="{00000000-0005-0000-0000-000091040000}"/>
    <cellStyle name="40% - Accent2 2 3 3 2 2" xfId="7537" xr:uid="{00000000-0005-0000-0000-000092040000}"/>
    <cellStyle name="40% - Accent2 2 3 3 2 2 2" xfId="15976" xr:uid="{F7BA66A5-BDE4-4D1A-9297-395FA0FBD529}"/>
    <cellStyle name="40% - Accent2 2 3 3 2 3" xfId="11758" xr:uid="{DCF7CA84-976F-4A82-8C40-958EAD5FC2FD}"/>
    <cellStyle name="40% - Accent2 2 3 3 3" xfId="5392" xr:uid="{00000000-0005-0000-0000-000093040000}"/>
    <cellStyle name="40% - Accent2 2 3 3 3 2" xfId="13831" xr:uid="{46402077-E6A8-470E-A287-DAE44FFBDC20}"/>
    <cellStyle name="40% - Accent2 2 3 3 4" xfId="9613" xr:uid="{8992FE71-BB53-40DC-BB88-5FF784964651}"/>
    <cellStyle name="40% - Accent2 2 3 4" xfId="1497" xr:uid="{00000000-0005-0000-0000-000094040000}"/>
    <cellStyle name="40% - Accent2 2 3 4 2" xfId="3727" xr:uid="{00000000-0005-0000-0000-000095040000}"/>
    <cellStyle name="40% - Accent2 2 3 4 2 2" xfId="7950" xr:uid="{00000000-0005-0000-0000-000096040000}"/>
    <cellStyle name="40% - Accent2 2 3 4 2 2 2" xfId="16389" xr:uid="{FCA26725-325A-4EA3-80FD-1F68413E60E1}"/>
    <cellStyle name="40% - Accent2 2 3 4 2 3" xfId="12171" xr:uid="{C730FF1F-8A4A-47C5-A82F-43B594C17F76}"/>
    <cellStyle name="40% - Accent2 2 3 4 3" xfId="5805" xr:uid="{00000000-0005-0000-0000-000097040000}"/>
    <cellStyle name="40% - Accent2 2 3 4 3 2" xfId="14244" xr:uid="{2D4D32C2-D5F3-4C95-821B-2D36513D41A8}"/>
    <cellStyle name="40% - Accent2 2 3 4 4" xfId="10026" xr:uid="{6866EAFA-720A-4874-8E9B-6666873C1E4C}"/>
    <cellStyle name="40% - Accent2 2 3 5" xfId="1911" xr:uid="{00000000-0005-0000-0000-000098040000}"/>
    <cellStyle name="40% - Accent2 2 3 5 2" xfId="4140" xr:uid="{00000000-0005-0000-0000-000099040000}"/>
    <cellStyle name="40% - Accent2 2 3 5 2 2" xfId="8363" xr:uid="{00000000-0005-0000-0000-00009A040000}"/>
    <cellStyle name="40% - Accent2 2 3 5 2 2 2" xfId="16802" xr:uid="{FB9E00DF-714E-4EFC-B69A-7F5AACB709CF}"/>
    <cellStyle name="40% - Accent2 2 3 5 2 3" xfId="12584" xr:uid="{DC5A01B6-9455-4961-94C1-FF355AECDF1D}"/>
    <cellStyle name="40% - Accent2 2 3 5 3" xfId="6218" xr:uid="{00000000-0005-0000-0000-00009B040000}"/>
    <cellStyle name="40% - Accent2 2 3 5 3 2" xfId="14657" xr:uid="{FDC96DD8-D61A-4FFF-963E-58CDB7E4FFE0}"/>
    <cellStyle name="40% - Accent2 2 3 5 4" xfId="10439" xr:uid="{2887C819-214E-4C4F-8E9E-D097097CCCCE}"/>
    <cellStyle name="40% - Accent2 2 3 6" xfId="2324" xr:uid="{00000000-0005-0000-0000-00009C040000}"/>
    <cellStyle name="40% - Accent2 2 3 6 2" xfId="6631" xr:uid="{00000000-0005-0000-0000-00009D040000}"/>
    <cellStyle name="40% - Accent2 2 3 6 2 2" xfId="15070" xr:uid="{D2A98131-266A-4751-B69C-6D9704FFBB07}"/>
    <cellStyle name="40% - Accent2 2 3 6 3" xfId="10852" xr:uid="{9E2F08D3-D501-4A84-B1C4-7835B4066E5B}"/>
    <cellStyle name="40% - Accent2 2 3 7" xfId="4565" xr:uid="{00000000-0005-0000-0000-00009E040000}"/>
    <cellStyle name="40% - Accent2 2 3 7 2" xfId="13004" xr:uid="{703D7301-5287-4FB3-8F7C-C7A20E98E200}"/>
    <cellStyle name="40% - Accent2 2 3 8" xfId="8786" xr:uid="{8DD38181-1A1C-455B-BBFE-1E2E166AD645}"/>
    <cellStyle name="40% - Accent2 2 4" xfId="627" xr:uid="{00000000-0005-0000-0000-00009F040000}"/>
    <cellStyle name="40% - Accent2 2 4 2" xfId="2898" xr:uid="{00000000-0005-0000-0000-0000A0040000}"/>
    <cellStyle name="40% - Accent2 2 4 2 2" xfId="7121" xr:uid="{00000000-0005-0000-0000-0000A1040000}"/>
    <cellStyle name="40% - Accent2 2 4 2 2 2" xfId="15560" xr:uid="{159BF1A0-7339-4EA6-B340-1F7B75A05D98}"/>
    <cellStyle name="40% - Accent2 2 4 2 3" xfId="11342" xr:uid="{6E6888AD-5B28-4C47-856C-455D8F936D14}"/>
    <cellStyle name="40% - Accent2 2 4 3" xfId="4976" xr:uid="{00000000-0005-0000-0000-0000A2040000}"/>
    <cellStyle name="40% - Accent2 2 4 3 2" xfId="13415" xr:uid="{AC09E273-6E4C-4555-A83B-39506040BFF2}"/>
    <cellStyle name="40% - Accent2 2 4 4" xfId="9197" xr:uid="{839A23DA-08BB-4053-B290-1CA64FA73D53}"/>
    <cellStyle name="40% - Accent2 2 5" xfId="1080" xr:uid="{00000000-0005-0000-0000-0000A3040000}"/>
    <cellStyle name="40% - Accent2 2 5 2" xfId="3311" xr:uid="{00000000-0005-0000-0000-0000A4040000}"/>
    <cellStyle name="40% - Accent2 2 5 2 2" xfId="7534" xr:uid="{00000000-0005-0000-0000-0000A5040000}"/>
    <cellStyle name="40% - Accent2 2 5 2 2 2" xfId="15973" xr:uid="{D6AB776C-2403-4A73-A4FA-A98F9E4A2468}"/>
    <cellStyle name="40% - Accent2 2 5 2 3" xfId="11755" xr:uid="{8FFA429C-CCB3-4F34-B903-DE23F58C638B}"/>
    <cellStyle name="40% - Accent2 2 5 3" xfId="5389" xr:uid="{00000000-0005-0000-0000-0000A6040000}"/>
    <cellStyle name="40% - Accent2 2 5 3 2" xfId="13828" xr:uid="{10034287-114F-4BB1-A7A7-7ABD83E19E86}"/>
    <cellStyle name="40% - Accent2 2 5 4" xfId="9610" xr:uid="{DD19014E-92FB-42D4-BB1B-15B2FBD97643}"/>
    <cellStyle name="40% - Accent2 2 6" xfId="1494" xr:uid="{00000000-0005-0000-0000-0000A7040000}"/>
    <cellStyle name="40% - Accent2 2 6 2" xfId="3724" xr:uid="{00000000-0005-0000-0000-0000A8040000}"/>
    <cellStyle name="40% - Accent2 2 6 2 2" xfId="7947" xr:uid="{00000000-0005-0000-0000-0000A9040000}"/>
    <cellStyle name="40% - Accent2 2 6 2 2 2" xfId="16386" xr:uid="{88AD8C74-D6B8-4990-90CF-595A3E4C61CE}"/>
    <cellStyle name="40% - Accent2 2 6 2 3" xfId="12168" xr:uid="{DB4EFCDC-90A2-48F1-A66E-C9F17F9B9C35}"/>
    <cellStyle name="40% - Accent2 2 6 3" xfId="5802" xr:uid="{00000000-0005-0000-0000-0000AA040000}"/>
    <cellStyle name="40% - Accent2 2 6 3 2" xfId="14241" xr:uid="{841A6748-B508-4CBF-B200-4FE783C56B76}"/>
    <cellStyle name="40% - Accent2 2 6 4" xfId="10023" xr:uid="{4E55C064-26C7-47DF-B78B-DDDB5E4E6CB0}"/>
    <cellStyle name="40% - Accent2 2 7" xfId="1908" xr:uid="{00000000-0005-0000-0000-0000AB040000}"/>
    <cellStyle name="40% - Accent2 2 7 2" xfId="4137" xr:uid="{00000000-0005-0000-0000-0000AC040000}"/>
    <cellStyle name="40% - Accent2 2 7 2 2" xfId="8360" xr:uid="{00000000-0005-0000-0000-0000AD040000}"/>
    <cellStyle name="40% - Accent2 2 7 2 2 2" xfId="16799" xr:uid="{CADECE40-6D61-401F-9121-05C8E15E2543}"/>
    <cellStyle name="40% - Accent2 2 7 2 3" xfId="12581" xr:uid="{62C4D718-C5FA-4A18-B590-E7849CDD3461}"/>
    <cellStyle name="40% - Accent2 2 7 3" xfId="6215" xr:uid="{00000000-0005-0000-0000-0000AE040000}"/>
    <cellStyle name="40% - Accent2 2 7 3 2" xfId="14654" xr:uid="{4ED56F14-AC0D-4968-8482-3F6B3220BA74}"/>
    <cellStyle name="40% - Accent2 2 7 4" xfId="10436" xr:uid="{83791A03-710E-43BB-A21B-8013482DBBF2}"/>
    <cellStyle name="40% - Accent2 2 8" xfId="2321" xr:uid="{00000000-0005-0000-0000-0000AF040000}"/>
    <cellStyle name="40% - Accent2 2 8 2" xfId="6628" xr:uid="{00000000-0005-0000-0000-0000B0040000}"/>
    <cellStyle name="40% - Accent2 2 8 2 2" xfId="15067" xr:uid="{784FAC1F-EE65-4971-B3E7-19DBB303635C}"/>
    <cellStyle name="40% - Accent2 2 8 3" xfId="10849" xr:uid="{81441A85-E648-43AD-9284-1A678ACC0012}"/>
    <cellStyle name="40% - Accent2 2 9" xfId="4562" xr:uid="{00000000-0005-0000-0000-0000B1040000}"/>
    <cellStyle name="40% - Accent2 2 9 2" xfId="13001" xr:uid="{7D4A0AB2-4F79-4B35-8469-013C85C1FADF}"/>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2 2 2" xfId="15565" xr:uid="{6CE4CEFB-CB11-4590-99CE-F0FE42850463}"/>
    <cellStyle name="40% - Accent2 3 2 2 2 3" xfId="11347" xr:uid="{419CFC4D-15A5-4B70-A4A6-CBA1DC06199B}"/>
    <cellStyle name="40% - Accent2 3 2 2 3" xfId="4981" xr:uid="{00000000-0005-0000-0000-0000B7040000}"/>
    <cellStyle name="40% - Accent2 3 2 2 3 2" xfId="13420" xr:uid="{A80A60D3-FCFA-40A6-A4DC-7B026B265B55}"/>
    <cellStyle name="40% - Accent2 3 2 2 4" xfId="9202" xr:uid="{171F1583-02FB-435B-8D9E-37813BDED645}"/>
    <cellStyle name="40% - Accent2 3 2 3" xfId="1085" xr:uid="{00000000-0005-0000-0000-0000B8040000}"/>
    <cellStyle name="40% - Accent2 3 2 3 2" xfId="3316" xr:uid="{00000000-0005-0000-0000-0000B9040000}"/>
    <cellStyle name="40% - Accent2 3 2 3 2 2" xfId="7539" xr:uid="{00000000-0005-0000-0000-0000BA040000}"/>
    <cellStyle name="40% - Accent2 3 2 3 2 2 2" xfId="15978" xr:uid="{654C0779-A60B-4255-B18F-D6CDC3F72258}"/>
    <cellStyle name="40% - Accent2 3 2 3 2 3" xfId="11760" xr:uid="{A58E6248-0384-4B5F-B438-5E29AEA14415}"/>
    <cellStyle name="40% - Accent2 3 2 3 3" xfId="5394" xr:uid="{00000000-0005-0000-0000-0000BB040000}"/>
    <cellStyle name="40% - Accent2 3 2 3 3 2" xfId="13833" xr:uid="{1FCF97EE-0DD3-4CAA-A364-C7F3D29F59CE}"/>
    <cellStyle name="40% - Accent2 3 2 3 4" xfId="9615" xr:uid="{C246FE15-7DF9-472A-B67E-ED7A786C0EDD}"/>
    <cellStyle name="40% - Accent2 3 2 4" xfId="1499" xr:uid="{00000000-0005-0000-0000-0000BC040000}"/>
    <cellStyle name="40% - Accent2 3 2 4 2" xfId="3729" xr:uid="{00000000-0005-0000-0000-0000BD040000}"/>
    <cellStyle name="40% - Accent2 3 2 4 2 2" xfId="7952" xr:uid="{00000000-0005-0000-0000-0000BE040000}"/>
    <cellStyle name="40% - Accent2 3 2 4 2 2 2" xfId="16391" xr:uid="{CCE5FC87-80D4-4721-869F-6D09C6FF8246}"/>
    <cellStyle name="40% - Accent2 3 2 4 2 3" xfId="12173" xr:uid="{53D1B057-572B-4C79-9C22-F234F6D5D4FC}"/>
    <cellStyle name="40% - Accent2 3 2 4 3" xfId="5807" xr:uid="{00000000-0005-0000-0000-0000BF040000}"/>
    <cellStyle name="40% - Accent2 3 2 4 3 2" xfId="14246" xr:uid="{324E9553-BD5E-4909-A382-215EC7F73C18}"/>
    <cellStyle name="40% - Accent2 3 2 4 4" xfId="10028" xr:uid="{F4E07898-FC4A-4C4B-A7B5-DE72724FB995}"/>
    <cellStyle name="40% - Accent2 3 2 5" xfId="1913" xr:uid="{00000000-0005-0000-0000-0000C0040000}"/>
    <cellStyle name="40% - Accent2 3 2 5 2" xfId="4142" xr:uid="{00000000-0005-0000-0000-0000C1040000}"/>
    <cellStyle name="40% - Accent2 3 2 5 2 2" xfId="8365" xr:uid="{00000000-0005-0000-0000-0000C2040000}"/>
    <cellStyle name="40% - Accent2 3 2 5 2 2 2" xfId="16804" xr:uid="{B1552AC4-1F4A-48DB-A8C7-A5B42E32F8C2}"/>
    <cellStyle name="40% - Accent2 3 2 5 2 3" xfId="12586" xr:uid="{E0AE3609-CB12-493C-85C5-9D7141EFE67F}"/>
    <cellStyle name="40% - Accent2 3 2 5 3" xfId="6220" xr:uid="{00000000-0005-0000-0000-0000C3040000}"/>
    <cellStyle name="40% - Accent2 3 2 5 3 2" xfId="14659" xr:uid="{2FE36EBA-E5A5-414F-AD8E-BBDE317433A5}"/>
    <cellStyle name="40% - Accent2 3 2 5 4" xfId="10441" xr:uid="{7D50373A-5104-4516-BE17-03F55F7BB816}"/>
    <cellStyle name="40% - Accent2 3 2 6" xfId="2326" xr:uid="{00000000-0005-0000-0000-0000C4040000}"/>
    <cellStyle name="40% - Accent2 3 2 6 2" xfId="6633" xr:uid="{00000000-0005-0000-0000-0000C5040000}"/>
    <cellStyle name="40% - Accent2 3 2 6 2 2" xfId="15072" xr:uid="{82B39A64-721E-4AF0-8473-7F0D9FF1DA8B}"/>
    <cellStyle name="40% - Accent2 3 2 6 3" xfId="10854" xr:uid="{C5684564-47C4-4E42-8A15-1280AD24875A}"/>
    <cellStyle name="40% - Accent2 3 2 7" xfId="4567" xr:uid="{00000000-0005-0000-0000-0000C6040000}"/>
    <cellStyle name="40% - Accent2 3 2 7 2" xfId="13006" xr:uid="{A3690CF0-BAE1-4B0A-9056-7000FA2C7F04}"/>
    <cellStyle name="40% - Accent2 3 2 8" xfId="8788" xr:uid="{D4421FF6-3F77-4365-8E8E-3A71F7BF41D0}"/>
    <cellStyle name="40% - Accent2 3 3" xfId="631" xr:uid="{00000000-0005-0000-0000-0000C7040000}"/>
    <cellStyle name="40% - Accent2 3 3 2" xfId="2902" xr:uid="{00000000-0005-0000-0000-0000C8040000}"/>
    <cellStyle name="40% - Accent2 3 3 2 2" xfId="7125" xr:uid="{00000000-0005-0000-0000-0000C9040000}"/>
    <cellStyle name="40% - Accent2 3 3 2 2 2" xfId="15564" xr:uid="{4F392440-18D3-4A7F-93FB-0AF5F7BA2BB8}"/>
    <cellStyle name="40% - Accent2 3 3 2 3" xfId="11346" xr:uid="{DEAFFF8B-BCE4-4EC3-9C21-BC77819C3665}"/>
    <cellStyle name="40% - Accent2 3 3 3" xfId="4980" xr:uid="{00000000-0005-0000-0000-0000CA040000}"/>
    <cellStyle name="40% - Accent2 3 3 3 2" xfId="13419" xr:uid="{68853E04-FC41-40A4-B564-EFE1036E1D9F}"/>
    <cellStyle name="40% - Accent2 3 3 4" xfId="9201" xr:uid="{A8E3F9F4-5412-421A-8721-DDC18CF62936}"/>
    <cellStyle name="40% - Accent2 3 4" xfId="1084" xr:uid="{00000000-0005-0000-0000-0000CB040000}"/>
    <cellStyle name="40% - Accent2 3 4 2" xfId="3315" xr:uid="{00000000-0005-0000-0000-0000CC040000}"/>
    <cellStyle name="40% - Accent2 3 4 2 2" xfId="7538" xr:uid="{00000000-0005-0000-0000-0000CD040000}"/>
    <cellStyle name="40% - Accent2 3 4 2 2 2" xfId="15977" xr:uid="{66B64710-A567-4599-910F-20804EE60330}"/>
    <cellStyle name="40% - Accent2 3 4 2 3" xfId="11759" xr:uid="{1A93CC8D-FF73-4C4C-8A87-4C655427382D}"/>
    <cellStyle name="40% - Accent2 3 4 3" xfId="5393" xr:uid="{00000000-0005-0000-0000-0000CE040000}"/>
    <cellStyle name="40% - Accent2 3 4 3 2" xfId="13832" xr:uid="{5F33CA03-7464-4E4B-8EDE-5E6AA9DA5305}"/>
    <cellStyle name="40% - Accent2 3 4 4" xfId="9614" xr:uid="{47315AB8-ED64-42AB-89E3-D69BDE959251}"/>
    <cellStyle name="40% - Accent2 3 5" xfId="1498" xr:uid="{00000000-0005-0000-0000-0000CF040000}"/>
    <cellStyle name="40% - Accent2 3 5 2" xfId="3728" xr:uid="{00000000-0005-0000-0000-0000D0040000}"/>
    <cellStyle name="40% - Accent2 3 5 2 2" xfId="7951" xr:uid="{00000000-0005-0000-0000-0000D1040000}"/>
    <cellStyle name="40% - Accent2 3 5 2 2 2" xfId="16390" xr:uid="{EC8E69ED-00DE-4A30-B0B3-7E2AEEC1D803}"/>
    <cellStyle name="40% - Accent2 3 5 2 3" xfId="12172" xr:uid="{6DCDE800-8AD0-4C5B-B88E-6DD55CF695A9}"/>
    <cellStyle name="40% - Accent2 3 5 3" xfId="5806" xr:uid="{00000000-0005-0000-0000-0000D2040000}"/>
    <cellStyle name="40% - Accent2 3 5 3 2" xfId="14245" xr:uid="{49DDC574-FAAC-4D67-9CE9-7F5FB3EAE558}"/>
    <cellStyle name="40% - Accent2 3 5 4" xfId="10027" xr:uid="{8F0341E3-9727-40DA-9960-8F3B1510723A}"/>
    <cellStyle name="40% - Accent2 3 6" xfId="1912" xr:uid="{00000000-0005-0000-0000-0000D3040000}"/>
    <cellStyle name="40% - Accent2 3 6 2" xfId="4141" xr:uid="{00000000-0005-0000-0000-0000D4040000}"/>
    <cellStyle name="40% - Accent2 3 6 2 2" xfId="8364" xr:uid="{00000000-0005-0000-0000-0000D5040000}"/>
    <cellStyle name="40% - Accent2 3 6 2 2 2" xfId="16803" xr:uid="{47BDDD7A-98E1-445E-A8E7-8306546C9925}"/>
    <cellStyle name="40% - Accent2 3 6 2 3" xfId="12585" xr:uid="{F3B5CC5E-17EA-4F6F-A602-2B0825772C78}"/>
    <cellStyle name="40% - Accent2 3 6 3" xfId="6219" xr:uid="{00000000-0005-0000-0000-0000D6040000}"/>
    <cellStyle name="40% - Accent2 3 6 3 2" xfId="14658" xr:uid="{F74DF044-46DF-4C6E-A7E3-8A6D24EDE52D}"/>
    <cellStyle name="40% - Accent2 3 6 4" xfId="10440" xr:uid="{09F92720-0061-45B4-B1AC-1C163B2D87FA}"/>
    <cellStyle name="40% - Accent2 3 7" xfId="2325" xr:uid="{00000000-0005-0000-0000-0000D7040000}"/>
    <cellStyle name="40% - Accent2 3 7 2" xfId="6632" xr:uid="{00000000-0005-0000-0000-0000D8040000}"/>
    <cellStyle name="40% - Accent2 3 7 2 2" xfId="15071" xr:uid="{5E27D22B-2965-4F81-8654-A670D19085DE}"/>
    <cellStyle name="40% - Accent2 3 7 3" xfId="10853" xr:uid="{D2BB01AF-39CA-460F-8326-315458D2559D}"/>
    <cellStyle name="40% - Accent2 3 8" xfId="4566" xr:uid="{00000000-0005-0000-0000-0000D9040000}"/>
    <cellStyle name="40% - Accent2 3 8 2" xfId="13005" xr:uid="{B149E5A0-AC75-48C6-9F91-BE9A650B7873}"/>
    <cellStyle name="40% - Accent2 3 9" xfId="8787" xr:uid="{671D4EAB-D354-4A74-B93C-1AEF6197D059}"/>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2 2 2" xfId="15566" xr:uid="{93F0F437-A426-4C10-A4AA-DE0AE37ABFC3}"/>
    <cellStyle name="40% - Accent2 4 2 2 3" xfId="11348" xr:uid="{0EDACBE4-C348-44CB-9986-E2DA8067E706}"/>
    <cellStyle name="40% - Accent2 4 2 3" xfId="4982" xr:uid="{00000000-0005-0000-0000-0000DE040000}"/>
    <cellStyle name="40% - Accent2 4 2 3 2" xfId="13421" xr:uid="{B0644398-2FFB-4A31-B545-F85910F77F36}"/>
    <cellStyle name="40% - Accent2 4 2 4" xfId="9203" xr:uid="{4A83D2DD-4202-4B97-8755-EA3A353BDC35}"/>
    <cellStyle name="40% - Accent2 4 3" xfId="1086" xr:uid="{00000000-0005-0000-0000-0000DF040000}"/>
    <cellStyle name="40% - Accent2 4 3 2" xfId="3317" xr:uid="{00000000-0005-0000-0000-0000E0040000}"/>
    <cellStyle name="40% - Accent2 4 3 2 2" xfId="7540" xr:uid="{00000000-0005-0000-0000-0000E1040000}"/>
    <cellStyle name="40% - Accent2 4 3 2 2 2" xfId="15979" xr:uid="{DDF58A4B-1184-489A-B81A-7AC0C1A2AC5B}"/>
    <cellStyle name="40% - Accent2 4 3 2 3" xfId="11761" xr:uid="{24A22771-EABC-4BFA-AECC-F0DB0CE2C020}"/>
    <cellStyle name="40% - Accent2 4 3 3" xfId="5395" xr:uid="{00000000-0005-0000-0000-0000E2040000}"/>
    <cellStyle name="40% - Accent2 4 3 3 2" xfId="13834" xr:uid="{3D9F421F-AA73-4996-91E8-8D21B2799CDC}"/>
    <cellStyle name="40% - Accent2 4 3 4" xfId="9616" xr:uid="{3657D938-F11D-46A1-B1CE-253500298052}"/>
    <cellStyle name="40% - Accent2 4 4" xfId="1500" xr:uid="{00000000-0005-0000-0000-0000E3040000}"/>
    <cellStyle name="40% - Accent2 4 4 2" xfId="3730" xr:uid="{00000000-0005-0000-0000-0000E4040000}"/>
    <cellStyle name="40% - Accent2 4 4 2 2" xfId="7953" xr:uid="{00000000-0005-0000-0000-0000E5040000}"/>
    <cellStyle name="40% - Accent2 4 4 2 2 2" xfId="16392" xr:uid="{CE21E870-7AAB-45FB-B1E0-68AA877F7C1A}"/>
    <cellStyle name="40% - Accent2 4 4 2 3" xfId="12174" xr:uid="{D7CA2470-37BD-48F3-AFC8-4D97AD3005BB}"/>
    <cellStyle name="40% - Accent2 4 4 3" xfId="5808" xr:uid="{00000000-0005-0000-0000-0000E6040000}"/>
    <cellStyle name="40% - Accent2 4 4 3 2" xfId="14247" xr:uid="{66233789-4464-4B1A-BBE5-878C85C4FC8E}"/>
    <cellStyle name="40% - Accent2 4 4 4" xfId="10029" xr:uid="{9BD91FAA-ABA9-4BD9-998A-777112D07432}"/>
    <cellStyle name="40% - Accent2 4 5" xfId="1914" xr:uid="{00000000-0005-0000-0000-0000E7040000}"/>
    <cellStyle name="40% - Accent2 4 5 2" xfId="4143" xr:uid="{00000000-0005-0000-0000-0000E8040000}"/>
    <cellStyle name="40% - Accent2 4 5 2 2" xfId="8366" xr:uid="{00000000-0005-0000-0000-0000E9040000}"/>
    <cellStyle name="40% - Accent2 4 5 2 2 2" xfId="16805" xr:uid="{02FA1F8A-7DB6-4D3C-9FEC-F53676EC71F7}"/>
    <cellStyle name="40% - Accent2 4 5 2 3" xfId="12587" xr:uid="{FE34A500-71FC-4C0E-98E2-9FD3D10BA4DB}"/>
    <cellStyle name="40% - Accent2 4 5 3" xfId="6221" xr:uid="{00000000-0005-0000-0000-0000EA040000}"/>
    <cellStyle name="40% - Accent2 4 5 3 2" xfId="14660" xr:uid="{A63FBA05-5DA1-4725-8BEE-E6458DA28C48}"/>
    <cellStyle name="40% - Accent2 4 5 4" xfId="10442" xr:uid="{8626F184-9C76-4FC1-998E-BCB2BF167EFC}"/>
    <cellStyle name="40% - Accent2 4 6" xfId="2327" xr:uid="{00000000-0005-0000-0000-0000EB040000}"/>
    <cellStyle name="40% - Accent2 4 6 2" xfId="6634" xr:uid="{00000000-0005-0000-0000-0000EC040000}"/>
    <cellStyle name="40% - Accent2 4 6 2 2" xfId="15073" xr:uid="{7AF20AF6-BE1E-4961-8953-8F9C159685A9}"/>
    <cellStyle name="40% - Accent2 4 6 3" xfId="10855" xr:uid="{93B00A46-D08A-4077-B335-8D41A6DF8F9B}"/>
    <cellStyle name="40% - Accent2 4 7" xfId="4568" xr:uid="{00000000-0005-0000-0000-0000ED040000}"/>
    <cellStyle name="40% - Accent2 4 7 2" xfId="13007" xr:uid="{E4B3588F-5E43-43C1-B378-58EC4CECA824}"/>
    <cellStyle name="40% - Accent2 4 8" xfId="8789" xr:uid="{EFBCD9C5-6512-4711-945C-BFCE5FEC3C07}"/>
    <cellStyle name="40% - Accent2 5" xfId="626" xr:uid="{00000000-0005-0000-0000-0000EE040000}"/>
    <cellStyle name="40% - Accent2 5 2" xfId="2897" xr:uid="{00000000-0005-0000-0000-0000EF040000}"/>
    <cellStyle name="40% - Accent2 5 2 2" xfId="7120" xr:uid="{00000000-0005-0000-0000-0000F0040000}"/>
    <cellStyle name="40% - Accent2 5 2 2 2" xfId="15559" xr:uid="{ED79522B-02BC-41B6-8127-1F18A7A632A2}"/>
    <cellStyle name="40% - Accent2 5 2 3" xfId="11341" xr:uid="{C2EA82EA-B825-477A-B126-47C9D1E0BB43}"/>
    <cellStyle name="40% - Accent2 5 3" xfId="4975" xr:uid="{00000000-0005-0000-0000-0000F1040000}"/>
    <cellStyle name="40% - Accent2 5 3 2" xfId="13414" xr:uid="{890D5B4F-2A83-4A44-9701-58E09440908D}"/>
    <cellStyle name="40% - Accent2 5 4" xfId="9196" xr:uid="{19AB5B5B-09E1-495F-A273-DF964F571237}"/>
    <cellStyle name="40% - Accent2 6" xfId="1079" xr:uid="{00000000-0005-0000-0000-0000F2040000}"/>
    <cellStyle name="40% - Accent2 6 2" xfId="3310" xr:uid="{00000000-0005-0000-0000-0000F3040000}"/>
    <cellStyle name="40% - Accent2 6 2 2" xfId="7533" xr:uid="{00000000-0005-0000-0000-0000F4040000}"/>
    <cellStyle name="40% - Accent2 6 2 2 2" xfId="15972" xr:uid="{3DCEC190-4CBB-40E6-BEE3-02EE3B24C0A4}"/>
    <cellStyle name="40% - Accent2 6 2 3" xfId="11754" xr:uid="{0BB0EC55-1C66-475D-A5E3-B5D95ED4F78C}"/>
    <cellStyle name="40% - Accent2 6 3" xfId="5388" xr:uid="{00000000-0005-0000-0000-0000F5040000}"/>
    <cellStyle name="40% - Accent2 6 3 2" xfId="13827" xr:uid="{73453C4D-D632-489A-94F4-FC3B719EC00D}"/>
    <cellStyle name="40% - Accent2 6 4" xfId="9609" xr:uid="{278AE41E-9C46-4C85-BAB3-8A8C397E85D4}"/>
    <cellStyle name="40% - Accent2 7" xfId="1493" xr:uid="{00000000-0005-0000-0000-0000F6040000}"/>
    <cellStyle name="40% - Accent2 7 2" xfId="3723" xr:uid="{00000000-0005-0000-0000-0000F7040000}"/>
    <cellStyle name="40% - Accent2 7 2 2" xfId="7946" xr:uid="{00000000-0005-0000-0000-0000F8040000}"/>
    <cellStyle name="40% - Accent2 7 2 2 2" xfId="16385" xr:uid="{EE7D85ED-4807-488E-8843-FFD41166F0DA}"/>
    <cellStyle name="40% - Accent2 7 2 3" xfId="12167" xr:uid="{F433E28F-25E9-485B-947B-70AADFF845D2}"/>
    <cellStyle name="40% - Accent2 7 3" xfId="5801" xr:uid="{00000000-0005-0000-0000-0000F9040000}"/>
    <cellStyle name="40% - Accent2 7 3 2" xfId="14240" xr:uid="{EE3BD0A1-8E19-48DD-A18A-89222776C0BD}"/>
    <cellStyle name="40% - Accent2 7 4" xfId="10022" xr:uid="{4C41FC76-FE79-41F9-9DB2-8664E2B6FEC4}"/>
    <cellStyle name="40% - Accent2 8" xfId="1907" xr:uid="{00000000-0005-0000-0000-0000FA040000}"/>
    <cellStyle name="40% - Accent2 8 2" xfId="4136" xr:uid="{00000000-0005-0000-0000-0000FB040000}"/>
    <cellStyle name="40% - Accent2 8 2 2" xfId="8359" xr:uid="{00000000-0005-0000-0000-0000FC040000}"/>
    <cellStyle name="40% - Accent2 8 2 2 2" xfId="16798" xr:uid="{9385A339-3B89-4BBC-93E5-DC69AB79CD01}"/>
    <cellStyle name="40% - Accent2 8 2 3" xfId="12580" xr:uid="{C89AA1FC-03E4-40EE-963E-AE3AC1851F2B}"/>
    <cellStyle name="40% - Accent2 8 3" xfId="6214" xr:uid="{00000000-0005-0000-0000-0000FD040000}"/>
    <cellStyle name="40% - Accent2 8 3 2" xfId="14653" xr:uid="{3B7C7041-9E0B-4D52-97CA-35E5520ACA10}"/>
    <cellStyle name="40% - Accent2 8 4" xfId="10435" xr:uid="{7A145137-A24C-48FD-85AD-5CAC6C737417}"/>
    <cellStyle name="40% - Accent2 9" xfId="2320" xr:uid="{00000000-0005-0000-0000-0000FE040000}"/>
    <cellStyle name="40% - Accent2 9 2" xfId="6627" xr:uid="{00000000-0005-0000-0000-0000FF040000}"/>
    <cellStyle name="40% - Accent2 9 2 2" xfId="15066" xr:uid="{FA17DF76-1F82-4DFD-A7E9-ED8540C2F1C2}"/>
    <cellStyle name="40% - Accent2 9 3" xfId="10848" xr:uid="{8924AC05-ADBA-4ED4-82D8-1167F70AF80B}"/>
    <cellStyle name="40% - Accent3" xfId="65" builtinId="39" customBuiltin="1"/>
    <cellStyle name="40% - Accent3 10" xfId="4569" xr:uid="{00000000-0005-0000-0000-000001050000}"/>
    <cellStyle name="40% - Accent3 10 2" xfId="13008" xr:uid="{1D14575C-F7C1-4938-928D-7CE3949422B4}"/>
    <cellStyle name="40% - Accent3 11" xfId="8790" xr:uid="{4F5B1BC1-8B76-4043-BBD8-61D1D0424684}"/>
    <cellStyle name="40% - Accent3 2" xfId="66" xr:uid="{00000000-0005-0000-0000-000002050000}"/>
    <cellStyle name="40% - Accent3 2 10" xfId="8791" xr:uid="{3842B2A3-7670-47DB-8DCA-0084E75A441F}"/>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2 2 2" xfId="15570" xr:uid="{8B4571D6-0E4E-4EC5-98DF-73B5C3E751AB}"/>
    <cellStyle name="40% - Accent3 2 2 2 2 2 3" xfId="11352" xr:uid="{3683FD58-92C8-439B-8EBB-6F20254A8F05}"/>
    <cellStyle name="40% - Accent3 2 2 2 2 3" xfId="4986" xr:uid="{00000000-0005-0000-0000-000008050000}"/>
    <cellStyle name="40% - Accent3 2 2 2 2 3 2" xfId="13425" xr:uid="{70E31B4E-D18C-4390-89D9-7DD0C6CA7870}"/>
    <cellStyle name="40% - Accent3 2 2 2 2 4" xfId="9207" xr:uid="{347A1F99-8687-4BBE-B29E-3199B5AC46D3}"/>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2 2 2" xfId="15983" xr:uid="{7C57E05F-9C72-4A94-8772-6BF7D270F0DE}"/>
    <cellStyle name="40% - Accent3 2 2 2 3 2 3" xfId="11765" xr:uid="{0C0694F8-7272-45BF-A3BE-A6B41AE8E1B5}"/>
    <cellStyle name="40% - Accent3 2 2 2 3 3" xfId="5399" xr:uid="{00000000-0005-0000-0000-00000C050000}"/>
    <cellStyle name="40% - Accent3 2 2 2 3 3 2" xfId="13838" xr:uid="{1523CB08-022F-450C-B155-800B1DEBCB36}"/>
    <cellStyle name="40% - Accent3 2 2 2 3 4" xfId="9620" xr:uid="{6E7891B0-E3BD-4FDB-956C-A6F578F8B448}"/>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2 2 2" xfId="16396" xr:uid="{6D689981-60B4-44DF-ADC7-D95A0AD23B83}"/>
    <cellStyle name="40% - Accent3 2 2 2 4 2 3" xfId="12178" xr:uid="{CB93A025-32E8-431B-80A1-D6518FD1D85F}"/>
    <cellStyle name="40% - Accent3 2 2 2 4 3" xfId="5812" xr:uid="{00000000-0005-0000-0000-000010050000}"/>
    <cellStyle name="40% - Accent3 2 2 2 4 3 2" xfId="14251" xr:uid="{264C6404-114D-43E5-9608-3EACE2AF919A}"/>
    <cellStyle name="40% - Accent3 2 2 2 4 4" xfId="10033" xr:uid="{7A0BEF0F-1953-471A-A5AC-62185ACCC77E}"/>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2 2 2" xfId="16809" xr:uid="{CDB5426F-4150-4C05-858A-25EBC6077F96}"/>
    <cellStyle name="40% - Accent3 2 2 2 5 2 3" xfId="12591" xr:uid="{47C61E5D-5D68-4BFB-B58B-D45AF5D13E05}"/>
    <cellStyle name="40% - Accent3 2 2 2 5 3" xfId="6225" xr:uid="{00000000-0005-0000-0000-000014050000}"/>
    <cellStyle name="40% - Accent3 2 2 2 5 3 2" xfId="14664" xr:uid="{712F5ACE-90CA-41C8-BF29-B9F8563AE8CC}"/>
    <cellStyle name="40% - Accent3 2 2 2 5 4" xfId="10446" xr:uid="{A564BAE5-D070-4F02-8215-D06CB582F7BE}"/>
    <cellStyle name="40% - Accent3 2 2 2 6" xfId="2331" xr:uid="{00000000-0005-0000-0000-000015050000}"/>
    <cellStyle name="40% - Accent3 2 2 2 6 2" xfId="6638" xr:uid="{00000000-0005-0000-0000-000016050000}"/>
    <cellStyle name="40% - Accent3 2 2 2 6 2 2" xfId="15077" xr:uid="{34EDE87B-761C-4E3D-B15C-923566CC13A8}"/>
    <cellStyle name="40% - Accent3 2 2 2 6 3" xfId="10859" xr:uid="{5C095A7E-F32D-4148-B33B-6165867A421D}"/>
    <cellStyle name="40% - Accent3 2 2 2 7" xfId="4572" xr:uid="{00000000-0005-0000-0000-000017050000}"/>
    <cellStyle name="40% - Accent3 2 2 2 7 2" xfId="13011" xr:uid="{1B63C1E7-2B93-413A-911A-23A6D0ACAB78}"/>
    <cellStyle name="40% - Accent3 2 2 2 8" xfId="8793" xr:uid="{88D215FA-A1B5-49AE-96AD-FEEEA08E2896}"/>
    <cellStyle name="40% - Accent3 2 2 3" xfId="636" xr:uid="{00000000-0005-0000-0000-000018050000}"/>
    <cellStyle name="40% - Accent3 2 2 3 2" xfId="2907" xr:uid="{00000000-0005-0000-0000-000019050000}"/>
    <cellStyle name="40% - Accent3 2 2 3 2 2" xfId="7130" xr:uid="{00000000-0005-0000-0000-00001A050000}"/>
    <cellStyle name="40% - Accent3 2 2 3 2 2 2" xfId="15569" xr:uid="{C3F6ECFA-54FB-4074-B8CC-A5DC5D305067}"/>
    <cellStyle name="40% - Accent3 2 2 3 2 3" xfId="11351" xr:uid="{65CAB2A1-2FB2-405D-9CE5-0455D0ADEEE1}"/>
    <cellStyle name="40% - Accent3 2 2 3 3" xfId="4985" xr:uid="{00000000-0005-0000-0000-00001B050000}"/>
    <cellStyle name="40% - Accent3 2 2 3 3 2" xfId="13424" xr:uid="{9230E3A1-1D25-4727-8D64-3D1E31E0339E}"/>
    <cellStyle name="40% - Accent3 2 2 3 4" xfId="9206" xr:uid="{A661FFE5-EAC3-47A2-8E03-CE0E965D38EA}"/>
    <cellStyle name="40% - Accent3 2 2 4" xfId="1089" xr:uid="{00000000-0005-0000-0000-00001C050000}"/>
    <cellStyle name="40% - Accent3 2 2 4 2" xfId="3320" xr:uid="{00000000-0005-0000-0000-00001D050000}"/>
    <cellStyle name="40% - Accent3 2 2 4 2 2" xfId="7543" xr:uid="{00000000-0005-0000-0000-00001E050000}"/>
    <cellStyle name="40% - Accent3 2 2 4 2 2 2" xfId="15982" xr:uid="{852D237D-341D-49EF-B72D-9310E881F493}"/>
    <cellStyle name="40% - Accent3 2 2 4 2 3" xfId="11764" xr:uid="{7CBC8F65-77E7-4B06-B390-BBB29EF396B6}"/>
    <cellStyle name="40% - Accent3 2 2 4 3" xfId="5398" xr:uid="{00000000-0005-0000-0000-00001F050000}"/>
    <cellStyle name="40% - Accent3 2 2 4 3 2" xfId="13837" xr:uid="{09511424-624E-44DA-A322-80E094206A2B}"/>
    <cellStyle name="40% - Accent3 2 2 4 4" xfId="9619" xr:uid="{EF3ADF0E-E1B0-4A97-8590-EFBE647C02D4}"/>
    <cellStyle name="40% - Accent3 2 2 5" xfId="1503" xr:uid="{00000000-0005-0000-0000-000020050000}"/>
    <cellStyle name="40% - Accent3 2 2 5 2" xfId="3733" xr:uid="{00000000-0005-0000-0000-000021050000}"/>
    <cellStyle name="40% - Accent3 2 2 5 2 2" xfId="7956" xr:uid="{00000000-0005-0000-0000-000022050000}"/>
    <cellStyle name="40% - Accent3 2 2 5 2 2 2" xfId="16395" xr:uid="{9D07C39E-3B02-4DDD-916D-9D4245E69243}"/>
    <cellStyle name="40% - Accent3 2 2 5 2 3" xfId="12177" xr:uid="{C4C28569-4368-4BBA-B299-44B229233CF8}"/>
    <cellStyle name="40% - Accent3 2 2 5 3" xfId="5811" xr:uid="{00000000-0005-0000-0000-000023050000}"/>
    <cellStyle name="40% - Accent3 2 2 5 3 2" xfId="14250" xr:uid="{912E80DD-9BC4-4F66-8BC4-0D735970F6DF}"/>
    <cellStyle name="40% - Accent3 2 2 5 4" xfId="10032" xr:uid="{1D4FD2ED-2A9D-4520-B6E9-513387B688BF}"/>
    <cellStyle name="40% - Accent3 2 2 6" xfId="1917" xr:uid="{00000000-0005-0000-0000-000024050000}"/>
    <cellStyle name="40% - Accent3 2 2 6 2" xfId="4146" xr:uid="{00000000-0005-0000-0000-000025050000}"/>
    <cellStyle name="40% - Accent3 2 2 6 2 2" xfId="8369" xr:uid="{00000000-0005-0000-0000-000026050000}"/>
    <cellStyle name="40% - Accent3 2 2 6 2 2 2" xfId="16808" xr:uid="{C9283E35-97F4-4104-9CD8-B081DAE6E989}"/>
    <cellStyle name="40% - Accent3 2 2 6 2 3" xfId="12590" xr:uid="{7776070A-4C4D-45B3-82BD-92119B017E9D}"/>
    <cellStyle name="40% - Accent3 2 2 6 3" xfId="6224" xr:uid="{00000000-0005-0000-0000-000027050000}"/>
    <cellStyle name="40% - Accent3 2 2 6 3 2" xfId="14663" xr:uid="{49A16BFA-85C6-44DE-9B0B-1566322EDE0F}"/>
    <cellStyle name="40% - Accent3 2 2 6 4" xfId="10445" xr:uid="{72E14DA9-4878-412E-A746-54DFADE6622F}"/>
    <cellStyle name="40% - Accent3 2 2 7" xfId="2330" xr:uid="{00000000-0005-0000-0000-000028050000}"/>
    <cellStyle name="40% - Accent3 2 2 7 2" xfId="6637" xr:uid="{00000000-0005-0000-0000-000029050000}"/>
    <cellStyle name="40% - Accent3 2 2 7 2 2" xfId="15076" xr:uid="{6F39C9CC-04BA-4C93-B66B-44B86A9BED76}"/>
    <cellStyle name="40% - Accent3 2 2 7 3" xfId="10858" xr:uid="{4CD4E960-638D-4E7F-92D4-9E4DA07FBF8F}"/>
    <cellStyle name="40% - Accent3 2 2 8" xfId="4571" xr:uid="{00000000-0005-0000-0000-00002A050000}"/>
    <cellStyle name="40% - Accent3 2 2 8 2" xfId="13010" xr:uid="{9AD55242-9535-479F-9DAC-BDD0FB62ABAF}"/>
    <cellStyle name="40% - Accent3 2 2 9" xfId="8792" xr:uid="{2F66FE15-526F-471A-8762-DEDE7EFEE7EB}"/>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2 2 2" xfId="15571" xr:uid="{B8FD6973-DD9F-421A-9642-137746EB24BD}"/>
    <cellStyle name="40% - Accent3 2 3 2 2 3" xfId="11353" xr:uid="{1DE6E9E8-D829-4393-8561-E9869C1753DF}"/>
    <cellStyle name="40% - Accent3 2 3 2 3" xfId="4987" xr:uid="{00000000-0005-0000-0000-00002F050000}"/>
    <cellStyle name="40% - Accent3 2 3 2 3 2" xfId="13426" xr:uid="{9FD5B1C5-39AC-4DB0-BE14-99D9D590DC6F}"/>
    <cellStyle name="40% - Accent3 2 3 2 4" xfId="9208" xr:uid="{CFF7D918-15A3-43B8-8EC5-564BB9AB0895}"/>
    <cellStyle name="40% - Accent3 2 3 3" xfId="1091" xr:uid="{00000000-0005-0000-0000-000030050000}"/>
    <cellStyle name="40% - Accent3 2 3 3 2" xfId="3322" xr:uid="{00000000-0005-0000-0000-000031050000}"/>
    <cellStyle name="40% - Accent3 2 3 3 2 2" xfId="7545" xr:uid="{00000000-0005-0000-0000-000032050000}"/>
    <cellStyle name="40% - Accent3 2 3 3 2 2 2" xfId="15984" xr:uid="{D8F666A5-DCD3-4E21-BA4A-72046D6C583F}"/>
    <cellStyle name="40% - Accent3 2 3 3 2 3" xfId="11766" xr:uid="{63385230-0471-4F43-BBE4-4079838D3C15}"/>
    <cellStyle name="40% - Accent3 2 3 3 3" xfId="5400" xr:uid="{00000000-0005-0000-0000-000033050000}"/>
    <cellStyle name="40% - Accent3 2 3 3 3 2" xfId="13839" xr:uid="{4216D905-CEC7-468A-9D76-27AE37411656}"/>
    <cellStyle name="40% - Accent3 2 3 3 4" xfId="9621" xr:uid="{9241A62A-30B4-45CE-A994-F5561925C85A}"/>
    <cellStyle name="40% - Accent3 2 3 4" xfId="1505" xr:uid="{00000000-0005-0000-0000-000034050000}"/>
    <cellStyle name="40% - Accent3 2 3 4 2" xfId="3735" xr:uid="{00000000-0005-0000-0000-000035050000}"/>
    <cellStyle name="40% - Accent3 2 3 4 2 2" xfId="7958" xr:uid="{00000000-0005-0000-0000-000036050000}"/>
    <cellStyle name="40% - Accent3 2 3 4 2 2 2" xfId="16397" xr:uid="{B628A5DD-CB71-4480-8F61-0DB6996AA9B2}"/>
    <cellStyle name="40% - Accent3 2 3 4 2 3" xfId="12179" xr:uid="{61A282EA-B773-49B7-ACD9-5B827261A9E2}"/>
    <cellStyle name="40% - Accent3 2 3 4 3" xfId="5813" xr:uid="{00000000-0005-0000-0000-000037050000}"/>
    <cellStyle name="40% - Accent3 2 3 4 3 2" xfId="14252" xr:uid="{7CF8364B-D085-4BC2-943B-E8C4B41B9174}"/>
    <cellStyle name="40% - Accent3 2 3 4 4" xfId="10034" xr:uid="{B0A14CD0-A0D5-47A6-9C15-949F0A8E4E17}"/>
    <cellStyle name="40% - Accent3 2 3 5" xfId="1919" xr:uid="{00000000-0005-0000-0000-000038050000}"/>
    <cellStyle name="40% - Accent3 2 3 5 2" xfId="4148" xr:uid="{00000000-0005-0000-0000-000039050000}"/>
    <cellStyle name="40% - Accent3 2 3 5 2 2" xfId="8371" xr:uid="{00000000-0005-0000-0000-00003A050000}"/>
    <cellStyle name="40% - Accent3 2 3 5 2 2 2" xfId="16810" xr:uid="{E92F75B0-17EC-4C4A-ADE3-342E60DCC46B}"/>
    <cellStyle name="40% - Accent3 2 3 5 2 3" xfId="12592" xr:uid="{BA36C43D-C871-439A-BC90-8F6D4975AC3D}"/>
    <cellStyle name="40% - Accent3 2 3 5 3" xfId="6226" xr:uid="{00000000-0005-0000-0000-00003B050000}"/>
    <cellStyle name="40% - Accent3 2 3 5 3 2" xfId="14665" xr:uid="{635C7DBA-6115-45EC-A975-EC1591875CEA}"/>
    <cellStyle name="40% - Accent3 2 3 5 4" xfId="10447" xr:uid="{2DEEA642-703C-4890-B307-F59D43C3D9C7}"/>
    <cellStyle name="40% - Accent3 2 3 6" xfId="2332" xr:uid="{00000000-0005-0000-0000-00003C050000}"/>
    <cellStyle name="40% - Accent3 2 3 6 2" xfId="6639" xr:uid="{00000000-0005-0000-0000-00003D050000}"/>
    <cellStyle name="40% - Accent3 2 3 6 2 2" xfId="15078" xr:uid="{8925572E-F1F5-4CC7-ABC2-AC80D411E27A}"/>
    <cellStyle name="40% - Accent3 2 3 6 3" xfId="10860" xr:uid="{C7125BDB-9B38-4F39-8646-9E07E98B6C6A}"/>
    <cellStyle name="40% - Accent3 2 3 7" xfId="4573" xr:uid="{00000000-0005-0000-0000-00003E050000}"/>
    <cellStyle name="40% - Accent3 2 3 7 2" xfId="13012" xr:uid="{DB0988D4-6BC6-499F-A99F-FBDF1706A580}"/>
    <cellStyle name="40% - Accent3 2 3 8" xfId="8794" xr:uid="{8A6ACA6E-2D96-41F5-B3DA-D1A6F0A9F301}"/>
    <cellStyle name="40% - Accent3 2 4" xfId="635" xr:uid="{00000000-0005-0000-0000-00003F050000}"/>
    <cellStyle name="40% - Accent3 2 4 2" xfId="2906" xr:uid="{00000000-0005-0000-0000-000040050000}"/>
    <cellStyle name="40% - Accent3 2 4 2 2" xfId="7129" xr:uid="{00000000-0005-0000-0000-000041050000}"/>
    <cellStyle name="40% - Accent3 2 4 2 2 2" xfId="15568" xr:uid="{54E67198-4B69-4863-87CA-F7DF02A1D07A}"/>
    <cellStyle name="40% - Accent3 2 4 2 3" xfId="11350" xr:uid="{BA8892A1-FA40-4865-BEBD-7249B0031532}"/>
    <cellStyle name="40% - Accent3 2 4 3" xfId="4984" xr:uid="{00000000-0005-0000-0000-000042050000}"/>
    <cellStyle name="40% - Accent3 2 4 3 2" xfId="13423" xr:uid="{F9DBB1F0-A6A4-4F67-941A-CB458950E083}"/>
    <cellStyle name="40% - Accent3 2 4 4" xfId="9205" xr:uid="{B448CC7D-FB5E-48D9-8603-25206E6B172D}"/>
    <cellStyle name="40% - Accent3 2 5" xfId="1088" xr:uid="{00000000-0005-0000-0000-000043050000}"/>
    <cellStyle name="40% - Accent3 2 5 2" xfId="3319" xr:uid="{00000000-0005-0000-0000-000044050000}"/>
    <cellStyle name="40% - Accent3 2 5 2 2" xfId="7542" xr:uid="{00000000-0005-0000-0000-000045050000}"/>
    <cellStyle name="40% - Accent3 2 5 2 2 2" xfId="15981" xr:uid="{B6C8C4AF-8EA0-454E-8AC9-C53AE447E9BC}"/>
    <cellStyle name="40% - Accent3 2 5 2 3" xfId="11763" xr:uid="{CAF7D0EF-F7BF-4CF4-8010-CC17DA828D38}"/>
    <cellStyle name="40% - Accent3 2 5 3" xfId="5397" xr:uid="{00000000-0005-0000-0000-000046050000}"/>
    <cellStyle name="40% - Accent3 2 5 3 2" xfId="13836" xr:uid="{97846810-E1FE-49CB-A76D-5863AC9AA7C5}"/>
    <cellStyle name="40% - Accent3 2 5 4" xfId="9618" xr:uid="{3C6A5189-DA33-4218-A787-9C9B26016A75}"/>
    <cellStyle name="40% - Accent3 2 6" xfId="1502" xr:uid="{00000000-0005-0000-0000-000047050000}"/>
    <cellStyle name="40% - Accent3 2 6 2" xfId="3732" xr:uid="{00000000-0005-0000-0000-000048050000}"/>
    <cellStyle name="40% - Accent3 2 6 2 2" xfId="7955" xr:uid="{00000000-0005-0000-0000-000049050000}"/>
    <cellStyle name="40% - Accent3 2 6 2 2 2" xfId="16394" xr:uid="{ED0CAA89-8C2B-4C39-86DE-84F61BA60B57}"/>
    <cellStyle name="40% - Accent3 2 6 2 3" xfId="12176" xr:uid="{C107B159-A9F1-4D2E-912C-35E8CA058CEF}"/>
    <cellStyle name="40% - Accent3 2 6 3" xfId="5810" xr:uid="{00000000-0005-0000-0000-00004A050000}"/>
    <cellStyle name="40% - Accent3 2 6 3 2" xfId="14249" xr:uid="{02A2B455-18E5-4F95-A0E5-077933F0C0EF}"/>
    <cellStyle name="40% - Accent3 2 6 4" xfId="10031" xr:uid="{E7D455BF-F445-49DB-A902-8D9DD444326C}"/>
    <cellStyle name="40% - Accent3 2 7" xfId="1916" xr:uid="{00000000-0005-0000-0000-00004B050000}"/>
    <cellStyle name="40% - Accent3 2 7 2" xfId="4145" xr:uid="{00000000-0005-0000-0000-00004C050000}"/>
    <cellStyle name="40% - Accent3 2 7 2 2" xfId="8368" xr:uid="{00000000-0005-0000-0000-00004D050000}"/>
    <cellStyle name="40% - Accent3 2 7 2 2 2" xfId="16807" xr:uid="{261CAD57-679C-4DD5-8A1C-AFAD9CE1703B}"/>
    <cellStyle name="40% - Accent3 2 7 2 3" xfId="12589" xr:uid="{74699425-586F-459D-9794-11D197656875}"/>
    <cellStyle name="40% - Accent3 2 7 3" xfId="6223" xr:uid="{00000000-0005-0000-0000-00004E050000}"/>
    <cellStyle name="40% - Accent3 2 7 3 2" xfId="14662" xr:uid="{5A1906FD-8E52-4630-B4FB-BAB7CDD3E0BC}"/>
    <cellStyle name="40% - Accent3 2 7 4" xfId="10444" xr:uid="{CF995F66-BEEE-47CC-A93B-4CA144DCFE53}"/>
    <cellStyle name="40% - Accent3 2 8" xfId="2329" xr:uid="{00000000-0005-0000-0000-00004F050000}"/>
    <cellStyle name="40% - Accent3 2 8 2" xfId="6636" xr:uid="{00000000-0005-0000-0000-000050050000}"/>
    <cellStyle name="40% - Accent3 2 8 2 2" xfId="15075" xr:uid="{BDE2B06C-FE93-41E2-B00D-6AB20D3CD99A}"/>
    <cellStyle name="40% - Accent3 2 8 3" xfId="10857" xr:uid="{281994B3-6D74-4BE5-8C82-496EF1B541E8}"/>
    <cellStyle name="40% - Accent3 2 9" xfId="4570" xr:uid="{00000000-0005-0000-0000-000051050000}"/>
    <cellStyle name="40% - Accent3 2 9 2" xfId="13009" xr:uid="{19F11765-E4D2-4A4B-A5B8-58B6816C1F0C}"/>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2 2 2" xfId="15573" xr:uid="{4A0CDEB6-8A1D-4E80-8632-96BB82BA84F6}"/>
    <cellStyle name="40% - Accent3 3 2 2 2 3" xfId="11355" xr:uid="{8798D353-DBE3-4EBE-9FCC-5B7346CD7946}"/>
    <cellStyle name="40% - Accent3 3 2 2 3" xfId="4989" xr:uid="{00000000-0005-0000-0000-000057050000}"/>
    <cellStyle name="40% - Accent3 3 2 2 3 2" xfId="13428" xr:uid="{075C8279-BF2D-4740-B43C-2E981CE6317A}"/>
    <cellStyle name="40% - Accent3 3 2 2 4" xfId="9210" xr:uid="{8CA629DF-EC7C-481E-B5B8-5A6B9BFEEE93}"/>
    <cellStyle name="40% - Accent3 3 2 3" xfId="1093" xr:uid="{00000000-0005-0000-0000-000058050000}"/>
    <cellStyle name="40% - Accent3 3 2 3 2" xfId="3324" xr:uid="{00000000-0005-0000-0000-000059050000}"/>
    <cellStyle name="40% - Accent3 3 2 3 2 2" xfId="7547" xr:uid="{00000000-0005-0000-0000-00005A050000}"/>
    <cellStyle name="40% - Accent3 3 2 3 2 2 2" xfId="15986" xr:uid="{3F66175E-7D3C-4DC7-8501-59717B9F4167}"/>
    <cellStyle name="40% - Accent3 3 2 3 2 3" xfId="11768" xr:uid="{911C11F9-9220-4058-8651-4572A6A08647}"/>
    <cellStyle name="40% - Accent3 3 2 3 3" xfId="5402" xr:uid="{00000000-0005-0000-0000-00005B050000}"/>
    <cellStyle name="40% - Accent3 3 2 3 3 2" xfId="13841" xr:uid="{9987C336-D29A-4285-9263-CD033F57A10E}"/>
    <cellStyle name="40% - Accent3 3 2 3 4" xfId="9623" xr:uid="{64D10C7F-F57E-420B-B797-7CFD2A735269}"/>
    <cellStyle name="40% - Accent3 3 2 4" xfId="1507" xr:uid="{00000000-0005-0000-0000-00005C050000}"/>
    <cellStyle name="40% - Accent3 3 2 4 2" xfId="3737" xr:uid="{00000000-0005-0000-0000-00005D050000}"/>
    <cellStyle name="40% - Accent3 3 2 4 2 2" xfId="7960" xr:uid="{00000000-0005-0000-0000-00005E050000}"/>
    <cellStyle name="40% - Accent3 3 2 4 2 2 2" xfId="16399" xr:uid="{604B90F5-8B97-4582-A0F4-A3FDBB0F86D2}"/>
    <cellStyle name="40% - Accent3 3 2 4 2 3" xfId="12181" xr:uid="{95D82F94-B4C1-4B0B-B708-284FA86817AC}"/>
    <cellStyle name="40% - Accent3 3 2 4 3" xfId="5815" xr:uid="{00000000-0005-0000-0000-00005F050000}"/>
    <cellStyle name="40% - Accent3 3 2 4 3 2" xfId="14254" xr:uid="{7D174473-D88C-45B0-9712-D66C72A3388D}"/>
    <cellStyle name="40% - Accent3 3 2 4 4" xfId="10036" xr:uid="{505AA6AE-F5A6-47B1-B055-A7B16B3605AD}"/>
    <cellStyle name="40% - Accent3 3 2 5" xfId="1921" xr:uid="{00000000-0005-0000-0000-000060050000}"/>
    <cellStyle name="40% - Accent3 3 2 5 2" xfId="4150" xr:uid="{00000000-0005-0000-0000-000061050000}"/>
    <cellStyle name="40% - Accent3 3 2 5 2 2" xfId="8373" xr:uid="{00000000-0005-0000-0000-000062050000}"/>
    <cellStyle name="40% - Accent3 3 2 5 2 2 2" xfId="16812" xr:uid="{5117BCB1-6A8E-438A-A240-A34E2D9EADA2}"/>
    <cellStyle name="40% - Accent3 3 2 5 2 3" xfId="12594" xr:uid="{6376E455-B9A5-41D6-8EE3-CBB42ED2D080}"/>
    <cellStyle name="40% - Accent3 3 2 5 3" xfId="6228" xr:uid="{00000000-0005-0000-0000-000063050000}"/>
    <cellStyle name="40% - Accent3 3 2 5 3 2" xfId="14667" xr:uid="{7B3B55FB-EC29-46CE-BE82-25E863C658CB}"/>
    <cellStyle name="40% - Accent3 3 2 5 4" xfId="10449" xr:uid="{BD7A3A08-C621-4713-9E74-E1D775BE735A}"/>
    <cellStyle name="40% - Accent3 3 2 6" xfId="2334" xr:uid="{00000000-0005-0000-0000-000064050000}"/>
    <cellStyle name="40% - Accent3 3 2 6 2" xfId="6641" xr:uid="{00000000-0005-0000-0000-000065050000}"/>
    <cellStyle name="40% - Accent3 3 2 6 2 2" xfId="15080" xr:uid="{65EE4B2E-E149-4ABE-BD85-892464E741DD}"/>
    <cellStyle name="40% - Accent3 3 2 6 3" xfId="10862" xr:uid="{47DDAC17-7CF0-4F3F-AEE1-38B79E16BE78}"/>
    <cellStyle name="40% - Accent3 3 2 7" xfId="4575" xr:uid="{00000000-0005-0000-0000-000066050000}"/>
    <cellStyle name="40% - Accent3 3 2 7 2" xfId="13014" xr:uid="{7D503751-0FE7-48BB-A312-4D7D95E71ED3}"/>
    <cellStyle name="40% - Accent3 3 2 8" xfId="8796" xr:uid="{7A58053A-8D6F-4810-8412-0B818E6C813A}"/>
    <cellStyle name="40% - Accent3 3 3" xfId="639" xr:uid="{00000000-0005-0000-0000-000067050000}"/>
    <cellStyle name="40% - Accent3 3 3 2" xfId="2910" xr:uid="{00000000-0005-0000-0000-000068050000}"/>
    <cellStyle name="40% - Accent3 3 3 2 2" xfId="7133" xr:uid="{00000000-0005-0000-0000-000069050000}"/>
    <cellStyle name="40% - Accent3 3 3 2 2 2" xfId="15572" xr:uid="{1DC85579-9FEB-40ED-801D-539DB8C1E950}"/>
    <cellStyle name="40% - Accent3 3 3 2 3" xfId="11354" xr:uid="{C6A789D6-66C7-4981-806B-99CC22995319}"/>
    <cellStyle name="40% - Accent3 3 3 3" xfId="4988" xr:uid="{00000000-0005-0000-0000-00006A050000}"/>
    <cellStyle name="40% - Accent3 3 3 3 2" xfId="13427" xr:uid="{63500CBD-6EE4-4F17-BDAA-FA349138D65F}"/>
    <cellStyle name="40% - Accent3 3 3 4" xfId="9209" xr:uid="{883C61C8-E224-4AAF-96E8-4766F1A6B196}"/>
    <cellStyle name="40% - Accent3 3 4" xfId="1092" xr:uid="{00000000-0005-0000-0000-00006B050000}"/>
    <cellStyle name="40% - Accent3 3 4 2" xfId="3323" xr:uid="{00000000-0005-0000-0000-00006C050000}"/>
    <cellStyle name="40% - Accent3 3 4 2 2" xfId="7546" xr:uid="{00000000-0005-0000-0000-00006D050000}"/>
    <cellStyle name="40% - Accent3 3 4 2 2 2" xfId="15985" xr:uid="{2C25BFDD-4A02-4E6B-AD75-20BD61C30CEA}"/>
    <cellStyle name="40% - Accent3 3 4 2 3" xfId="11767" xr:uid="{347F0AFE-8AB6-4885-93F4-6E56B0B74CD5}"/>
    <cellStyle name="40% - Accent3 3 4 3" xfId="5401" xr:uid="{00000000-0005-0000-0000-00006E050000}"/>
    <cellStyle name="40% - Accent3 3 4 3 2" xfId="13840" xr:uid="{AFFEC794-879A-4BE7-A13C-26ED3CF06013}"/>
    <cellStyle name="40% - Accent3 3 4 4" xfId="9622" xr:uid="{E53EFCE5-13A7-4723-9CDF-43E9BEF430B8}"/>
    <cellStyle name="40% - Accent3 3 5" xfId="1506" xr:uid="{00000000-0005-0000-0000-00006F050000}"/>
    <cellStyle name="40% - Accent3 3 5 2" xfId="3736" xr:uid="{00000000-0005-0000-0000-000070050000}"/>
    <cellStyle name="40% - Accent3 3 5 2 2" xfId="7959" xr:uid="{00000000-0005-0000-0000-000071050000}"/>
    <cellStyle name="40% - Accent3 3 5 2 2 2" xfId="16398" xr:uid="{0A599DEA-71CF-42A8-BF55-F12BCFE62D3B}"/>
    <cellStyle name="40% - Accent3 3 5 2 3" xfId="12180" xr:uid="{94E4D629-C96E-4D7F-A4BA-A6863E9F9952}"/>
    <cellStyle name="40% - Accent3 3 5 3" xfId="5814" xr:uid="{00000000-0005-0000-0000-000072050000}"/>
    <cellStyle name="40% - Accent3 3 5 3 2" xfId="14253" xr:uid="{0C59F68A-6EDD-438F-A2E8-E670BC0F98BF}"/>
    <cellStyle name="40% - Accent3 3 5 4" xfId="10035" xr:uid="{F8BB21D1-E002-4ED4-9133-FAF0703193FF}"/>
    <cellStyle name="40% - Accent3 3 6" xfId="1920" xr:uid="{00000000-0005-0000-0000-000073050000}"/>
    <cellStyle name="40% - Accent3 3 6 2" xfId="4149" xr:uid="{00000000-0005-0000-0000-000074050000}"/>
    <cellStyle name="40% - Accent3 3 6 2 2" xfId="8372" xr:uid="{00000000-0005-0000-0000-000075050000}"/>
    <cellStyle name="40% - Accent3 3 6 2 2 2" xfId="16811" xr:uid="{7420FBA4-73C2-4AD3-A1B8-F092AE862EAE}"/>
    <cellStyle name="40% - Accent3 3 6 2 3" xfId="12593" xr:uid="{91019877-48E6-46A5-9D67-235811BA0524}"/>
    <cellStyle name="40% - Accent3 3 6 3" xfId="6227" xr:uid="{00000000-0005-0000-0000-000076050000}"/>
    <cellStyle name="40% - Accent3 3 6 3 2" xfId="14666" xr:uid="{6D7EB7DD-4F8F-496D-AAFA-F37A362A0B0A}"/>
    <cellStyle name="40% - Accent3 3 6 4" xfId="10448" xr:uid="{FAB67E37-D806-4CD0-9465-D7EA7563B7FB}"/>
    <cellStyle name="40% - Accent3 3 7" xfId="2333" xr:uid="{00000000-0005-0000-0000-000077050000}"/>
    <cellStyle name="40% - Accent3 3 7 2" xfId="6640" xr:uid="{00000000-0005-0000-0000-000078050000}"/>
    <cellStyle name="40% - Accent3 3 7 2 2" xfId="15079" xr:uid="{18CB7D03-6638-4B55-9FF2-8EB24E1F6AE5}"/>
    <cellStyle name="40% - Accent3 3 7 3" xfId="10861" xr:uid="{1B3F6A21-8818-4455-A64C-0E067C193C38}"/>
    <cellStyle name="40% - Accent3 3 8" xfId="4574" xr:uid="{00000000-0005-0000-0000-000079050000}"/>
    <cellStyle name="40% - Accent3 3 8 2" xfId="13013" xr:uid="{4D6DD94A-2DF9-434E-AB1C-7CD23B4B8E73}"/>
    <cellStyle name="40% - Accent3 3 9" xfId="8795" xr:uid="{7BDB01B9-C6CF-44C0-A177-330C9AEE099E}"/>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2 2 2" xfId="15574" xr:uid="{B3C9DBB3-E45D-4E86-8D37-1B32C913CAEA}"/>
    <cellStyle name="40% - Accent3 4 2 2 3" xfId="11356" xr:uid="{4AD0EFF6-A2DD-4F17-9E04-91C83095F33F}"/>
    <cellStyle name="40% - Accent3 4 2 3" xfId="4990" xr:uid="{00000000-0005-0000-0000-00007E050000}"/>
    <cellStyle name="40% - Accent3 4 2 3 2" xfId="13429" xr:uid="{7FFB2D03-6AC1-46B7-A870-6D12A4B884B9}"/>
    <cellStyle name="40% - Accent3 4 2 4" xfId="9211" xr:uid="{8E37E70D-8C94-4070-A7DF-D0C93994F0D2}"/>
    <cellStyle name="40% - Accent3 4 3" xfId="1094" xr:uid="{00000000-0005-0000-0000-00007F050000}"/>
    <cellStyle name="40% - Accent3 4 3 2" xfId="3325" xr:uid="{00000000-0005-0000-0000-000080050000}"/>
    <cellStyle name="40% - Accent3 4 3 2 2" xfId="7548" xr:uid="{00000000-0005-0000-0000-000081050000}"/>
    <cellStyle name="40% - Accent3 4 3 2 2 2" xfId="15987" xr:uid="{8999C477-A94A-4591-81DB-19158D20C0AB}"/>
    <cellStyle name="40% - Accent3 4 3 2 3" xfId="11769" xr:uid="{4F431E27-ACE8-44F8-B933-F6EC98EFF0DC}"/>
    <cellStyle name="40% - Accent3 4 3 3" xfId="5403" xr:uid="{00000000-0005-0000-0000-000082050000}"/>
    <cellStyle name="40% - Accent3 4 3 3 2" xfId="13842" xr:uid="{D96AE4AA-4170-42D2-9026-6AF81936ECD8}"/>
    <cellStyle name="40% - Accent3 4 3 4" xfId="9624" xr:uid="{B9206D58-914D-4768-8918-44B8C8EBED84}"/>
    <cellStyle name="40% - Accent3 4 4" xfId="1508" xr:uid="{00000000-0005-0000-0000-000083050000}"/>
    <cellStyle name="40% - Accent3 4 4 2" xfId="3738" xr:uid="{00000000-0005-0000-0000-000084050000}"/>
    <cellStyle name="40% - Accent3 4 4 2 2" xfId="7961" xr:uid="{00000000-0005-0000-0000-000085050000}"/>
    <cellStyle name="40% - Accent3 4 4 2 2 2" xfId="16400" xr:uid="{861993B9-811B-4C84-B460-06349865C554}"/>
    <cellStyle name="40% - Accent3 4 4 2 3" xfId="12182" xr:uid="{CA9445BF-FDCD-4602-8B22-7EFA04683D6D}"/>
    <cellStyle name="40% - Accent3 4 4 3" xfId="5816" xr:uid="{00000000-0005-0000-0000-000086050000}"/>
    <cellStyle name="40% - Accent3 4 4 3 2" xfId="14255" xr:uid="{4D301DE7-B59B-465D-AEED-9B0DFA51948F}"/>
    <cellStyle name="40% - Accent3 4 4 4" xfId="10037" xr:uid="{859F2B69-59DF-4F85-BB87-089BCE2BEBFE}"/>
    <cellStyle name="40% - Accent3 4 5" xfId="1922" xr:uid="{00000000-0005-0000-0000-000087050000}"/>
    <cellStyle name="40% - Accent3 4 5 2" xfId="4151" xr:uid="{00000000-0005-0000-0000-000088050000}"/>
    <cellStyle name="40% - Accent3 4 5 2 2" xfId="8374" xr:uid="{00000000-0005-0000-0000-000089050000}"/>
    <cellStyle name="40% - Accent3 4 5 2 2 2" xfId="16813" xr:uid="{37C47798-F6AC-4389-B134-4C7BF602C973}"/>
    <cellStyle name="40% - Accent3 4 5 2 3" xfId="12595" xr:uid="{31197117-27E2-4559-B35F-7B454B0FF75D}"/>
    <cellStyle name="40% - Accent3 4 5 3" xfId="6229" xr:uid="{00000000-0005-0000-0000-00008A050000}"/>
    <cellStyle name="40% - Accent3 4 5 3 2" xfId="14668" xr:uid="{DBECBCB2-BC06-44BC-B14B-83D176DA0C73}"/>
    <cellStyle name="40% - Accent3 4 5 4" xfId="10450" xr:uid="{13081453-1079-482B-A92B-E6F078EB2D46}"/>
    <cellStyle name="40% - Accent3 4 6" xfId="2335" xr:uid="{00000000-0005-0000-0000-00008B050000}"/>
    <cellStyle name="40% - Accent3 4 6 2" xfId="6642" xr:uid="{00000000-0005-0000-0000-00008C050000}"/>
    <cellStyle name="40% - Accent3 4 6 2 2" xfId="15081" xr:uid="{2C7A3F58-E40D-404F-8D21-5CB16FF11D96}"/>
    <cellStyle name="40% - Accent3 4 6 3" xfId="10863" xr:uid="{FD6BDBFA-EB54-4C38-84E7-9EB8275E579F}"/>
    <cellStyle name="40% - Accent3 4 7" xfId="4576" xr:uid="{00000000-0005-0000-0000-00008D050000}"/>
    <cellStyle name="40% - Accent3 4 7 2" xfId="13015" xr:uid="{7647834C-7CF4-443F-BD9F-10727BCBAF0E}"/>
    <cellStyle name="40% - Accent3 4 8" xfId="8797" xr:uid="{275CF07F-06CA-4A95-881D-F870E4D539E3}"/>
    <cellStyle name="40% - Accent3 5" xfId="634" xr:uid="{00000000-0005-0000-0000-00008E050000}"/>
    <cellStyle name="40% - Accent3 5 2" xfId="2905" xr:uid="{00000000-0005-0000-0000-00008F050000}"/>
    <cellStyle name="40% - Accent3 5 2 2" xfId="7128" xr:uid="{00000000-0005-0000-0000-000090050000}"/>
    <cellStyle name="40% - Accent3 5 2 2 2" xfId="15567" xr:uid="{3EEDBB46-4779-41EF-BE12-4344165768E0}"/>
    <cellStyle name="40% - Accent3 5 2 3" xfId="11349" xr:uid="{A0B74AA6-5DCC-4320-BE69-FC25BDDB6447}"/>
    <cellStyle name="40% - Accent3 5 3" xfId="4983" xr:uid="{00000000-0005-0000-0000-000091050000}"/>
    <cellStyle name="40% - Accent3 5 3 2" xfId="13422" xr:uid="{11033B11-72CC-4573-9B0D-40546634D4D5}"/>
    <cellStyle name="40% - Accent3 5 4" xfId="9204" xr:uid="{B49B2007-F658-4620-9830-97C3460A4FE4}"/>
    <cellStyle name="40% - Accent3 6" xfId="1087" xr:uid="{00000000-0005-0000-0000-000092050000}"/>
    <cellStyle name="40% - Accent3 6 2" xfId="3318" xr:uid="{00000000-0005-0000-0000-000093050000}"/>
    <cellStyle name="40% - Accent3 6 2 2" xfId="7541" xr:uid="{00000000-0005-0000-0000-000094050000}"/>
    <cellStyle name="40% - Accent3 6 2 2 2" xfId="15980" xr:uid="{50C14049-9CB9-4BCC-8540-60A5BB3D2D92}"/>
    <cellStyle name="40% - Accent3 6 2 3" xfId="11762" xr:uid="{B918DD52-8328-4D9F-AC5E-9693F3075F16}"/>
    <cellStyle name="40% - Accent3 6 3" xfId="5396" xr:uid="{00000000-0005-0000-0000-000095050000}"/>
    <cellStyle name="40% - Accent3 6 3 2" xfId="13835" xr:uid="{4457D8D9-E36D-480D-9610-262CD534ABF8}"/>
    <cellStyle name="40% - Accent3 6 4" xfId="9617" xr:uid="{CB2170A3-F0D3-4AC7-974F-4AEB2C1E1B8B}"/>
    <cellStyle name="40% - Accent3 7" xfId="1501" xr:uid="{00000000-0005-0000-0000-000096050000}"/>
    <cellStyle name="40% - Accent3 7 2" xfId="3731" xr:uid="{00000000-0005-0000-0000-000097050000}"/>
    <cellStyle name="40% - Accent3 7 2 2" xfId="7954" xr:uid="{00000000-0005-0000-0000-000098050000}"/>
    <cellStyle name="40% - Accent3 7 2 2 2" xfId="16393" xr:uid="{FDB1DFA3-A678-4489-A859-23A5941DF24B}"/>
    <cellStyle name="40% - Accent3 7 2 3" xfId="12175" xr:uid="{12900DCA-0967-4FD2-AF0A-D868CF941802}"/>
    <cellStyle name="40% - Accent3 7 3" xfId="5809" xr:uid="{00000000-0005-0000-0000-000099050000}"/>
    <cellStyle name="40% - Accent3 7 3 2" xfId="14248" xr:uid="{9AE02080-30C7-4A9A-87AB-4ACC488B781E}"/>
    <cellStyle name="40% - Accent3 7 4" xfId="10030" xr:uid="{E1AD2302-1977-4FE0-B573-D4D5FFF813C8}"/>
    <cellStyle name="40% - Accent3 8" xfId="1915" xr:uid="{00000000-0005-0000-0000-00009A050000}"/>
    <cellStyle name="40% - Accent3 8 2" xfId="4144" xr:uid="{00000000-0005-0000-0000-00009B050000}"/>
    <cellStyle name="40% - Accent3 8 2 2" xfId="8367" xr:uid="{00000000-0005-0000-0000-00009C050000}"/>
    <cellStyle name="40% - Accent3 8 2 2 2" xfId="16806" xr:uid="{A2BC7378-D703-4B74-824E-1EF453AB7719}"/>
    <cellStyle name="40% - Accent3 8 2 3" xfId="12588" xr:uid="{F104ADE6-B3CC-4C5A-A8CF-A1D34DD0DEBC}"/>
    <cellStyle name="40% - Accent3 8 3" xfId="6222" xr:uid="{00000000-0005-0000-0000-00009D050000}"/>
    <cellStyle name="40% - Accent3 8 3 2" xfId="14661" xr:uid="{EEF7597C-B408-4BC5-A226-96DEF28BCCD6}"/>
    <cellStyle name="40% - Accent3 8 4" xfId="10443" xr:uid="{0657F405-195D-4C75-9A37-DFEC98C2B29F}"/>
    <cellStyle name="40% - Accent3 9" xfId="2328" xr:uid="{00000000-0005-0000-0000-00009E050000}"/>
    <cellStyle name="40% - Accent3 9 2" xfId="6635" xr:uid="{00000000-0005-0000-0000-00009F050000}"/>
    <cellStyle name="40% - Accent3 9 2 2" xfId="15074" xr:uid="{7F1F5767-B4B0-4211-BB2C-09B309995959}"/>
    <cellStyle name="40% - Accent3 9 3" xfId="10856" xr:uid="{282C1309-2D9A-4DA0-8D84-734667DB3398}"/>
    <cellStyle name="40% - Accent4" xfId="73" builtinId="43" customBuiltin="1"/>
    <cellStyle name="40% - Accent4 10" xfId="4577" xr:uid="{00000000-0005-0000-0000-0000A1050000}"/>
    <cellStyle name="40% - Accent4 10 2" xfId="13016" xr:uid="{351BF998-1E70-4A0F-AA8A-3735C0394A1F}"/>
    <cellStyle name="40% - Accent4 11" xfId="8798" xr:uid="{035A448B-5FD3-4EEA-8CBA-1998545EDE02}"/>
    <cellStyle name="40% - Accent4 2" xfId="74" xr:uid="{00000000-0005-0000-0000-0000A2050000}"/>
    <cellStyle name="40% - Accent4 2 10" xfId="8799" xr:uid="{E0958B96-F5B1-49A1-9FDC-D0EC0FB3098D}"/>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2 2 2" xfId="15578" xr:uid="{454ABB09-8A48-4B80-A77B-A37362D538CB}"/>
    <cellStyle name="40% - Accent4 2 2 2 2 2 3" xfId="11360" xr:uid="{EAC07834-EFE4-496B-80E8-6D8C3EC7360A}"/>
    <cellStyle name="40% - Accent4 2 2 2 2 3" xfId="4994" xr:uid="{00000000-0005-0000-0000-0000A8050000}"/>
    <cellStyle name="40% - Accent4 2 2 2 2 3 2" xfId="13433" xr:uid="{6359B24F-5B55-4F5C-8F36-0E949996DD66}"/>
    <cellStyle name="40% - Accent4 2 2 2 2 4" xfId="9215" xr:uid="{EC217E2A-C2D5-4C42-B8F4-842B37243F94}"/>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2 2 2" xfId="15991" xr:uid="{C91D98EF-760F-491A-9CA6-95B9BA830B0A}"/>
    <cellStyle name="40% - Accent4 2 2 2 3 2 3" xfId="11773" xr:uid="{D2DC238D-C426-4E84-81FC-8827FFDEBC9F}"/>
    <cellStyle name="40% - Accent4 2 2 2 3 3" xfId="5407" xr:uid="{00000000-0005-0000-0000-0000AC050000}"/>
    <cellStyle name="40% - Accent4 2 2 2 3 3 2" xfId="13846" xr:uid="{83284558-8CCC-40BE-9721-790D219EDA0B}"/>
    <cellStyle name="40% - Accent4 2 2 2 3 4" xfId="9628" xr:uid="{7839DAA0-AB61-470C-84D3-AD15396DB551}"/>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2 2 2" xfId="16404" xr:uid="{4D211D36-3646-4CA0-B7C7-E646F0E296A0}"/>
    <cellStyle name="40% - Accent4 2 2 2 4 2 3" xfId="12186" xr:uid="{5650208B-B0C8-40EB-BB42-94382D2BE187}"/>
    <cellStyle name="40% - Accent4 2 2 2 4 3" xfId="5820" xr:uid="{00000000-0005-0000-0000-0000B0050000}"/>
    <cellStyle name="40% - Accent4 2 2 2 4 3 2" xfId="14259" xr:uid="{96CA1765-37B0-4BFB-892B-B77D5806EAA4}"/>
    <cellStyle name="40% - Accent4 2 2 2 4 4" xfId="10041" xr:uid="{5CC8DFFC-02AD-4580-878B-DE961187025A}"/>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2 2 2" xfId="16817" xr:uid="{E0DFCECE-19AE-4BDF-985E-1E470DB30885}"/>
    <cellStyle name="40% - Accent4 2 2 2 5 2 3" xfId="12599" xr:uid="{68A13197-A8B3-48F1-B799-CC705E4DFFAA}"/>
    <cellStyle name="40% - Accent4 2 2 2 5 3" xfId="6233" xr:uid="{00000000-0005-0000-0000-0000B4050000}"/>
    <cellStyle name="40% - Accent4 2 2 2 5 3 2" xfId="14672" xr:uid="{90FBC73B-1B19-4194-BE82-730B87E174F1}"/>
    <cellStyle name="40% - Accent4 2 2 2 5 4" xfId="10454" xr:uid="{732C7C41-4DBF-4F7E-BE55-3D4970A564A6}"/>
    <cellStyle name="40% - Accent4 2 2 2 6" xfId="2339" xr:uid="{00000000-0005-0000-0000-0000B5050000}"/>
    <cellStyle name="40% - Accent4 2 2 2 6 2" xfId="6646" xr:uid="{00000000-0005-0000-0000-0000B6050000}"/>
    <cellStyle name="40% - Accent4 2 2 2 6 2 2" xfId="15085" xr:uid="{024CB4F5-956B-4587-A13A-4CC827867857}"/>
    <cellStyle name="40% - Accent4 2 2 2 6 3" xfId="10867" xr:uid="{62FA62C3-199F-4EA1-93CA-18EED98C051F}"/>
    <cellStyle name="40% - Accent4 2 2 2 7" xfId="4580" xr:uid="{00000000-0005-0000-0000-0000B7050000}"/>
    <cellStyle name="40% - Accent4 2 2 2 7 2" xfId="13019" xr:uid="{3B0A6047-1386-49C1-AF21-189F7CF107F7}"/>
    <cellStyle name="40% - Accent4 2 2 2 8" xfId="8801" xr:uid="{89722D24-8787-4D6E-B75A-C1FB48BEEB82}"/>
    <cellStyle name="40% - Accent4 2 2 3" xfId="644" xr:uid="{00000000-0005-0000-0000-0000B8050000}"/>
    <cellStyle name="40% - Accent4 2 2 3 2" xfId="2915" xr:uid="{00000000-0005-0000-0000-0000B9050000}"/>
    <cellStyle name="40% - Accent4 2 2 3 2 2" xfId="7138" xr:uid="{00000000-0005-0000-0000-0000BA050000}"/>
    <cellStyle name="40% - Accent4 2 2 3 2 2 2" xfId="15577" xr:uid="{1B390119-4BD5-4260-A102-765E2313F4AD}"/>
    <cellStyle name="40% - Accent4 2 2 3 2 3" xfId="11359" xr:uid="{F7A6DD2E-3352-4622-99D0-E8F13F2D4BEB}"/>
    <cellStyle name="40% - Accent4 2 2 3 3" xfId="4993" xr:uid="{00000000-0005-0000-0000-0000BB050000}"/>
    <cellStyle name="40% - Accent4 2 2 3 3 2" xfId="13432" xr:uid="{A44937E3-CF9D-4F0C-A4ED-0EBBAD26FD5A}"/>
    <cellStyle name="40% - Accent4 2 2 3 4" xfId="9214" xr:uid="{A5A1AC9E-11AB-4DC6-9C33-0CE080F9235A}"/>
    <cellStyle name="40% - Accent4 2 2 4" xfId="1097" xr:uid="{00000000-0005-0000-0000-0000BC050000}"/>
    <cellStyle name="40% - Accent4 2 2 4 2" xfId="3328" xr:uid="{00000000-0005-0000-0000-0000BD050000}"/>
    <cellStyle name="40% - Accent4 2 2 4 2 2" xfId="7551" xr:uid="{00000000-0005-0000-0000-0000BE050000}"/>
    <cellStyle name="40% - Accent4 2 2 4 2 2 2" xfId="15990" xr:uid="{8095447E-BDA4-4293-8E54-9AD2A0B164D6}"/>
    <cellStyle name="40% - Accent4 2 2 4 2 3" xfId="11772" xr:uid="{683321F7-38FC-49A4-9F03-1B89E75B7C52}"/>
    <cellStyle name="40% - Accent4 2 2 4 3" xfId="5406" xr:uid="{00000000-0005-0000-0000-0000BF050000}"/>
    <cellStyle name="40% - Accent4 2 2 4 3 2" xfId="13845" xr:uid="{6C811A52-B82F-4982-B3ED-60BB036ED197}"/>
    <cellStyle name="40% - Accent4 2 2 4 4" xfId="9627" xr:uid="{BB01B653-D011-4015-90F9-FCE8A7F8A071}"/>
    <cellStyle name="40% - Accent4 2 2 5" xfId="1511" xr:uid="{00000000-0005-0000-0000-0000C0050000}"/>
    <cellStyle name="40% - Accent4 2 2 5 2" xfId="3741" xr:uid="{00000000-0005-0000-0000-0000C1050000}"/>
    <cellStyle name="40% - Accent4 2 2 5 2 2" xfId="7964" xr:uid="{00000000-0005-0000-0000-0000C2050000}"/>
    <cellStyle name="40% - Accent4 2 2 5 2 2 2" xfId="16403" xr:uid="{ECC6F63C-7038-4D15-9EED-677B83239D00}"/>
    <cellStyle name="40% - Accent4 2 2 5 2 3" xfId="12185" xr:uid="{CF05E3FA-2BE7-4458-9BA5-E05F897CEE0E}"/>
    <cellStyle name="40% - Accent4 2 2 5 3" xfId="5819" xr:uid="{00000000-0005-0000-0000-0000C3050000}"/>
    <cellStyle name="40% - Accent4 2 2 5 3 2" xfId="14258" xr:uid="{819887CD-C6F2-4C7E-BC52-59FF61222BCB}"/>
    <cellStyle name="40% - Accent4 2 2 5 4" xfId="10040" xr:uid="{AE77274A-4ED3-4F7B-8ADB-D6B0FD956D9C}"/>
    <cellStyle name="40% - Accent4 2 2 6" xfId="1925" xr:uid="{00000000-0005-0000-0000-0000C4050000}"/>
    <cellStyle name="40% - Accent4 2 2 6 2" xfId="4154" xr:uid="{00000000-0005-0000-0000-0000C5050000}"/>
    <cellStyle name="40% - Accent4 2 2 6 2 2" xfId="8377" xr:uid="{00000000-0005-0000-0000-0000C6050000}"/>
    <cellStyle name="40% - Accent4 2 2 6 2 2 2" xfId="16816" xr:uid="{E7C09666-A215-44A2-B640-2EA4295DBE52}"/>
    <cellStyle name="40% - Accent4 2 2 6 2 3" xfId="12598" xr:uid="{7DCF7DBB-ED0C-4642-8CD3-831A49592C0B}"/>
    <cellStyle name="40% - Accent4 2 2 6 3" xfId="6232" xr:uid="{00000000-0005-0000-0000-0000C7050000}"/>
    <cellStyle name="40% - Accent4 2 2 6 3 2" xfId="14671" xr:uid="{D2166B58-DF90-459E-A843-F1452C7592FE}"/>
    <cellStyle name="40% - Accent4 2 2 6 4" xfId="10453" xr:uid="{FCB2F59C-6EE5-4C86-8023-50D8A95F41B7}"/>
    <cellStyle name="40% - Accent4 2 2 7" xfId="2338" xr:uid="{00000000-0005-0000-0000-0000C8050000}"/>
    <cellStyle name="40% - Accent4 2 2 7 2" xfId="6645" xr:uid="{00000000-0005-0000-0000-0000C9050000}"/>
    <cellStyle name="40% - Accent4 2 2 7 2 2" xfId="15084" xr:uid="{7189BCD7-FC82-44A1-9158-A3299C368945}"/>
    <cellStyle name="40% - Accent4 2 2 7 3" xfId="10866" xr:uid="{FA370CC4-1094-4583-9676-10AD0EDD6E4D}"/>
    <cellStyle name="40% - Accent4 2 2 8" xfId="4579" xr:uid="{00000000-0005-0000-0000-0000CA050000}"/>
    <cellStyle name="40% - Accent4 2 2 8 2" xfId="13018" xr:uid="{045FB5EC-2F5A-4F93-8F13-27CD9D2C5588}"/>
    <cellStyle name="40% - Accent4 2 2 9" xfId="8800" xr:uid="{DBA66F2B-F008-4E35-B3E6-3E720AA2F875}"/>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2 2 2" xfId="15579" xr:uid="{9DAAB4A3-59EC-44F0-BD2A-322238A59581}"/>
    <cellStyle name="40% - Accent4 2 3 2 2 3" xfId="11361" xr:uid="{FB1611FC-C470-44F6-9215-5AE4D5D0683E}"/>
    <cellStyle name="40% - Accent4 2 3 2 3" xfId="4995" xr:uid="{00000000-0005-0000-0000-0000CF050000}"/>
    <cellStyle name="40% - Accent4 2 3 2 3 2" xfId="13434" xr:uid="{0A90B2FB-F208-48F8-8ABC-A3E3CE2A1824}"/>
    <cellStyle name="40% - Accent4 2 3 2 4" xfId="9216" xr:uid="{530741B4-E1CD-4E04-B1DA-14A780567118}"/>
    <cellStyle name="40% - Accent4 2 3 3" xfId="1099" xr:uid="{00000000-0005-0000-0000-0000D0050000}"/>
    <cellStyle name="40% - Accent4 2 3 3 2" xfId="3330" xr:uid="{00000000-0005-0000-0000-0000D1050000}"/>
    <cellStyle name="40% - Accent4 2 3 3 2 2" xfId="7553" xr:uid="{00000000-0005-0000-0000-0000D2050000}"/>
    <cellStyle name="40% - Accent4 2 3 3 2 2 2" xfId="15992" xr:uid="{D59C2DF6-1EAA-40ED-A60B-955282F93C41}"/>
    <cellStyle name="40% - Accent4 2 3 3 2 3" xfId="11774" xr:uid="{DCB88E00-2D83-41E8-932D-8E5F1576D32A}"/>
    <cellStyle name="40% - Accent4 2 3 3 3" xfId="5408" xr:uid="{00000000-0005-0000-0000-0000D3050000}"/>
    <cellStyle name="40% - Accent4 2 3 3 3 2" xfId="13847" xr:uid="{2D3C51FE-4838-45B9-8FE7-57DBF14FFE56}"/>
    <cellStyle name="40% - Accent4 2 3 3 4" xfId="9629" xr:uid="{F28E77BC-58C3-4617-9DAD-AC81671A1241}"/>
    <cellStyle name="40% - Accent4 2 3 4" xfId="1513" xr:uid="{00000000-0005-0000-0000-0000D4050000}"/>
    <cellStyle name="40% - Accent4 2 3 4 2" xfId="3743" xr:uid="{00000000-0005-0000-0000-0000D5050000}"/>
    <cellStyle name="40% - Accent4 2 3 4 2 2" xfId="7966" xr:uid="{00000000-0005-0000-0000-0000D6050000}"/>
    <cellStyle name="40% - Accent4 2 3 4 2 2 2" xfId="16405" xr:uid="{3ECB4E00-D1FC-4AE6-A45E-E11FB4EF9887}"/>
    <cellStyle name="40% - Accent4 2 3 4 2 3" xfId="12187" xr:uid="{A550BAF6-B39C-43ED-A0EE-E99E69442610}"/>
    <cellStyle name="40% - Accent4 2 3 4 3" xfId="5821" xr:uid="{00000000-0005-0000-0000-0000D7050000}"/>
    <cellStyle name="40% - Accent4 2 3 4 3 2" xfId="14260" xr:uid="{1520A737-EAE3-4C10-96F6-65F023E82F3D}"/>
    <cellStyle name="40% - Accent4 2 3 4 4" xfId="10042" xr:uid="{9249128B-AC6B-4AFF-8692-2DC92CEB53A8}"/>
    <cellStyle name="40% - Accent4 2 3 5" xfId="1927" xr:uid="{00000000-0005-0000-0000-0000D8050000}"/>
    <cellStyle name="40% - Accent4 2 3 5 2" xfId="4156" xr:uid="{00000000-0005-0000-0000-0000D9050000}"/>
    <cellStyle name="40% - Accent4 2 3 5 2 2" xfId="8379" xr:uid="{00000000-0005-0000-0000-0000DA050000}"/>
    <cellStyle name="40% - Accent4 2 3 5 2 2 2" xfId="16818" xr:uid="{CEF01395-18C8-4616-A075-BD5DC6769BD7}"/>
    <cellStyle name="40% - Accent4 2 3 5 2 3" xfId="12600" xr:uid="{4EE9AB84-0F5C-4F74-BF57-12B56C6F832E}"/>
    <cellStyle name="40% - Accent4 2 3 5 3" xfId="6234" xr:uid="{00000000-0005-0000-0000-0000DB050000}"/>
    <cellStyle name="40% - Accent4 2 3 5 3 2" xfId="14673" xr:uid="{B682AD08-07E6-4BC5-AAC9-FAB49A4023CC}"/>
    <cellStyle name="40% - Accent4 2 3 5 4" xfId="10455" xr:uid="{D4F90974-A4A9-4BAF-A772-6C9A18E802E2}"/>
    <cellStyle name="40% - Accent4 2 3 6" xfId="2340" xr:uid="{00000000-0005-0000-0000-0000DC050000}"/>
    <cellStyle name="40% - Accent4 2 3 6 2" xfId="6647" xr:uid="{00000000-0005-0000-0000-0000DD050000}"/>
    <cellStyle name="40% - Accent4 2 3 6 2 2" xfId="15086" xr:uid="{D5783958-AD8F-4448-9848-039BFC4C6BF0}"/>
    <cellStyle name="40% - Accent4 2 3 6 3" xfId="10868" xr:uid="{14AD96A3-981D-4743-8FCE-B096123EDE6E}"/>
    <cellStyle name="40% - Accent4 2 3 7" xfId="4581" xr:uid="{00000000-0005-0000-0000-0000DE050000}"/>
    <cellStyle name="40% - Accent4 2 3 7 2" xfId="13020" xr:uid="{FEE7478C-8A17-41EF-ACAE-14ECFBA28909}"/>
    <cellStyle name="40% - Accent4 2 3 8" xfId="8802" xr:uid="{E992B3CE-3D2A-4E49-B3CA-4901462AA8A0}"/>
    <cellStyle name="40% - Accent4 2 4" xfId="643" xr:uid="{00000000-0005-0000-0000-0000DF050000}"/>
    <cellStyle name="40% - Accent4 2 4 2" xfId="2914" xr:uid="{00000000-0005-0000-0000-0000E0050000}"/>
    <cellStyle name="40% - Accent4 2 4 2 2" xfId="7137" xr:uid="{00000000-0005-0000-0000-0000E1050000}"/>
    <cellStyle name="40% - Accent4 2 4 2 2 2" xfId="15576" xr:uid="{06C6B392-4BDC-4C64-8E3A-FECAC36FF7D5}"/>
    <cellStyle name="40% - Accent4 2 4 2 3" xfId="11358" xr:uid="{AAC4273E-DBA9-4D9A-BB6C-B73D81A8ED7D}"/>
    <cellStyle name="40% - Accent4 2 4 3" xfId="4992" xr:uid="{00000000-0005-0000-0000-0000E2050000}"/>
    <cellStyle name="40% - Accent4 2 4 3 2" xfId="13431" xr:uid="{90FDB02C-9C21-4512-B5B7-4CB72F059E98}"/>
    <cellStyle name="40% - Accent4 2 4 4" xfId="9213" xr:uid="{82537F22-5B52-4F9E-987A-48B305C64643}"/>
    <cellStyle name="40% - Accent4 2 5" xfId="1096" xr:uid="{00000000-0005-0000-0000-0000E3050000}"/>
    <cellStyle name="40% - Accent4 2 5 2" xfId="3327" xr:uid="{00000000-0005-0000-0000-0000E4050000}"/>
    <cellStyle name="40% - Accent4 2 5 2 2" xfId="7550" xr:uid="{00000000-0005-0000-0000-0000E5050000}"/>
    <cellStyle name="40% - Accent4 2 5 2 2 2" xfId="15989" xr:uid="{A7ADFF97-B915-4318-9DBA-5E915E8F8C0B}"/>
    <cellStyle name="40% - Accent4 2 5 2 3" xfId="11771" xr:uid="{1CAC2F75-85AB-403B-B865-70C97A50CDBB}"/>
    <cellStyle name="40% - Accent4 2 5 3" xfId="5405" xr:uid="{00000000-0005-0000-0000-0000E6050000}"/>
    <cellStyle name="40% - Accent4 2 5 3 2" xfId="13844" xr:uid="{70733D05-8551-4A31-A7A6-C302B5CEF530}"/>
    <cellStyle name="40% - Accent4 2 5 4" xfId="9626" xr:uid="{4F6C27F7-2174-4190-B691-41ED1B1F68D7}"/>
    <cellStyle name="40% - Accent4 2 6" xfId="1510" xr:uid="{00000000-0005-0000-0000-0000E7050000}"/>
    <cellStyle name="40% - Accent4 2 6 2" xfId="3740" xr:uid="{00000000-0005-0000-0000-0000E8050000}"/>
    <cellStyle name="40% - Accent4 2 6 2 2" xfId="7963" xr:uid="{00000000-0005-0000-0000-0000E9050000}"/>
    <cellStyle name="40% - Accent4 2 6 2 2 2" xfId="16402" xr:uid="{717A80FD-3E74-4389-8CFB-50B93133DCEE}"/>
    <cellStyle name="40% - Accent4 2 6 2 3" xfId="12184" xr:uid="{675C74DE-F0CA-4BEC-A8CE-0EEBE1E670F9}"/>
    <cellStyle name="40% - Accent4 2 6 3" xfId="5818" xr:uid="{00000000-0005-0000-0000-0000EA050000}"/>
    <cellStyle name="40% - Accent4 2 6 3 2" xfId="14257" xr:uid="{7BC5DBBA-DE08-434E-80A8-0F90DA28361E}"/>
    <cellStyle name="40% - Accent4 2 6 4" xfId="10039" xr:uid="{1AD66D00-454F-49D7-9C10-EA49B6EAD711}"/>
    <cellStyle name="40% - Accent4 2 7" xfId="1924" xr:uid="{00000000-0005-0000-0000-0000EB050000}"/>
    <cellStyle name="40% - Accent4 2 7 2" xfId="4153" xr:uid="{00000000-0005-0000-0000-0000EC050000}"/>
    <cellStyle name="40% - Accent4 2 7 2 2" xfId="8376" xr:uid="{00000000-0005-0000-0000-0000ED050000}"/>
    <cellStyle name="40% - Accent4 2 7 2 2 2" xfId="16815" xr:uid="{7E4E7CEC-F0BC-4F41-9DF4-4C8A03BD19BD}"/>
    <cellStyle name="40% - Accent4 2 7 2 3" xfId="12597" xr:uid="{B68F44F7-FC41-4A32-83FA-530ADA151C1F}"/>
    <cellStyle name="40% - Accent4 2 7 3" xfId="6231" xr:uid="{00000000-0005-0000-0000-0000EE050000}"/>
    <cellStyle name="40% - Accent4 2 7 3 2" xfId="14670" xr:uid="{53E89787-DF22-4D09-A372-E1388A275880}"/>
    <cellStyle name="40% - Accent4 2 7 4" xfId="10452" xr:uid="{F8FAA572-D9E6-474C-8F68-C2628F0760AE}"/>
    <cellStyle name="40% - Accent4 2 8" xfId="2337" xr:uid="{00000000-0005-0000-0000-0000EF050000}"/>
    <cellStyle name="40% - Accent4 2 8 2" xfId="6644" xr:uid="{00000000-0005-0000-0000-0000F0050000}"/>
    <cellStyle name="40% - Accent4 2 8 2 2" xfId="15083" xr:uid="{CD060871-417F-4967-B96E-211933D33FF7}"/>
    <cellStyle name="40% - Accent4 2 8 3" xfId="10865" xr:uid="{0FA92035-F341-4164-BAD0-401E9852100D}"/>
    <cellStyle name="40% - Accent4 2 9" xfId="4578" xr:uid="{00000000-0005-0000-0000-0000F1050000}"/>
    <cellStyle name="40% - Accent4 2 9 2" xfId="13017" xr:uid="{4165FF75-A25F-4C22-B2F9-FACFA799D8E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2 2 2" xfId="15581" xr:uid="{10989535-980B-48AF-8C1E-62938A7DBDBB}"/>
    <cellStyle name="40% - Accent4 3 2 2 2 3" xfId="11363" xr:uid="{4F3EFC89-5699-4ABC-BCC1-99B59B150CBB}"/>
    <cellStyle name="40% - Accent4 3 2 2 3" xfId="4997" xr:uid="{00000000-0005-0000-0000-0000F7050000}"/>
    <cellStyle name="40% - Accent4 3 2 2 3 2" xfId="13436" xr:uid="{D9E4CBB7-0E1C-4F1C-9452-44BE2B51EA74}"/>
    <cellStyle name="40% - Accent4 3 2 2 4" xfId="9218" xr:uid="{96C306C1-7A78-480C-889F-C91C308E15BA}"/>
    <cellStyle name="40% - Accent4 3 2 3" xfId="1101" xr:uid="{00000000-0005-0000-0000-0000F8050000}"/>
    <cellStyle name="40% - Accent4 3 2 3 2" xfId="3332" xr:uid="{00000000-0005-0000-0000-0000F9050000}"/>
    <cellStyle name="40% - Accent4 3 2 3 2 2" xfId="7555" xr:uid="{00000000-0005-0000-0000-0000FA050000}"/>
    <cellStyle name="40% - Accent4 3 2 3 2 2 2" xfId="15994" xr:uid="{4D2FCD65-F522-4FC3-9FAD-ADE686C759E3}"/>
    <cellStyle name="40% - Accent4 3 2 3 2 3" xfId="11776" xr:uid="{FB429723-88CF-4E65-8701-4FCB664384B1}"/>
    <cellStyle name="40% - Accent4 3 2 3 3" xfId="5410" xr:uid="{00000000-0005-0000-0000-0000FB050000}"/>
    <cellStyle name="40% - Accent4 3 2 3 3 2" xfId="13849" xr:uid="{392DE18D-0BC1-40DA-8513-DA085F878683}"/>
    <cellStyle name="40% - Accent4 3 2 3 4" xfId="9631" xr:uid="{CEEC2A27-70B3-4A88-A28C-E4BF943B649B}"/>
    <cellStyle name="40% - Accent4 3 2 4" xfId="1515" xr:uid="{00000000-0005-0000-0000-0000FC050000}"/>
    <cellStyle name="40% - Accent4 3 2 4 2" xfId="3745" xr:uid="{00000000-0005-0000-0000-0000FD050000}"/>
    <cellStyle name="40% - Accent4 3 2 4 2 2" xfId="7968" xr:uid="{00000000-0005-0000-0000-0000FE050000}"/>
    <cellStyle name="40% - Accent4 3 2 4 2 2 2" xfId="16407" xr:uid="{0C3796F6-603A-4E76-9970-EAE9FF3BADF5}"/>
    <cellStyle name="40% - Accent4 3 2 4 2 3" xfId="12189" xr:uid="{D7FB0407-2675-4E7D-A026-C40B32C098A5}"/>
    <cellStyle name="40% - Accent4 3 2 4 3" xfId="5823" xr:uid="{00000000-0005-0000-0000-0000FF050000}"/>
    <cellStyle name="40% - Accent4 3 2 4 3 2" xfId="14262" xr:uid="{507C12B1-8F57-44BF-BDB3-03F4A93B2183}"/>
    <cellStyle name="40% - Accent4 3 2 4 4" xfId="10044" xr:uid="{907827E7-70D9-4E03-BDDE-883BF329E00F}"/>
    <cellStyle name="40% - Accent4 3 2 5" xfId="1929" xr:uid="{00000000-0005-0000-0000-000000060000}"/>
    <cellStyle name="40% - Accent4 3 2 5 2" xfId="4158" xr:uid="{00000000-0005-0000-0000-000001060000}"/>
    <cellStyle name="40% - Accent4 3 2 5 2 2" xfId="8381" xr:uid="{00000000-0005-0000-0000-000002060000}"/>
    <cellStyle name="40% - Accent4 3 2 5 2 2 2" xfId="16820" xr:uid="{B8104123-3A66-4A94-BE4D-AF3970726386}"/>
    <cellStyle name="40% - Accent4 3 2 5 2 3" xfId="12602" xr:uid="{9FE38151-63DD-40C4-BBC1-91737F720FBA}"/>
    <cellStyle name="40% - Accent4 3 2 5 3" xfId="6236" xr:uid="{00000000-0005-0000-0000-000003060000}"/>
    <cellStyle name="40% - Accent4 3 2 5 3 2" xfId="14675" xr:uid="{4044A8F3-2E35-4A5B-9AB0-2433A579A3FC}"/>
    <cellStyle name="40% - Accent4 3 2 5 4" xfId="10457" xr:uid="{8A399EB9-64AF-4520-9BC3-6C93F4B28A3D}"/>
    <cellStyle name="40% - Accent4 3 2 6" xfId="2342" xr:uid="{00000000-0005-0000-0000-000004060000}"/>
    <cellStyle name="40% - Accent4 3 2 6 2" xfId="6649" xr:uid="{00000000-0005-0000-0000-000005060000}"/>
    <cellStyle name="40% - Accent4 3 2 6 2 2" xfId="15088" xr:uid="{355EB1F3-C5DF-4656-86C9-96AC6DDB086B}"/>
    <cellStyle name="40% - Accent4 3 2 6 3" xfId="10870" xr:uid="{3F7D8EE2-D6FB-4A89-A713-EBA786DF5F2E}"/>
    <cellStyle name="40% - Accent4 3 2 7" xfId="4583" xr:uid="{00000000-0005-0000-0000-000006060000}"/>
    <cellStyle name="40% - Accent4 3 2 7 2" xfId="13022" xr:uid="{00C931E9-1FA3-453E-8C06-743C530AFB69}"/>
    <cellStyle name="40% - Accent4 3 2 8" xfId="8804" xr:uid="{366E390E-BEA7-4C0D-9358-D4014C778F88}"/>
    <cellStyle name="40% - Accent4 3 3" xfId="647" xr:uid="{00000000-0005-0000-0000-000007060000}"/>
    <cellStyle name="40% - Accent4 3 3 2" xfId="2918" xr:uid="{00000000-0005-0000-0000-000008060000}"/>
    <cellStyle name="40% - Accent4 3 3 2 2" xfId="7141" xr:uid="{00000000-0005-0000-0000-000009060000}"/>
    <cellStyle name="40% - Accent4 3 3 2 2 2" xfId="15580" xr:uid="{BB2B8BA3-07E7-4213-896E-F611F6AAFA27}"/>
    <cellStyle name="40% - Accent4 3 3 2 3" xfId="11362" xr:uid="{D572097F-F781-4B81-931B-CE72AA084CD4}"/>
    <cellStyle name="40% - Accent4 3 3 3" xfId="4996" xr:uid="{00000000-0005-0000-0000-00000A060000}"/>
    <cellStyle name="40% - Accent4 3 3 3 2" xfId="13435" xr:uid="{831FD97B-8D1A-4EF2-BE46-93314AA7F6B8}"/>
    <cellStyle name="40% - Accent4 3 3 4" xfId="9217" xr:uid="{9B5A8454-D690-4FC4-A456-3E2BEA455227}"/>
    <cellStyle name="40% - Accent4 3 4" xfId="1100" xr:uid="{00000000-0005-0000-0000-00000B060000}"/>
    <cellStyle name="40% - Accent4 3 4 2" xfId="3331" xr:uid="{00000000-0005-0000-0000-00000C060000}"/>
    <cellStyle name="40% - Accent4 3 4 2 2" xfId="7554" xr:uid="{00000000-0005-0000-0000-00000D060000}"/>
    <cellStyle name="40% - Accent4 3 4 2 2 2" xfId="15993" xr:uid="{0894E1E7-7D1B-487C-9B31-AD2D5D4EB8A5}"/>
    <cellStyle name="40% - Accent4 3 4 2 3" xfId="11775" xr:uid="{09716102-73A5-4928-B4D5-BA2A41AE4B7A}"/>
    <cellStyle name="40% - Accent4 3 4 3" xfId="5409" xr:uid="{00000000-0005-0000-0000-00000E060000}"/>
    <cellStyle name="40% - Accent4 3 4 3 2" xfId="13848" xr:uid="{45B64AF8-A146-431F-A1F9-D1EDEBF7051E}"/>
    <cellStyle name="40% - Accent4 3 4 4" xfId="9630" xr:uid="{17E5BF83-1A55-4C41-BCA6-B0DC2AAE2618}"/>
    <cellStyle name="40% - Accent4 3 5" xfId="1514" xr:uid="{00000000-0005-0000-0000-00000F060000}"/>
    <cellStyle name="40% - Accent4 3 5 2" xfId="3744" xr:uid="{00000000-0005-0000-0000-000010060000}"/>
    <cellStyle name="40% - Accent4 3 5 2 2" xfId="7967" xr:uid="{00000000-0005-0000-0000-000011060000}"/>
    <cellStyle name="40% - Accent4 3 5 2 2 2" xfId="16406" xr:uid="{775C9359-89DC-400B-BFF2-78A2C28CD6B6}"/>
    <cellStyle name="40% - Accent4 3 5 2 3" xfId="12188" xr:uid="{FA574216-EC13-410C-AF12-C40C00BCD71C}"/>
    <cellStyle name="40% - Accent4 3 5 3" xfId="5822" xr:uid="{00000000-0005-0000-0000-000012060000}"/>
    <cellStyle name="40% - Accent4 3 5 3 2" xfId="14261" xr:uid="{9A8671C1-92CC-4F68-A1DF-2BEA9142D521}"/>
    <cellStyle name="40% - Accent4 3 5 4" xfId="10043" xr:uid="{6681AF4C-8BA0-41D0-9814-243604D8E39B}"/>
    <cellStyle name="40% - Accent4 3 6" xfId="1928" xr:uid="{00000000-0005-0000-0000-000013060000}"/>
    <cellStyle name="40% - Accent4 3 6 2" xfId="4157" xr:uid="{00000000-0005-0000-0000-000014060000}"/>
    <cellStyle name="40% - Accent4 3 6 2 2" xfId="8380" xr:uid="{00000000-0005-0000-0000-000015060000}"/>
    <cellStyle name="40% - Accent4 3 6 2 2 2" xfId="16819" xr:uid="{19D29E84-9553-47C8-9CEA-80CADF58E023}"/>
    <cellStyle name="40% - Accent4 3 6 2 3" xfId="12601" xr:uid="{66E92C5C-BFAE-433C-A344-2A0A39887125}"/>
    <cellStyle name="40% - Accent4 3 6 3" xfId="6235" xr:uid="{00000000-0005-0000-0000-000016060000}"/>
    <cellStyle name="40% - Accent4 3 6 3 2" xfId="14674" xr:uid="{255978F0-8F4C-4CFF-858F-E0F788C75FF3}"/>
    <cellStyle name="40% - Accent4 3 6 4" xfId="10456" xr:uid="{11DA0862-67C9-4FD9-9B8F-D9C00A6CB6B9}"/>
    <cellStyle name="40% - Accent4 3 7" xfId="2341" xr:uid="{00000000-0005-0000-0000-000017060000}"/>
    <cellStyle name="40% - Accent4 3 7 2" xfId="6648" xr:uid="{00000000-0005-0000-0000-000018060000}"/>
    <cellStyle name="40% - Accent4 3 7 2 2" xfId="15087" xr:uid="{BA9332FF-67F5-4364-8B8A-680A0FE4E71A}"/>
    <cellStyle name="40% - Accent4 3 7 3" xfId="10869" xr:uid="{44BB9416-0EA0-45AC-A015-7340555720A8}"/>
    <cellStyle name="40% - Accent4 3 8" xfId="4582" xr:uid="{00000000-0005-0000-0000-000019060000}"/>
    <cellStyle name="40% - Accent4 3 8 2" xfId="13021" xr:uid="{8A24128A-975B-44A9-B7D1-60452B5F07AF}"/>
    <cellStyle name="40% - Accent4 3 9" xfId="8803" xr:uid="{102EFE17-FB2B-4650-9EE7-33BD61D5C9ED}"/>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2 2 2" xfId="15582" xr:uid="{F669E47E-92EE-41F6-AF85-B876B3E43F6D}"/>
    <cellStyle name="40% - Accent4 4 2 2 3" xfId="11364" xr:uid="{9C798615-D1E3-405D-B841-0355A5AE31B7}"/>
    <cellStyle name="40% - Accent4 4 2 3" xfId="4998" xr:uid="{00000000-0005-0000-0000-00001E060000}"/>
    <cellStyle name="40% - Accent4 4 2 3 2" xfId="13437" xr:uid="{9F8B2554-6804-4C84-9D08-A1C0CB0813B3}"/>
    <cellStyle name="40% - Accent4 4 2 4" xfId="9219" xr:uid="{92674B11-3E4D-40F6-98FE-CDBE71B68FA5}"/>
    <cellStyle name="40% - Accent4 4 3" xfId="1102" xr:uid="{00000000-0005-0000-0000-00001F060000}"/>
    <cellStyle name="40% - Accent4 4 3 2" xfId="3333" xr:uid="{00000000-0005-0000-0000-000020060000}"/>
    <cellStyle name="40% - Accent4 4 3 2 2" xfId="7556" xr:uid="{00000000-0005-0000-0000-000021060000}"/>
    <cellStyle name="40% - Accent4 4 3 2 2 2" xfId="15995" xr:uid="{1FD53CBF-50A4-4F0D-AD4D-4B495185AA56}"/>
    <cellStyle name="40% - Accent4 4 3 2 3" xfId="11777" xr:uid="{8D6C2E8F-7506-4291-9557-414D110DFF8B}"/>
    <cellStyle name="40% - Accent4 4 3 3" xfId="5411" xr:uid="{00000000-0005-0000-0000-000022060000}"/>
    <cellStyle name="40% - Accent4 4 3 3 2" xfId="13850" xr:uid="{9E6A6F5A-72F1-4D82-A87D-27622AF30C6E}"/>
    <cellStyle name="40% - Accent4 4 3 4" xfId="9632" xr:uid="{6D3DD7CF-C6BC-4D2D-A7AE-A37864E7F86C}"/>
    <cellStyle name="40% - Accent4 4 4" xfId="1516" xr:uid="{00000000-0005-0000-0000-000023060000}"/>
    <cellStyle name="40% - Accent4 4 4 2" xfId="3746" xr:uid="{00000000-0005-0000-0000-000024060000}"/>
    <cellStyle name="40% - Accent4 4 4 2 2" xfId="7969" xr:uid="{00000000-0005-0000-0000-000025060000}"/>
    <cellStyle name="40% - Accent4 4 4 2 2 2" xfId="16408" xr:uid="{1B60D052-8D1F-41EB-A1D0-4C2CF7D3A10C}"/>
    <cellStyle name="40% - Accent4 4 4 2 3" xfId="12190" xr:uid="{D68187D1-42DE-4553-9F02-3437244A2A85}"/>
    <cellStyle name="40% - Accent4 4 4 3" xfId="5824" xr:uid="{00000000-0005-0000-0000-000026060000}"/>
    <cellStyle name="40% - Accent4 4 4 3 2" xfId="14263" xr:uid="{6DDF1740-DF7D-4FC8-AB8D-B6CDD7CAD6DE}"/>
    <cellStyle name="40% - Accent4 4 4 4" xfId="10045" xr:uid="{17F0C3ED-1BFE-42DC-8885-375591C1BC78}"/>
    <cellStyle name="40% - Accent4 4 5" xfId="1930" xr:uid="{00000000-0005-0000-0000-000027060000}"/>
    <cellStyle name="40% - Accent4 4 5 2" xfId="4159" xr:uid="{00000000-0005-0000-0000-000028060000}"/>
    <cellStyle name="40% - Accent4 4 5 2 2" xfId="8382" xr:uid="{00000000-0005-0000-0000-000029060000}"/>
    <cellStyle name="40% - Accent4 4 5 2 2 2" xfId="16821" xr:uid="{281F2659-4BB0-4B79-8B5C-C3909C17EB96}"/>
    <cellStyle name="40% - Accent4 4 5 2 3" xfId="12603" xr:uid="{A620E1BA-7110-4942-AEED-3006504D37C1}"/>
    <cellStyle name="40% - Accent4 4 5 3" xfId="6237" xr:uid="{00000000-0005-0000-0000-00002A060000}"/>
    <cellStyle name="40% - Accent4 4 5 3 2" xfId="14676" xr:uid="{BDD83D61-AF96-443A-910A-E164634B94E9}"/>
    <cellStyle name="40% - Accent4 4 5 4" xfId="10458" xr:uid="{42A29613-8A61-462F-A356-FB9B69D30EC2}"/>
    <cellStyle name="40% - Accent4 4 6" xfId="2343" xr:uid="{00000000-0005-0000-0000-00002B060000}"/>
    <cellStyle name="40% - Accent4 4 6 2" xfId="6650" xr:uid="{00000000-0005-0000-0000-00002C060000}"/>
    <cellStyle name="40% - Accent4 4 6 2 2" xfId="15089" xr:uid="{7AD0EACA-A5B2-4416-BF59-ECB910EFCFB3}"/>
    <cellStyle name="40% - Accent4 4 6 3" xfId="10871" xr:uid="{3D17B66B-3D61-4AE6-A3C5-B3A9C68425FE}"/>
    <cellStyle name="40% - Accent4 4 7" xfId="4584" xr:uid="{00000000-0005-0000-0000-00002D060000}"/>
    <cellStyle name="40% - Accent4 4 7 2" xfId="13023" xr:uid="{72D8A98E-5C23-414C-8093-47B8F17660A2}"/>
    <cellStyle name="40% - Accent4 4 8" xfId="8805" xr:uid="{27965AE6-350F-4E7E-9567-ED52F39E4F0D}"/>
    <cellStyle name="40% - Accent4 5" xfId="642" xr:uid="{00000000-0005-0000-0000-00002E060000}"/>
    <cellStyle name="40% - Accent4 5 2" xfId="2913" xr:uid="{00000000-0005-0000-0000-00002F060000}"/>
    <cellStyle name="40% - Accent4 5 2 2" xfId="7136" xr:uid="{00000000-0005-0000-0000-000030060000}"/>
    <cellStyle name="40% - Accent4 5 2 2 2" xfId="15575" xr:uid="{80965540-8341-4DFD-8EB4-6002CE981C0B}"/>
    <cellStyle name="40% - Accent4 5 2 3" xfId="11357" xr:uid="{30EB061B-44CF-4DA5-A8AC-A0A535395BCF}"/>
    <cellStyle name="40% - Accent4 5 3" xfId="4991" xr:uid="{00000000-0005-0000-0000-000031060000}"/>
    <cellStyle name="40% - Accent4 5 3 2" xfId="13430" xr:uid="{4805F2FA-1EC0-4BDE-8479-724D44356588}"/>
    <cellStyle name="40% - Accent4 5 4" xfId="9212" xr:uid="{1380034A-E74C-46D5-A157-5C9747459760}"/>
    <cellStyle name="40% - Accent4 6" xfId="1095" xr:uid="{00000000-0005-0000-0000-000032060000}"/>
    <cellStyle name="40% - Accent4 6 2" xfId="3326" xr:uid="{00000000-0005-0000-0000-000033060000}"/>
    <cellStyle name="40% - Accent4 6 2 2" xfId="7549" xr:uid="{00000000-0005-0000-0000-000034060000}"/>
    <cellStyle name="40% - Accent4 6 2 2 2" xfId="15988" xr:uid="{9274727C-F82F-4F78-B1B1-6FFE3A4830D4}"/>
    <cellStyle name="40% - Accent4 6 2 3" xfId="11770" xr:uid="{F8C284DE-B46F-4265-A10D-C758904DBEC1}"/>
    <cellStyle name="40% - Accent4 6 3" xfId="5404" xr:uid="{00000000-0005-0000-0000-000035060000}"/>
    <cellStyle name="40% - Accent4 6 3 2" xfId="13843" xr:uid="{0DD71E0A-01B3-4D3F-A2B2-92252084EC41}"/>
    <cellStyle name="40% - Accent4 6 4" xfId="9625" xr:uid="{3D712877-8819-456D-966D-4BC2360EAF4A}"/>
    <cellStyle name="40% - Accent4 7" xfId="1509" xr:uid="{00000000-0005-0000-0000-000036060000}"/>
    <cellStyle name="40% - Accent4 7 2" xfId="3739" xr:uid="{00000000-0005-0000-0000-000037060000}"/>
    <cellStyle name="40% - Accent4 7 2 2" xfId="7962" xr:uid="{00000000-0005-0000-0000-000038060000}"/>
    <cellStyle name="40% - Accent4 7 2 2 2" xfId="16401" xr:uid="{C4D8741C-4AE7-47BC-8838-FD4D78E7C1D0}"/>
    <cellStyle name="40% - Accent4 7 2 3" xfId="12183" xr:uid="{8E2894A3-5BAD-49E4-B304-BA389162E42C}"/>
    <cellStyle name="40% - Accent4 7 3" xfId="5817" xr:uid="{00000000-0005-0000-0000-000039060000}"/>
    <cellStyle name="40% - Accent4 7 3 2" xfId="14256" xr:uid="{F462200F-DED1-4A5D-BACE-E867781FBDD2}"/>
    <cellStyle name="40% - Accent4 7 4" xfId="10038" xr:uid="{BBB9B549-22C6-4740-8348-EB91B21400AB}"/>
    <cellStyle name="40% - Accent4 8" xfId="1923" xr:uid="{00000000-0005-0000-0000-00003A060000}"/>
    <cellStyle name="40% - Accent4 8 2" xfId="4152" xr:uid="{00000000-0005-0000-0000-00003B060000}"/>
    <cellStyle name="40% - Accent4 8 2 2" xfId="8375" xr:uid="{00000000-0005-0000-0000-00003C060000}"/>
    <cellStyle name="40% - Accent4 8 2 2 2" xfId="16814" xr:uid="{3F6CE3A1-E697-4115-A933-7FE9288C019D}"/>
    <cellStyle name="40% - Accent4 8 2 3" xfId="12596" xr:uid="{054D02CE-EA8C-4C7F-B595-9E20D6945C55}"/>
    <cellStyle name="40% - Accent4 8 3" xfId="6230" xr:uid="{00000000-0005-0000-0000-00003D060000}"/>
    <cellStyle name="40% - Accent4 8 3 2" xfId="14669" xr:uid="{3FC177A8-3F9D-4735-A7A3-B6D482C8FE1D}"/>
    <cellStyle name="40% - Accent4 8 4" xfId="10451" xr:uid="{73696062-8113-4DC7-BB3F-B37E1381908D}"/>
    <cellStyle name="40% - Accent4 9" xfId="2336" xr:uid="{00000000-0005-0000-0000-00003E060000}"/>
    <cellStyle name="40% - Accent4 9 2" xfId="6643" xr:uid="{00000000-0005-0000-0000-00003F060000}"/>
    <cellStyle name="40% - Accent4 9 2 2" xfId="15082" xr:uid="{5A90E255-6EBC-49D8-92B5-F1C7B06AF645}"/>
    <cellStyle name="40% - Accent4 9 3" xfId="10864" xr:uid="{8C472EB6-9A80-4314-85E6-8095DBDAFD1A}"/>
    <cellStyle name="40% - Accent5" xfId="81" builtinId="47" customBuiltin="1"/>
    <cellStyle name="40% - Accent5 10" xfId="4585" xr:uid="{00000000-0005-0000-0000-000041060000}"/>
    <cellStyle name="40% - Accent5 10 2" xfId="13024" xr:uid="{CBEDFC5D-8C49-4391-A1DA-D0545AC35354}"/>
    <cellStyle name="40% - Accent5 11" xfId="8806" xr:uid="{9424E9E4-0CC1-4CAA-81F8-53CAD2972CD0}"/>
    <cellStyle name="40% - Accent5 2" xfId="82" xr:uid="{00000000-0005-0000-0000-000042060000}"/>
    <cellStyle name="40% - Accent5 2 10" xfId="8807" xr:uid="{5CABA14A-5F04-4F27-A58A-CF5F1F7F12B7}"/>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2 2 2" xfId="15586" xr:uid="{84371AE0-C1E4-45F2-B7AC-4FC9C6DF0ECD}"/>
    <cellStyle name="40% - Accent5 2 2 2 2 2 3" xfId="11368" xr:uid="{60B2364D-0725-4A78-BE0B-4E59BF3680AE}"/>
    <cellStyle name="40% - Accent5 2 2 2 2 3" xfId="5002" xr:uid="{00000000-0005-0000-0000-000048060000}"/>
    <cellStyle name="40% - Accent5 2 2 2 2 3 2" xfId="13441" xr:uid="{852B911B-03C1-4799-9094-0F933B9EA6ED}"/>
    <cellStyle name="40% - Accent5 2 2 2 2 4" xfId="9223" xr:uid="{24DD3797-BE70-445C-8F8E-9CB249A429FB}"/>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2 2 2" xfId="15999" xr:uid="{CA248F0D-DCD4-46AD-B64D-751468EFB5C4}"/>
    <cellStyle name="40% - Accent5 2 2 2 3 2 3" xfId="11781" xr:uid="{9E43AA0A-D0D9-47E9-9337-EDC4E55FAB86}"/>
    <cellStyle name="40% - Accent5 2 2 2 3 3" xfId="5415" xr:uid="{00000000-0005-0000-0000-00004C060000}"/>
    <cellStyle name="40% - Accent5 2 2 2 3 3 2" xfId="13854" xr:uid="{734041D2-4140-4ACB-B06D-147F82035CE9}"/>
    <cellStyle name="40% - Accent5 2 2 2 3 4" xfId="9636" xr:uid="{4B52392E-3977-4FFE-8E55-F36A633237DF}"/>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2 2 2" xfId="16412" xr:uid="{4D2A6628-E6F8-49CF-8FC8-6755332A6C61}"/>
    <cellStyle name="40% - Accent5 2 2 2 4 2 3" xfId="12194" xr:uid="{E6971012-F207-476E-AABD-E68137F0A606}"/>
    <cellStyle name="40% - Accent5 2 2 2 4 3" xfId="5828" xr:uid="{00000000-0005-0000-0000-000050060000}"/>
    <cellStyle name="40% - Accent5 2 2 2 4 3 2" xfId="14267" xr:uid="{2308EA1E-D175-4B9D-B470-482A729B60AB}"/>
    <cellStyle name="40% - Accent5 2 2 2 4 4" xfId="10049" xr:uid="{71853844-0C6C-4156-9C5F-E27E343EBC1F}"/>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2 2 2" xfId="16825" xr:uid="{19FB1167-4FF6-4EEA-AD52-CFE78E42D1EA}"/>
    <cellStyle name="40% - Accent5 2 2 2 5 2 3" xfId="12607" xr:uid="{B3527376-F53E-4BAC-BC08-55B89DD026FA}"/>
    <cellStyle name="40% - Accent5 2 2 2 5 3" xfId="6241" xr:uid="{00000000-0005-0000-0000-000054060000}"/>
    <cellStyle name="40% - Accent5 2 2 2 5 3 2" xfId="14680" xr:uid="{A2B9412C-80A9-421E-93A2-AD8155400B29}"/>
    <cellStyle name="40% - Accent5 2 2 2 5 4" xfId="10462" xr:uid="{605DACAD-424E-499B-BB92-ED4147045288}"/>
    <cellStyle name="40% - Accent5 2 2 2 6" xfId="2347" xr:uid="{00000000-0005-0000-0000-000055060000}"/>
    <cellStyle name="40% - Accent5 2 2 2 6 2" xfId="6654" xr:uid="{00000000-0005-0000-0000-000056060000}"/>
    <cellStyle name="40% - Accent5 2 2 2 6 2 2" xfId="15093" xr:uid="{3250D407-8BA6-4998-A08D-BF1373848BE8}"/>
    <cellStyle name="40% - Accent5 2 2 2 6 3" xfId="10875" xr:uid="{76D5284A-BCA7-41FE-952F-F532EC6592E0}"/>
    <cellStyle name="40% - Accent5 2 2 2 7" xfId="4588" xr:uid="{00000000-0005-0000-0000-000057060000}"/>
    <cellStyle name="40% - Accent5 2 2 2 7 2" xfId="13027" xr:uid="{B532ADDF-637E-429A-BD85-6306EA9AB8FE}"/>
    <cellStyle name="40% - Accent5 2 2 2 8" xfId="8809" xr:uid="{3018F79D-7E71-46A6-ABF4-7A43D19EDE75}"/>
    <cellStyle name="40% - Accent5 2 2 3" xfId="652" xr:uid="{00000000-0005-0000-0000-000058060000}"/>
    <cellStyle name="40% - Accent5 2 2 3 2" xfId="2923" xr:uid="{00000000-0005-0000-0000-000059060000}"/>
    <cellStyle name="40% - Accent5 2 2 3 2 2" xfId="7146" xr:uid="{00000000-0005-0000-0000-00005A060000}"/>
    <cellStyle name="40% - Accent5 2 2 3 2 2 2" xfId="15585" xr:uid="{E50927E0-AA57-4E0A-BED3-E2713C23DA2D}"/>
    <cellStyle name="40% - Accent5 2 2 3 2 3" xfId="11367" xr:uid="{A9FF9828-6401-49B7-8DD9-E18DAD399BF1}"/>
    <cellStyle name="40% - Accent5 2 2 3 3" xfId="5001" xr:uid="{00000000-0005-0000-0000-00005B060000}"/>
    <cellStyle name="40% - Accent5 2 2 3 3 2" xfId="13440" xr:uid="{641F4C99-22B8-490C-94C1-7A3578469F91}"/>
    <cellStyle name="40% - Accent5 2 2 3 4" xfId="9222" xr:uid="{562CA039-746E-41C1-B3A0-164E333AE529}"/>
    <cellStyle name="40% - Accent5 2 2 4" xfId="1105" xr:uid="{00000000-0005-0000-0000-00005C060000}"/>
    <cellStyle name="40% - Accent5 2 2 4 2" xfId="3336" xr:uid="{00000000-0005-0000-0000-00005D060000}"/>
    <cellStyle name="40% - Accent5 2 2 4 2 2" xfId="7559" xr:uid="{00000000-0005-0000-0000-00005E060000}"/>
    <cellStyle name="40% - Accent5 2 2 4 2 2 2" xfId="15998" xr:uid="{BB796B2C-B006-4FF3-9E8A-D1357E95364E}"/>
    <cellStyle name="40% - Accent5 2 2 4 2 3" xfId="11780" xr:uid="{F1237417-92BE-4A5F-8333-471C38A602E5}"/>
    <cellStyle name="40% - Accent5 2 2 4 3" xfId="5414" xr:uid="{00000000-0005-0000-0000-00005F060000}"/>
    <cellStyle name="40% - Accent5 2 2 4 3 2" xfId="13853" xr:uid="{8C2F38AB-680F-4B24-8325-5E2EDDDF2DA3}"/>
    <cellStyle name="40% - Accent5 2 2 4 4" xfId="9635" xr:uid="{507D1198-0286-43B7-BC31-19F3143ACECE}"/>
    <cellStyle name="40% - Accent5 2 2 5" xfId="1519" xr:uid="{00000000-0005-0000-0000-000060060000}"/>
    <cellStyle name="40% - Accent5 2 2 5 2" xfId="3749" xr:uid="{00000000-0005-0000-0000-000061060000}"/>
    <cellStyle name="40% - Accent5 2 2 5 2 2" xfId="7972" xr:uid="{00000000-0005-0000-0000-000062060000}"/>
    <cellStyle name="40% - Accent5 2 2 5 2 2 2" xfId="16411" xr:uid="{8C4AF06C-3BA7-4EFB-9250-8F2D50B748DC}"/>
    <cellStyle name="40% - Accent5 2 2 5 2 3" xfId="12193" xr:uid="{5BAB27F9-D14C-4B64-82FB-411951F8D0FE}"/>
    <cellStyle name="40% - Accent5 2 2 5 3" xfId="5827" xr:uid="{00000000-0005-0000-0000-000063060000}"/>
    <cellStyle name="40% - Accent5 2 2 5 3 2" xfId="14266" xr:uid="{B243EB4A-65AE-464F-8D86-BD9055A9C5E5}"/>
    <cellStyle name="40% - Accent5 2 2 5 4" xfId="10048" xr:uid="{35FAEA58-B083-479F-A37B-795A3415369D}"/>
    <cellStyle name="40% - Accent5 2 2 6" xfId="1933" xr:uid="{00000000-0005-0000-0000-000064060000}"/>
    <cellStyle name="40% - Accent5 2 2 6 2" xfId="4162" xr:uid="{00000000-0005-0000-0000-000065060000}"/>
    <cellStyle name="40% - Accent5 2 2 6 2 2" xfId="8385" xr:uid="{00000000-0005-0000-0000-000066060000}"/>
    <cellStyle name="40% - Accent5 2 2 6 2 2 2" xfId="16824" xr:uid="{258A11D6-227A-4FF3-9268-E6D98BD9619E}"/>
    <cellStyle name="40% - Accent5 2 2 6 2 3" xfId="12606" xr:uid="{BF483BE1-1612-4A50-86E0-B0A1D7A36230}"/>
    <cellStyle name="40% - Accent5 2 2 6 3" xfId="6240" xr:uid="{00000000-0005-0000-0000-000067060000}"/>
    <cellStyle name="40% - Accent5 2 2 6 3 2" xfId="14679" xr:uid="{41B1E0A8-12C3-4D36-BB45-A75BC069019F}"/>
    <cellStyle name="40% - Accent5 2 2 6 4" xfId="10461" xr:uid="{3A8A60CF-6D22-4F2A-A8F4-BDC1F93490B1}"/>
    <cellStyle name="40% - Accent5 2 2 7" xfId="2346" xr:uid="{00000000-0005-0000-0000-000068060000}"/>
    <cellStyle name="40% - Accent5 2 2 7 2" xfId="6653" xr:uid="{00000000-0005-0000-0000-000069060000}"/>
    <cellStyle name="40% - Accent5 2 2 7 2 2" xfId="15092" xr:uid="{9A99E00D-4C39-4FD9-B5FE-B985E615A7C2}"/>
    <cellStyle name="40% - Accent5 2 2 7 3" xfId="10874" xr:uid="{0A9DC426-C5A3-4462-A1E2-F2C9F1C11F2F}"/>
    <cellStyle name="40% - Accent5 2 2 8" xfId="4587" xr:uid="{00000000-0005-0000-0000-00006A060000}"/>
    <cellStyle name="40% - Accent5 2 2 8 2" xfId="13026" xr:uid="{3FEA94A2-FAB3-4D7D-BEAD-E89C8A9EF351}"/>
    <cellStyle name="40% - Accent5 2 2 9" xfId="8808" xr:uid="{99AA6F87-31AE-4A9C-8AD7-2AF1160D1F8B}"/>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2 2 2" xfId="15587" xr:uid="{2EA89E35-D118-4A52-976C-2BEE33666C85}"/>
    <cellStyle name="40% - Accent5 2 3 2 2 3" xfId="11369" xr:uid="{C35A5B71-F0C1-48A1-9DF8-0AB28D266CEB}"/>
    <cellStyle name="40% - Accent5 2 3 2 3" xfId="5003" xr:uid="{00000000-0005-0000-0000-00006F060000}"/>
    <cellStyle name="40% - Accent5 2 3 2 3 2" xfId="13442" xr:uid="{F923AB3F-D7E9-4A5B-972A-0F9BCB9E1835}"/>
    <cellStyle name="40% - Accent5 2 3 2 4" xfId="9224" xr:uid="{123DCC40-6678-4DFC-92BC-D8C64E66C4BD}"/>
    <cellStyle name="40% - Accent5 2 3 3" xfId="1107" xr:uid="{00000000-0005-0000-0000-000070060000}"/>
    <cellStyle name="40% - Accent5 2 3 3 2" xfId="3338" xr:uid="{00000000-0005-0000-0000-000071060000}"/>
    <cellStyle name="40% - Accent5 2 3 3 2 2" xfId="7561" xr:uid="{00000000-0005-0000-0000-000072060000}"/>
    <cellStyle name="40% - Accent5 2 3 3 2 2 2" xfId="16000" xr:uid="{4295CA19-1A49-43CC-8D9D-2C16F4654686}"/>
    <cellStyle name="40% - Accent5 2 3 3 2 3" xfId="11782" xr:uid="{0A07F9AD-C1FE-488C-BC4F-D9958E289B81}"/>
    <cellStyle name="40% - Accent5 2 3 3 3" xfId="5416" xr:uid="{00000000-0005-0000-0000-000073060000}"/>
    <cellStyle name="40% - Accent5 2 3 3 3 2" xfId="13855" xr:uid="{BC50F06D-9DD1-40FC-8C50-FD5C5AAB7B04}"/>
    <cellStyle name="40% - Accent5 2 3 3 4" xfId="9637" xr:uid="{A5CAE195-9BFF-4BBC-B533-673B67B26E55}"/>
    <cellStyle name="40% - Accent5 2 3 4" xfId="1521" xr:uid="{00000000-0005-0000-0000-000074060000}"/>
    <cellStyle name="40% - Accent5 2 3 4 2" xfId="3751" xr:uid="{00000000-0005-0000-0000-000075060000}"/>
    <cellStyle name="40% - Accent5 2 3 4 2 2" xfId="7974" xr:uid="{00000000-0005-0000-0000-000076060000}"/>
    <cellStyle name="40% - Accent5 2 3 4 2 2 2" xfId="16413" xr:uid="{99E58EBC-B835-4C81-803B-496BB6BDCC04}"/>
    <cellStyle name="40% - Accent5 2 3 4 2 3" xfId="12195" xr:uid="{8DFB7C73-A070-4AC6-8DF1-E2AC9CADA2A0}"/>
    <cellStyle name="40% - Accent5 2 3 4 3" xfId="5829" xr:uid="{00000000-0005-0000-0000-000077060000}"/>
    <cellStyle name="40% - Accent5 2 3 4 3 2" xfId="14268" xr:uid="{81D15D3A-A376-490A-8CA1-0E834D016653}"/>
    <cellStyle name="40% - Accent5 2 3 4 4" xfId="10050" xr:uid="{F4FD1531-7BA1-4531-B29F-544A6EA6257A}"/>
    <cellStyle name="40% - Accent5 2 3 5" xfId="1935" xr:uid="{00000000-0005-0000-0000-000078060000}"/>
    <cellStyle name="40% - Accent5 2 3 5 2" xfId="4164" xr:uid="{00000000-0005-0000-0000-000079060000}"/>
    <cellStyle name="40% - Accent5 2 3 5 2 2" xfId="8387" xr:uid="{00000000-0005-0000-0000-00007A060000}"/>
    <cellStyle name="40% - Accent5 2 3 5 2 2 2" xfId="16826" xr:uid="{6B230CCA-BFAD-4A97-A02F-D9403E760227}"/>
    <cellStyle name="40% - Accent5 2 3 5 2 3" xfId="12608" xr:uid="{B4647A9E-27F4-4D06-8C1E-0F1ADBC0A24B}"/>
    <cellStyle name="40% - Accent5 2 3 5 3" xfId="6242" xr:uid="{00000000-0005-0000-0000-00007B060000}"/>
    <cellStyle name="40% - Accent5 2 3 5 3 2" xfId="14681" xr:uid="{E17CE43C-8341-4D1B-8A86-5873917512D3}"/>
    <cellStyle name="40% - Accent5 2 3 5 4" xfId="10463" xr:uid="{B526A843-921D-47D3-A5A4-CCE5E7E0454E}"/>
    <cellStyle name="40% - Accent5 2 3 6" xfId="2348" xr:uid="{00000000-0005-0000-0000-00007C060000}"/>
    <cellStyle name="40% - Accent5 2 3 6 2" xfId="6655" xr:uid="{00000000-0005-0000-0000-00007D060000}"/>
    <cellStyle name="40% - Accent5 2 3 6 2 2" xfId="15094" xr:uid="{D462764B-4C80-474C-9A29-32A6660DAB39}"/>
    <cellStyle name="40% - Accent5 2 3 6 3" xfId="10876" xr:uid="{15F9EF1F-8DAB-4BEE-B677-2061B9E6446F}"/>
    <cellStyle name="40% - Accent5 2 3 7" xfId="4589" xr:uid="{00000000-0005-0000-0000-00007E060000}"/>
    <cellStyle name="40% - Accent5 2 3 7 2" xfId="13028" xr:uid="{95C098B5-6A18-4AA9-B411-7BB30969FD23}"/>
    <cellStyle name="40% - Accent5 2 3 8" xfId="8810" xr:uid="{2DC027F7-032A-4132-AEB9-37985B87DED9}"/>
    <cellStyle name="40% - Accent5 2 4" xfId="651" xr:uid="{00000000-0005-0000-0000-00007F060000}"/>
    <cellStyle name="40% - Accent5 2 4 2" xfId="2922" xr:uid="{00000000-0005-0000-0000-000080060000}"/>
    <cellStyle name="40% - Accent5 2 4 2 2" xfId="7145" xr:uid="{00000000-0005-0000-0000-000081060000}"/>
    <cellStyle name="40% - Accent5 2 4 2 2 2" xfId="15584" xr:uid="{3C2197BA-BD9B-460E-9EAB-87D0EF99968F}"/>
    <cellStyle name="40% - Accent5 2 4 2 3" xfId="11366" xr:uid="{AA01F465-702B-423A-A884-6B5687B7791C}"/>
    <cellStyle name="40% - Accent5 2 4 3" xfId="5000" xr:uid="{00000000-0005-0000-0000-000082060000}"/>
    <cellStyle name="40% - Accent5 2 4 3 2" xfId="13439" xr:uid="{F05451AD-0719-4C2B-B8A5-E28AC361382E}"/>
    <cellStyle name="40% - Accent5 2 4 4" xfId="9221" xr:uid="{89D4B8A8-8ACA-44ED-B048-F9397DE32897}"/>
    <cellStyle name="40% - Accent5 2 5" xfId="1104" xr:uid="{00000000-0005-0000-0000-000083060000}"/>
    <cellStyle name="40% - Accent5 2 5 2" xfId="3335" xr:uid="{00000000-0005-0000-0000-000084060000}"/>
    <cellStyle name="40% - Accent5 2 5 2 2" xfId="7558" xr:uid="{00000000-0005-0000-0000-000085060000}"/>
    <cellStyle name="40% - Accent5 2 5 2 2 2" xfId="15997" xr:uid="{9B54EDC7-54D9-4545-844C-17D06AC1F1EB}"/>
    <cellStyle name="40% - Accent5 2 5 2 3" xfId="11779" xr:uid="{B76B7BA2-F50D-4D38-9BF5-93B534C773CC}"/>
    <cellStyle name="40% - Accent5 2 5 3" xfId="5413" xr:uid="{00000000-0005-0000-0000-000086060000}"/>
    <cellStyle name="40% - Accent5 2 5 3 2" xfId="13852" xr:uid="{292C2B5A-CE12-4AB2-AB7D-AC231FC6648A}"/>
    <cellStyle name="40% - Accent5 2 5 4" xfId="9634" xr:uid="{998D0A26-1B87-4A35-9EC6-1537750C60B4}"/>
    <cellStyle name="40% - Accent5 2 6" xfId="1518" xr:uid="{00000000-0005-0000-0000-000087060000}"/>
    <cellStyle name="40% - Accent5 2 6 2" xfId="3748" xr:uid="{00000000-0005-0000-0000-000088060000}"/>
    <cellStyle name="40% - Accent5 2 6 2 2" xfId="7971" xr:uid="{00000000-0005-0000-0000-000089060000}"/>
    <cellStyle name="40% - Accent5 2 6 2 2 2" xfId="16410" xr:uid="{E833F152-2BCA-443F-B789-ED2355496659}"/>
    <cellStyle name="40% - Accent5 2 6 2 3" xfId="12192" xr:uid="{6F6CA14F-21B1-413F-8617-CACAE48616B9}"/>
    <cellStyle name="40% - Accent5 2 6 3" xfId="5826" xr:uid="{00000000-0005-0000-0000-00008A060000}"/>
    <cellStyle name="40% - Accent5 2 6 3 2" xfId="14265" xr:uid="{75775987-12F4-4B73-9BCB-77A223EC6041}"/>
    <cellStyle name="40% - Accent5 2 6 4" xfId="10047" xr:uid="{F8219339-6FA9-4605-93AC-E030B8CC4E75}"/>
    <cellStyle name="40% - Accent5 2 7" xfId="1932" xr:uid="{00000000-0005-0000-0000-00008B060000}"/>
    <cellStyle name="40% - Accent5 2 7 2" xfId="4161" xr:uid="{00000000-0005-0000-0000-00008C060000}"/>
    <cellStyle name="40% - Accent5 2 7 2 2" xfId="8384" xr:uid="{00000000-0005-0000-0000-00008D060000}"/>
    <cellStyle name="40% - Accent5 2 7 2 2 2" xfId="16823" xr:uid="{0C37D413-E1F2-43E0-A27B-2078DEE5FB09}"/>
    <cellStyle name="40% - Accent5 2 7 2 3" xfId="12605" xr:uid="{57E08960-E541-4622-A9CF-8B82D5EC8D1A}"/>
    <cellStyle name="40% - Accent5 2 7 3" xfId="6239" xr:uid="{00000000-0005-0000-0000-00008E060000}"/>
    <cellStyle name="40% - Accent5 2 7 3 2" xfId="14678" xr:uid="{BB204BC8-50E1-41F7-AF03-86960D317A80}"/>
    <cellStyle name="40% - Accent5 2 7 4" xfId="10460" xr:uid="{E4E8E894-BC6E-41A5-9D63-1CCA4D7515FD}"/>
    <cellStyle name="40% - Accent5 2 8" xfId="2345" xr:uid="{00000000-0005-0000-0000-00008F060000}"/>
    <cellStyle name="40% - Accent5 2 8 2" xfId="6652" xr:uid="{00000000-0005-0000-0000-000090060000}"/>
    <cellStyle name="40% - Accent5 2 8 2 2" xfId="15091" xr:uid="{99C4E0E6-23E3-4FD9-A85E-43790CB20C72}"/>
    <cellStyle name="40% - Accent5 2 8 3" xfId="10873" xr:uid="{B7E2F89A-0B3B-4927-97E3-EC30E4E4757A}"/>
    <cellStyle name="40% - Accent5 2 9" xfId="4586" xr:uid="{00000000-0005-0000-0000-000091060000}"/>
    <cellStyle name="40% - Accent5 2 9 2" xfId="13025" xr:uid="{E3015232-13BC-486B-9D80-F900E75334C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2 2 2" xfId="15589" xr:uid="{0C76F9F5-24B9-48D2-93E0-9A60CDDAEEA5}"/>
    <cellStyle name="40% - Accent5 3 2 2 2 3" xfId="11371" xr:uid="{1A0301CA-7B0F-4BB5-886F-5D4C1111C357}"/>
    <cellStyle name="40% - Accent5 3 2 2 3" xfId="5005" xr:uid="{00000000-0005-0000-0000-000097060000}"/>
    <cellStyle name="40% - Accent5 3 2 2 3 2" xfId="13444" xr:uid="{B8681601-EE30-4FD6-84D2-913CA147CAF1}"/>
    <cellStyle name="40% - Accent5 3 2 2 4" xfId="9226" xr:uid="{6855BBEF-9F3D-4833-A1C8-A338C9357168}"/>
    <cellStyle name="40% - Accent5 3 2 3" xfId="1109" xr:uid="{00000000-0005-0000-0000-000098060000}"/>
    <cellStyle name="40% - Accent5 3 2 3 2" xfId="3340" xr:uid="{00000000-0005-0000-0000-000099060000}"/>
    <cellStyle name="40% - Accent5 3 2 3 2 2" xfId="7563" xr:uid="{00000000-0005-0000-0000-00009A060000}"/>
    <cellStyle name="40% - Accent5 3 2 3 2 2 2" xfId="16002" xr:uid="{8AE31523-A3BD-4F21-88C5-8A01CC718DC6}"/>
    <cellStyle name="40% - Accent5 3 2 3 2 3" xfId="11784" xr:uid="{A5A3CF26-DEEA-4627-9B46-8BFEE6B94798}"/>
    <cellStyle name="40% - Accent5 3 2 3 3" xfId="5418" xr:uid="{00000000-0005-0000-0000-00009B060000}"/>
    <cellStyle name="40% - Accent5 3 2 3 3 2" xfId="13857" xr:uid="{3419DF4D-20B9-4192-8AFA-ECEB993933C5}"/>
    <cellStyle name="40% - Accent5 3 2 3 4" xfId="9639" xr:uid="{617621C9-8D2A-4AF0-A985-72F1250F492D}"/>
    <cellStyle name="40% - Accent5 3 2 4" xfId="1523" xr:uid="{00000000-0005-0000-0000-00009C060000}"/>
    <cellStyle name="40% - Accent5 3 2 4 2" xfId="3753" xr:uid="{00000000-0005-0000-0000-00009D060000}"/>
    <cellStyle name="40% - Accent5 3 2 4 2 2" xfId="7976" xr:uid="{00000000-0005-0000-0000-00009E060000}"/>
    <cellStyle name="40% - Accent5 3 2 4 2 2 2" xfId="16415" xr:uid="{173BAD41-A734-4C51-B738-C9939DC68795}"/>
    <cellStyle name="40% - Accent5 3 2 4 2 3" xfId="12197" xr:uid="{7AEFC67E-5F4C-4DD0-9895-3C9EDC3FCFBB}"/>
    <cellStyle name="40% - Accent5 3 2 4 3" xfId="5831" xr:uid="{00000000-0005-0000-0000-00009F060000}"/>
    <cellStyle name="40% - Accent5 3 2 4 3 2" xfId="14270" xr:uid="{62F0C30C-D630-4B33-890A-6933194C11ED}"/>
    <cellStyle name="40% - Accent5 3 2 4 4" xfId="10052" xr:uid="{47B0261C-8031-4F1D-B799-ABE0D52A7EB6}"/>
    <cellStyle name="40% - Accent5 3 2 5" xfId="1937" xr:uid="{00000000-0005-0000-0000-0000A0060000}"/>
    <cellStyle name="40% - Accent5 3 2 5 2" xfId="4166" xr:uid="{00000000-0005-0000-0000-0000A1060000}"/>
    <cellStyle name="40% - Accent5 3 2 5 2 2" xfId="8389" xr:uid="{00000000-0005-0000-0000-0000A2060000}"/>
    <cellStyle name="40% - Accent5 3 2 5 2 2 2" xfId="16828" xr:uid="{06E8BF6F-2481-4081-A4BA-1EFF267502F9}"/>
    <cellStyle name="40% - Accent5 3 2 5 2 3" xfId="12610" xr:uid="{CC3A57EC-480A-4483-9081-633582F5B3C4}"/>
    <cellStyle name="40% - Accent5 3 2 5 3" xfId="6244" xr:uid="{00000000-0005-0000-0000-0000A3060000}"/>
    <cellStyle name="40% - Accent5 3 2 5 3 2" xfId="14683" xr:uid="{AFE2B9D8-A2B6-4A99-8FE9-37095EF0FC85}"/>
    <cellStyle name="40% - Accent5 3 2 5 4" xfId="10465" xr:uid="{A698BA93-E654-4125-AC84-3C30F5DBAC4A}"/>
    <cellStyle name="40% - Accent5 3 2 6" xfId="2350" xr:uid="{00000000-0005-0000-0000-0000A4060000}"/>
    <cellStyle name="40% - Accent5 3 2 6 2" xfId="6657" xr:uid="{00000000-0005-0000-0000-0000A5060000}"/>
    <cellStyle name="40% - Accent5 3 2 6 2 2" xfId="15096" xr:uid="{63BA74DC-EE35-42B2-8981-FC906665AA59}"/>
    <cellStyle name="40% - Accent5 3 2 6 3" xfId="10878" xr:uid="{0EC6E37A-8218-450A-AAFE-93E2AB52954C}"/>
    <cellStyle name="40% - Accent5 3 2 7" xfId="4591" xr:uid="{00000000-0005-0000-0000-0000A6060000}"/>
    <cellStyle name="40% - Accent5 3 2 7 2" xfId="13030" xr:uid="{330D743C-85D8-4D3D-8BEF-0A0658DA3DC1}"/>
    <cellStyle name="40% - Accent5 3 2 8" xfId="8812" xr:uid="{B2D57AD2-517B-4CEC-B59C-A95AD99B007C}"/>
    <cellStyle name="40% - Accent5 3 3" xfId="655" xr:uid="{00000000-0005-0000-0000-0000A7060000}"/>
    <cellStyle name="40% - Accent5 3 3 2" xfId="2926" xr:uid="{00000000-0005-0000-0000-0000A8060000}"/>
    <cellStyle name="40% - Accent5 3 3 2 2" xfId="7149" xr:uid="{00000000-0005-0000-0000-0000A9060000}"/>
    <cellStyle name="40% - Accent5 3 3 2 2 2" xfId="15588" xr:uid="{FFB9FDC7-C6CE-42F4-923D-CAD1F333E621}"/>
    <cellStyle name="40% - Accent5 3 3 2 3" xfId="11370" xr:uid="{AD26B8EF-3505-403E-95B8-D57C55947DDB}"/>
    <cellStyle name="40% - Accent5 3 3 3" xfId="5004" xr:uid="{00000000-0005-0000-0000-0000AA060000}"/>
    <cellStyle name="40% - Accent5 3 3 3 2" xfId="13443" xr:uid="{0064435A-F364-4714-87BC-7771DE39A53A}"/>
    <cellStyle name="40% - Accent5 3 3 4" xfId="9225" xr:uid="{673F3A93-2E77-4080-9AF9-1A218618B23A}"/>
    <cellStyle name="40% - Accent5 3 4" xfId="1108" xr:uid="{00000000-0005-0000-0000-0000AB060000}"/>
    <cellStyle name="40% - Accent5 3 4 2" xfId="3339" xr:uid="{00000000-0005-0000-0000-0000AC060000}"/>
    <cellStyle name="40% - Accent5 3 4 2 2" xfId="7562" xr:uid="{00000000-0005-0000-0000-0000AD060000}"/>
    <cellStyle name="40% - Accent5 3 4 2 2 2" xfId="16001" xr:uid="{D680F39F-87E2-46C3-BA33-9694784BCCB3}"/>
    <cellStyle name="40% - Accent5 3 4 2 3" xfId="11783" xr:uid="{CCC03C31-78DA-4718-BD8F-A9F7BC7F3EB9}"/>
    <cellStyle name="40% - Accent5 3 4 3" xfId="5417" xr:uid="{00000000-0005-0000-0000-0000AE060000}"/>
    <cellStyle name="40% - Accent5 3 4 3 2" xfId="13856" xr:uid="{933D5828-CB0F-457A-ADEB-E5CD010BED6D}"/>
    <cellStyle name="40% - Accent5 3 4 4" xfId="9638" xr:uid="{3D77F3B6-70E7-482E-88BC-08B666BA1DD9}"/>
    <cellStyle name="40% - Accent5 3 5" xfId="1522" xr:uid="{00000000-0005-0000-0000-0000AF060000}"/>
    <cellStyle name="40% - Accent5 3 5 2" xfId="3752" xr:uid="{00000000-0005-0000-0000-0000B0060000}"/>
    <cellStyle name="40% - Accent5 3 5 2 2" xfId="7975" xr:uid="{00000000-0005-0000-0000-0000B1060000}"/>
    <cellStyle name="40% - Accent5 3 5 2 2 2" xfId="16414" xr:uid="{1CB78E92-F83B-4124-9158-9783FEEA82F3}"/>
    <cellStyle name="40% - Accent5 3 5 2 3" xfId="12196" xr:uid="{F8DEC7CC-5700-4B2E-8363-D959BB4D547D}"/>
    <cellStyle name="40% - Accent5 3 5 3" xfId="5830" xr:uid="{00000000-0005-0000-0000-0000B2060000}"/>
    <cellStyle name="40% - Accent5 3 5 3 2" xfId="14269" xr:uid="{EC38F264-1937-4167-A1A5-7282AB0EA475}"/>
    <cellStyle name="40% - Accent5 3 5 4" xfId="10051" xr:uid="{5F8C0290-DFC7-40E1-AF42-8484C0156C7D}"/>
    <cellStyle name="40% - Accent5 3 6" xfId="1936" xr:uid="{00000000-0005-0000-0000-0000B3060000}"/>
    <cellStyle name="40% - Accent5 3 6 2" xfId="4165" xr:uid="{00000000-0005-0000-0000-0000B4060000}"/>
    <cellStyle name="40% - Accent5 3 6 2 2" xfId="8388" xr:uid="{00000000-0005-0000-0000-0000B5060000}"/>
    <cellStyle name="40% - Accent5 3 6 2 2 2" xfId="16827" xr:uid="{74B8556E-507F-42FF-ACA7-025DD85B4F9A}"/>
    <cellStyle name="40% - Accent5 3 6 2 3" xfId="12609" xr:uid="{F52EFCCA-575B-467C-80D1-9B5220243B8E}"/>
    <cellStyle name="40% - Accent5 3 6 3" xfId="6243" xr:uid="{00000000-0005-0000-0000-0000B6060000}"/>
    <cellStyle name="40% - Accent5 3 6 3 2" xfId="14682" xr:uid="{9C3189D4-E71D-4CF3-9BEF-E11F9A85491D}"/>
    <cellStyle name="40% - Accent5 3 6 4" xfId="10464" xr:uid="{D2BE77E1-B237-4EFB-AA97-A040688DF877}"/>
    <cellStyle name="40% - Accent5 3 7" xfId="2349" xr:uid="{00000000-0005-0000-0000-0000B7060000}"/>
    <cellStyle name="40% - Accent5 3 7 2" xfId="6656" xr:uid="{00000000-0005-0000-0000-0000B8060000}"/>
    <cellStyle name="40% - Accent5 3 7 2 2" xfId="15095" xr:uid="{62A8D9D8-0960-40F0-8028-8B91692B4B38}"/>
    <cellStyle name="40% - Accent5 3 7 3" xfId="10877" xr:uid="{95854BC7-6433-4289-8CD9-E5497DD91A9C}"/>
    <cellStyle name="40% - Accent5 3 8" xfId="4590" xr:uid="{00000000-0005-0000-0000-0000B9060000}"/>
    <cellStyle name="40% - Accent5 3 8 2" xfId="13029" xr:uid="{AAF9E659-1266-4281-B528-22866A368DE7}"/>
    <cellStyle name="40% - Accent5 3 9" xfId="8811" xr:uid="{E59BA1D7-E38E-458F-A082-66F04252850C}"/>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2 2 2" xfId="15590" xr:uid="{6445D09A-8004-4260-906E-EC7B16904B81}"/>
    <cellStyle name="40% - Accent5 4 2 2 3" xfId="11372" xr:uid="{8B62B768-0D5A-4682-8EC6-2BDA24DCD8CE}"/>
    <cellStyle name="40% - Accent5 4 2 3" xfId="5006" xr:uid="{00000000-0005-0000-0000-0000BE060000}"/>
    <cellStyle name="40% - Accent5 4 2 3 2" xfId="13445" xr:uid="{7A5AD4B0-67EA-4365-B529-AF23B4906D21}"/>
    <cellStyle name="40% - Accent5 4 2 4" xfId="9227" xr:uid="{C0958FA9-327C-4F2E-A223-C0CE9D6FCA49}"/>
    <cellStyle name="40% - Accent5 4 3" xfId="1110" xr:uid="{00000000-0005-0000-0000-0000BF060000}"/>
    <cellStyle name="40% - Accent5 4 3 2" xfId="3341" xr:uid="{00000000-0005-0000-0000-0000C0060000}"/>
    <cellStyle name="40% - Accent5 4 3 2 2" xfId="7564" xr:uid="{00000000-0005-0000-0000-0000C1060000}"/>
    <cellStyle name="40% - Accent5 4 3 2 2 2" xfId="16003" xr:uid="{B2919D6D-07C3-464A-9AD8-5951571C749A}"/>
    <cellStyle name="40% - Accent5 4 3 2 3" xfId="11785" xr:uid="{658A193C-4B8C-40D9-9C05-01B7A022C6C2}"/>
    <cellStyle name="40% - Accent5 4 3 3" xfId="5419" xr:uid="{00000000-0005-0000-0000-0000C2060000}"/>
    <cellStyle name="40% - Accent5 4 3 3 2" xfId="13858" xr:uid="{A54F6805-BC5F-496F-B86C-419ECB62C550}"/>
    <cellStyle name="40% - Accent5 4 3 4" xfId="9640" xr:uid="{1868B1BA-ABCF-4199-95AC-B506F84A97FF}"/>
    <cellStyle name="40% - Accent5 4 4" xfId="1524" xr:uid="{00000000-0005-0000-0000-0000C3060000}"/>
    <cellStyle name="40% - Accent5 4 4 2" xfId="3754" xr:uid="{00000000-0005-0000-0000-0000C4060000}"/>
    <cellStyle name="40% - Accent5 4 4 2 2" xfId="7977" xr:uid="{00000000-0005-0000-0000-0000C5060000}"/>
    <cellStyle name="40% - Accent5 4 4 2 2 2" xfId="16416" xr:uid="{D5C05B97-E4DB-4007-847E-63F0636DA49C}"/>
    <cellStyle name="40% - Accent5 4 4 2 3" xfId="12198" xr:uid="{DCE31F62-7CA6-4346-A368-31D39A58B157}"/>
    <cellStyle name="40% - Accent5 4 4 3" xfId="5832" xr:uid="{00000000-0005-0000-0000-0000C6060000}"/>
    <cellStyle name="40% - Accent5 4 4 3 2" xfId="14271" xr:uid="{662FD13A-C296-444B-AB99-5F8DFBF93F2A}"/>
    <cellStyle name="40% - Accent5 4 4 4" xfId="10053" xr:uid="{7035AFEF-3DD7-475F-8FD7-3319C9F91F20}"/>
    <cellStyle name="40% - Accent5 4 5" xfId="1938" xr:uid="{00000000-0005-0000-0000-0000C7060000}"/>
    <cellStyle name="40% - Accent5 4 5 2" xfId="4167" xr:uid="{00000000-0005-0000-0000-0000C8060000}"/>
    <cellStyle name="40% - Accent5 4 5 2 2" xfId="8390" xr:uid="{00000000-0005-0000-0000-0000C9060000}"/>
    <cellStyle name="40% - Accent5 4 5 2 2 2" xfId="16829" xr:uid="{5DAC2FF7-9AB5-4E9F-8270-0AE20C4C5A44}"/>
    <cellStyle name="40% - Accent5 4 5 2 3" xfId="12611" xr:uid="{E5061DD5-B97B-49E5-89EB-F647C16829C1}"/>
    <cellStyle name="40% - Accent5 4 5 3" xfId="6245" xr:uid="{00000000-0005-0000-0000-0000CA060000}"/>
    <cellStyle name="40% - Accent5 4 5 3 2" xfId="14684" xr:uid="{8B2EDE6D-7CB2-4033-8981-2AD411FDB895}"/>
    <cellStyle name="40% - Accent5 4 5 4" xfId="10466" xr:uid="{A391979C-F541-41A3-B8EE-882FB699D5EC}"/>
    <cellStyle name="40% - Accent5 4 6" xfId="2351" xr:uid="{00000000-0005-0000-0000-0000CB060000}"/>
    <cellStyle name="40% - Accent5 4 6 2" xfId="6658" xr:uid="{00000000-0005-0000-0000-0000CC060000}"/>
    <cellStyle name="40% - Accent5 4 6 2 2" xfId="15097" xr:uid="{511D1580-AAD3-4D20-8F5A-3D6335A80087}"/>
    <cellStyle name="40% - Accent5 4 6 3" xfId="10879" xr:uid="{5DC7AC66-E6B8-4CDE-8B98-94141E8E0879}"/>
    <cellStyle name="40% - Accent5 4 7" xfId="4592" xr:uid="{00000000-0005-0000-0000-0000CD060000}"/>
    <cellStyle name="40% - Accent5 4 7 2" xfId="13031" xr:uid="{CB2F0EA4-7EE8-458E-BE50-3C3A00EB6D4C}"/>
    <cellStyle name="40% - Accent5 4 8" xfId="8813" xr:uid="{0B53DDC8-6C2C-4CEA-BE68-71EB26FE49AC}"/>
    <cellStyle name="40% - Accent5 5" xfId="650" xr:uid="{00000000-0005-0000-0000-0000CE060000}"/>
    <cellStyle name="40% - Accent5 5 2" xfId="2921" xr:uid="{00000000-0005-0000-0000-0000CF060000}"/>
    <cellStyle name="40% - Accent5 5 2 2" xfId="7144" xr:uid="{00000000-0005-0000-0000-0000D0060000}"/>
    <cellStyle name="40% - Accent5 5 2 2 2" xfId="15583" xr:uid="{A05862E4-F638-41B9-9B48-677F5B8ED60A}"/>
    <cellStyle name="40% - Accent5 5 2 3" xfId="11365" xr:uid="{F4A7FCB9-FDEB-43E9-AD37-E48672DE237D}"/>
    <cellStyle name="40% - Accent5 5 3" xfId="4999" xr:uid="{00000000-0005-0000-0000-0000D1060000}"/>
    <cellStyle name="40% - Accent5 5 3 2" xfId="13438" xr:uid="{B77C529D-0496-47FC-9473-EEF5702B8357}"/>
    <cellStyle name="40% - Accent5 5 4" xfId="9220" xr:uid="{16CFBEA0-52E2-4A82-B6E9-84A67C1FAA0F}"/>
    <cellStyle name="40% - Accent5 6" xfId="1103" xr:uid="{00000000-0005-0000-0000-0000D2060000}"/>
    <cellStyle name="40% - Accent5 6 2" xfId="3334" xr:uid="{00000000-0005-0000-0000-0000D3060000}"/>
    <cellStyle name="40% - Accent5 6 2 2" xfId="7557" xr:uid="{00000000-0005-0000-0000-0000D4060000}"/>
    <cellStyle name="40% - Accent5 6 2 2 2" xfId="15996" xr:uid="{3B0EB551-E421-4127-AA39-B1B70F57678B}"/>
    <cellStyle name="40% - Accent5 6 2 3" xfId="11778" xr:uid="{74E550BD-8193-4A92-890A-D42AC55DB680}"/>
    <cellStyle name="40% - Accent5 6 3" xfId="5412" xr:uid="{00000000-0005-0000-0000-0000D5060000}"/>
    <cellStyle name="40% - Accent5 6 3 2" xfId="13851" xr:uid="{5B76A7B6-257A-4B75-91B0-F4D904094CF3}"/>
    <cellStyle name="40% - Accent5 6 4" xfId="9633" xr:uid="{6A97980D-7EC0-419D-BBB5-AB5C5BC98661}"/>
    <cellStyle name="40% - Accent5 7" xfId="1517" xr:uid="{00000000-0005-0000-0000-0000D6060000}"/>
    <cellStyle name="40% - Accent5 7 2" xfId="3747" xr:uid="{00000000-0005-0000-0000-0000D7060000}"/>
    <cellStyle name="40% - Accent5 7 2 2" xfId="7970" xr:uid="{00000000-0005-0000-0000-0000D8060000}"/>
    <cellStyle name="40% - Accent5 7 2 2 2" xfId="16409" xr:uid="{1D5E5C19-9116-4389-8160-06511EB047A8}"/>
    <cellStyle name="40% - Accent5 7 2 3" xfId="12191" xr:uid="{69B821B3-5C8F-4CF9-87DF-EC414B303365}"/>
    <cellStyle name="40% - Accent5 7 3" xfId="5825" xr:uid="{00000000-0005-0000-0000-0000D9060000}"/>
    <cellStyle name="40% - Accent5 7 3 2" xfId="14264" xr:uid="{9FE768E8-6C57-4135-98A5-ED362CFF2BB3}"/>
    <cellStyle name="40% - Accent5 7 4" xfId="10046" xr:uid="{CE5DFCA4-6F03-4BA6-8B96-CFCEF6EDB68F}"/>
    <cellStyle name="40% - Accent5 8" xfId="1931" xr:uid="{00000000-0005-0000-0000-0000DA060000}"/>
    <cellStyle name="40% - Accent5 8 2" xfId="4160" xr:uid="{00000000-0005-0000-0000-0000DB060000}"/>
    <cellStyle name="40% - Accent5 8 2 2" xfId="8383" xr:uid="{00000000-0005-0000-0000-0000DC060000}"/>
    <cellStyle name="40% - Accent5 8 2 2 2" xfId="16822" xr:uid="{CCAC2F71-34FF-4FF2-B34C-0C28892F5ED8}"/>
    <cellStyle name="40% - Accent5 8 2 3" xfId="12604" xr:uid="{9C97D3A1-FD58-4A7B-B8BA-E160AEB1EDFB}"/>
    <cellStyle name="40% - Accent5 8 3" xfId="6238" xr:uid="{00000000-0005-0000-0000-0000DD060000}"/>
    <cellStyle name="40% - Accent5 8 3 2" xfId="14677" xr:uid="{4930A92B-1056-41EC-8CF2-F2309B8FCE43}"/>
    <cellStyle name="40% - Accent5 8 4" xfId="10459" xr:uid="{AE17AE32-2A9F-4865-9D25-3BD937C7DA4D}"/>
    <cellStyle name="40% - Accent5 9" xfId="2344" xr:uid="{00000000-0005-0000-0000-0000DE060000}"/>
    <cellStyle name="40% - Accent5 9 2" xfId="6651" xr:uid="{00000000-0005-0000-0000-0000DF060000}"/>
    <cellStyle name="40% - Accent5 9 2 2" xfId="15090" xr:uid="{148B3B10-88AA-4D84-B189-65AB476EF21D}"/>
    <cellStyle name="40% - Accent5 9 3" xfId="10872" xr:uid="{AE66C480-1B31-425F-9722-5C64D21DA4D3}"/>
    <cellStyle name="40% - Accent6" xfId="89" builtinId="51" customBuiltin="1"/>
    <cellStyle name="40% - Accent6 10" xfId="4593" xr:uid="{00000000-0005-0000-0000-0000E1060000}"/>
    <cellStyle name="40% - Accent6 10 2" xfId="13032" xr:uid="{D14EC534-32DA-47AB-9BAE-B23FAF46373B}"/>
    <cellStyle name="40% - Accent6 11" xfId="8814" xr:uid="{05262D3A-CE6E-4252-AE16-4D27FFFBBEEE}"/>
    <cellStyle name="40% - Accent6 2" xfId="90" xr:uid="{00000000-0005-0000-0000-0000E2060000}"/>
    <cellStyle name="40% - Accent6 2 10" xfId="8815" xr:uid="{E43FD1C3-4DC7-4011-B30F-7463288D8743}"/>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2 2 2" xfId="15594" xr:uid="{474E2E90-2B69-4A17-AA23-30B5D2CEF46C}"/>
    <cellStyle name="40% - Accent6 2 2 2 2 2 3" xfId="11376" xr:uid="{62AB5099-BACB-4E1D-8A83-48A11E201D4B}"/>
    <cellStyle name="40% - Accent6 2 2 2 2 3" xfId="5010" xr:uid="{00000000-0005-0000-0000-0000E8060000}"/>
    <cellStyle name="40% - Accent6 2 2 2 2 3 2" xfId="13449" xr:uid="{B3FE7583-8B6A-4EF6-B671-5FEF5FD7E1F1}"/>
    <cellStyle name="40% - Accent6 2 2 2 2 4" xfId="9231" xr:uid="{6105EFAC-C30A-4AF0-832C-FA42432F8982}"/>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2 2 2" xfId="16007" xr:uid="{1BC79C88-E36A-40D4-9446-602FB29D429F}"/>
    <cellStyle name="40% - Accent6 2 2 2 3 2 3" xfId="11789" xr:uid="{602170A4-F670-4204-BA30-FF6779AA176F}"/>
    <cellStyle name="40% - Accent6 2 2 2 3 3" xfId="5423" xr:uid="{00000000-0005-0000-0000-0000EC060000}"/>
    <cellStyle name="40% - Accent6 2 2 2 3 3 2" xfId="13862" xr:uid="{BE18CEE8-6D46-447D-9481-DF47BB9CAA64}"/>
    <cellStyle name="40% - Accent6 2 2 2 3 4" xfId="9644" xr:uid="{56FAEFA8-090B-43AC-AEF5-19B98E89EE8B}"/>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2 2 2" xfId="16420" xr:uid="{6A5EB686-CB92-4F7B-9347-6AD17C4C20ED}"/>
    <cellStyle name="40% - Accent6 2 2 2 4 2 3" xfId="12202" xr:uid="{E24E1602-9B62-4B12-BC15-2AA9026F23EB}"/>
    <cellStyle name="40% - Accent6 2 2 2 4 3" xfId="5836" xr:uid="{00000000-0005-0000-0000-0000F0060000}"/>
    <cellStyle name="40% - Accent6 2 2 2 4 3 2" xfId="14275" xr:uid="{E8DC4999-1FED-4BCC-A03C-5D4213236A61}"/>
    <cellStyle name="40% - Accent6 2 2 2 4 4" xfId="10057" xr:uid="{5DC367CA-2966-40AA-AE8E-C1BE0C7B672E}"/>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2 2 2" xfId="16833" xr:uid="{775EB7FE-AC56-4B8E-B0CA-2E331E77A8DA}"/>
    <cellStyle name="40% - Accent6 2 2 2 5 2 3" xfId="12615" xr:uid="{2D34F105-9DE1-4F5F-B0AC-40D9A03B73A6}"/>
    <cellStyle name="40% - Accent6 2 2 2 5 3" xfId="6249" xr:uid="{00000000-0005-0000-0000-0000F4060000}"/>
    <cellStyle name="40% - Accent6 2 2 2 5 3 2" xfId="14688" xr:uid="{B62088C4-23A9-4927-A4D8-E8300C2097D8}"/>
    <cellStyle name="40% - Accent6 2 2 2 5 4" xfId="10470" xr:uid="{4BCF243E-8597-4535-AEFB-DAA1E0975A23}"/>
    <cellStyle name="40% - Accent6 2 2 2 6" xfId="2355" xr:uid="{00000000-0005-0000-0000-0000F5060000}"/>
    <cellStyle name="40% - Accent6 2 2 2 6 2" xfId="6662" xr:uid="{00000000-0005-0000-0000-0000F6060000}"/>
    <cellStyle name="40% - Accent6 2 2 2 6 2 2" xfId="15101" xr:uid="{5DD5E965-E4D7-4898-88FC-CD93085A7107}"/>
    <cellStyle name="40% - Accent6 2 2 2 6 3" xfId="10883" xr:uid="{073B501C-1598-4D81-AD40-20A2516216D2}"/>
    <cellStyle name="40% - Accent6 2 2 2 7" xfId="4596" xr:uid="{00000000-0005-0000-0000-0000F7060000}"/>
    <cellStyle name="40% - Accent6 2 2 2 7 2" xfId="13035" xr:uid="{C19EBC76-0660-48C4-BA83-E8C3B70EBA3A}"/>
    <cellStyle name="40% - Accent6 2 2 2 8" xfId="8817" xr:uid="{33FD6859-6588-45B8-9DCF-8E47EBDAF052}"/>
    <cellStyle name="40% - Accent6 2 2 3" xfId="660" xr:uid="{00000000-0005-0000-0000-0000F8060000}"/>
    <cellStyle name="40% - Accent6 2 2 3 2" xfId="2931" xr:uid="{00000000-0005-0000-0000-0000F9060000}"/>
    <cellStyle name="40% - Accent6 2 2 3 2 2" xfId="7154" xr:uid="{00000000-0005-0000-0000-0000FA060000}"/>
    <cellStyle name="40% - Accent6 2 2 3 2 2 2" xfId="15593" xr:uid="{6E3F77AA-C78A-46B2-A37C-27696CDD6756}"/>
    <cellStyle name="40% - Accent6 2 2 3 2 3" xfId="11375" xr:uid="{C4230981-4991-46C8-8576-3B9B0F526DC3}"/>
    <cellStyle name="40% - Accent6 2 2 3 3" xfId="5009" xr:uid="{00000000-0005-0000-0000-0000FB060000}"/>
    <cellStyle name="40% - Accent6 2 2 3 3 2" xfId="13448" xr:uid="{D951BC9F-19F7-47E1-8798-C127C8536273}"/>
    <cellStyle name="40% - Accent6 2 2 3 4" xfId="9230" xr:uid="{DA530DE3-210B-4541-A155-9DB3F1C6621F}"/>
    <cellStyle name="40% - Accent6 2 2 4" xfId="1113" xr:uid="{00000000-0005-0000-0000-0000FC060000}"/>
    <cellStyle name="40% - Accent6 2 2 4 2" xfId="3344" xr:uid="{00000000-0005-0000-0000-0000FD060000}"/>
    <cellStyle name="40% - Accent6 2 2 4 2 2" xfId="7567" xr:uid="{00000000-0005-0000-0000-0000FE060000}"/>
    <cellStyle name="40% - Accent6 2 2 4 2 2 2" xfId="16006" xr:uid="{F600A313-3E14-4851-9F56-4DA0663B9F67}"/>
    <cellStyle name="40% - Accent6 2 2 4 2 3" xfId="11788" xr:uid="{4CF35C83-EF3F-4F02-848F-786552587D04}"/>
    <cellStyle name="40% - Accent6 2 2 4 3" xfId="5422" xr:uid="{00000000-0005-0000-0000-0000FF060000}"/>
    <cellStyle name="40% - Accent6 2 2 4 3 2" xfId="13861" xr:uid="{1E49C0D6-CB33-4249-9BC8-A7E88311DC7D}"/>
    <cellStyle name="40% - Accent6 2 2 4 4" xfId="9643" xr:uid="{B3C72594-5515-4F4D-BB4D-93AFDEDF3257}"/>
    <cellStyle name="40% - Accent6 2 2 5" xfId="1527" xr:uid="{00000000-0005-0000-0000-000000070000}"/>
    <cellStyle name="40% - Accent6 2 2 5 2" xfId="3757" xr:uid="{00000000-0005-0000-0000-000001070000}"/>
    <cellStyle name="40% - Accent6 2 2 5 2 2" xfId="7980" xr:uid="{00000000-0005-0000-0000-000002070000}"/>
    <cellStyle name="40% - Accent6 2 2 5 2 2 2" xfId="16419" xr:uid="{14913BB6-9330-4590-A0D3-622D92436AEA}"/>
    <cellStyle name="40% - Accent6 2 2 5 2 3" xfId="12201" xr:uid="{DC205E34-2E7F-4A2F-9594-2A5B4EB1646F}"/>
    <cellStyle name="40% - Accent6 2 2 5 3" xfId="5835" xr:uid="{00000000-0005-0000-0000-000003070000}"/>
    <cellStyle name="40% - Accent6 2 2 5 3 2" xfId="14274" xr:uid="{3BA6BC3C-C9C4-418B-B0C1-0A9B08164813}"/>
    <cellStyle name="40% - Accent6 2 2 5 4" xfId="10056" xr:uid="{198340A3-242D-4D8A-A189-89D327D4076A}"/>
    <cellStyle name="40% - Accent6 2 2 6" xfId="1941" xr:uid="{00000000-0005-0000-0000-000004070000}"/>
    <cellStyle name="40% - Accent6 2 2 6 2" xfId="4170" xr:uid="{00000000-0005-0000-0000-000005070000}"/>
    <cellStyle name="40% - Accent6 2 2 6 2 2" xfId="8393" xr:uid="{00000000-0005-0000-0000-000006070000}"/>
    <cellStyle name="40% - Accent6 2 2 6 2 2 2" xfId="16832" xr:uid="{FB75C62D-95EF-442B-A6C8-91D41986B967}"/>
    <cellStyle name="40% - Accent6 2 2 6 2 3" xfId="12614" xr:uid="{9ADE2536-822F-44B4-B10F-F4AE25C3F6CE}"/>
    <cellStyle name="40% - Accent6 2 2 6 3" xfId="6248" xr:uid="{00000000-0005-0000-0000-000007070000}"/>
    <cellStyle name="40% - Accent6 2 2 6 3 2" xfId="14687" xr:uid="{56319C3D-3004-4652-8D19-5465B8D8363A}"/>
    <cellStyle name="40% - Accent6 2 2 6 4" xfId="10469" xr:uid="{B083F49B-CBAE-4709-84F8-3CCFF762D13F}"/>
    <cellStyle name="40% - Accent6 2 2 7" xfId="2354" xr:uid="{00000000-0005-0000-0000-000008070000}"/>
    <cellStyle name="40% - Accent6 2 2 7 2" xfId="6661" xr:uid="{00000000-0005-0000-0000-000009070000}"/>
    <cellStyle name="40% - Accent6 2 2 7 2 2" xfId="15100" xr:uid="{397C7CD5-44D0-4879-8277-06584EC21E19}"/>
    <cellStyle name="40% - Accent6 2 2 7 3" xfId="10882" xr:uid="{1E23EE0F-FE3B-4642-85F6-37EE78D3A2E2}"/>
    <cellStyle name="40% - Accent6 2 2 8" xfId="4595" xr:uid="{00000000-0005-0000-0000-00000A070000}"/>
    <cellStyle name="40% - Accent6 2 2 8 2" xfId="13034" xr:uid="{D877A649-FEB9-4E4B-BECC-149AB0734059}"/>
    <cellStyle name="40% - Accent6 2 2 9" xfId="8816" xr:uid="{CF15E443-72DB-404C-97D7-A1E9D4CC0D67}"/>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2 2 2" xfId="15595" xr:uid="{A3334D1C-CC03-4913-94AB-277AF847FE3A}"/>
    <cellStyle name="40% - Accent6 2 3 2 2 3" xfId="11377" xr:uid="{E7060E61-ACDC-46EE-9AEF-E217751ADEFF}"/>
    <cellStyle name="40% - Accent6 2 3 2 3" xfId="5011" xr:uid="{00000000-0005-0000-0000-00000F070000}"/>
    <cellStyle name="40% - Accent6 2 3 2 3 2" xfId="13450" xr:uid="{E3E98348-0622-42B5-A87D-40A36D4DDECF}"/>
    <cellStyle name="40% - Accent6 2 3 2 4" xfId="9232" xr:uid="{B7B4ED07-4AAF-46F1-B3E9-0EF284C312B0}"/>
    <cellStyle name="40% - Accent6 2 3 3" xfId="1115" xr:uid="{00000000-0005-0000-0000-000010070000}"/>
    <cellStyle name="40% - Accent6 2 3 3 2" xfId="3346" xr:uid="{00000000-0005-0000-0000-000011070000}"/>
    <cellStyle name="40% - Accent6 2 3 3 2 2" xfId="7569" xr:uid="{00000000-0005-0000-0000-000012070000}"/>
    <cellStyle name="40% - Accent6 2 3 3 2 2 2" xfId="16008" xr:uid="{B2F42540-C1FA-48E1-AF45-20F002A43A8B}"/>
    <cellStyle name="40% - Accent6 2 3 3 2 3" xfId="11790" xr:uid="{C6CAB6D0-740E-49DE-B41D-666890406CF3}"/>
    <cellStyle name="40% - Accent6 2 3 3 3" xfId="5424" xr:uid="{00000000-0005-0000-0000-000013070000}"/>
    <cellStyle name="40% - Accent6 2 3 3 3 2" xfId="13863" xr:uid="{8B37F126-4DE2-40B1-A01F-A2AADBF83432}"/>
    <cellStyle name="40% - Accent6 2 3 3 4" xfId="9645" xr:uid="{4415C973-5D19-4697-A817-EAFC7C1B2B28}"/>
    <cellStyle name="40% - Accent6 2 3 4" xfId="1529" xr:uid="{00000000-0005-0000-0000-000014070000}"/>
    <cellStyle name="40% - Accent6 2 3 4 2" xfId="3759" xr:uid="{00000000-0005-0000-0000-000015070000}"/>
    <cellStyle name="40% - Accent6 2 3 4 2 2" xfId="7982" xr:uid="{00000000-0005-0000-0000-000016070000}"/>
    <cellStyle name="40% - Accent6 2 3 4 2 2 2" xfId="16421" xr:uid="{40E054BA-03E0-479C-B798-BDD2077CDD2B}"/>
    <cellStyle name="40% - Accent6 2 3 4 2 3" xfId="12203" xr:uid="{7B0C5880-A706-40D0-AD87-9121E3D3A181}"/>
    <cellStyle name="40% - Accent6 2 3 4 3" xfId="5837" xr:uid="{00000000-0005-0000-0000-000017070000}"/>
    <cellStyle name="40% - Accent6 2 3 4 3 2" xfId="14276" xr:uid="{B6D2230A-4D19-4F99-A64A-B79E9EC4D8E2}"/>
    <cellStyle name="40% - Accent6 2 3 4 4" xfId="10058" xr:uid="{FEE0AC65-111D-4FB4-9B98-08BBA4874AC2}"/>
    <cellStyle name="40% - Accent6 2 3 5" xfId="1943" xr:uid="{00000000-0005-0000-0000-000018070000}"/>
    <cellStyle name="40% - Accent6 2 3 5 2" xfId="4172" xr:uid="{00000000-0005-0000-0000-000019070000}"/>
    <cellStyle name="40% - Accent6 2 3 5 2 2" xfId="8395" xr:uid="{00000000-0005-0000-0000-00001A070000}"/>
    <cellStyle name="40% - Accent6 2 3 5 2 2 2" xfId="16834" xr:uid="{29825AE8-B892-4DEB-AAF4-0465ADD9D9F5}"/>
    <cellStyle name="40% - Accent6 2 3 5 2 3" xfId="12616" xr:uid="{924D7804-0740-4414-8116-16F677267A93}"/>
    <cellStyle name="40% - Accent6 2 3 5 3" xfId="6250" xr:uid="{00000000-0005-0000-0000-00001B070000}"/>
    <cellStyle name="40% - Accent6 2 3 5 3 2" xfId="14689" xr:uid="{F1F40175-5932-4BAF-BE6B-35A9E118B147}"/>
    <cellStyle name="40% - Accent6 2 3 5 4" xfId="10471" xr:uid="{CEDAC027-07DD-42E0-BD1A-38046F6AB9AC}"/>
    <cellStyle name="40% - Accent6 2 3 6" xfId="2356" xr:uid="{00000000-0005-0000-0000-00001C070000}"/>
    <cellStyle name="40% - Accent6 2 3 6 2" xfId="6663" xr:uid="{00000000-0005-0000-0000-00001D070000}"/>
    <cellStyle name="40% - Accent6 2 3 6 2 2" xfId="15102" xr:uid="{5F71637E-C56F-4824-99CC-358B07D28EF8}"/>
    <cellStyle name="40% - Accent6 2 3 6 3" xfId="10884" xr:uid="{94AECFE0-52BA-494A-ADA9-15AB1206A63B}"/>
    <cellStyle name="40% - Accent6 2 3 7" xfId="4597" xr:uid="{00000000-0005-0000-0000-00001E070000}"/>
    <cellStyle name="40% - Accent6 2 3 7 2" xfId="13036" xr:uid="{0F713708-30A4-457F-8418-9364BF8BC71A}"/>
    <cellStyle name="40% - Accent6 2 3 8" xfId="8818" xr:uid="{FF133D81-B212-4677-8333-CCEEBA9A97F8}"/>
    <cellStyle name="40% - Accent6 2 4" xfId="659" xr:uid="{00000000-0005-0000-0000-00001F070000}"/>
    <cellStyle name="40% - Accent6 2 4 2" xfId="2930" xr:uid="{00000000-0005-0000-0000-000020070000}"/>
    <cellStyle name="40% - Accent6 2 4 2 2" xfId="7153" xr:uid="{00000000-0005-0000-0000-000021070000}"/>
    <cellStyle name="40% - Accent6 2 4 2 2 2" xfId="15592" xr:uid="{2AC242AF-30E7-4FE8-BF67-D1CF530FBE50}"/>
    <cellStyle name="40% - Accent6 2 4 2 3" xfId="11374" xr:uid="{7D7A4FA7-0429-4D2F-AFC3-99170F94ED53}"/>
    <cellStyle name="40% - Accent6 2 4 3" xfId="5008" xr:uid="{00000000-0005-0000-0000-000022070000}"/>
    <cellStyle name="40% - Accent6 2 4 3 2" xfId="13447" xr:uid="{6317E819-890D-4B87-A7EA-0E3D31107842}"/>
    <cellStyle name="40% - Accent6 2 4 4" xfId="9229" xr:uid="{67AC1CDD-1FD5-4333-9C5D-9305D535AF31}"/>
    <cellStyle name="40% - Accent6 2 5" xfId="1112" xr:uid="{00000000-0005-0000-0000-000023070000}"/>
    <cellStyle name="40% - Accent6 2 5 2" xfId="3343" xr:uid="{00000000-0005-0000-0000-000024070000}"/>
    <cellStyle name="40% - Accent6 2 5 2 2" xfId="7566" xr:uid="{00000000-0005-0000-0000-000025070000}"/>
    <cellStyle name="40% - Accent6 2 5 2 2 2" xfId="16005" xr:uid="{67AC8AA8-F80A-4CF1-8C8C-655F1A243F08}"/>
    <cellStyle name="40% - Accent6 2 5 2 3" xfId="11787" xr:uid="{80A90DB8-2047-405D-9822-17D924F84993}"/>
    <cellStyle name="40% - Accent6 2 5 3" xfId="5421" xr:uid="{00000000-0005-0000-0000-000026070000}"/>
    <cellStyle name="40% - Accent6 2 5 3 2" xfId="13860" xr:uid="{7821ECA4-076D-4E4D-B4A9-13F3AD4C75A2}"/>
    <cellStyle name="40% - Accent6 2 5 4" xfId="9642" xr:uid="{E21EE18A-4878-4C05-878B-DA64551E5761}"/>
    <cellStyle name="40% - Accent6 2 6" xfId="1526" xr:uid="{00000000-0005-0000-0000-000027070000}"/>
    <cellStyle name="40% - Accent6 2 6 2" xfId="3756" xr:uid="{00000000-0005-0000-0000-000028070000}"/>
    <cellStyle name="40% - Accent6 2 6 2 2" xfId="7979" xr:uid="{00000000-0005-0000-0000-000029070000}"/>
    <cellStyle name="40% - Accent6 2 6 2 2 2" xfId="16418" xr:uid="{61BBC972-37F3-40B5-98EF-940F3A14CBA8}"/>
    <cellStyle name="40% - Accent6 2 6 2 3" xfId="12200" xr:uid="{8B95825D-8E80-4CFA-87BA-A7FB15FD5D58}"/>
    <cellStyle name="40% - Accent6 2 6 3" xfId="5834" xr:uid="{00000000-0005-0000-0000-00002A070000}"/>
    <cellStyle name="40% - Accent6 2 6 3 2" xfId="14273" xr:uid="{50777056-D35B-418D-B535-E0BF7C3AD72E}"/>
    <cellStyle name="40% - Accent6 2 6 4" xfId="10055" xr:uid="{1189588E-F733-4472-AA12-C6D4F57FDC6D}"/>
    <cellStyle name="40% - Accent6 2 7" xfId="1940" xr:uid="{00000000-0005-0000-0000-00002B070000}"/>
    <cellStyle name="40% - Accent6 2 7 2" xfId="4169" xr:uid="{00000000-0005-0000-0000-00002C070000}"/>
    <cellStyle name="40% - Accent6 2 7 2 2" xfId="8392" xr:uid="{00000000-0005-0000-0000-00002D070000}"/>
    <cellStyle name="40% - Accent6 2 7 2 2 2" xfId="16831" xr:uid="{3CD8E5EB-F689-491C-9F83-2EBF72302A3F}"/>
    <cellStyle name="40% - Accent6 2 7 2 3" xfId="12613" xr:uid="{05586977-799E-45F2-A231-8A4F6DBD9542}"/>
    <cellStyle name="40% - Accent6 2 7 3" xfId="6247" xr:uid="{00000000-0005-0000-0000-00002E070000}"/>
    <cellStyle name="40% - Accent6 2 7 3 2" xfId="14686" xr:uid="{299F9468-2126-4BF4-8FC6-75CCD80B8E49}"/>
    <cellStyle name="40% - Accent6 2 7 4" xfId="10468" xr:uid="{F695CB5D-E606-46FF-AAE6-9F7678A57199}"/>
    <cellStyle name="40% - Accent6 2 8" xfId="2353" xr:uid="{00000000-0005-0000-0000-00002F070000}"/>
    <cellStyle name="40% - Accent6 2 8 2" xfId="6660" xr:uid="{00000000-0005-0000-0000-000030070000}"/>
    <cellStyle name="40% - Accent6 2 8 2 2" xfId="15099" xr:uid="{D7AAE0A0-5F18-4C89-955E-20E2359975FA}"/>
    <cellStyle name="40% - Accent6 2 8 3" xfId="10881" xr:uid="{91E76410-C7E9-485F-960A-627E12FD74BB}"/>
    <cellStyle name="40% - Accent6 2 9" xfId="4594" xr:uid="{00000000-0005-0000-0000-000031070000}"/>
    <cellStyle name="40% - Accent6 2 9 2" xfId="13033" xr:uid="{2667413D-CB33-4AF2-B78C-0FD6AE014CC9}"/>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2 2 2" xfId="15597" xr:uid="{179A4E76-F631-4688-9027-0CD3D42E4FCD}"/>
    <cellStyle name="40% - Accent6 3 2 2 2 3" xfId="11379" xr:uid="{7920DE88-89D5-4888-B7F6-96581AD1A938}"/>
    <cellStyle name="40% - Accent6 3 2 2 3" xfId="5013" xr:uid="{00000000-0005-0000-0000-000037070000}"/>
    <cellStyle name="40% - Accent6 3 2 2 3 2" xfId="13452" xr:uid="{DE3A968C-19CB-4B97-B05A-694B4B760441}"/>
    <cellStyle name="40% - Accent6 3 2 2 4" xfId="9234" xr:uid="{C9593C41-6DAC-40F0-921E-38C0E4083554}"/>
    <cellStyle name="40% - Accent6 3 2 3" xfId="1117" xr:uid="{00000000-0005-0000-0000-000038070000}"/>
    <cellStyle name="40% - Accent6 3 2 3 2" xfId="3348" xr:uid="{00000000-0005-0000-0000-000039070000}"/>
    <cellStyle name="40% - Accent6 3 2 3 2 2" xfId="7571" xr:uid="{00000000-0005-0000-0000-00003A070000}"/>
    <cellStyle name="40% - Accent6 3 2 3 2 2 2" xfId="16010" xr:uid="{F262162F-8E00-4CD4-B861-B44402697D62}"/>
    <cellStyle name="40% - Accent6 3 2 3 2 3" xfId="11792" xr:uid="{E21C7C4D-42E8-4CC8-86DA-5035F0D0DA9B}"/>
    <cellStyle name="40% - Accent6 3 2 3 3" xfId="5426" xr:uid="{00000000-0005-0000-0000-00003B070000}"/>
    <cellStyle name="40% - Accent6 3 2 3 3 2" xfId="13865" xr:uid="{46004C00-5E54-452C-90B4-A6B564223B2A}"/>
    <cellStyle name="40% - Accent6 3 2 3 4" xfId="9647" xr:uid="{8652AE13-7C50-4055-BDCD-67C89EFF2274}"/>
    <cellStyle name="40% - Accent6 3 2 4" xfId="1531" xr:uid="{00000000-0005-0000-0000-00003C070000}"/>
    <cellStyle name="40% - Accent6 3 2 4 2" xfId="3761" xr:uid="{00000000-0005-0000-0000-00003D070000}"/>
    <cellStyle name="40% - Accent6 3 2 4 2 2" xfId="7984" xr:uid="{00000000-0005-0000-0000-00003E070000}"/>
    <cellStyle name="40% - Accent6 3 2 4 2 2 2" xfId="16423" xr:uid="{BF3E6E87-B498-4524-B369-D5D7D90C5AD8}"/>
    <cellStyle name="40% - Accent6 3 2 4 2 3" xfId="12205" xr:uid="{C6C7D5DB-9400-46CC-8CAA-88FBC6D3DCE7}"/>
    <cellStyle name="40% - Accent6 3 2 4 3" xfId="5839" xr:uid="{00000000-0005-0000-0000-00003F070000}"/>
    <cellStyle name="40% - Accent6 3 2 4 3 2" xfId="14278" xr:uid="{8C5E5164-1F7F-4C1E-8220-720949A8DD18}"/>
    <cellStyle name="40% - Accent6 3 2 4 4" xfId="10060" xr:uid="{F6F35601-2906-43D7-A886-790DD5D4579D}"/>
    <cellStyle name="40% - Accent6 3 2 5" xfId="1945" xr:uid="{00000000-0005-0000-0000-000040070000}"/>
    <cellStyle name="40% - Accent6 3 2 5 2" xfId="4174" xr:uid="{00000000-0005-0000-0000-000041070000}"/>
    <cellStyle name="40% - Accent6 3 2 5 2 2" xfId="8397" xr:uid="{00000000-0005-0000-0000-000042070000}"/>
    <cellStyle name="40% - Accent6 3 2 5 2 2 2" xfId="16836" xr:uid="{D4CDE858-8046-43E3-BE9A-E8965A0006DB}"/>
    <cellStyle name="40% - Accent6 3 2 5 2 3" xfId="12618" xr:uid="{39993FE8-EDBE-42A9-881B-DE97F6EE5ECC}"/>
    <cellStyle name="40% - Accent6 3 2 5 3" xfId="6252" xr:uid="{00000000-0005-0000-0000-000043070000}"/>
    <cellStyle name="40% - Accent6 3 2 5 3 2" xfId="14691" xr:uid="{8360A9A3-6F24-4A82-BE4E-0864A0DC4A30}"/>
    <cellStyle name="40% - Accent6 3 2 5 4" xfId="10473" xr:uid="{7AFD457C-85EE-49E1-B96F-E2240E7D512D}"/>
    <cellStyle name="40% - Accent6 3 2 6" xfId="2358" xr:uid="{00000000-0005-0000-0000-000044070000}"/>
    <cellStyle name="40% - Accent6 3 2 6 2" xfId="6665" xr:uid="{00000000-0005-0000-0000-000045070000}"/>
    <cellStyle name="40% - Accent6 3 2 6 2 2" xfId="15104" xr:uid="{022759C6-0384-4F51-ACD8-85C40CCBD99C}"/>
    <cellStyle name="40% - Accent6 3 2 6 3" xfId="10886" xr:uid="{4D452751-EE60-4EBB-BC25-831C2DE1DB1F}"/>
    <cellStyle name="40% - Accent6 3 2 7" xfId="4599" xr:uid="{00000000-0005-0000-0000-000046070000}"/>
    <cellStyle name="40% - Accent6 3 2 7 2" xfId="13038" xr:uid="{894E3DD9-26AD-4401-8E82-8C040B830322}"/>
    <cellStyle name="40% - Accent6 3 2 8" xfId="8820" xr:uid="{8D9E9D96-7947-408C-9E97-A9714E5BB0E4}"/>
    <cellStyle name="40% - Accent6 3 3" xfId="663" xr:uid="{00000000-0005-0000-0000-000047070000}"/>
    <cellStyle name="40% - Accent6 3 3 2" xfId="2934" xr:uid="{00000000-0005-0000-0000-000048070000}"/>
    <cellStyle name="40% - Accent6 3 3 2 2" xfId="7157" xr:uid="{00000000-0005-0000-0000-000049070000}"/>
    <cellStyle name="40% - Accent6 3 3 2 2 2" xfId="15596" xr:uid="{614C4E68-9E03-41A5-A7F6-A179D780A729}"/>
    <cellStyle name="40% - Accent6 3 3 2 3" xfId="11378" xr:uid="{7AEF940E-CA9C-4082-9F0B-3714E0D3998F}"/>
    <cellStyle name="40% - Accent6 3 3 3" xfId="5012" xr:uid="{00000000-0005-0000-0000-00004A070000}"/>
    <cellStyle name="40% - Accent6 3 3 3 2" xfId="13451" xr:uid="{D072EE50-3CC9-4B43-9E2B-2CEB25D984BD}"/>
    <cellStyle name="40% - Accent6 3 3 4" xfId="9233" xr:uid="{F4267765-21F4-4F49-852D-31D8DBC31311}"/>
    <cellStyle name="40% - Accent6 3 4" xfId="1116" xr:uid="{00000000-0005-0000-0000-00004B070000}"/>
    <cellStyle name="40% - Accent6 3 4 2" xfId="3347" xr:uid="{00000000-0005-0000-0000-00004C070000}"/>
    <cellStyle name="40% - Accent6 3 4 2 2" xfId="7570" xr:uid="{00000000-0005-0000-0000-00004D070000}"/>
    <cellStyle name="40% - Accent6 3 4 2 2 2" xfId="16009" xr:uid="{5F9AAD4D-AF0E-4497-AB9C-FC996793395E}"/>
    <cellStyle name="40% - Accent6 3 4 2 3" xfId="11791" xr:uid="{70BF362B-87C9-48CE-B8EB-B9E34B71E5B8}"/>
    <cellStyle name="40% - Accent6 3 4 3" xfId="5425" xr:uid="{00000000-0005-0000-0000-00004E070000}"/>
    <cellStyle name="40% - Accent6 3 4 3 2" xfId="13864" xr:uid="{7ADA03FD-EF4A-4E7D-ADF4-390BE1D84D1B}"/>
    <cellStyle name="40% - Accent6 3 4 4" xfId="9646" xr:uid="{3AB1C8FE-4B62-4E92-A399-A2B8DDB37E26}"/>
    <cellStyle name="40% - Accent6 3 5" xfId="1530" xr:uid="{00000000-0005-0000-0000-00004F070000}"/>
    <cellStyle name="40% - Accent6 3 5 2" xfId="3760" xr:uid="{00000000-0005-0000-0000-000050070000}"/>
    <cellStyle name="40% - Accent6 3 5 2 2" xfId="7983" xr:uid="{00000000-0005-0000-0000-000051070000}"/>
    <cellStyle name="40% - Accent6 3 5 2 2 2" xfId="16422" xr:uid="{7AA0184C-FA8B-4A14-94AA-8FAEDBC534C5}"/>
    <cellStyle name="40% - Accent6 3 5 2 3" xfId="12204" xr:uid="{6FA5E7A9-CA34-4B28-9814-C387153EEB65}"/>
    <cellStyle name="40% - Accent6 3 5 3" xfId="5838" xr:uid="{00000000-0005-0000-0000-000052070000}"/>
    <cellStyle name="40% - Accent6 3 5 3 2" xfId="14277" xr:uid="{DE0AA81D-90D5-4C6B-9B13-0DFAB5406DE5}"/>
    <cellStyle name="40% - Accent6 3 5 4" xfId="10059" xr:uid="{C62536AC-2AA5-4057-AC27-45769F8F92DE}"/>
    <cellStyle name="40% - Accent6 3 6" xfId="1944" xr:uid="{00000000-0005-0000-0000-000053070000}"/>
    <cellStyle name="40% - Accent6 3 6 2" xfId="4173" xr:uid="{00000000-0005-0000-0000-000054070000}"/>
    <cellStyle name="40% - Accent6 3 6 2 2" xfId="8396" xr:uid="{00000000-0005-0000-0000-000055070000}"/>
    <cellStyle name="40% - Accent6 3 6 2 2 2" xfId="16835" xr:uid="{DCDFFD3D-3D17-496C-B102-C071455085F1}"/>
    <cellStyle name="40% - Accent6 3 6 2 3" xfId="12617" xr:uid="{1DD1EB27-DC9A-4E1D-B243-4322A504AADB}"/>
    <cellStyle name="40% - Accent6 3 6 3" xfId="6251" xr:uid="{00000000-0005-0000-0000-000056070000}"/>
    <cellStyle name="40% - Accent6 3 6 3 2" xfId="14690" xr:uid="{923DAF59-B0D9-4ECA-AFB8-1F9516934772}"/>
    <cellStyle name="40% - Accent6 3 6 4" xfId="10472" xr:uid="{0DF78D22-9279-4A65-8F54-B2D4BAB6E780}"/>
    <cellStyle name="40% - Accent6 3 7" xfId="2357" xr:uid="{00000000-0005-0000-0000-000057070000}"/>
    <cellStyle name="40% - Accent6 3 7 2" xfId="6664" xr:uid="{00000000-0005-0000-0000-000058070000}"/>
    <cellStyle name="40% - Accent6 3 7 2 2" xfId="15103" xr:uid="{1E8746A4-7706-421D-81CA-5AFDF7208BF5}"/>
    <cellStyle name="40% - Accent6 3 7 3" xfId="10885" xr:uid="{90967F34-FB86-4DCE-B8F6-724490E7B247}"/>
    <cellStyle name="40% - Accent6 3 8" xfId="4598" xr:uid="{00000000-0005-0000-0000-000059070000}"/>
    <cellStyle name="40% - Accent6 3 8 2" xfId="13037" xr:uid="{26127332-C45B-4D8E-9550-799CA897D383}"/>
    <cellStyle name="40% - Accent6 3 9" xfId="8819" xr:uid="{9C384CA5-B703-42A2-9F24-B7D24CFB5E5D}"/>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2 2 2" xfId="15598" xr:uid="{0E33BBBD-5887-4C87-9E48-83B71B336FBC}"/>
    <cellStyle name="40% - Accent6 4 2 2 3" xfId="11380" xr:uid="{449B641A-A543-4294-B057-B6188098A418}"/>
    <cellStyle name="40% - Accent6 4 2 3" xfId="5014" xr:uid="{00000000-0005-0000-0000-00005E070000}"/>
    <cellStyle name="40% - Accent6 4 2 3 2" xfId="13453" xr:uid="{E3CFD2AC-CE9B-46BC-B11C-80BFE0696A1E}"/>
    <cellStyle name="40% - Accent6 4 2 4" xfId="9235" xr:uid="{EF5E4737-F1AB-4963-A946-4D13310250F5}"/>
    <cellStyle name="40% - Accent6 4 3" xfId="1118" xr:uid="{00000000-0005-0000-0000-00005F070000}"/>
    <cellStyle name="40% - Accent6 4 3 2" xfId="3349" xr:uid="{00000000-0005-0000-0000-000060070000}"/>
    <cellStyle name="40% - Accent6 4 3 2 2" xfId="7572" xr:uid="{00000000-0005-0000-0000-000061070000}"/>
    <cellStyle name="40% - Accent6 4 3 2 2 2" xfId="16011" xr:uid="{AA7462CB-E7A4-48D3-9932-6E28DF265408}"/>
    <cellStyle name="40% - Accent6 4 3 2 3" xfId="11793" xr:uid="{18A8E6DD-F233-4DC4-8F86-EEF71B48FBB0}"/>
    <cellStyle name="40% - Accent6 4 3 3" xfId="5427" xr:uid="{00000000-0005-0000-0000-000062070000}"/>
    <cellStyle name="40% - Accent6 4 3 3 2" xfId="13866" xr:uid="{B164FD31-21C9-499D-A991-4A91E83465F5}"/>
    <cellStyle name="40% - Accent6 4 3 4" xfId="9648" xr:uid="{6159FA98-7171-4A40-893F-B6F5E2A02F1A}"/>
    <cellStyle name="40% - Accent6 4 4" xfId="1532" xr:uid="{00000000-0005-0000-0000-000063070000}"/>
    <cellStyle name="40% - Accent6 4 4 2" xfId="3762" xr:uid="{00000000-0005-0000-0000-000064070000}"/>
    <cellStyle name="40% - Accent6 4 4 2 2" xfId="7985" xr:uid="{00000000-0005-0000-0000-000065070000}"/>
    <cellStyle name="40% - Accent6 4 4 2 2 2" xfId="16424" xr:uid="{21A1F14C-6E4B-442E-93DE-FF5D9113657E}"/>
    <cellStyle name="40% - Accent6 4 4 2 3" xfId="12206" xr:uid="{A16AD67C-93CE-4AE8-AA9A-05E5B344573C}"/>
    <cellStyle name="40% - Accent6 4 4 3" xfId="5840" xr:uid="{00000000-0005-0000-0000-000066070000}"/>
    <cellStyle name="40% - Accent6 4 4 3 2" xfId="14279" xr:uid="{44BD1B6E-FE0D-48E5-9706-87212FC13646}"/>
    <cellStyle name="40% - Accent6 4 4 4" xfId="10061" xr:uid="{7DFC9AF7-3E15-49A5-A6E3-3DB8A3A7E24C}"/>
    <cellStyle name="40% - Accent6 4 5" xfId="1946" xr:uid="{00000000-0005-0000-0000-000067070000}"/>
    <cellStyle name="40% - Accent6 4 5 2" xfId="4175" xr:uid="{00000000-0005-0000-0000-000068070000}"/>
    <cellStyle name="40% - Accent6 4 5 2 2" xfId="8398" xr:uid="{00000000-0005-0000-0000-000069070000}"/>
    <cellStyle name="40% - Accent6 4 5 2 2 2" xfId="16837" xr:uid="{52B3D1BA-76CD-4EC9-AB7A-028EAD6F8EEE}"/>
    <cellStyle name="40% - Accent6 4 5 2 3" xfId="12619" xr:uid="{96016474-89AB-4801-B66A-280A142E565B}"/>
    <cellStyle name="40% - Accent6 4 5 3" xfId="6253" xr:uid="{00000000-0005-0000-0000-00006A070000}"/>
    <cellStyle name="40% - Accent6 4 5 3 2" xfId="14692" xr:uid="{356581D3-E5E1-47A3-AE7C-F43BABAC6BD7}"/>
    <cellStyle name="40% - Accent6 4 5 4" xfId="10474" xr:uid="{5BD52DC1-1600-4F19-866E-8A13CB632A87}"/>
    <cellStyle name="40% - Accent6 4 6" xfId="2359" xr:uid="{00000000-0005-0000-0000-00006B070000}"/>
    <cellStyle name="40% - Accent6 4 6 2" xfId="6666" xr:uid="{00000000-0005-0000-0000-00006C070000}"/>
    <cellStyle name="40% - Accent6 4 6 2 2" xfId="15105" xr:uid="{E0F0583D-8747-421E-A8D7-670530C529E8}"/>
    <cellStyle name="40% - Accent6 4 6 3" xfId="10887" xr:uid="{1A5A5F61-51C1-4317-AA72-E587DA97AEA5}"/>
    <cellStyle name="40% - Accent6 4 7" xfId="4600" xr:uid="{00000000-0005-0000-0000-00006D070000}"/>
    <cellStyle name="40% - Accent6 4 7 2" xfId="13039" xr:uid="{300F2A4B-7787-4243-8AA4-A91D469038D0}"/>
    <cellStyle name="40% - Accent6 4 8" xfId="8821" xr:uid="{85D322E8-519F-4A5E-9719-F29E20152D17}"/>
    <cellStyle name="40% - Accent6 5" xfId="658" xr:uid="{00000000-0005-0000-0000-00006E070000}"/>
    <cellStyle name="40% - Accent6 5 2" xfId="2929" xr:uid="{00000000-0005-0000-0000-00006F070000}"/>
    <cellStyle name="40% - Accent6 5 2 2" xfId="7152" xr:uid="{00000000-0005-0000-0000-000070070000}"/>
    <cellStyle name="40% - Accent6 5 2 2 2" xfId="15591" xr:uid="{BBEB097C-3ACF-4190-B13A-2872B3173A9F}"/>
    <cellStyle name="40% - Accent6 5 2 3" xfId="11373" xr:uid="{B5ACCA4A-2206-4B76-81C7-165907DC441F}"/>
    <cellStyle name="40% - Accent6 5 3" xfId="5007" xr:uid="{00000000-0005-0000-0000-000071070000}"/>
    <cellStyle name="40% - Accent6 5 3 2" xfId="13446" xr:uid="{0F56FE96-AFBF-410D-9654-D8B820FFDBAB}"/>
    <cellStyle name="40% - Accent6 5 4" xfId="9228" xr:uid="{575448B8-205B-4C77-A45D-3869CE3318F9}"/>
    <cellStyle name="40% - Accent6 6" xfId="1111" xr:uid="{00000000-0005-0000-0000-000072070000}"/>
    <cellStyle name="40% - Accent6 6 2" xfId="3342" xr:uid="{00000000-0005-0000-0000-000073070000}"/>
    <cellStyle name="40% - Accent6 6 2 2" xfId="7565" xr:uid="{00000000-0005-0000-0000-000074070000}"/>
    <cellStyle name="40% - Accent6 6 2 2 2" xfId="16004" xr:uid="{6A4FC26B-30B4-4555-A431-282DE152D739}"/>
    <cellStyle name="40% - Accent6 6 2 3" xfId="11786" xr:uid="{A5D9C3C0-54E1-4475-BABD-FBE5F0B24256}"/>
    <cellStyle name="40% - Accent6 6 3" xfId="5420" xr:uid="{00000000-0005-0000-0000-000075070000}"/>
    <cellStyle name="40% - Accent6 6 3 2" xfId="13859" xr:uid="{C20046C7-0775-4EDB-AB5E-816894684443}"/>
    <cellStyle name="40% - Accent6 6 4" xfId="9641" xr:uid="{DD4D1878-E7D6-497B-AA9F-8DEED31FEBEA}"/>
    <cellStyle name="40% - Accent6 7" xfId="1525" xr:uid="{00000000-0005-0000-0000-000076070000}"/>
    <cellStyle name="40% - Accent6 7 2" xfId="3755" xr:uid="{00000000-0005-0000-0000-000077070000}"/>
    <cellStyle name="40% - Accent6 7 2 2" xfId="7978" xr:uid="{00000000-0005-0000-0000-000078070000}"/>
    <cellStyle name="40% - Accent6 7 2 2 2" xfId="16417" xr:uid="{D12CBB2D-05A7-4308-B024-762E59DBA15E}"/>
    <cellStyle name="40% - Accent6 7 2 3" xfId="12199" xr:uid="{CD11EC59-2E83-4E80-90A1-28C7B604C6CC}"/>
    <cellStyle name="40% - Accent6 7 3" xfId="5833" xr:uid="{00000000-0005-0000-0000-000079070000}"/>
    <cellStyle name="40% - Accent6 7 3 2" xfId="14272" xr:uid="{126967EB-5F38-4360-92AD-BE37E45A4DFC}"/>
    <cellStyle name="40% - Accent6 7 4" xfId="10054" xr:uid="{6E867DE6-DE09-4202-BA06-E25B02AF6D8D}"/>
    <cellStyle name="40% - Accent6 8" xfId="1939" xr:uid="{00000000-0005-0000-0000-00007A070000}"/>
    <cellStyle name="40% - Accent6 8 2" xfId="4168" xr:uid="{00000000-0005-0000-0000-00007B070000}"/>
    <cellStyle name="40% - Accent6 8 2 2" xfId="8391" xr:uid="{00000000-0005-0000-0000-00007C070000}"/>
    <cellStyle name="40% - Accent6 8 2 2 2" xfId="16830" xr:uid="{47555F6A-DF32-4403-9722-C975803189FB}"/>
    <cellStyle name="40% - Accent6 8 2 3" xfId="12612" xr:uid="{B8E6D8C1-E9E2-4552-AFCE-6A3DD282A3A9}"/>
    <cellStyle name="40% - Accent6 8 3" xfId="6246" xr:uid="{00000000-0005-0000-0000-00007D070000}"/>
    <cellStyle name="40% - Accent6 8 3 2" xfId="14685" xr:uid="{FC1BEDA1-47B8-4284-902C-9BB6BA706232}"/>
    <cellStyle name="40% - Accent6 8 4" xfId="10467" xr:uid="{182D7F58-BBF4-4D0F-BE6B-B984A2D311CC}"/>
    <cellStyle name="40% - Accent6 9" xfId="2352" xr:uid="{00000000-0005-0000-0000-00007E070000}"/>
    <cellStyle name="40% - Accent6 9 2" xfId="6659" xr:uid="{00000000-0005-0000-0000-00007F070000}"/>
    <cellStyle name="40% - Accent6 9 2 2" xfId="15098" xr:uid="{EB9FFA3B-004A-4245-8F91-A3CF6021F2BB}"/>
    <cellStyle name="40% - Accent6 9 3" xfId="10880" xr:uid="{53FC57BA-81FE-421A-8DA2-AC01FEF8A518}"/>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0 2 2" xfId="15423" xr:uid="{BEABF335-189D-4714-A719-99F312624DFC}"/>
    <cellStyle name="Comma 4 2 2 2 10 3" xfId="11205" xr:uid="{2EFD8DC5-E7B9-4478-83C7-3C9ACA5198C8}"/>
    <cellStyle name="Comma 4 2 2 2 11" xfId="4601" xr:uid="{00000000-0005-0000-0000-0000A3070000}"/>
    <cellStyle name="Comma 4 2 2 2 11 2" xfId="13040" xr:uid="{C1091CA1-9A75-4B39-9185-2B57E4CE4A42}"/>
    <cellStyle name="Comma 4 2 2 2 12" xfId="8822" xr:uid="{05E5F73B-4376-49A5-AD22-31B769189834}"/>
    <cellStyle name="Comma 4 2 2 2 2" xfId="129" xr:uid="{00000000-0005-0000-0000-0000A4070000}"/>
    <cellStyle name="Comma 4 2 2 2 2 10" xfId="4602" xr:uid="{00000000-0005-0000-0000-0000A5070000}"/>
    <cellStyle name="Comma 4 2 2 2 2 10 2" xfId="13041" xr:uid="{A499958A-47AD-4459-A01C-5200FADE8CF4}"/>
    <cellStyle name="Comma 4 2 2 2 2 11" xfId="8823" xr:uid="{D3C0E208-770F-44BC-87FA-A41291CF4E60}"/>
    <cellStyle name="Comma 4 2 2 2 2 2" xfId="130" xr:uid="{00000000-0005-0000-0000-0000A6070000}"/>
    <cellStyle name="Comma 4 2 2 2 2 2 10" xfId="8824" xr:uid="{A16715E8-62FD-4CE4-9950-CBE4A3601D24}"/>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2 2 2" xfId="15601" xr:uid="{57CC9348-2DEC-4B2E-811D-05CB327625E7}"/>
    <cellStyle name="Comma 4 2 2 2 2 2 2 2 3" xfId="11383" xr:uid="{DF8E0278-6987-45D0-B0C9-AB510C76CC28}"/>
    <cellStyle name="Comma 4 2 2 2 2 2 2 3" xfId="5017" xr:uid="{00000000-0005-0000-0000-0000AA070000}"/>
    <cellStyle name="Comma 4 2 2 2 2 2 2 3 2" xfId="13456" xr:uid="{35E06B23-AC38-4A28-9A1A-F6572A8B6AE6}"/>
    <cellStyle name="Comma 4 2 2 2 2 2 2 4" xfId="9238" xr:uid="{FEFDDF15-B2DD-44EC-B4FE-2ACEA11221AE}"/>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2 2 2" xfId="16014" xr:uid="{F54571C9-227A-41D5-A748-83D7D357EA57}"/>
    <cellStyle name="Comma 4 2 2 2 2 2 3 2 3" xfId="11796" xr:uid="{FB2B94E4-0408-425F-8A43-FFE00124C9E4}"/>
    <cellStyle name="Comma 4 2 2 2 2 2 3 3" xfId="5430" xr:uid="{00000000-0005-0000-0000-0000AE070000}"/>
    <cellStyle name="Comma 4 2 2 2 2 2 3 3 2" xfId="13869" xr:uid="{E4BF24CF-4DF7-45A0-8CF8-8FC3C2E4489A}"/>
    <cellStyle name="Comma 4 2 2 2 2 2 3 4" xfId="9651" xr:uid="{9CFA8FC9-2599-46ED-83BB-CBB0A0FC528D}"/>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2 2 2" xfId="16427" xr:uid="{C3970C4A-F197-42F8-BE01-8B37D1B85FF6}"/>
    <cellStyle name="Comma 4 2 2 2 2 2 4 2 3" xfId="12209" xr:uid="{FF6F05CE-ED6F-40D7-846E-DDD71D449E85}"/>
    <cellStyle name="Comma 4 2 2 2 2 2 4 3" xfId="5843" xr:uid="{00000000-0005-0000-0000-0000B2070000}"/>
    <cellStyle name="Comma 4 2 2 2 2 2 4 3 2" xfId="14282" xr:uid="{EA446C24-025B-4DD4-B606-BBB52B260238}"/>
    <cellStyle name="Comma 4 2 2 2 2 2 4 4" xfId="10064" xr:uid="{0B4261F4-38F7-4F30-BF4F-7D269E9A0DA4}"/>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2 2 2" xfId="16840" xr:uid="{8992C159-EEF6-425F-900D-F39FB9027BDB}"/>
    <cellStyle name="Comma 4 2 2 2 2 2 5 2 3" xfId="12622" xr:uid="{B29ED6CD-9976-46C9-8A9D-976D3BA2CB33}"/>
    <cellStyle name="Comma 4 2 2 2 2 2 5 3" xfId="6256" xr:uid="{00000000-0005-0000-0000-0000B6070000}"/>
    <cellStyle name="Comma 4 2 2 2 2 2 5 3 2" xfId="14695" xr:uid="{3A0F0560-49AC-4AF0-8F28-10A227E23853}"/>
    <cellStyle name="Comma 4 2 2 2 2 2 5 4" xfId="10477" xr:uid="{3BAFB8EA-381C-4B62-934E-3C615B1D8373}"/>
    <cellStyle name="Comma 4 2 2 2 2 2 6" xfId="2384" xr:uid="{00000000-0005-0000-0000-0000B7070000}"/>
    <cellStyle name="Comma 4 2 2 2 2 2 6 2" xfId="6669" xr:uid="{00000000-0005-0000-0000-0000B8070000}"/>
    <cellStyle name="Comma 4 2 2 2 2 2 6 2 2" xfId="15108" xr:uid="{FAC989FC-846E-4F73-AC36-6E1BA5C40B46}"/>
    <cellStyle name="Comma 4 2 2 2 2 2 6 3" xfId="10890" xr:uid="{F183EE5F-98E5-46EE-B4FA-90400E3C9AB1}"/>
    <cellStyle name="Comma 4 2 2 2 2 2 7" xfId="2379" xr:uid="{00000000-0005-0000-0000-0000B9070000}"/>
    <cellStyle name="Comma 4 2 2 2 2 2 8" xfId="2762" xr:uid="{00000000-0005-0000-0000-0000BA070000}"/>
    <cellStyle name="Comma 4 2 2 2 2 2 8 2" xfId="6986" xr:uid="{00000000-0005-0000-0000-0000BB070000}"/>
    <cellStyle name="Comma 4 2 2 2 2 2 8 2 2" xfId="15425" xr:uid="{90E64D0E-6151-4B8A-8BA4-A7BF84639659}"/>
    <cellStyle name="Comma 4 2 2 2 2 2 8 3" xfId="11207" xr:uid="{B651666A-0740-46B6-AA6F-618C38F618EB}"/>
    <cellStyle name="Comma 4 2 2 2 2 2 9" xfId="4603" xr:uid="{00000000-0005-0000-0000-0000BC070000}"/>
    <cellStyle name="Comma 4 2 2 2 2 2 9 2" xfId="13042" xr:uid="{2BA8C40F-915E-4B4A-B90F-8D8EBB08B91F}"/>
    <cellStyle name="Comma 4 2 2 2 2 3" xfId="667" xr:uid="{00000000-0005-0000-0000-0000BD070000}"/>
    <cellStyle name="Comma 4 2 2 2 2 3 2" xfId="2938" xr:uid="{00000000-0005-0000-0000-0000BE070000}"/>
    <cellStyle name="Comma 4 2 2 2 2 3 2 2" xfId="7161" xr:uid="{00000000-0005-0000-0000-0000BF070000}"/>
    <cellStyle name="Comma 4 2 2 2 2 3 2 2 2" xfId="15600" xr:uid="{10B0F14A-90B3-4029-A765-3CB996D4C84C}"/>
    <cellStyle name="Comma 4 2 2 2 2 3 2 3" xfId="11382" xr:uid="{D143FAF9-FBF7-4D7A-970D-33BD7C3467E5}"/>
    <cellStyle name="Comma 4 2 2 2 2 3 3" xfId="5016" xr:uid="{00000000-0005-0000-0000-0000C0070000}"/>
    <cellStyle name="Comma 4 2 2 2 2 3 3 2" xfId="13455" xr:uid="{D34D8617-C2BA-4A98-A238-86EB8A95AD8E}"/>
    <cellStyle name="Comma 4 2 2 2 2 3 4" xfId="9237" xr:uid="{AEA40628-716F-4349-BA10-AF7AE73992F8}"/>
    <cellStyle name="Comma 4 2 2 2 2 4" xfId="1120" xr:uid="{00000000-0005-0000-0000-0000C1070000}"/>
    <cellStyle name="Comma 4 2 2 2 2 4 2" xfId="3351" xr:uid="{00000000-0005-0000-0000-0000C2070000}"/>
    <cellStyle name="Comma 4 2 2 2 2 4 2 2" xfId="7574" xr:uid="{00000000-0005-0000-0000-0000C3070000}"/>
    <cellStyle name="Comma 4 2 2 2 2 4 2 2 2" xfId="16013" xr:uid="{913F2E94-1932-4ED9-BD33-F5699CCD2764}"/>
    <cellStyle name="Comma 4 2 2 2 2 4 2 3" xfId="11795" xr:uid="{26D48415-F6FF-4D0F-9FE4-09940AA5911F}"/>
    <cellStyle name="Comma 4 2 2 2 2 4 3" xfId="5429" xr:uid="{00000000-0005-0000-0000-0000C4070000}"/>
    <cellStyle name="Comma 4 2 2 2 2 4 3 2" xfId="13868" xr:uid="{0DAC6A90-82BC-414F-81B7-81A7610B9690}"/>
    <cellStyle name="Comma 4 2 2 2 2 4 4" xfId="9650" xr:uid="{09385258-508B-42FF-ABC7-CDA1622D86DC}"/>
    <cellStyle name="Comma 4 2 2 2 2 5" xfId="1534" xr:uid="{00000000-0005-0000-0000-0000C5070000}"/>
    <cellStyle name="Comma 4 2 2 2 2 5 2" xfId="3764" xr:uid="{00000000-0005-0000-0000-0000C6070000}"/>
    <cellStyle name="Comma 4 2 2 2 2 5 2 2" xfId="7987" xr:uid="{00000000-0005-0000-0000-0000C7070000}"/>
    <cellStyle name="Comma 4 2 2 2 2 5 2 2 2" xfId="16426" xr:uid="{B84EA99F-25EC-4E9A-8D3F-EB93C6A76852}"/>
    <cellStyle name="Comma 4 2 2 2 2 5 2 3" xfId="12208" xr:uid="{69B7D5F4-CA89-4BF9-B847-03E52E81FC9B}"/>
    <cellStyle name="Comma 4 2 2 2 2 5 3" xfId="5842" xr:uid="{00000000-0005-0000-0000-0000C8070000}"/>
    <cellStyle name="Comma 4 2 2 2 2 5 3 2" xfId="14281" xr:uid="{BC76378E-9184-41AA-9460-84A40BBC6BB8}"/>
    <cellStyle name="Comma 4 2 2 2 2 5 4" xfId="10063" xr:uid="{75D1C8AB-6271-4632-AE1C-3E9114723049}"/>
    <cellStyle name="Comma 4 2 2 2 2 6" xfId="1948" xr:uid="{00000000-0005-0000-0000-0000C9070000}"/>
    <cellStyle name="Comma 4 2 2 2 2 6 2" xfId="4177" xr:uid="{00000000-0005-0000-0000-0000CA070000}"/>
    <cellStyle name="Comma 4 2 2 2 2 6 2 2" xfId="8400" xr:uid="{00000000-0005-0000-0000-0000CB070000}"/>
    <cellStyle name="Comma 4 2 2 2 2 6 2 2 2" xfId="16839" xr:uid="{AF5175B5-2643-4CB8-BC97-3FB044AAE11E}"/>
    <cellStyle name="Comma 4 2 2 2 2 6 2 3" xfId="12621" xr:uid="{816D45C2-D8B0-42E3-8DA9-22AED02CE31F}"/>
    <cellStyle name="Comma 4 2 2 2 2 6 3" xfId="6255" xr:uid="{00000000-0005-0000-0000-0000CC070000}"/>
    <cellStyle name="Comma 4 2 2 2 2 6 3 2" xfId="14694" xr:uid="{0DFEF166-46E8-47E8-9081-E50E53FA6386}"/>
    <cellStyle name="Comma 4 2 2 2 2 6 4" xfId="10476" xr:uid="{A38F03B1-EE01-49CC-B922-DD85C4EB298C}"/>
    <cellStyle name="Comma 4 2 2 2 2 7" xfId="2383" xr:uid="{00000000-0005-0000-0000-0000CD070000}"/>
    <cellStyle name="Comma 4 2 2 2 2 7 2" xfId="6668" xr:uid="{00000000-0005-0000-0000-0000CE070000}"/>
    <cellStyle name="Comma 4 2 2 2 2 7 2 2" xfId="15107" xr:uid="{D53B47F0-2504-40FF-BA0E-49A7DDD30656}"/>
    <cellStyle name="Comma 4 2 2 2 2 7 3" xfId="10889" xr:uid="{CE45BA5E-BC20-4B77-B573-B5FA5FD9CB72}"/>
    <cellStyle name="Comma 4 2 2 2 2 8" xfId="2380" xr:uid="{00000000-0005-0000-0000-0000CF070000}"/>
    <cellStyle name="Comma 4 2 2 2 2 9" xfId="2761" xr:uid="{00000000-0005-0000-0000-0000D0070000}"/>
    <cellStyle name="Comma 4 2 2 2 2 9 2" xfId="6985" xr:uid="{00000000-0005-0000-0000-0000D1070000}"/>
    <cellStyle name="Comma 4 2 2 2 2 9 2 2" xfId="15424" xr:uid="{A990C337-6A8A-4CB8-BA46-5B053F49E3D5}"/>
    <cellStyle name="Comma 4 2 2 2 2 9 3" xfId="11206" xr:uid="{B3765199-D5D5-4DF6-929E-3C8893D5CB6D}"/>
    <cellStyle name="Comma 4 2 2 2 3" xfId="131" xr:uid="{00000000-0005-0000-0000-0000D2070000}"/>
    <cellStyle name="Comma 4 2 2 2 3 10" xfId="8825" xr:uid="{3C403282-170D-418F-BE99-8AE1D550248A}"/>
    <cellStyle name="Comma 4 2 2 2 3 2" xfId="669" xr:uid="{00000000-0005-0000-0000-0000D3070000}"/>
    <cellStyle name="Comma 4 2 2 2 3 2 2" xfId="2940" xr:uid="{00000000-0005-0000-0000-0000D4070000}"/>
    <cellStyle name="Comma 4 2 2 2 3 2 2 2" xfId="7163" xr:uid="{00000000-0005-0000-0000-0000D5070000}"/>
    <cellStyle name="Comma 4 2 2 2 3 2 2 2 2" xfId="15602" xr:uid="{B8EB7379-60E2-468B-99C4-CE8D8751C3EF}"/>
    <cellStyle name="Comma 4 2 2 2 3 2 2 3" xfId="11384" xr:uid="{56B103EF-6857-4315-96E8-B3088B9DD2A3}"/>
    <cellStyle name="Comma 4 2 2 2 3 2 3" xfId="5018" xr:uid="{00000000-0005-0000-0000-0000D6070000}"/>
    <cellStyle name="Comma 4 2 2 2 3 2 3 2" xfId="13457" xr:uid="{466F37EF-CB8F-4FAD-A256-03B191351B2B}"/>
    <cellStyle name="Comma 4 2 2 2 3 2 4" xfId="9239" xr:uid="{1584DC7F-9311-4BF0-B63D-A5A6DEFB5247}"/>
    <cellStyle name="Comma 4 2 2 2 3 3" xfId="1122" xr:uid="{00000000-0005-0000-0000-0000D7070000}"/>
    <cellStyle name="Comma 4 2 2 2 3 3 2" xfId="3353" xr:uid="{00000000-0005-0000-0000-0000D8070000}"/>
    <cellStyle name="Comma 4 2 2 2 3 3 2 2" xfId="7576" xr:uid="{00000000-0005-0000-0000-0000D9070000}"/>
    <cellStyle name="Comma 4 2 2 2 3 3 2 2 2" xfId="16015" xr:uid="{CE580B49-9527-4CF2-80D4-C9101E1D448F}"/>
    <cellStyle name="Comma 4 2 2 2 3 3 2 3" xfId="11797" xr:uid="{C3F7B87E-67AD-48C8-90DB-B64CF4920170}"/>
    <cellStyle name="Comma 4 2 2 2 3 3 3" xfId="5431" xr:uid="{00000000-0005-0000-0000-0000DA070000}"/>
    <cellStyle name="Comma 4 2 2 2 3 3 3 2" xfId="13870" xr:uid="{59131130-5AEA-4084-B039-BF2C254B86B2}"/>
    <cellStyle name="Comma 4 2 2 2 3 3 4" xfId="9652" xr:uid="{6733E3C5-6384-4D17-A524-916D6B2563EC}"/>
    <cellStyle name="Comma 4 2 2 2 3 4" xfId="1536" xr:uid="{00000000-0005-0000-0000-0000DB070000}"/>
    <cellStyle name="Comma 4 2 2 2 3 4 2" xfId="3766" xr:uid="{00000000-0005-0000-0000-0000DC070000}"/>
    <cellStyle name="Comma 4 2 2 2 3 4 2 2" xfId="7989" xr:uid="{00000000-0005-0000-0000-0000DD070000}"/>
    <cellStyle name="Comma 4 2 2 2 3 4 2 2 2" xfId="16428" xr:uid="{A9A9F8C3-CB0E-47D8-B238-93F892EEF31E}"/>
    <cellStyle name="Comma 4 2 2 2 3 4 2 3" xfId="12210" xr:uid="{43176E01-E792-49AF-8541-B5DE8226EE6D}"/>
    <cellStyle name="Comma 4 2 2 2 3 4 3" xfId="5844" xr:uid="{00000000-0005-0000-0000-0000DE070000}"/>
    <cellStyle name="Comma 4 2 2 2 3 4 3 2" xfId="14283" xr:uid="{8912EF45-CD46-49BF-8522-2A4D685A95C8}"/>
    <cellStyle name="Comma 4 2 2 2 3 4 4" xfId="10065" xr:uid="{6BB09662-94B2-4E5B-83FB-452354180299}"/>
    <cellStyle name="Comma 4 2 2 2 3 5" xfId="1950" xr:uid="{00000000-0005-0000-0000-0000DF070000}"/>
    <cellStyle name="Comma 4 2 2 2 3 5 2" xfId="4179" xr:uid="{00000000-0005-0000-0000-0000E0070000}"/>
    <cellStyle name="Comma 4 2 2 2 3 5 2 2" xfId="8402" xr:uid="{00000000-0005-0000-0000-0000E1070000}"/>
    <cellStyle name="Comma 4 2 2 2 3 5 2 2 2" xfId="16841" xr:uid="{A2AA55CF-7BCA-4F2C-9933-72BC9D9A6966}"/>
    <cellStyle name="Comma 4 2 2 2 3 5 2 3" xfId="12623" xr:uid="{636F5CBD-C8FA-47E7-A652-A1A1397D6600}"/>
    <cellStyle name="Comma 4 2 2 2 3 5 3" xfId="6257" xr:uid="{00000000-0005-0000-0000-0000E2070000}"/>
    <cellStyle name="Comma 4 2 2 2 3 5 3 2" xfId="14696" xr:uid="{334A02F0-1C7A-472C-AEEE-24B741982645}"/>
    <cellStyle name="Comma 4 2 2 2 3 5 4" xfId="10478" xr:uid="{699D874B-6B95-4925-8F3E-6B48C13E44F5}"/>
    <cellStyle name="Comma 4 2 2 2 3 6" xfId="2385" xr:uid="{00000000-0005-0000-0000-0000E3070000}"/>
    <cellStyle name="Comma 4 2 2 2 3 6 2" xfId="6670" xr:uid="{00000000-0005-0000-0000-0000E4070000}"/>
    <cellStyle name="Comma 4 2 2 2 3 6 2 2" xfId="15109" xr:uid="{B1B79C53-9BB5-429A-BA9A-4B121AB3923E}"/>
    <cellStyle name="Comma 4 2 2 2 3 6 3" xfId="10891" xr:uid="{9B7BDC3A-7BD8-451A-A8C4-95362E0A2B38}"/>
    <cellStyle name="Comma 4 2 2 2 3 7" xfId="2378" xr:uid="{00000000-0005-0000-0000-0000E5070000}"/>
    <cellStyle name="Comma 4 2 2 2 3 8" xfId="2763" xr:uid="{00000000-0005-0000-0000-0000E6070000}"/>
    <cellStyle name="Comma 4 2 2 2 3 8 2" xfId="6987" xr:uid="{00000000-0005-0000-0000-0000E7070000}"/>
    <cellStyle name="Comma 4 2 2 2 3 8 2 2" xfId="15426" xr:uid="{B9A7F5DC-4714-477B-A0B2-28155DB7F719}"/>
    <cellStyle name="Comma 4 2 2 2 3 8 3" xfId="11208" xr:uid="{FA9E8152-FAD8-4FE3-B72E-CDE678C32AC9}"/>
    <cellStyle name="Comma 4 2 2 2 3 9" xfId="4604" xr:uid="{00000000-0005-0000-0000-0000E8070000}"/>
    <cellStyle name="Comma 4 2 2 2 3 9 2" xfId="13043" xr:uid="{0BF46918-9490-4524-AC73-756775FE2DF5}"/>
    <cellStyle name="Comma 4 2 2 2 4" xfId="666" xr:uid="{00000000-0005-0000-0000-0000E9070000}"/>
    <cellStyle name="Comma 4 2 2 2 4 2" xfId="2937" xr:uid="{00000000-0005-0000-0000-0000EA070000}"/>
    <cellStyle name="Comma 4 2 2 2 4 2 2" xfId="7160" xr:uid="{00000000-0005-0000-0000-0000EB070000}"/>
    <cellStyle name="Comma 4 2 2 2 4 2 2 2" xfId="15599" xr:uid="{1CD80653-658E-43A7-8289-E10843936AC7}"/>
    <cellStyle name="Comma 4 2 2 2 4 2 3" xfId="11381" xr:uid="{E094CBC9-4219-4F7E-839C-78841D662A97}"/>
    <cellStyle name="Comma 4 2 2 2 4 3" xfId="5015" xr:uid="{00000000-0005-0000-0000-0000EC070000}"/>
    <cellStyle name="Comma 4 2 2 2 4 3 2" xfId="13454" xr:uid="{AF62D373-4A7C-48A3-A728-13A6FF16310A}"/>
    <cellStyle name="Comma 4 2 2 2 4 4" xfId="9236" xr:uid="{B5C5DCFC-FA25-4880-91C7-75B0CA845FDC}"/>
    <cellStyle name="Comma 4 2 2 2 5" xfId="1119" xr:uid="{00000000-0005-0000-0000-0000ED070000}"/>
    <cellStyle name="Comma 4 2 2 2 5 2" xfId="3350" xr:uid="{00000000-0005-0000-0000-0000EE070000}"/>
    <cellStyle name="Comma 4 2 2 2 5 2 2" xfId="7573" xr:uid="{00000000-0005-0000-0000-0000EF070000}"/>
    <cellStyle name="Comma 4 2 2 2 5 2 2 2" xfId="16012" xr:uid="{72FD2E41-9BA2-4FD7-AEDB-38020959271E}"/>
    <cellStyle name="Comma 4 2 2 2 5 2 3" xfId="11794" xr:uid="{AB041E82-5A7B-4D16-86E8-011ABBD29A24}"/>
    <cellStyle name="Comma 4 2 2 2 5 3" xfId="5428" xr:uid="{00000000-0005-0000-0000-0000F0070000}"/>
    <cellStyle name="Comma 4 2 2 2 5 3 2" xfId="13867" xr:uid="{803EAC76-0BD6-4B92-B2EA-B2CB67D6D265}"/>
    <cellStyle name="Comma 4 2 2 2 5 4" xfId="9649" xr:uid="{727AD0FE-7FFF-47A2-AF9C-D92C3BC3962E}"/>
    <cellStyle name="Comma 4 2 2 2 6" xfId="1533" xr:uid="{00000000-0005-0000-0000-0000F1070000}"/>
    <cellStyle name="Comma 4 2 2 2 6 2" xfId="3763" xr:uid="{00000000-0005-0000-0000-0000F2070000}"/>
    <cellStyle name="Comma 4 2 2 2 6 2 2" xfId="7986" xr:uid="{00000000-0005-0000-0000-0000F3070000}"/>
    <cellStyle name="Comma 4 2 2 2 6 2 2 2" xfId="16425" xr:uid="{CBB674A9-254A-41E3-90C2-BAAB5B3379B1}"/>
    <cellStyle name="Comma 4 2 2 2 6 2 3" xfId="12207" xr:uid="{7C4975DC-98F5-42AA-AA39-A57FCF15E752}"/>
    <cellStyle name="Comma 4 2 2 2 6 3" xfId="5841" xr:uid="{00000000-0005-0000-0000-0000F4070000}"/>
    <cellStyle name="Comma 4 2 2 2 6 3 2" xfId="14280" xr:uid="{3683EAA5-A35D-47B7-9919-2984487B2714}"/>
    <cellStyle name="Comma 4 2 2 2 6 4" xfId="10062" xr:uid="{534418B3-9EFB-4A23-AB7B-7A87BACD7CB4}"/>
    <cellStyle name="Comma 4 2 2 2 7" xfId="1947" xr:uid="{00000000-0005-0000-0000-0000F5070000}"/>
    <cellStyle name="Comma 4 2 2 2 7 2" xfId="4176" xr:uid="{00000000-0005-0000-0000-0000F6070000}"/>
    <cellStyle name="Comma 4 2 2 2 7 2 2" xfId="8399" xr:uid="{00000000-0005-0000-0000-0000F7070000}"/>
    <cellStyle name="Comma 4 2 2 2 7 2 2 2" xfId="16838" xr:uid="{DD920506-2489-454D-9640-25FFB1C48A46}"/>
    <cellStyle name="Comma 4 2 2 2 7 2 3" xfId="12620" xr:uid="{29E82C43-4C90-4867-8C92-495264534CC1}"/>
    <cellStyle name="Comma 4 2 2 2 7 3" xfId="6254" xr:uid="{00000000-0005-0000-0000-0000F8070000}"/>
    <cellStyle name="Comma 4 2 2 2 7 3 2" xfId="14693" xr:uid="{7A4DA0D4-9EBC-4775-B1C6-41D413818437}"/>
    <cellStyle name="Comma 4 2 2 2 7 4" xfId="10475" xr:uid="{6ED077BF-1E93-43AE-AC15-10B7DA15795E}"/>
    <cellStyle name="Comma 4 2 2 2 8" xfId="2382" xr:uid="{00000000-0005-0000-0000-0000F9070000}"/>
    <cellStyle name="Comma 4 2 2 2 8 2" xfId="6667" xr:uid="{00000000-0005-0000-0000-0000FA070000}"/>
    <cellStyle name="Comma 4 2 2 2 8 2 2" xfId="15106" xr:uid="{153C6D35-A061-42AD-8D90-3024D0969D6E}"/>
    <cellStyle name="Comma 4 2 2 2 8 3" xfId="10888" xr:uid="{EE19FAF3-3DF6-47CD-8CB7-013709BFFA71}"/>
    <cellStyle name="Comma 4 2 2 2 9" xfId="2381" xr:uid="{00000000-0005-0000-0000-0000FB070000}"/>
    <cellStyle name="Comma 4 2 2 3" xfId="132" xr:uid="{00000000-0005-0000-0000-0000FC070000}"/>
    <cellStyle name="Comma 4 2 2 3 10" xfId="4605" xr:uid="{00000000-0005-0000-0000-0000FD070000}"/>
    <cellStyle name="Comma 4 2 2 3 10 2" xfId="13044" xr:uid="{97DCFE5A-62C5-4457-9B2F-1415A1E8CF22}"/>
    <cellStyle name="Comma 4 2 2 3 11" xfId="8826" xr:uid="{C472F854-510B-475E-961A-5009EDFB9F5E}"/>
    <cellStyle name="Comma 4 2 2 3 2" xfId="133" xr:uid="{00000000-0005-0000-0000-0000FE070000}"/>
    <cellStyle name="Comma 4 2 2 3 2 10" xfId="8827" xr:uid="{47BAAD01-35A4-47A0-A0BF-0D8D7BB292BE}"/>
    <cellStyle name="Comma 4 2 2 3 2 2" xfId="671" xr:uid="{00000000-0005-0000-0000-0000FF070000}"/>
    <cellStyle name="Comma 4 2 2 3 2 2 2" xfId="2942" xr:uid="{00000000-0005-0000-0000-000000080000}"/>
    <cellStyle name="Comma 4 2 2 3 2 2 2 2" xfId="7165" xr:uid="{00000000-0005-0000-0000-000001080000}"/>
    <cellStyle name="Comma 4 2 2 3 2 2 2 2 2" xfId="15604" xr:uid="{AC5CFB2A-56BB-4B5A-AA5D-8CD967B098CC}"/>
    <cellStyle name="Comma 4 2 2 3 2 2 2 3" xfId="11386" xr:uid="{9E029856-68B3-45FA-9B14-1C8696F6CB7A}"/>
    <cellStyle name="Comma 4 2 2 3 2 2 3" xfId="5020" xr:uid="{00000000-0005-0000-0000-000002080000}"/>
    <cellStyle name="Comma 4 2 2 3 2 2 3 2" xfId="13459" xr:uid="{E7E3B71E-BB34-4BB0-BD52-CBDA4B5934A1}"/>
    <cellStyle name="Comma 4 2 2 3 2 2 4" xfId="9241" xr:uid="{0EF403F8-9F45-4235-B073-E1326AB16555}"/>
    <cellStyle name="Comma 4 2 2 3 2 3" xfId="1124" xr:uid="{00000000-0005-0000-0000-000003080000}"/>
    <cellStyle name="Comma 4 2 2 3 2 3 2" xfId="3355" xr:uid="{00000000-0005-0000-0000-000004080000}"/>
    <cellStyle name="Comma 4 2 2 3 2 3 2 2" xfId="7578" xr:uid="{00000000-0005-0000-0000-000005080000}"/>
    <cellStyle name="Comma 4 2 2 3 2 3 2 2 2" xfId="16017" xr:uid="{01B27422-8A26-4ADE-AF4E-57C040D47533}"/>
    <cellStyle name="Comma 4 2 2 3 2 3 2 3" xfId="11799" xr:uid="{836A3070-B318-49FE-BB6A-A56D844FEDEB}"/>
    <cellStyle name="Comma 4 2 2 3 2 3 3" xfId="5433" xr:uid="{00000000-0005-0000-0000-000006080000}"/>
    <cellStyle name="Comma 4 2 2 3 2 3 3 2" xfId="13872" xr:uid="{08B55BB2-FEE0-49C3-9904-0FD136979B6D}"/>
    <cellStyle name="Comma 4 2 2 3 2 3 4" xfId="9654" xr:uid="{EE4519CA-2074-462E-9355-8DA48956EF8F}"/>
    <cellStyle name="Comma 4 2 2 3 2 4" xfId="1538" xr:uid="{00000000-0005-0000-0000-000007080000}"/>
    <cellStyle name="Comma 4 2 2 3 2 4 2" xfId="3768" xr:uid="{00000000-0005-0000-0000-000008080000}"/>
    <cellStyle name="Comma 4 2 2 3 2 4 2 2" xfId="7991" xr:uid="{00000000-0005-0000-0000-000009080000}"/>
    <cellStyle name="Comma 4 2 2 3 2 4 2 2 2" xfId="16430" xr:uid="{EB450A63-3CE6-4DE0-8ED1-BAD10DF4436D}"/>
    <cellStyle name="Comma 4 2 2 3 2 4 2 3" xfId="12212" xr:uid="{A872DEBE-B7FF-4AC0-AE49-514A1808DBCC}"/>
    <cellStyle name="Comma 4 2 2 3 2 4 3" xfId="5846" xr:uid="{00000000-0005-0000-0000-00000A080000}"/>
    <cellStyle name="Comma 4 2 2 3 2 4 3 2" xfId="14285" xr:uid="{D13553C9-1521-47C5-9590-A2F002AC1E2F}"/>
    <cellStyle name="Comma 4 2 2 3 2 4 4" xfId="10067" xr:uid="{8F226071-F48F-424B-AF2F-5F838F7E1C91}"/>
    <cellStyle name="Comma 4 2 2 3 2 5" xfId="1952" xr:uid="{00000000-0005-0000-0000-00000B080000}"/>
    <cellStyle name="Comma 4 2 2 3 2 5 2" xfId="4181" xr:uid="{00000000-0005-0000-0000-00000C080000}"/>
    <cellStyle name="Comma 4 2 2 3 2 5 2 2" xfId="8404" xr:uid="{00000000-0005-0000-0000-00000D080000}"/>
    <cellStyle name="Comma 4 2 2 3 2 5 2 2 2" xfId="16843" xr:uid="{45063C08-2558-4D1C-8EE3-7DA24A7BFA93}"/>
    <cellStyle name="Comma 4 2 2 3 2 5 2 3" xfId="12625" xr:uid="{6CEB2AA4-E2BF-4F51-B236-42B3591A1281}"/>
    <cellStyle name="Comma 4 2 2 3 2 5 3" xfId="6259" xr:uid="{00000000-0005-0000-0000-00000E080000}"/>
    <cellStyle name="Comma 4 2 2 3 2 5 3 2" xfId="14698" xr:uid="{132B5A7B-2A4D-45B2-AB4D-A3AB2623FF7F}"/>
    <cellStyle name="Comma 4 2 2 3 2 5 4" xfId="10480" xr:uid="{7AA99183-CDC3-4409-B0D0-B33CC86D1E15}"/>
    <cellStyle name="Comma 4 2 2 3 2 6" xfId="2387" xr:uid="{00000000-0005-0000-0000-00000F080000}"/>
    <cellStyle name="Comma 4 2 2 3 2 6 2" xfId="6672" xr:uid="{00000000-0005-0000-0000-000010080000}"/>
    <cellStyle name="Comma 4 2 2 3 2 6 2 2" xfId="15111" xr:uid="{D6BB40E4-81FF-4AD7-AE77-381248952A62}"/>
    <cellStyle name="Comma 4 2 2 3 2 6 3" xfId="10893" xr:uid="{5DC2C71F-6107-45C6-B5CE-701A2D8DDBE1}"/>
    <cellStyle name="Comma 4 2 2 3 2 7" xfId="2376" xr:uid="{00000000-0005-0000-0000-000011080000}"/>
    <cellStyle name="Comma 4 2 2 3 2 8" xfId="2765" xr:uid="{00000000-0005-0000-0000-000012080000}"/>
    <cellStyle name="Comma 4 2 2 3 2 8 2" xfId="6989" xr:uid="{00000000-0005-0000-0000-000013080000}"/>
    <cellStyle name="Comma 4 2 2 3 2 8 2 2" xfId="15428" xr:uid="{6D6E123F-6333-403D-8713-3D14409B8187}"/>
    <cellStyle name="Comma 4 2 2 3 2 8 3" xfId="11210" xr:uid="{58CAB328-9D8A-4409-9A4D-9856BB77023B}"/>
    <cellStyle name="Comma 4 2 2 3 2 9" xfId="4606" xr:uid="{00000000-0005-0000-0000-000014080000}"/>
    <cellStyle name="Comma 4 2 2 3 2 9 2" xfId="13045" xr:uid="{3B0B0549-898E-4443-8D0C-7122A2F78CF7}"/>
    <cellStyle name="Comma 4 2 2 3 3" xfId="670" xr:uid="{00000000-0005-0000-0000-000015080000}"/>
    <cellStyle name="Comma 4 2 2 3 3 2" xfId="2941" xr:uid="{00000000-0005-0000-0000-000016080000}"/>
    <cellStyle name="Comma 4 2 2 3 3 2 2" xfId="7164" xr:uid="{00000000-0005-0000-0000-000017080000}"/>
    <cellStyle name="Comma 4 2 2 3 3 2 2 2" xfId="15603" xr:uid="{72EB8103-78C4-4106-9084-DD7BD1C85E7F}"/>
    <cellStyle name="Comma 4 2 2 3 3 2 3" xfId="11385" xr:uid="{A86AF410-4D8A-4964-81B5-DBCDDDED5180}"/>
    <cellStyle name="Comma 4 2 2 3 3 3" xfId="5019" xr:uid="{00000000-0005-0000-0000-000018080000}"/>
    <cellStyle name="Comma 4 2 2 3 3 3 2" xfId="13458" xr:uid="{293B51FC-1098-4CAA-8C0C-55B499A6F9F6}"/>
    <cellStyle name="Comma 4 2 2 3 3 4" xfId="9240" xr:uid="{641F2654-49CD-4815-9863-B861B507FDD4}"/>
    <cellStyle name="Comma 4 2 2 3 4" xfId="1123" xr:uid="{00000000-0005-0000-0000-000019080000}"/>
    <cellStyle name="Comma 4 2 2 3 4 2" xfId="3354" xr:uid="{00000000-0005-0000-0000-00001A080000}"/>
    <cellStyle name="Comma 4 2 2 3 4 2 2" xfId="7577" xr:uid="{00000000-0005-0000-0000-00001B080000}"/>
    <cellStyle name="Comma 4 2 2 3 4 2 2 2" xfId="16016" xr:uid="{62FD1334-9368-40B0-9C0C-D2189A3615B5}"/>
    <cellStyle name="Comma 4 2 2 3 4 2 3" xfId="11798" xr:uid="{B101135A-95DE-4FEC-A331-1E7A800EC136}"/>
    <cellStyle name="Comma 4 2 2 3 4 3" xfId="5432" xr:uid="{00000000-0005-0000-0000-00001C080000}"/>
    <cellStyle name="Comma 4 2 2 3 4 3 2" xfId="13871" xr:uid="{7753E0BC-9F87-4FF1-BFB4-0CEEF96D4613}"/>
    <cellStyle name="Comma 4 2 2 3 4 4" xfId="9653" xr:uid="{419D792C-9BBA-48B6-874A-778CB12004C2}"/>
    <cellStyle name="Comma 4 2 2 3 5" xfId="1537" xr:uid="{00000000-0005-0000-0000-00001D080000}"/>
    <cellStyle name="Comma 4 2 2 3 5 2" xfId="3767" xr:uid="{00000000-0005-0000-0000-00001E080000}"/>
    <cellStyle name="Comma 4 2 2 3 5 2 2" xfId="7990" xr:uid="{00000000-0005-0000-0000-00001F080000}"/>
    <cellStyle name="Comma 4 2 2 3 5 2 2 2" xfId="16429" xr:uid="{3271EE72-7C92-4C6D-A6AE-F46AAC84F227}"/>
    <cellStyle name="Comma 4 2 2 3 5 2 3" xfId="12211" xr:uid="{5D466632-6592-4BB8-B1F6-8996D92E748E}"/>
    <cellStyle name="Comma 4 2 2 3 5 3" xfId="5845" xr:uid="{00000000-0005-0000-0000-000020080000}"/>
    <cellStyle name="Comma 4 2 2 3 5 3 2" xfId="14284" xr:uid="{F9DC4397-513C-4E5B-8885-33136F257B84}"/>
    <cellStyle name="Comma 4 2 2 3 5 4" xfId="10066" xr:uid="{FF3FF8C1-5085-440E-AE22-42D22D2C98A2}"/>
    <cellStyle name="Comma 4 2 2 3 6" xfId="1951" xr:uid="{00000000-0005-0000-0000-000021080000}"/>
    <cellStyle name="Comma 4 2 2 3 6 2" xfId="4180" xr:uid="{00000000-0005-0000-0000-000022080000}"/>
    <cellStyle name="Comma 4 2 2 3 6 2 2" xfId="8403" xr:uid="{00000000-0005-0000-0000-000023080000}"/>
    <cellStyle name="Comma 4 2 2 3 6 2 2 2" xfId="16842" xr:uid="{864A817F-3C60-4647-A4D1-A6710185057D}"/>
    <cellStyle name="Comma 4 2 2 3 6 2 3" xfId="12624" xr:uid="{58593005-27EC-442B-B48D-319DC0DA57E2}"/>
    <cellStyle name="Comma 4 2 2 3 6 3" xfId="6258" xr:uid="{00000000-0005-0000-0000-000024080000}"/>
    <cellStyle name="Comma 4 2 2 3 6 3 2" xfId="14697" xr:uid="{EA668021-EB3F-4751-9950-2887D662B80B}"/>
    <cellStyle name="Comma 4 2 2 3 6 4" xfId="10479" xr:uid="{E7B36E6F-C3F5-4288-B1A5-10DA95FEC39C}"/>
    <cellStyle name="Comma 4 2 2 3 7" xfId="2386" xr:uid="{00000000-0005-0000-0000-000025080000}"/>
    <cellStyle name="Comma 4 2 2 3 7 2" xfId="6671" xr:uid="{00000000-0005-0000-0000-000026080000}"/>
    <cellStyle name="Comma 4 2 2 3 7 2 2" xfId="15110" xr:uid="{6E6508D9-19FE-4B8B-B85F-B85822739645}"/>
    <cellStyle name="Comma 4 2 2 3 7 3" xfId="10892" xr:uid="{D20A214C-6CDF-48C5-BDA5-E4651288A02F}"/>
    <cellStyle name="Comma 4 2 2 3 8" xfId="2377" xr:uid="{00000000-0005-0000-0000-000027080000}"/>
    <cellStyle name="Comma 4 2 2 3 9" xfId="2764" xr:uid="{00000000-0005-0000-0000-000028080000}"/>
    <cellStyle name="Comma 4 2 2 3 9 2" xfId="6988" xr:uid="{00000000-0005-0000-0000-000029080000}"/>
    <cellStyle name="Comma 4 2 2 3 9 2 2" xfId="15427" xr:uid="{C867349A-022B-466E-A5CD-D72FAB2C505D}"/>
    <cellStyle name="Comma 4 2 2 3 9 3" xfId="11209" xr:uid="{50E18378-D753-41C4-A690-B5F420C9E94E}"/>
    <cellStyle name="Comma 4 2 2 4" xfId="134" xr:uid="{00000000-0005-0000-0000-00002A080000}"/>
    <cellStyle name="Comma 4 2 2 4 10" xfId="8828" xr:uid="{95AB10C4-CF97-4475-A92C-55823A9C8632}"/>
    <cellStyle name="Comma 4 2 2 4 2" xfId="672" xr:uid="{00000000-0005-0000-0000-00002B080000}"/>
    <cellStyle name="Comma 4 2 2 4 2 2" xfId="2943" xr:uid="{00000000-0005-0000-0000-00002C080000}"/>
    <cellStyle name="Comma 4 2 2 4 2 2 2" xfId="7166" xr:uid="{00000000-0005-0000-0000-00002D080000}"/>
    <cellStyle name="Comma 4 2 2 4 2 2 2 2" xfId="15605" xr:uid="{1E1B7809-3681-4854-9446-4FF1411F3368}"/>
    <cellStyle name="Comma 4 2 2 4 2 2 3" xfId="11387" xr:uid="{F28BA21B-1E2B-4E27-A661-F82BC295A828}"/>
    <cellStyle name="Comma 4 2 2 4 2 3" xfId="5021" xr:uid="{00000000-0005-0000-0000-00002E080000}"/>
    <cellStyle name="Comma 4 2 2 4 2 3 2" xfId="13460" xr:uid="{8A3A097A-EE22-48C2-BD6B-8F4D2DF2724D}"/>
    <cellStyle name="Comma 4 2 2 4 2 4" xfId="9242" xr:uid="{C21B2ED2-5A6E-4EAC-95E6-7116D8435508}"/>
    <cellStyle name="Comma 4 2 2 4 3" xfId="1125" xr:uid="{00000000-0005-0000-0000-00002F080000}"/>
    <cellStyle name="Comma 4 2 2 4 3 2" xfId="3356" xr:uid="{00000000-0005-0000-0000-000030080000}"/>
    <cellStyle name="Comma 4 2 2 4 3 2 2" xfId="7579" xr:uid="{00000000-0005-0000-0000-000031080000}"/>
    <cellStyle name="Comma 4 2 2 4 3 2 2 2" xfId="16018" xr:uid="{40CAB07F-0311-4F62-893F-7DD4AD1E4FA8}"/>
    <cellStyle name="Comma 4 2 2 4 3 2 3" xfId="11800" xr:uid="{5C4470DF-E64B-445C-B9E1-FD6060B31B43}"/>
    <cellStyle name="Comma 4 2 2 4 3 3" xfId="5434" xr:uid="{00000000-0005-0000-0000-000032080000}"/>
    <cellStyle name="Comma 4 2 2 4 3 3 2" xfId="13873" xr:uid="{F88FA65C-E49E-4230-BDC8-EEDB85A6025A}"/>
    <cellStyle name="Comma 4 2 2 4 3 4" xfId="9655" xr:uid="{5786B17E-146D-4B64-B7D6-590183B2F066}"/>
    <cellStyle name="Comma 4 2 2 4 4" xfId="1539" xr:uid="{00000000-0005-0000-0000-000033080000}"/>
    <cellStyle name="Comma 4 2 2 4 4 2" xfId="3769" xr:uid="{00000000-0005-0000-0000-000034080000}"/>
    <cellStyle name="Comma 4 2 2 4 4 2 2" xfId="7992" xr:uid="{00000000-0005-0000-0000-000035080000}"/>
    <cellStyle name="Comma 4 2 2 4 4 2 2 2" xfId="16431" xr:uid="{62C8C2EC-E11E-44F8-91B6-4547137C8E76}"/>
    <cellStyle name="Comma 4 2 2 4 4 2 3" xfId="12213" xr:uid="{ECB498CE-D536-4FF5-B26C-C90D255D3DCF}"/>
    <cellStyle name="Comma 4 2 2 4 4 3" xfId="5847" xr:uid="{00000000-0005-0000-0000-000036080000}"/>
    <cellStyle name="Comma 4 2 2 4 4 3 2" xfId="14286" xr:uid="{62877167-9C7B-4DE3-AB11-60FC3320EF5F}"/>
    <cellStyle name="Comma 4 2 2 4 4 4" xfId="10068" xr:uid="{F063FAD4-6CE4-4261-9A73-443839FE3D1B}"/>
    <cellStyle name="Comma 4 2 2 4 5" xfId="1953" xr:uid="{00000000-0005-0000-0000-000037080000}"/>
    <cellStyle name="Comma 4 2 2 4 5 2" xfId="4182" xr:uid="{00000000-0005-0000-0000-000038080000}"/>
    <cellStyle name="Comma 4 2 2 4 5 2 2" xfId="8405" xr:uid="{00000000-0005-0000-0000-000039080000}"/>
    <cellStyle name="Comma 4 2 2 4 5 2 2 2" xfId="16844" xr:uid="{54F5BFC0-1EEF-437A-B6C7-F60CFBC56682}"/>
    <cellStyle name="Comma 4 2 2 4 5 2 3" xfId="12626" xr:uid="{396CF7C9-0421-4358-AB6D-2F937E2CF97A}"/>
    <cellStyle name="Comma 4 2 2 4 5 3" xfId="6260" xr:uid="{00000000-0005-0000-0000-00003A080000}"/>
    <cellStyle name="Comma 4 2 2 4 5 3 2" xfId="14699" xr:uid="{03322631-F2BA-448A-ABB9-87C4B5D7ADF4}"/>
    <cellStyle name="Comma 4 2 2 4 5 4" xfId="10481" xr:uid="{8730BB3E-F27A-4868-89E0-8CE3C4C8FCFE}"/>
    <cellStyle name="Comma 4 2 2 4 6" xfId="2388" xr:uid="{00000000-0005-0000-0000-00003B080000}"/>
    <cellStyle name="Comma 4 2 2 4 6 2" xfId="6673" xr:uid="{00000000-0005-0000-0000-00003C080000}"/>
    <cellStyle name="Comma 4 2 2 4 6 2 2" xfId="15112" xr:uid="{12692F83-5283-43BE-8FEA-AAECF8951525}"/>
    <cellStyle name="Comma 4 2 2 4 6 3" xfId="10894" xr:uid="{A5D59E54-5A1C-44F9-9720-543B441646C8}"/>
    <cellStyle name="Comma 4 2 2 4 7" xfId="2375" xr:uid="{00000000-0005-0000-0000-00003D080000}"/>
    <cellStyle name="Comma 4 2 2 4 8" xfId="2766" xr:uid="{00000000-0005-0000-0000-00003E080000}"/>
    <cellStyle name="Comma 4 2 2 4 8 2" xfId="6990" xr:uid="{00000000-0005-0000-0000-00003F080000}"/>
    <cellStyle name="Comma 4 2 2 4 8 2 2" xfId="15429" xr:uid="{D635D29C-915F-4D4C-A198-1174F9DBDCE5}"/>
    <cellStyle name="Comma 4 2 2 4 8 3" xfId="11211" xr:uid="{F5EB2C9A-8872-4A91-8F99-EB49356A80E7}"/>
    <cellStyle name="Comma 4 2 2 4 9" xfId="4607" xr:uid="{00000000-0005-0000-0000-000040080000}"/>
    <cellStyle name="Comma 4 2 2 4 9 2" xfId="13046" xr:uid="{823CC21C-7727-4B8A-865C-8D1E2F38DA6A}"/>
    <cellStyle name="Comma 4 2 2 5" xfId="135" xr:uid="{00000000-0005-0000-0000-000041080000}"/>
    <cellStyle name="Comma 4 2 2 5 10" xfId="8829" xr:uid="{9D438EDD-1FF1-4105-9BE2-B7C10B5509D1}"/>
    <cellStyle name="Comma 4 2 2 5 2" xfId="673" xr:uid="{00000000-0005-0000-0000-000042080000}"/>
    <cellStyle name="Comma 4 2 2 5 2 2" xfId="2944" xr:uid="{00000000-0005-0000-0000-000043080000}"/>
    <cellStyle name="Comma 4 2 2 5 2 2 2" xfId="7167" xr:uid="{00000000-0005-0000-0000-000044080000}"/>
    <cellStyle name="Comma 4 2 2 5 2 2 2 2" xfId="15606" xr:uid="{426A8E38-4EA8-416A-9F44-9F28258EC0CE}"/>
    <cellStyle name="Comma 4 2 2 5 2 2 3" xfId="11388" xr:uid="{66EF2EAC-7464-40A5-8F12-709B34115AC7}"/>
    <cellStyle name="Comma 4 2 2 5 2 3" xfId="5022" xr:uid="{00000000-0005-0000-0000-000045080000}"/>
    <cellStyle name="Comma 4 2 2 5 2 3 2" xfId="13461" xr:uid="{B41AEE9F-9110-4B85-B215-49B05C60F695}"/>
    <cellStyle name="Comma 4 2 2 5 2 4" xfId="9243" xr:uid="{29F1D79D-5CC9-4D4B-A3A8-A914A59D4E90}"/>
    <cellStyle name="Comma 4 2 2 5 3" xfId="1126" xr:uid="{00000000-0005-0000-0000-000046080000}"/>
    <cellStyle name="Comma 4 2 2 5 3 2" xfId="3357" xr:uid="{00000000-0005-0000-0000-000047080000}"/>
    <cellStyle name="Comma 4 2 2 5 3 2 2" xfId="7580" xr:uid="{00000000-0005-0000-0000-000048080000}"/>
    <cellStyle name="Comma 4 2 2 5 3 2 2 2" xfId="16019" xr:uid="{B61B09E9-11BA-4CEB-9CDB-D93A6A91DC5C}"/>
    <cellStyle name="Comma 4 2 2 5 3 2 3" xfId="11801" xr:uid="{E2C59EC5-5FF1-49B2-8F16-07139CD239F6}"/>
    <cellStyle name="Comma 4 2 2 5 3 3" xfId="5435" xr:uid="{00000000-0005-0000-0000-000049080000}"/>
    <cellStyle name="Comma 4 2 2 5 3 3 2" xfId="13874" xr:uid="{05C30B09-5A2A-4D1A-8B09-45A131339617}"/>
    <cellStyle name="Comma 4 2 2 5 3 4" xfId="9656" xr:uid="{D969EE7F-E54C-4C47-91CF-1CE7168A308E}"/>
    <cellStyle name="Comma 4 2 2 5 4" xfId="1540" xr:uid="{00000000-0005-0000-0000-00004A080000}"/>
    <cellStyle name="Comma 4 2 2 5 4 2" xfId="3770" xr:uid="{00000000-0005-0000-0000-00004B080000}"/>
    <cellStyle name="Comma 4 2 2 5 4 2 2" xfId="7993" xr:uid="{00000000-0005-0000-0000-00004C080000}"/>
    <cellStyle name="Comma 4 2 2 5 4 2 2 2" xfId="16432" xr:uid="{5413070B-9F3A-4419-A761-9682522C57D4}"/>
    <cellStyle name="Comma 4 2 2 5 4 2 3" xfId="12214" xr:uid="{48D02540-CADC-460D-92F6-4527BE1B115A}"/>
    <cellStyle name="Comma 4 2 2 5 4 3" xfId="5848" xr:uid="{00000000-0005-0000-0000-00004D080000}"/>
    <cellStyle name="Comma 4 2 2 5 4 3 2" xfId="14287" xr:uid="{BEC84F65-04E2-455A-954F-EB9217772B78}"/>
    <cellStyle name="Comma 4 2 2 5 4 4" xfId="10069" xr:uid="{C901FDAC-514B-4CFA-B13D-2BB42CB42747}"/>
    <cellStyle name="Comma 4 2 2 5 5" xfId="1954" xr:uid="{00000000-0005-0000-0000-00004E080000}"/>
    <cellStyle name="Comma 4 2 2 5 5 2" xfId="4183" xr:uid="{00000000-0005-0000-0000-00004F080000}"/>
    <cellStyle name="Comma 4 2 2 5 5 2 2" xfId="8406" xr:uid="{00000000-0005-0000-0000-000050080000}"/>
    <cellStyle name="Comma 4 2 2 5 5 2 2 2" xfId="16845" xr:uid="{629544AE-159B-4B82-BD77-3EF1A088EC26}"/>
    <cellStyle name="Comma 4 2 2 5 5 2 3" xfId="12627" xr:uid="{E4C15F43-8145-4CAB-ACBA-F0F5748F31D2}"/>
    <cellStyle name="Comma 4 2 2 5 5 3" xfId="6261" xr:uid="{00000000-0005-0000-0000-000051080000}"/>
    <cellStyle name="Comma 4 2 2 5 5 3 2" xfId="14700" xr:uid="{D87AFC31-A00E-4895-A638-CCA6CA4683EC}"/>
    <cellStyle name="Comma 4 2 2 5 5 4" xfId="10482" xr:uid="{BB0E7435-38B8-4160-A0A0-C0332E40574A}"/>
    <cellStyle name="Comma 4 2 2 5 6" xfId="2389" xr:uid="{00000000-0005-0000-0000-000052080000}"/>
    <cellStyle name="Comma 4 2 2 5 6 2" xfId="6674" xr:uid="{00000000-0005-0000-0000-000053080000}"/>
    <cellStyle name="Comma 4 2 2 5 6 2 2" xfId="15113" xr:uid="{543FEC10-9E6D-4DF3-B30D-79268E7C0CD7}"/>
    <cellStyle name="Comma 4 2 2 5 6 3" xfId="10895" xr:uid="{3554618A-F48C-4DFC-AA81-CD079A069384}"/>
    <cellStyle name="Comma 4 2 2 5 7" xfId="2374" xr:uid="{00000000-0005-0000-0000-000054080000}"/>
    <cellStyle name="Comma 4 2 2 5 8" xfId="2767" xr:uid="{00000000-0005-0000-0000-000055080000}"/>
    <cellStyle name="Comma 4 2 2 5 8 2" xfId="6991" xr:uid="{00000000-0005-0000-0000-000056080000}"/>
    <cellStyle name="Comma 4 2 2 5 8 2 2" xfId="15430" xr:uid="{D1229E6C-C4C1-4762-8EF0-684CBFBDC2EC}"/>
    <cellStyle name="Comma 4 2 2 5 8 3" xfId="11212" xr:uid="{5A09A946-DCB1-4FE0-B29D-B4ECAE098C84}"/>
    <cellStyle name="Comma 4 2 2 5 9" xfId="4608" xr:uid="{00000000-0005-0000-0000-000057080000}"/>
    <cellStyle name="Comma 4 2 2 5 9 2" xfId="13047" xr:uid="{8EB7FFB4-9285-40F1-A49F-77191DE21B75}"/>
    <cellStyle name="Comma 4 2 3" xfId="136" xr:uid="{00000000-0005-0000-0000-000058080000}"/>
    <cellStyle name="Comma 4 2 3 10" xfId="2768" xr:uid="{00000000-0005-0000-0000-000059080000}"/>
    <cellStyle name="Comma 4 2 3 10 2" xfId="6992" xr:uid="{00000000-0005-0000-0000-00005A080000}"/>
    <cellStyle name="Comma 4 2 3 10 2 2" xfId="15431" xr:uid="{73C3901C-C265-47CE-887E-390870B46BA4}"/>
    <cellStyle name="Comma 4 2 3 10 3" xfId="11213" xr:uid="{DC057B47-6440-4B8D-AFA6-C8650619888A}"/>
    <cellStyle name="Comma 4 2 3 11" xfId="4609" xr:uid="{00000000-0005-0000-0000-00005B080000}"/>
    <cellStyle name="Comma 4 2 3 11 2" xfId="13048" xr:uid="{85C2D677-82DE-46CC-9021-3D20FF018EBF}"/>
    <cellStyle name="Comma 4 2 3 12" xfId="8830" xr:uid="{929214C3-2A7A-49D2-B417-C2CD80924FCE}"/>
    <cellStyle name="Comma 4 2 3 2" xfId="137" xr:uid="{00000000-0005-0000-0000-00005C080000}"/>
    <cellStyle name="Comma 4 2 3 2 10" xfId="4610" xr:uid="{00000000-0005-0000-0000-00005D080000}"/>
    <cellStyle name="Comma 4 2 3 2 10 2" xfId="13049" xr:uid="{76753F27-D209-4BBE-9D1D-43F8734AC791}"/>
    <cellStyle name="Comma 4 2 3 2 11" xfId="8831" xr:uid="{1E9EC03B-AD1A-4A1B-9A2B-CAB79E7C1DB6}"/>
    <cellStyle name="Comma 4 2 3 2 2" xfId="138" xr:uid="{00000000-0005-0000-0000-00005E080000}"/>
    <cellStyle name="Comma 4 2 3 2 2 10" xfId="8832" xr:uid="{CF31AEC8-1057-4302-9FF0-D890CF056DCF}"/>
    <cellStyle name="Comma 4 2 3 2 2 2" xfId="676" xr:uid="{00000000-0005-0000-0000-00005F080000}"/>
    <cellStyle name="Comma 4 2 3 2 2 2 2" xfId="2947" xr:uid="{00000000-0005-0000-0000-000060080000}"/>
    <cellStyle name="Comma 4 2 3 2 2 2 2 2" xfId="7170" xr:uid="{00000000-0005-0000-0000-000061080000}"/>
    <cellStyle name="Comma 4 2 3 2 2 2 2 2 2" xfId="15609" xr:uid="{A7C50F7B-D92C-4AF2-B2BA-4C1327EE088E}"/>
    <cellStyle name="Comma 4 2 3 2 2 2 2 3" xfId="11391" xr:uid="{AB38ED41-3F36-48A5-AFD9-ECF49C0DF713}"/>
    <cellStyle name="Comma 4 2 3 2 2 2 3" xfId="5025" xr:uid="{00000000-0005-0000-0000-000062080000}"/>
    <cellStyle name="Comma 4 2 3 2 2 2 3 2" xfId="13464" xr:uid="{35F611AB-AF48-4262-896D-28EF33546BA3}"/>
    <cellStyle name="Comma 4 2 3 2 2 2 4" xfId="9246" xr:uid="{6BA41019-8402-445A-BC40-FADEAF0D1DFE}"/>
    <cellStyle name="Comma 4 2 3 2 2 3" xfId="1129" xr:uid="{00000000-0005-0000-0000-000063080000}"/>
    <cellStyle name="Comma 4 2 3 2 2 3 2" xfId="3360" xr:uid="{00000000-0005-0000-0000-000064080000}"/>
    <cellStyle name="Comma 4 2 3 2 2 3 2 2" xfId="7583" xr:uid="{00000000-0005-0000-0000-000065080000}"/>
    <cellStyle name="Comma 4 2 3 2 2 3 2 2 2" xfId="16022" xr:uid="{4C329041-B056-4E56-9E11-F9A167DD3A03}"/>
    <cellStyle name="Comma 4 2 3 2 2 3 2 3" xfId="11804" xr:uid="{B988BF57-45FA-43DF-837F-64B32EE36FF9}"/>
    <cellStyle name="Comma 4 2 3 2 2 3 3" xfId="5438" xr:uid="{00000000-0005-0000-0000-000066080000}"/>
    <cellStyle name="Comma 4 2 3 2 2 3 3 2" xfId="13877" xr:uid="{EB0CB1FF-EEB4-4A8E-A78D-2D4BC1B3D035}"/>
    <cellStyle name="Comma 4 2 3 2 2 3 4" xfId="9659" xr:uid="{536C0146-33D8-43BC-9890-CC95200FE6BE}"/>
    <cellStyle name="Comma 4 2 3 2 2 4" xfId="1543" xr:uid="{00000000-0005-0000-0000-000067080000}"/>
    <cellStyle name="Comma 4 2 3 2 2 4 2" xfId="3773" xr:uid="{00000000-0005-0000-0000-000068080000}"/>
    <cellStyle name="Comma 4 2 3 2 2 4 2 2" xfId="7996" xr:uid="{00000000-0005-0000-0000-000069080000}"/>
    <cellStyle name="Comma 4 2 3 2 2 4 2 2 2" xfId="16435" xr:uid="{3F15CBA0-DCB5-43B8-A4A5-5DE9D422CF29}"/>
    <cellStyle name="Comma 4 2 3 2 2 4 2 3" xfId="12217" xr:uid="{BFC2FC16-FAD1-4445-8454-EC4F680135DF}"/>
    <cellStyle name="Comma 4 2 3 2 2 4 3" xfId="5851" xr:uid="{00000000-0005-0000-0000-00006A080000}"/>
    <cellStyle name="Comma 4 2 3 2 2 4 3 2" xfId="14290" xr:uid="{CFAE81DE-13FF-45B9-9DED-ACA3F4A1268E}"/>
    <cellStyle name="Comma 4 2 3 2 2 4 4" xfId="10072" xr:uid="{B31D7BA8-E093-4F76-BB8D-DCC38F0E004A}"/>
    <cellStyle name="Comma 4 2 3 2 2 5" xfId="1957" xr:uid="{00000000-0005-0000-0000-00006B080000}"/>
    <cellStyle name="Comma 4 2 3 2 2 5 2" xfId="4186" xr:uid="{00000000-0005-0000-0000-00006C080000}"/>
    <cellStyle name="Comma 4 2 3 2 2 5 2 2" xfId="8409" xr:uid="{00000000-0005-0000-0000-00006D080000}"/>
    <cellStyle name="Comma 4 2 3 2 2 5 2 2 2" xfId="16848" xr:uid="{438C7EC5-9B38-41CE-A865-D5F1C41335FB}"/>
    <cellStyle name="Comma 4 2 3 2 2 5 2 3" xfId="12630" xr:uid="{12D389E4-031D-40B8-B46C-5B0AF690ACEF}"/>
    <cellStyle name="Comma 4 2 3 2 2 5 3" xfId="6264" xr:uid="{00000000-0005-0000-0000-00006E080000}"/>
    <cellStyle name="Comma 4 2 3 2 2 5 3 2" xfId="14703" xr:uid="{A6541AD6-9D0D-428D-81D9-C7211AE8ACB1}"/>
    <cellStyle name="Comma 4 2 3 2 2 5 4" xfId="10485" xr:uid="{7B49F98A-43E0-4FFD-ADD2-DC6E7C0B42EA}"/>
    <cellStyle name="Comma 4 2 3 2 2 6" xfId="2392" xr:uid="{00000000-0005-0000-0000-00006F080000}"/>
    <cellStyle name="Comma 4 2 3 2 2 6 2" xfId="6677" xr:uid="{00000000-0005-0000-0000-000070080000}"/>
    <cellStyle name="Comma 4 2 3 2 2 6 2 2" xfId="15116" xr:uid="{CDB7284E-3D34-4D33-AB0D-EF75FD874D67}"/>
    <cellStyle name="Comma 4 2 3 2 2 6 3" xfId="10898" xr:uid="{61083915-636F-468C-96CA-4CA36EF5B99A}"/>
    <cellStyle name="Comma 4 2 3 2 2 7" xfId="2371" xr:uid="{00000000-0005-0000-0000-000071080000}"/>
    <cellStyle name="Comma 4 2 3 2 2 8" xfId="2770" xr:uid="{00000000-0005-0000-0000-000072080000}"/>
    <cellStyle name="Comma 4 2 3 2 2 8 2" xfId="6994" xr:uid="{00000000-0005-0000-0000-000073080000}"/>
    <cellStyle name="Comma 4 2 3 2 2 8 2 2" xfId="15433" xr:uid="{5355C3F0-E5FF-4D28-9FE2-BD871B27899E}"/>
    <cellStyle name="Comma 4 2 3 2 2 8 3" xfId="11215" xr:uid="{B97909BC-9508-4A5B-B0E2-9D9D49FD94CE}"/>
    <cellStyle name="Comma 4 2 3 2 2 9" xfId="4611" xr:uid="{00000000-0005-0000-0000-000074080000}"/>
    <cellStyle name="Comma 4 2 3 2 2 9 2" xfId="13050" xr:uid="{34D70CD8-E7CF-4BD3-83AC-DAC0F0BF3389}"/>
    <cellStyle name="Comma 4 2 3 2 3" xfId="675" xr:uid="{00000000-0005-0000-0000-000075080000}"/>
    <cellStyle name="Comma 4 2 3 2 3 2" xfId="2946" xr:uid="{00000000-0005-0000-0000-000076080000}"/>
    <cellStyle name="Comma 4 2 3 2 3 2 2" xfId="7169" xr:uid="{00000000-0005-0000-0000-000077080000}"/>
    <cellStyle name="Comma 4 2 3 2 3 2 2 2" xfId="15608" xr:uid="{4F14265C-D90A-4D87-8522-075797DDDC7E}"/>
    <cellStyle name="Comma 4 2 3 2 3 2 3" xfId="11390" xr:uid="{0262C2A9-252D-4823-A462-019BDDDFED9F}"/>
    <cellStyle name="Comma 4 2 3 2 3 3" xfId="5024" xr:uid="{00000000-0005-0000-0000-000078080000}"/>
    <cellStyle name="Comma 4 2 3 2 3 3 2" xfId="13463" xr:uid="{5DC99320-0010-49C8-B3DF-787ECFBADF25}"/>
    <cellStyle name="Comma 4 2 3 2 3 4" xfId="9245" xr:uid="{6205B933-445E-4E0A-999D-DBB74A444646}"/>
    <cellStyle name="Comma 4 2 3 2 4" xfId="1128" xr:uid="{00000000-0005-0000-0000-000079080000}"/>
    <cellStyle name="Comma 4 2 3 2 4 2" xfId="3359" xr:uid="{00000000-0005-0000-0000-00007A080000}"/>
    <cellStyle name="Comma 4 2 3 2 4 2 2" xfId="7582" xr:uid="{00000000-0005-0000-0000-00007B080000}"/>
    <cellStyle name="Comma 4 2 3 2 4 2 2 2" xfId="16021" xr:uid="{3F23E33F-4D0B-4AAE-B08E-1451D4240CE6}"/>
    <cellStyle name="Comma 4 2 3 2 4 2 3" xfId="11803" xr:uid="{208176B4-2D2A-40DC-B656-0A5FEA1F6950}"/>
    <cellStyle name="Comma 4 2 3 2 4 3" xfId="5437" xr:uid="{00000000-0005-0000-0000-00007C080000}"/>
    <cellStyle name="Comma 4 2 3 2 4 3 2" xfId="13876" xr:uid="{40DD3F18-3DEB-4723-82FE-3FD4D4B03DA1}"/>
    <cellStyle name="Comma 4 2 3 2 4 4" xfId="9658" xr:uid="{568C6C41-90F7-4585-851A-4BF67DAA03EF}"/>
    <cellStyle name="Comma 4 2 3 2 5" xfId="1542" xr:uid="{00000000-0005-0000-0000-00007D080000}"/>
    <cellStyle name="Comma 4 2 3 2 5 2" xfId="3772" xr:uid="{00000000-0005-0000-0000-00007E080000}"/>
    <cellStyle name="Comma 4 2 3 2 5 2 2" xfId="7995" xr:uid="{00000000-0005-0000-0000-00007F080000}"/>
    <cellStyle name="Comma 4 2 3 2 5 2 2 2" xfId="16434" xr:uid="{E127A676-9E1E-451C-ADF8-D38A4120E98C}"/>
    <cellStyle name="Comma 4 2 3 2 5 2 3" xfId="12216" xr:uid="{E004A477-61B4-4D00-AE37-76A9DB20AC1E}"/>
    <cellStyle name="Comma 4 2 3 2 5 3" xfId="5850" xr:uid="{00000000-0005-0000-0000-000080080000}"/>
    <cellStyle name="Comma 4 2 3 2 5 3 2" xfId="14289" xr:uid="{B2ECB431-E79F-479B-8254-C13694091F3E}"/>
    <cellStyle name="Comma 4 2 3 2 5 4" xfId="10071" xr:uid="{3E795360-523B-4152-858E-1521ECD41EB2}"/>
    <cellStyle name="Comma 4 2 3 2 6" xfId="1956" xr:uid="{00000000-0005-0000-0000-000081080000}"/>
    <cellStyle name="Comma 4 2 3 2 6 2" xfId="4185" xr:uid="{00000000-0005-0000-0000-000082080000}"/>
    <cellStyle name="Comma 4 2 3 2 6 2 2" xfId="8408" xr:uid="{00000000-0005-0000-0000-000083080000}"/>
    <cellStyle name="Comma 4 2 3 2 6 2 2 2" xfId="16847" xr:uid="{4293E3B9-1E80-41F5-9296-D83A5B440475}"/>
    <cellStyle name="Comma 4 2 3 2 6 2 3" xfId="12629" xr:uid="{7ED14267-C7DB-4FAA-B7BA-C6502C4C39DB}"/>
    <cellStyle name="Comma 4 2 3 2 6 3" xfId="6263" xr:uid="{00000000-0005-0000-0000-000084080000}"/>
    <cellStyle name="Comma 4 2 3 2 6 3 2" xfId="14702" xr:uid="{C8A8CCDE-5F43-432D-B752-AF7423E8E557}"/>
    <cellStyle name="Comma 4 2 3 2 6 4" xfId="10484" xr:uid="{EE185123-D3D4-4BAD-8E6C-93D5090D5F60}"/>
    <cellStyle name="Comma 4 2 3 2 7" xfId="2391" xr:uid="{00000000-0005-0000-0000-000085080000}"/>
    <cellStyle name="Comma 4 2 3 2 7 2" xfId="6676" xr:uid="{00000000-0005-0000-0000-000086080000}"/>
    <cellStyle name="Comma 4 2 3 2 7 2 2" xfId="15115" xr:uid="{44B416A2-9E36-43FA-A701-8D18C0A08332}"/>
    <cellStyle name="Comma 4 2 3 2 7 3" xfId="10897" xr:uid="{0C6C33A3-5701-4A67-AFEE-D84F29CB0448}"/>
    <cellStyle name="Comma 4 2 3 2 8" xfId="2372" xr:uid="{00000000-0005-0000-0000-000087080000}"/>
    <cellStyle name="Comma 4 2 3 2 9" xfId="2769" xr:uid="{00000000-0005-0000-0000-000088080000}"/>
    <cellStyle name="Comma 4 2 3 2 9 2" xfId="6993" xr:uid="{00000000-0005-0000-0000-000089080000}"/>
    <cellStyle name="Comma 4 2 3 2 9 2 2" xfId="15432" xr:uid="{258CCDA1-A519-4374-B1DE-E7F73BE8BC61}"/>
    <cellStyle name="Comma 4 2 3 2 9 3" xfId="11214" xr:uid="{DE0849A7-BB9C-42A6-A74C-57EB27A15E38}"/>
    <cellStyle name="Comma 4 2 3 3" xfId="139" xr:uid="{00000000-0005-0000-0000-00008A080000}"/>
    <cellStyle name="Comma 4 2 3 3 10" xfId="8833" xr:uid="{F42C7737-9784-416E-8E7C-7BAC8CCA1E2B}"/>
    <cellStyle name="Comma 4 2 3 3 2" xfId="677" xr:uid="{00000000-0005-0000-0000-00008B080000}"/>
    <cellStyle name="Comma 4 2 3 3 2 2" xfId="2948" xr:uid="{00000000-0005-0000-0000-00008C080000}"/>
    <cellStyle name="Comma 4 2 3 3 2 2 2" xfId="7171" xr:uid="{00000000-0005-0000-0000-00008D080000}"/>
    <cellStyle name="Comma 4 2 3 3 2 2 2 2" xfId="15610" xr:uid="{7543C966-589E-4927-B0E9-35F036591EFF}"/>
    <cellStyle name="Comma 4 2 3 3 2 2 3" xfId="11392" xr:uid="{4EF0499C-E61A-475D-BD11-7D7E39D25EDC}"/>
    <cellStyle name="Comma 4 2 3 3 2 3" xfId="5026" xr:uid="{00000000-0005-0000-0000-00008E080000}"/>
    <cellStyle name="Comma 4 2 3 3 2 3 2" xfId="13465" xr:uid="{9385A4B7-8F21-48C1-BA5A-B8BE5E3FDB0D}"/>
    <cellStyle name="Comma 4 2 3 3 2 4" xfId="9247" xr:uid="{0B09F8F4-760B-45D7-A899-508889C6E215}"/>
    <cellStyle name="Comma 4 2 3 3 3" xfId="1130" xr:uid="{00000000-0005-0000-0000-00008F080000}"/>
    <cellStyle name="Comma 4 2 3 3 3 2" xfId="3361" xr:uid="{00000000-0005-0000-0000-000090080000}"/>
    <cellStyle name="Comma 4 2 3 3 3 2 2" xfId="7584" xr:uid="{00000000-0005-0000-0000-000091080000}"/>
    <cellStyle name="Comma 4 2 3 3 3 2 2 2" xfId="16023" xr:uid="{92A163FA-A8CF-43F9-AD0C-0866E6697ACE}"/>
    <cellStyle name="Comma 4 2 3 3 3 2 3" xfId="11805" xr:uid="{4F7F83CD-DC8F-4D61-818B-3BAD146E4C69}"/>
    <cellStyle name="Comma 4 2 3 3 3 3" xfId="5439" xr:uid="{00000000-0005-0000-0000-000092080000}"/>
    <cellStyle name="Comma 4 2 3 3 3 3 2" xfId="13878" xr:uid="{1C7F1475-DCD3-4FC1-9B3C-9EE56A1DC77D}"/>
    <cellStyle name="Comma 4 2 3 3 3 4" xfId="9660" xr:uid="{7DE64799-94EE-45C5-8C2F-ACEF655C1B1A}"/>
    <cellStyle name="Comma 4 2 3 3 4" xfId="1544" xr:uid="{00000000-0005-0000-0000-000093080000}"/>
    <cellStyle name="Comma 4 2 3 3 4 2" xfId="3774" xr:uid="{00000000-0005-0000-0000-000094080000}"/>
    <cellStyle name="Comma 4 2 3 3 4 2 2" xfId="7997" xr:uid="{00000000-0005-0000-0000-000095080000}"/>
    <cellStyle name="Comma 4 2 3 3 4 2 2 2" xfId="16436" xr:uid="{265E460A-3E05-4E51-8114-CBD23BC445D2}"/>
    <cellStyle name="Comma 4 2 3 3 4 2 3" xfId="12218" xr:uid="{8C515039-D27F-4748-8A53-2592EFFC7071}"/>
    <cellStyle name="Comma 4 2 3 3 4 3" xfId="5852" xr:uid="{00000000-0005-0000-0000-000096080000}"/>
    <cellStyle name="Comma 4 2 3 3 4 3 2" xfId="14291" xr:uid="{FCF43B19-BC5D-44AD-8885-60CD74639C9B}"/>
    <cellStyle name="Comma 4 2 3 3 4 4" xfId="10073" xr:uid="{B3FB3FFB-EE7A-4E1E-A0E2-DC7219FF846D}"/>
    <cellStyle name="Comma 4 2 3 3 5" xfId="1958" xr:uid="{00000000-0005-0000-0000-000097080000}"/>
    <cellStyle name="Comma 4 2 3 3 5 2" xfId="4187" xr:uid="{00000000-0005-0000-0000-000098080000}"/>
    <cellStyle name="Comma 4 2 3 3 5 2 2" xfId="8410" xr:uid="{00000000-0005-0000-0000-000099080000}"/>
    <cellStyle name="Comma 4 2 3 3 5 2 2 2" xfId="16849" xr:uid="{805B7E96-3659-49A0-B04B-E3598166B5B9}"/>
    <cellStyle name="Comma 4 2 3 3 5 2 3" xfId="12631" xr:uid="{437BAE67-7FC9-49A4-ADEF-09DF65A7BA0A}"/>
    <cellStyle name="Comma 4 2 3 3 5 3" xfId="6265" xr:uid="{00000000-0005-0000-0000-00009A080000}"/>
    <cellStyle name="Comma 4 2 3 3 5 3 2" xfId="14704" xr:uid="{ACA860EF-403C-42A7-9E2E-0B4CA2CFBED5}"/>
    <cellStyle name="Comma 4 2 3 3 5 4" xfId="10486" xr:uid="{C77CB7D6-CAFB-43F8-9FCF-CC830C7159E7}"/>
    <cellStyle name="Comma 4 2 3 3 6" xfId="2393" xr:uid="{00000000-0005-0000-0000-00009B080000}"/>
    <cellStyle name="Comma 4 2 3 3 6 2" xfId="6678" xr:uid="{00000000-0005-0000-0000-00009C080000}"/>
    <cellStyle name="Comma 4 2 3 3 6 2 2" xfId="15117" xr:uid="{29868E86-7DDF-483B-9E23-F94E2BE8130F}"/>
    <cellStyle name="Comma 4 2 3 3 6 3" xfId="10899" xr:uid="{441C3E0D-A2E4-4AC3-BDC2-C6288B78D027}"/>
    <cellStyle name="Comma 4 2 3 3 7" xfId="2370" xr:uid="{00000000-0005-0000-0000-00009D080000}"/>
    <cellStyle name="Comma 4 2 3 3 8" xfId="2771" xr:uid="{00000000-0005-0000-0000-00009E080000}"/>
    <cellStyle name="Comma 4 2 3 3 8 2" xfId="6995" xr:uid="{00000000-0005-0000-0000-00009F080000}"/>
    <cellStyle name="Comma 4 2 3 3 8 2 2" xfId="15434" xr:uid="{2EE1E3E9-83A9-4498-B02D-8B878B3FC62D}"/>
    <cellStyle name="Comma 4 2 3 3 8 3" xfId="11216" xr:uid="{571A3EA9-BD90-4FD7-9F28-447CFF915FCB}"/>
    <cellStyle name="Comma 4 2 3 3 9" xfId="4612" xr:uid="{00000000-0005-0000-0000-0000A0080000}"/>
    <cellStyle name="Comma 4 2 3 3 9 2" xfId="13051" xr:uid="{8CC724E8-1C77-42A8-8E1A-ABABEC3CBDA7}"/>
    <cellStyle name="Comma 4 2 3 4" xfId="674" xr:uid="{00000000-0005-0000-0000-0000A1080000}"/>
    <cellStyle name="Comma 4 2 3 4 2" xfId="2945" xr:uid="{00000000-0005-0000-0000-0000A2080000}"/>
    <cellStyle name="Comma 4 2 3 4 2 2" xfId="7168" xr:uid="{00000000-0005-0000-0000-0000A3080000}"/>
    <cellStyle name="Comma 4 2 3 4 2 2 2" xfId="15607" xr:uid="{957552E5-0875-4D27-A9C1-CAB19C5EF165}"/>
    <cellStyle name="Comma 4 2 3 4 2 3" xfId="11389" xr:uid="{7DC48E25-1248-429B-9E86-21C70E8741F8}"/>
    <cellStyle name="Comma 4 2 3 4 3" xfId="5023" xr:uid="{00000000-0005-0000-0000-0000A4080000}"/>
    <cellStyle name="Comma 4 2 3 4 3 2" xfId="13462" xr:uid="{BC7A7219-603A-40DE-8C7C-9413E23580A7}"/>
    <cellStyle name="Comma 4 2 3 4 4" xfId="9244" xr:uid="{6BB94883-7426-497D-8CB4-A209BBBD1EFD}"/>
    <cellStyle name="Comma 4 2 3 5" xfId="1127" xr:uid="{00000000-0005-0000-0000-0000A5080000}"/>
    <cellStyle name="Comma 4 2 3 5 2" xfId="3358" xr:uid="{00000000-0005-0000-0000-0000A6080000}"/>
    <cellStyle name="Comma 4 2 3 5 2 2" xfId="7581" xr:uid="{00000000-0005-0000-0000-0000A7080000}"/>
    <cellStyle name="Comma 4 2 3 5 2 2 2" xfId="16020" xr:uid="{69222B26-2AB5-4FE9-A793-D147D9311B76}"/>
    <cellStyle name="Comma 4 2 3 5 2 3" xfId="11802" xr:uid="{62247395-4B5C-48A6-AE93-6EC6BB79970F}"/>
    <cellStyle name="Comma 4 2 3 5 3" xfId="5436" xr:uid="{00000000-0005-0000-0000-0000A8080000}"/>
    <cellStyle name="Comma 4 2 3 5 3 2" xfId="13875" xr:uid="{64180346-676E-41D7-BFB4-CDEEBA3248F2}"/>
    <cellStyle name="Comma 4 2 3 5 4" xfId="9657" xr:uid="{B373A55B-19DE-4664-BA1D-94AEA5B20796}"/>
    <cellStyle name="Comma 4 2 3 6" xfId="1541" xr:uid="{00000000-0005-0000-0000-0000A9080000}"/>
    <cellStyle name="Comma 4 2 3 6 2" xfId="3771" xr:uid="{00000000-0005-0000-0000-0000AA080000}"/>
    <cellStyle name="Comma 4 2 3 6 2 2" xfId="7994" xr:uid="{00000000-0005-0000-0000-0000AB080000}"/>
    <cellStyle name="Comma 4 2 3 6 2 2 2" xfId="16433" xr:uid="{4404778D-6B84-4294-B460-F641B1A2F3C3}"/>
    <cellStyle name="Comma 4 2 3 6 2 3" xfId="12215" xr:uid="{E6695D69-A598-46F1-A000-40FB3C5939C1}"/>
    <cellStyle name="Comma 4 2 3 6 3" xfId="5849" xr:uid="{00000000-0005-0000-0000-0000AC080000}"/>
    <cellStyle name="Comma 4 2 3 6 3 2" xfId="14288" xr:uid="{66416EE1-A286-416E-B31C-49ADFB1C9362}"/>
    <cellStyle name="Comma 4 2 3 6 4" xfId="10070" xr:uid="{2FCD9462-5AA5-4BCC-A44F-1F1926E2E330}"/>
    <cellStyle name="Comma 4 2 3 7" xfId="1955" xr:uid="{00000000-0005-0000-0000-0000AD080000}"/>
    <cellStyle name="Comma 4 2 3 7 2" xfId="4184" xr:uid="{00000000-0005-0000-0000-0000AE080000}"/>
    <cellStyle name="Comma 4 2 3 7 2 2" xfId="8407" xr:uid="{00000000-0005-0000-0000-0000AF080000}"/>
    <cellStyle name="Comma 4 2 3 7 2 2 2" xfId="16846" xr:uid="{AB053092-0360-4A4A-95C7-E0D4B9E117A5}"/>
    <cellStyle name="Comma 4 2 3 7 2 3" xfId="12628" xr:uid="{EB44BDE2-4BC4-49BA-B817-D622118D9B8D}"/>
    <cellStyle name="Comma 4 2 3 7 3" xfId="6262" xr:uid="{00000000-0005-0000-0000-0000B0080000}"/>
    <cellStyle name="Comma 4 2 3 7 3 2" xfId="14701" xr:uid="{CBD43D86-BCD9-4627-9695-56FEFBCB36BA}"/>
    <cellStyle name="Comma 4 2 3 7 4" xfId="10483" xr:uid="{2CDFCCC0-9B1C-4111-9D89-CDE6D45B99EC}"/>
    <cellStyle name="Comma 4 2 3 8" xfId="2390" xr:uid="{00000000-0005-0000-0000-0000B1080000}"/>
    <cellStyle name="Comma 4 2 3 8 2" xfId="6675" xr:uid="{00000000-0005-0000-0000-0000B2080000}"/>
    <cellStyle name="Comma 4 2 3 8 2 2" xfId="15114" xr:uid="{1CD5C311-12C4-4D65-8637-62CA42D27DCA}"/>
    <cellStyle name="Comma 4 2 3 8 3" xfId="10896" xr:uid="{28E82058-A3F9-445F-BCA2-8471A4C48B9F}"/>
    <cellStyle name="Comma 4 2 3 9" xfId="2373" xr:uid="{00000000-0005-0000-0000-0000B3080000}"/>
    <cellStyle name="Comma 4 2 4" xfId="140" xr:uid="{00000000-0005-0000-0000-0000B4080000}"/>
    <cellStyle name="Comma 4 2 4 10" xfId="4613" xr:uid="{00000000-0005-0000-0000-0000B5080000}"/>
    <cellStyle name="Comma 4 2 4 10 2" xfId="13052" xr:uid="{0FA7BFFE-9306-4625-BD63-D366F9B5E354}"/>
    <cellStyle name="Comma 4 2 4 11" xfId="8834" xr:uid="{45F7BC38-6FC4-42C6-9507-BD8295D0CAF0}"/>
    <cellStyle name="Comma 4 2 4 2" xfId="141" xr:uid="{00000000-0005-0000-0000-0000B6080000}"/>
    <cellStyle name="Comma 4 2 4 2 10" xfId="8835" xr:uid="{2352A278-AC6D-4BBC-92EE-8E602F2098FD}"/>
    <cellStyle name="Comma 4 2 4 2 2" xfId="679" xr:uid="{00000000-0005-0000-0000-0000B7080000}"/>
    <cellStyle name="Comma 4 2 4 2 2 2" xfId="2950" xr:uid="{00000000-0005-0000-0000-0000B8080000}"/>
    <cellStyle name="Comma 4 2 4 2 2 2 2" xfId="7173" xr:uid="{00000000-0005-0000-0000-0000B9080000}"/>
    <cellStyle name="Comma 4 2 4 2 2 2 2 2" xfId="15612" xr:uid="{62C90D98-E973-4C3A-BB44-BF953FCDC907}"/>
    <cellStyle name="Comma 4 2 4 2 2 2 3" xfId="11394" xr:uid="{BC7CA463-8959-458F-8879-0D5052A3C837}"/>
    <cellStyle name="Comma 4 2 4 2 2 3" xfId="5028" xr:uid="{00000000-0005-0000-0000-0000BA080000}"/>
    <cellStyle name="Comma 4 2 4 2 2 3 2" xfId="13467" xr:uid="{240D2D3D-3CF8-4901-845C-799E7AC6ADE8}"/>
    <cellStyle name="Comma 4 2 4 2 2 4" xfId="9249" xr:uid="{9937ECF2-5CDF-4FDE-98FC-3ED41BF52A19}"/>
    <cellStyle name="Comma 4 2 4 2 3" xfId="1132" xr:uid="{00000000-0005-0000-0000-0000BB080000}"/>
    <cellStyle name="Comma 4 2 4 2 3 2" xfId="3363" xr:uid="{00000000-0005-0000-0000-0000BC080000}"/>
    <cellStyle name="Comma 4 2 4 2 3 2 2" xfId="7586" xr:uid="{00000000-0005-0000-0000-0000BD080000}"/>
    <cellStyle name="Comma 4 2 4 2 3 2 2 2" xfId="16025" xr:uid="{C442C042-A435-45C1-A8C2-2B885DF64610}"/>
    <cellStyle name="Comma 4 2 4 2 3 2 3" xfId="11807" xr:uid="{EE6EDAE9-A107-451F-9F8C-61CC1073BAD4}"/>
    <cellStyle name="Comma 4 2 4 2 3 3" xfId="5441" xr:uid="{00000000-0005-0000-0000-0000BE080000}"/>
    <cellStyle name="Comma 4 2 4 2 3 3 2" xfId="13880" xr:uid="{BBE16CB4-ECCB-4063-8F3F-DE1BE0CC99B1}"/>
    <cellStyle name="Comma 4 2 4 2 3 4" xfId="9662" xr:uid="{ACCA6564-FCEC-4921-AFB1-166693195227}"/>
    <cellStyle name="Comma 4 2 4 2 4" xfId="1546" xr:uid="{00000000-0005-0000-0000-0000BF080000}"/>
    <cellStyle name="Comma 4 2 4 2 4 2" xfId="3776" xr:uid="{00000000-0005-0000-0000-0000C0080000}"/>
    <cellStyle name="Comma 4 2 4 2 4 2 2" xfId="7999" xr:uid="{00000000-0005-0000-0000-0000C1080000}"/>
    <cellStyle name="Comma 4 2 4 2 4 2 2 2" xfId="16438" xr:uid="{9BFCE9E5-5B9D-45B5-80AA-1C7D18101C22}"/>
    <cellStyle name="Comma 4 2 4 2 4 2 3" xfId="12220" xr:uid="{80722FF4-F093-42B5-99CE-39E370843616}"/>
    <cellStyle name="Comma 4 2 4 2 4 3" xfId="5854" xr:uid="{00000000-0005-0000-0000-0000C2080000}"/>
    <cellStyle name="Comma 4 2 4 2 4 3 2" xfId="14293" xr:uid="{1945BA2B-BF52-4ED8-99C5-A0AD5D3B1285}"/>
    <cellStyle name="Comma 4 2 4 2 4 4" xfId="10075" xr:uid="{8F036937-DB49-4A9A-A6C7-7C6AD8B632F9}"/>
    <cellStyle name="Comma 4 2 4 2 5" xfId="1960" xr:uid="{00000000-0005-0000-0000-0000C3080000}"/>
    <cellStyle name="Comma 4 2 4 2 5 2" xfId="4189" xr:uid="{00000000-0005-0000-0000-0000C4080000}"/>
    <cellStyle name="Comma 4 2 4 2 5 2 2" xfId="8412" xr:uid="{00000000-0005-0000-0000-0000C5080000}"/>
    <cellStyle name="Comma 4 2 4 2 5 2 2 2" xfId="16851" xr:uid="{24BD4FD5-DEDC-4D30-995B-819DD68296B2}"/>
    <cellStyle name="Comma 4 2 4 2 5 2 3" xfId="12633" xr:uid="{82BAEEB1-160F-4EF7-B284-B33B6EBFE1C4}"/>
    <cellStyle name="Comma 4 2 4 2 5 3" xfId="6267" xr:uid="{00000000-0005-0000-0000-0000C6080000}"/>
    <cellStyle name="Comma 4 2 4 2 5 3 2" xfId="14706" xr:uid="{3B40A16D-EC49-4789-A5A1-3547EC3B58DE}"/>
    <cellStyle name="Comma 4 2 4 2 5 4" xfId="10488" xr:uid="{77C1E379-BC69-4C1D-9052-6B6CF5E20680}"/>
    <cellStyle name="Comma 4 2 4 2 6" xfId="2395" xr:uid="{00000000-0005-0000-0000-0000C7080000}"/>
    <cellStyle name="Comma 4 2 4 2 6 2" xfId="6680" xr:uid="{00000000-0005-0000-0000-0000C8080000}"/>
    <cellStyle name="Comma 4 2 4 2 6 2 2" xfId="15119" xr:uid="{C712B93D-45C7-40DB-B065-90895C2C3699}"/>
    <cellStyle name="Comma 4 2 4 2 6 3" xfId="10901" xr:uid="{5A6B9B16-9449-4728-B492-C37B85F48872}"/>
    <cellStyle name="Comma 4 2 4 2 7" xfId="2368" xr:uid="{00000000-0005-0000-0000-0000C9080000}"/>
    <cellStyle name="Comma 4 2 4 2 8" xfId="2773" xr:uid="{00000000-0005-0000-0000-0000CA080000}"/>
    <cellStyle name="Comma 4 2 4 2 8 2" xfId="6997" xr:uid="{00000000-0005-0000-0000-0000CB080000}"/>
    <cellStyle name="Comma 4 2 4 2 8 2 2" xfId="15436" xr:uid="{676B4CB6-5DFA-43EE-B13A-D64E72F11119}"/>
    <cellStyle name="Comma 4 2 4 2 8 3" xfId="11218" xr:uid="{01E3A179-6053-4607-932D-7B253CF28EB8}"/>
    <cellStyle name="Comma 4 2 4 2 9" xfId="4614" xr:uid="{00000000-0005-0000-0000-0000CC080000}"/>
    <cellStyle name="Comma 4 2 4 2 9 2" xfId="13053" xr:uid="{57CA6C50-5D61-4F3B-8F17-87AC086AA35C}"/>
    <cellStyle name="Comma 4 2 4 3" xfId="678" xr:uid="{00000000-0005-0000-0000-0000CD080000}"/>
    <cellStyle name="Comma 4 2 4 3 2" xfId="2949" xr:uid="{00000000-0005-0000-0000-0000CE080000}"/>
    <cellStyle name="Comma 4 2 4 3 2 2" xfId="7172" xr:uid="{00000000-0005-0000-0000-0000CF080000}"/>
    <cellStyle name="Comma 4 2 4 3 2 2 2" xfId="15611" xr:uid="{88B755BB-4E5A-4C42-B140-F80E42714539}"/>
    <cellStyle name="Comma 4 2 4 3 2 3" xfId="11393" xr:uid="{201B8697-EAD6-4D52-9C0E-BB539282584F}"/>
    <cellStyle name="Comma 4 2 4 3 3" xfId="5027" xr:uid="{00000000-0005-0000-0000-0000D0080000}"/>
    <cellStyle name="Comma 4 2 4 3 3 2" xfId="13466" xr:uid="{E568BBC2-5678-4C7A-AFE2-511CF86C52D5}"/>
    <cellStyle name="Comma 4 2 4 3 4" xfId="9248" xr:uid="{D9E25943-15A0-42B4-AF0A-1AD48508EABA}"/>
    <cellStyle name="Comma 4 2 4 4" xfId="1131" xr:uid="{00000000-0005-0000-0000-0000D1080000}"/>
    <cellStyle name="Comma 4 2 4 4 2" xfId="3362" xr:uid="{00000000-0005-0000-0000-0000D2080000}"/>
    <cellStyle name="Comma 4 2 4 4 2 2" xfId="7585" xr:uid="{00000000-0005-0000-0000-0000D3080000}"/>
    <cellStyle name="Comma 4 2 4 4 2 2 2" xfId="16024" xr:uid="{1B1ED3FC-7E09-477E-8EE0-69C7928E1C28}"/>
    <cellStyle name="Comma 4 2 4 4 2 3" xfId="11806" xr:uid="{98E516E7-C016-4E02-8D93-CC5FB4C607A0}"/>
    <cellStyle name="Comma 4 2 4 4 3" xfId="5440" xr:uid="{00000000-0005-0000-0000-0000D4080000}"/>
    <cellStyle name="Comma 4 2 4 4 3 2" xfId="13879" xr:uid="{8118C293-EB2B-40DB-850B-5BDEAF8B6347}"/>
    <cellStyle name="Comma 4 2 4 4 4" xfId="9661" xr:uid="{A3F5429C-FC94-4887-9BDE-106C66C9DA84}"/>
    <cellStyle name="Comma 4 2 4 5" xfId="1545" xr:uid="{00000000-0005-0000-0000-0000D5080000}"/>
    <cellStyle name="Comma 4 2 4 5 2" xfId="3775" xr:uid="{00000000-0005-0000-0000-0000D6080000}"/>
    <cellStyle name="Comma 4 2 4 5 2 2" xfId="7998" xr:uid="{00000000-0005-0000-0000-0000D7080000}"/>
    <cellStyle name="Comma 4 2 4 5 2 2 2" xfId="16437" xr:uid="{88EB22EA-C68F-4873-ADCB-88CDD7FDA8D5}"/>
    <cellStyle name="Comma 4 2 4 5 2 3" xfId="12219" xr:uid="{5DA313F9-7DDF-406F-8B8D-8C0BEB77E812}"/>
    <cellStyle name="Comma 4 2 4 5 3" xfId="5853" xr:uid="{00000000-0005-0000-0000-0000D8080000}"/>
    <cellStyle name="Comma 4 2 4 5 3 2" xfId="14292" xr:uid="{7468756E-9874-4133-B62A-DCAE708D06FB}"/>
    <cellStyle name="Comma 4 2 4 5 4" xfId="10074" xr:uid="{28373F36-F48D-4600-B006-7945282797EC}"/>
    <cellStyle name="Comma 4 2 4 6" xfId="1959" xr:uid="{00000000-0005-0000-0000-0000D9080000}"/>
    <cellStyle name="Comma 4 2 4 6 2" xfId="4188" xr:uid="{00000000-0005-0000-0000-0000DA080000}"/>
    <cellStyle name="Comma 4 2 4 6 2 2" xfId="8411" xr:uid="{00000000-0005-0000-0000-0000DB080000}"/>
    <cellStyle name="Comma 4 2 4 6 2 2 2" xfId="16850" xr:uid="{4A99FC1D-9323-4388-98D8-7FFAEDD2E48A}"/>
    <cellStyle name="Comma 4 2 4 6 2 3" xfId="12632" xr:uid="{44F67359-76E4-4C6A-ACF8-A4FE025A49E0}"/>
    <cellStyle name="Comma 4 2 4 6 3" xfId="6266" xr:uid="{00000000-0005-0000-0000-0000DC080000}"/>
    <cellStyle name="Comma 4 2 4 6 3 2" xfId="14705" xr:uid="{27B66512-477B-474F-8161-292F469E76A7}"/>
    <cellStyle name="Comma 4 2 4 6 4" xfId="10487" xr:uid="{EF694B95-A937-4D7A-9163-F068D662A964}"/>
    <cellStyle name="Comma 4 2 4 7" xfId="2394" xr:uid="{00000000-0005-0000-0000-0000DD080000}"/>
    <cellStyle name="Comma 4 2 4 7 2" xfId="6679" xr:uid="{00000000-0005-0000-0000-0000DE080000}"/>
    <cellStyle name="Comma 4 2 4 7 2 2" xfId="15118" xr:uid="{062CCB85-4E2F-430D-BD02-8C3C4C4E9573}"/>
    <cellStyle name="Comma 4 2 4 7 3" xfId="10900" xr:uid="{615FFEEE-23D9-4267-AB5D-E75BA3833618}"/>
    <cellStyle name="Comma 4 2 4 8" xfId="2369" xr:uid="{00000000-0005-0000-0000-0000DF080000}"/>
    <cellStyle name="Comma 4 2 4 9" xfId="2772" xr:uid="{00000000-0005-0000-0000-0000E0080000}"/>
    <cellStyle name="Comma 4 2 4 9 2" xfId="6996" xr:uid="{00000000-0005-0000-0000-0000E1080000}"/>
    <cellStyle name="Comma 4 2 4 9 2 2" xfId="15435" xr:uid="{3E330A52-10CB-4383-89B4-637B214FA462}"/>
    <cellStyle name="Comma 4 2 4 9 3" xfId="11217" xr:uid="{9D5C26C6-DA2F-4F52-A7B7-2FBCCB5DC6D0}"/>
    <cellStyle name="Comma 4 2 5" xfId="142" xr:uid="{00000000-0005-0000-0000-0000E2080000}"/>
    <cellStyle name="Comma 4 2 5 10" xfId="8836" xr:uid="{CABCFE24-936C-411B-94FE-D3B03D4CF767}"/>
    <cellStyle name="Comma 4 2 5 2" xfId="680" xr:uid="{00000000-0005-0000-0000-0000E3080000}"/>
    <cellStyle name="Comma 4 2 5 2 2" xfId="2951" xr:uid="{00000000-0005-0000-0000-0000E4080000}"/>
    <cellStyle name="Comma 4 2 5 2 2 2" xfId="7174" xr:uid="{00000000-0005-0000-0000-0000E5080000}"/>
    <cellStyle name="Comma 4 2 5 2 2 2 2" xfId="15613" xr:uid="{6ABE59DA-B14D-408E-B7B6-045F608AC171}"/>
    <cellStyle name="Comma 4 2 5 2 2 3" xfId="11395" xr:uid="{B1CCDA06-FA7F-4CBC-A344-8F200C8529CA}"/>
    <cellStyle name="Comma 4 2 5 2 3" xfId="5029" xr:uid="{00000000-0005-0000-0000-0000E6080000}"/>
    <cellStyle name="Comma 4 2 5 2 3 2" xfId="13468" xr:uid="{70458C00-29AF-41E8-8AC7-EB92F527E513}"/>
    <cellStyle name="Comma 4 2 5 2 4" xfId="9250" xr:uid="{99107DC6-2B08-42C2-8B89-C3C0FA2E7D8A}"/>
    <cellStyle name="Comma 4 2 5 3" xfId="1133" xr:uid="{00000000-0005-0000-0000-0000E7080000}"/>
    <cellStyle name="Comma 4 2 5 3 2" xfId="3364" xr:uid="{00000000-0005-0000-0000-0000E8080000}"/>
    <cellStyle name="Comma 4 2 5 3 2 2" xfId="7587" xr:uid="{00000000-0005-0000-0000-0000E9080000}"/>
    <cellStyle name="Comma 4 2 5 3 2 2 2" xfId="16026" xr:uid="{6F6A86F3-AF2E-40DB-B40E-B6C113E24B8B}"/>
    <cellStyle name="Comma 4 2 5 3 2 3" xfId="11808" xr:uid="{F82C26B9-8DEB-4339-B356-C1F4C650AECB}"/>
    <cellStyle name="Comma 4 2 5 3 3" xfId="5442" xr:uid="{00000000-0005-0000-0000-0000EA080000}"/>
    <cellStyle name="Comma 4 2 5 3 3 2" xfId="13881" xr:uid="{172AD779-5882-4915-9155-F3BA8CA27889}"/>
    <cellStyle name="Comma 4 2 5 3 4" xfId="9663" xr:uid="{85C24D9F-A5D1-4372-B2AD-63B6683DC5C2}"/>
    <cellStyle name="Comma 4 2 5 4" xfId="1547" xr:uid="{00000000-0005-0000-0000-0000EB080000}"/>
    <cellStyle name="Comma 4 2 5 4 2" xfId="3777" xr:uid="{00000000-0005-0000-0000-0000EC080000}"/>
    <cellStyle name="Comma 4 2 5 4 2 2" xfId="8000" xr:uid="{00000000-0005-0000-0000-0000ED080000}"/>
    <cellStyle name="Comma 4 2 5 4 2 2 2" xfId="16439" xr:uid="{47E5DB36-7C21-4B6C-AFCA-31A973290189}"/>
    <cellStyle name="Comma 4 2 5 4 2 3" xfId="12221" xr:uid="{02B1DA5C-76A3-4F9A-A75A-B800B72962BC}"/>
    <cellStyle name="Comma 4 2 5 4 3" xfId="5855" xr:uid="{00000000-0005-0000-0000-0000EE080000}"/>
    <cellStyle name="Comma 4 2 5 4 3 2" xfId="14294" xr:uid="{81CBC498-AE9F-4364-A162-F74E6A44F2D1}"/>
    <cellStyle name="Comma 4 2 5 4 4" xfId="10076" xr:uid="{0F66B0A2-7DDB-40E0-8C15-27D77E50F4A5}"/>
    <cellStyle name="Comma 4 2 5 5" xfId="1961" xr:uid="{00000000-0005-0000-0000-0000EF080000}"/>
    <cellStyle name="Comma 4 2 5 5 2" xfId="4190" xr:uid="{00000000-0005-0000-0000-0000F0080000}"/>
    <cellStyle name="Comma 4 2 5 5 2 2" xfId="8413" xr:uid="{00000000-0005-0000-0000-0000F1080000}"/>
    <cellStyle name="Comma 4 2 5 5 2 2 2" xfId="16852" xr:uid="{0A85728F-9C2E-4C60-B5AE-E86561DFE08B}"/>
    <cellStyle name="Comma 4 2 5 5 2 3" xfId="12634" xr:uid="{58447FD5-07A3-4EAE-B672-A969183A3521}"/>
    <cellStyle name="Comma 4 2 5 5 3" xfId="6268" xr:uid="{00000000-0005-0000-0000-0000F2080000}"/>
    <cellStyle name="Comma 4 2 5 5 3 2" xfId="14707" xr:uid="{FF164A7D-58F2-4724-9E5B-1A43DC808167}"/>
    <cellStyle name="Comma 4 2 5 5 4" xfId="10489" xr:uid="{5CC09BD1-1BAB-49D2-B42B-AAC5B76114FB}"/>
    <cellStyle name="Comma 4 2 5 6" xfId="2396" xr:uid="{00000000-0005-0000-0000-0000F3080000}"/>
    <cellStyle name="Comma 4 2 5 6 2" xfId="6681" xr:uid="{00000000-0005-0000-0000-0000F4080000}"/>
    <cellStyle name="Comma 4 2 5 6 2 2" xfId="15120" xr:uid="{92585899-5605-44A1-8803-9D3A4AF0B551}"/>
    <cellStyle name="Comma 4 2 5 6 3" xfId="10902" xr:uid="{8409C4BE-47E7-4BD4-B2E7-627D657316CD}"/>
    <cellStyle name="Comma 4 2 5 7" xfId="2367" xr:uid="{00000000-0005-0000-0000-0000F5080000}"/>
    <cellStyle name="Comma 4 2 5 8" xfId="2774" xr:uid="{00000000-0005-0000-0000-0000F6080000}"/>
    <cellStyle name="Comma 4 2 5 8 2" xfId="6998" xr:uid="{00000000-0005-0000-0000-0000F7080000}"/>
    <cellStyle name="Comma 4 2 5 8 2 2" xfId="15437" xr:uid="{3276FB3D-68DD-4421-891B-BEBDAEA2AB3F}"/>
    <cellStyle name="Comma 4 2 5 8 3" xfId="11219" xr:uid="{38A8C6F8-FE65-4141-8A4F-8647351E3E91}"/>
    <cellStyle name="Comma 4 2 5 9" xfId="4615" xr:uid="{00000000-0005-0000-0000-0000F8080000}"/>
    <cellStyle name="Comma 4 2 5 9 2" xfId="13054" xr:uid="{42F2DEA1-8E77-4ABC-A542-5746E5B48692}"/>
    <cellStyle name="Comma 4 2 6" xfId="143" xr:uid="{00000000-0005-0000-0000-0000F9080000}"/>
    <cellStyle name="Comma 4 2 6 10" xfId="8837" xr:uid="{1DA9F096-CDE5-4B98-BCB1-8269D74FEBA5}"/>
    <cellStyle name="Comma 4 2 6 2" xfId="681" xr:uid="{00000000-0005-0000-0000-0000FA080000}"/>
    <cellStyle name="Comma 4 2 6 2 2" xfId="2952" xr:uid="{00000000-0005-0000-0000-0000FB080000}"/>
    <cellStyle name="Comma 4 2 6 2 2 2" xfId="7175" xr:uid="{00000000-0005-0000-0000-0000FC080000}"/>
    <cellStyle name="Comma 4 2 6 2 2 2 2" xfId="15614" xr:uid="{A15824DC-D6F1-4DBD-AD98-E5FF38C73AF1}"/>
    <cellStyle name="Comma 4 2 6 2 2 3" xfId="11396" xr:uid="{DC52B8A2-11A8-4727-A4A0-C7E6AD0AFD78}"/>
    <cellStyle name="Comma 4 2 6 2 3" xfId="5030" xr:uid="{00000000-0005-0000-0000-0000FD080000}"/>
    <cellStyle name="Comma 4 2 6 2 3 2" xfId="13469" xr:uid="{F8347425-D381-447E-8E03-E83273190E38}"/>
    <cellStyle name="Comma 4 2 6 2 4" xfId="9251" xr:uid="{43D2E24E-2DFD-49E5-8112-2F339A436A2F}"/>
    <cellStyle name="Comma 4 2 6 3" xfId="1134" xr:uid="{00000000-0005-0000-0000-0000FE080000}"/>
    <cellStyle name="Comma 4 2 6 3 2" xfId="3365" xr:uid="{00000000-0005-0000-0000-0000FF080000}"/>
    <cellStyle name="Comma 4 2 6 3 2 2" xfId="7588" xr:uid="{00000000-0005-0000-0000-000000090000}"/>
    <cellStyle name="Comma 4 2 6 3 2 2 2" xfId="16027" xr:uid="{9212E7DA-A1F2-4869-BD04-206E3E4203EB}"/>
    <cellStyle name="Comma 4 2 6 3 2 3" xfId="11809" xr:uid="{A2CC7D48-2DC7-45A6-82FE-642BA42ED6BF}"/>
    <cellStyle name="Comma 4 2 6 3 3" xfId="5443" xr:uid="{00000000-0005-0000-0000-000001090000}"/>
    <cellStyle name="Comma 4 2 6 3 3 2" xfId="13882" xr:uid="{4A407444-6F90-4592-A1BD-276569BD9D77}"/>
    <cellStyle name="Comma 4 2 6 3 4" xfId="9664" xr:uid="{7D50B6F4-81B8-43C1-BB2F-DAD98F2219A7}"/>
    <cellStyle name="Comma 4 2 6 4" xfId="1548" xr:uid="{00000000-0005-0000-0000-000002090000}"/>
    <cellStyle name="Comma 4 2 6 4 2" xfId="3778" xr:uid="{00000000-0005-0000-0000-000003090000}"/>
    <cellStyle name="Comma 4 2 6 4 2 2" xfId="8001" xr:uid="{00000000-0005-0000-0000-000004090000}"/>
    <cellStyle name="Comma 4 2 6 4 2 2 2" xfId="16440" xr:uid="{774ED2AA-E661-4DB3-A0CF-D61AA20D6CAA}"/>
    <cellStyle name="Comma 4 2 6 4 2 3" xfId="12222" xr:uid="{4FD72256-58F9-43D2-8245-3C2849757BA1}"/>
    <cellStyle name="Comma 4 2 6 4 3" xfId="5856" xr:uid="{00000000-0005-0000-0000-000005090000}"/>
    <cellStyle name="Comma 4 2 6 4 3 2" xfId="14295" xr:uid="{28ACF7E5-7318-470C-B0B9-D23B206EC850}"/>
    <cellStyle name="Comma 4 2 6 4 4" xfId="10077" xr:uid="{5A239875-873D-40FB-9EBE-9371CF65649D}"/>
    <cellStyle name="Comma 4 2 6 5" xfId="1962" xr:uid="{00000000-0005-0000-0000-000006090000}"/>
    <cellStyle name="Comma 4 2 6 5 2" xfId="4191" xr:uid="{00000000-0005-0000-0000-000007090000}"/>
    <cellStyle name="Comma 4 2 6 5 2 2" xfId="8414" xr:uid="{00000000-0005-0000-0000-000008090000}"/>
    <cellStyle name="Comma 4 2 6 5 2 2 2" xfId="16853" xr:uid="{2C73EECF-B0FE-47D4-86FA-7237969BF933}"/>
    <cellStyle name="Comma 4 2 6 5 2 3" xfId="12635" xr:uid="{A4E202E4-E857-4D20-99C1-DC47DD750134}"/>
    <cellStyle name="Comma 4 2 6 5 3" xfId="6269" xr:uid="{00000000-0005-0000-0000-000009090000}"/>
    <cellStyle name="Comma 4 2 6 5 3 2" xfId="14708" xr:uid="{A165C0AC-F815-4475-BA0D-8B386526EE40}"/>
    <cellStyle name="Comma 4 2 6 5 4" xfId="10490" xr:uid="{BD0D2DF1-1F36-48B7-A866-9B1A5C039727}"/>
    <cellStyle name="Comma 4 2 6 6" xfId="2397" xr:uid="{00000000-0005-0000-0000-00000A090000}"/>
    <cellStyle name="Comma 4 2 6 6 2" xfId="6682" xr:uid="{00000000-0005-0000-0000-00000B090000}"/>
    <cellStyle name="Comma 4 2 6 6 2 2" xfId="15121" xr:uid="{96F18EF3-3FCD-46E6-9217-5646C69B72CC}"/>
    <cellStyle name="Comma 4 2 6 6 3" xfId="10903" xr:uid="{67A00A0B-C3B0-497D-BADC-0DBB7E348002}"/>
    <cellStyle name="Comma 4 2 6 7" xfId="2366" xr:uid="{00000000-0005-0000-0000-00000C090000}"/>
    <cellStyle name="Comma 4 2 6 8" xfId="2775" xr:uid="{00000000-0005-0000-0000-00000D090000}"/>
    <cellStyle name="Comma 4 2 6 8 2" xfId="6999" xr:uid="{00000000-0005-0000-0000-00000E090000}"/>
    <cellStyle name="Comma 4 2 6 8 2 2" xfId="15438" xr:uid="{0F13BE01-6E3B-430D-8B7E-6618B1D99EDE}"/>
    <cellStyle name="Comma 4 2 6 8 3" xfId="11220" xr:uid="{DCFB5B02-D285-4B1D-A678-9D40A87CFCA6}"/>
    <cellStyle name="Comma 4 2 6 9" xfId="4616" xr:uid="{00000000-0005-0000-0000-00000F090000}"/>
    <cellStyle name="Comma 4 2 6 9 2" xfId="13055" xr:uid="{EE4ECF48-01F3-4AAB-8A50-7D1567DFABD1}"/>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0 2 2" xfId="15439" xr:uid="{59AA116A-3DD2-468A-9AD1-FA7A3BCFE782}"/>
    <cellStyle name="Comma 4 3 2 10 3" xfId="11221" xr:uid="{63419078-EA1A-4C2F-8970-23DE72443544}"/>
    <cellStyle name="Comma 4 3 2 11" xfId="4617" xr:uid="{00000000-0005-0000-0000-000014090000}"/>
    <cellStyle name="Comma 4 3 2 11 2" xfId="13056" xr:uid="{9872784A-A124-4951-B5BD-8B987312FDB4}"/>
    <cellStyle name="Comma 4 3 2 12" xfId="8838" xr:uid="{FA17C3BF-9A57-417B-93AD-6AB266E49F33}"/>
    <cellStyle name="Comma 4 3 2 2" xfId="146" xr:uid="{00000000-0005-0000-0000-000015090000}"/>
    <cellStyle name="Comma 4 3 2 2 10" xfId="4618" xr:uid="{00000000-0005-0000-0000-000016090000}"/>
    <cellStyle name="Comma 4 3 2 2 10 2" xfId="13057" xr:uid="{EE0B9EBF-7B0D-43DA-975D-D0A5442A39D6}"/>
    <cellStyle name="Comma 4 3 2 2 11" xfId="8839" xr:uid="{67C5F85B-D1FA-455F-9698-F7593929D8A3}"/>
    <cellStyle name="Comma 4 3 2 2 2" xfId="147" xr:uid="{00000000-0005-0000-0000-000017090000}"/>
    <cellStyle name="Comma 4 3 2 2 2 10" xfId="8840" xr:uid="{4C3B9AFB-F8A8-40DC-96EA-D437A2DDF7C5}"/>
    <cellStyle name="Comma 4 3 2 2 2 2" xfId="684" xr:uid="{00000000-0005-0000-0000-000018090000}"/>
    <cellStyle name="Comma 4 3 2 2 2 2 2" xfId="2955" xr:uid="{00000000-0005-0000-0000-000019090000}"/>
    <cellStyle name="Comma 4 3 2 2 2 2 2 2" xfId="7178" xr:uid="{00000000-0005-0000-0000-00001A090000}"/>
    <cellStyle name="Comma 4 3 2 2 2 2 2 2 2" xfId="15617" xr:uid="{EE693013-C1AA-45D7-B8B7-17020A346E6E}"/>
    <cellStyle name="Comma 4 3 2 2 2 2 2 3" xfId="11399" xr:uid="{E77EDC83-EB8E-49ED-84A9-DB7076A6DE21}"/>
    <cellStyle name="Comma 4 3 2 2 2 2 3" xfId="5033" xr:uid="{00000000-0005-0000-0000-00001B090000}"/>
    <cellStyle name="Comma 4 3 2 2 2 2 3 2" xfId="13472" xr:uid="{15B11368-4040-4EC9-A4D5-422B4FF0A152}"/>
    <cellStyle name="Comma 4 3 2 2 2 2 4" xfId="9254" xr:uid="{35EF59AC-5CAF-4D77-8C67-091B35516667}"/>
    <cellStyle name="Comma 4 3 2 2 2 3" xfId="1137" xr:uid="{00000000-0005-0000-0000-00001C090000}"/>
    <cellStyle name="Comma 4 3 2 2 2 3 2" xfId="3368" xr:uid="{00000000-0005-0000-0000-00001D090000}"/>
    <cellStyle name="Comma 4 3 2 2 2 3 2 2" xfId="7591" xr:uid="{00000000-0005-0000-0000-00001E090000}"/>
    <cellStyle name="Comma 4 3 2 2 2 3 2 2 2" xfId="16030" xr:uid="{76EF152E-EF4C-44FD-BBBB-FD5A4FBD2DF6}"/>
    <cellStyle name="Comma 4 3 2 2 2 3 2 3" xfId="11812" xr:uid="{0E194553-093F-43B6-B32A-4B36E02B2268}"/>
    <cellStyle name="Comma 4 3 2 2 2 3 3" xfId="5446" xr:uid="{00000000-0005-0000-0000-00001F090000}"/>
    <cellStyle name="Comma 4 3 2 2 2 3 3 2" xfId="13885" xr:uid="{169A0EF4-CB53-49FF-93BA-930D4B545489}"/>
    <cellStyle name="Comma 4 3 2 2 2 3 4" xfId="9667" xr:uid="{0A695D69-1D49-4758-A865-92319384FAA8}"/>
    <cellStyle name="Comma 4 3 2 2 2 4" xfId="1551" xr:uid="{00000000-0005-0000-0000-000020090000}"/>
    <cellStyle name="Comma 4 3 2 2 2 4 2" xfId="3781" xr:uid="{00000000-0005-0000-0000-000021090000}"/>
    <cellStyle name="Comma 4 3 2 2 2 4 2 2" xfId="8004" xr:uid="{00000000-0005-0000-0000-000022090000}"/>
    <cellStyle name="Comma 4 3 2 2 2 4 2 2 2" xfId="16443" xr:uid="{F3226CB3-AAFD-4089-A2CB-4CC5AE41C093}"/>
    <cellStyle name="Comma 4 3 2 2 2 4 2 3" xfId="12225" xr:uid="{AA8BD573-2D14-49C6-9735-EA960AD20415}"/>
    <cellStyle name="Comma 4 3 2 2 2 4 3" xfId="5859" xr:uid="{00000000-0005-0000-0000-000023090000}"/>
    <cellStyle name="Comma 4 3 2 2 2 4 3 2" xfId="14298" xr:uid="{FB1E383D-1F2C-48CD-94BC-5938DA8D839A}"/>
    <cellStyle name="Comma 4 3 2 2 2 4 4" xfId="10080" xr:uid="{568222F8-6C4C-4E35-8F4E-36D952128A56}"/>
    <cellStyle name="Comma 4 3 2 2 2 5" xfId="1965" xr:uid="{00000000-0005-0000-0000-000024090000}"/>
    <cellStyle name="Comma 4 3 2 2 2 5 2" xfId="4194" xr:uid="{00000000-0005-0000-0000-000025090000}"/>
    <cellStyle name="Comma 4 3 2 2 2 5 2 2" xfId="8417" xr:uid="{00000000-0005-0000-0000-000026090000}"/>
    <cellStyle name="Comma 4 3 2 2 2 5 2 2 2" xfId="16856" xr:uid="{846FC00B-9369-4220-80C4-F636238BCBD4}"/>
    <cellStyle name="Comma 4 3 2 2 2 5 2 3" xfId="12638" xr:uid="{9C375E28-749B-4F5A-AF6A-CFE7AF5B6095}"/>
    <cellStyle name="Comma 4 3 2 2 2 5 3" xfId="6272" xr:uid="{00000000-0005-0000-0000-000027090000}"/>
    <cellStyle name="Comma 4 3 2 2 2 5 3 2" xfId="14711" xr:uid="{4FFB9991-FE6F-4825-8810-C64E552C2EC7}"/>
    <cellStyle name="Comma 4 3 2 2 2 5 4" xfId="10493" xr:uid="{19A61E31-AB6B-4C9E-8EA4-6F364A32525D}"/>
    <cellStyle name="Comma 4 3 2 2 2 6" xfId="2400" xr:uid="{00000000-0005-0000-0000-000028090000}"/>
    <cellStyle name="Comma 4 3 2 2 2 6 2" xfId="6685" xr:uid="{00000000-0005-0000-0000-000029090000}"/>
    <cellStyle name="Comma 4 3 2 2 2 6 2 2" xfId="15124" xr:uid="{E67DC83E-0FBC-4075-93FD-39A4086FB385}"/>
    <cellStyle name="Comma 4 3 2 2 2 6 3" xfId="10906" xr:uid="{23FDCC64-A53D-47DE-A7F1-1E29271DAFED}"/>
    <cellStyle name="Comma 4 3 2 2 2 7" xfId="2363" xr:uid="{00000000-0005-0000-0000-00002A090000}"/>
    <cellStyle name="Comma 4 3 2 2 2 8" xfId="2778" xr:uid="{00000000-0005-0000-0000-00002B090000}"/>
    <cellStyle name="Comma 4 3 2 2 2 8 2" xfId="7002" xr:uid="{00000000-0005-0000-0000-00002C090000}"/>
    <cellStyle name="Comma 4 3 2 2 2 8 2 2" xfId="15441" xr:uid="{3AC78F78-0FF0-4D64-B3DC-9D066D1F76CB}"/>
    <cellStyle name="Comma 4 3 2 2 2 8 3" xfId="11223" xr:uid="{AD7FC2DA-1DC5-4A81-ABCA-FBD11030C468}"/>
    <cellStyle name="Comma 4 3 2 2 2 9" xfId="4619" xr:uid="{00000000-0005-0000-0000-00002D090000}"/>
    <cellStyle name="Comma 4 3 2 2 2 9 2" xfId="13058" xr:uid="{7CFC2CEF-75F3-431E-AD76-11ABC0BF3F1C}"/>
    <cellStyle name="Comma 4 3 2 2 3" xfId="683" xr:uid="{00000000-0005-0000-0000-00002E090000}"/>
    <cellStyle name="Comma 4 3 2 2 3 2" xfId="2954" xr:uid="{00000000-0005-0000-0000-00002F090000}"/>
    <cellStyle name="Comma 4 3 2 2 3 2 2" xfId="7177" xr:uid="{00000000-0005-0000-0000-000030090000}"/>
    <cellStyle name="Comma 4 3 2 2 3 2 2 2" xfId="15616" xr:uid="{D623286C-45DF-4454-A91E-434075D20638}"/>
    <cellStyle name="Comma 4 3 2 2 3 2 3" xfId="11398" xr:uid="{5B835206-E30B-4319-9B90-7400253FBB2E}"/>
    <cellStyle name="Comma 4 3 2 2 3 3" xfId="5032" xr:uid="{00000000-0005-0000-0000-000031090000}"/>
    <cellStyle name="Comma 4 3 2 2 3 3 2" xfId="13471" xr:uid="{CAA445EA-7A6E-4CD7-ACA2-E818227B1970}"/>
    <cellStyle name="Comma 4 3 2 2 3 4" xfId="9253" xr:uid="{BA18C10E-72CD-4912-906C-3DE8C74ADE08}"/>
    <cellStyle name="Comma 4 3 2 2 4" xfId="1136" xr:uid="{00000000-0005-0000-0000-000032090000}"/>
    <cellStyle name="Comma 4 3 2 2 4 2" xfId="3367" xr:uid="{00000000-0005-0000-0000-000033090000}"/>
    <cellStyle name="Comma 4 3 2 2 4 2 2" xfId="7590" xr:uid="{00000000-0005-0000-0000-000034090000}"/>
    <cellStyle name="Comma 4 3 2 2 4 2 2 2" xfId="16029" xr:uid="{0DAB066E-2D45-4AC5-B699-66C4A654FE4C}"/>
    <cellStyle name="Comma 4 3 2 2 4 2 3" xfId="11811" xr:uid="{398EED2B-240B-4483-863B-5AD7FECB9FBA}"/>
    <cellStyle name="Comma 4 3 2 2 4 3" xfId="5445" xr:uid="{00000000-0005-0000-0000-000035090000}"/>
    <cellStyle name="Comma 4 3 2 2 4 3 2" xfId="13884" xr:uid="{D5759DAC-6588-4D7C-85F4-11E09024B61B}"/>
    <cellStyle name="Comma 4 3 2 2 4 4" xfId="9666" xr:uid="{19ECDC39-4092-4BBC-9330-28D24F172662}"/>
    <cellStyle name="Comma 4 3 2 2 5" xfId="1550" xr:uid="{00000000-0005-0000-0000-000036090000}"/>
    <cellStyle name="Comma 4 3 2 2 5 2" xfId="3780" xr:uid="{00000000-0005-0000-0000-000037090000}"/>
    <cellStyle name="Comma 4 3 2 2 5 2 2" xfId="8003" xr:uid="{00000000-0005-0000-0000-000038090000}"/>
    <cellStyle name="Comma 4 3 2 2 5 2 2 2" xfId="16442" xr:uid="{30F0494F-758B-431A-9EC6-7A3969BB3359}"/>
    <cellStyle name="Comma 4 3 2 2 5 2 3" xfId="12224" xr:uid="{CB9B6BE3-376B-40BE-9CC2-ACE74E8B2C77}"/>
    <cellStyle name="Comma 4 3 2 2 5 3" xfId="5858" xr:uid="{00000000-0005-0000-0000-000039090000}"/>
    <cellStyle name="Comma 4 3 2 2 5 3 2" xfId="14297" xr:uid="{3E98D34F-F372-4CC1-9205-CB7C0EA2E523}"/>
    <cellStyle name="Comma 4 3 2 2 5 4" xfId="10079" xr:uid="{01113DD4-2D11-4239-881A-4448FAB21318}"/>
    <cellStyle name="Comma 4 3 2 2 6" xfId="1964" xr:uid="{00000000-0005-0000-0000-00003A090000}"/>
    <cellStyle name="Comma 4 3 2 2 6 2" xfId="4193" xr:uid="{00000000-0005-0000-0000-00003B090000}"/>
    <cellStyle name="Comma 4 3 2 2 6 2 2" xfId="8416" xr:uid="{00000000-0005-0000-0000-00003C090000}"/>
    <cellStyle name="Comma 4 3 2 2 6 2 2 2" xfId="16855" xr:uid="{76B51199-0DCD-4299-96C8-20FB9541A374}"/>
    <cellStyle name="Comma 4 3 2 2 6 2 3" xfId="12637" xr:uid="{788C1732-2270-4836-ADD5-62682BA043AE}"/>
    <cellStyle name="Comma 4 3 2 2 6 3" xfId="6271" xr:uid="{00000000-0005-0000-0000-00003D090000}"/>
    <cellStyle name="Comma 4 3 2 2 6 3 2" xfId="14710" xr:uid="{30F34659-3C89-4396-B4AB-1E25982BB902}"/>
    <cellStyle name="Comma 4 3 2 2 6 4" xfId="10492" xr:uid="{E9556C19-2DFE-4BE6-94CE-E1381C3484CD}"/>
    <cellStyle name="Comma 4 3 2 2 7" xfId="2399" xr:uid="{00000000-0005-0000-0000-00003E090000}"/>
    <cellStyle name="Comma 4 3 2 2 7 2" xfId="6684" xr:uid="{00000000-0005-0000-0000-00003F090000}"/>
    <cellStyle name="Comma 4 3 2 2 7 2 2" xfId="15123" xr:uid="{68EDC15E-3787-4E06-821D-BC34C2FCF6AB}"/>
    <cellStyle name="Comma 4 3 2 2 7 3" xfId="10905" xr:uid="{7BDE064A-AC5A-4118-996F-2C90FE7F3223}"/>
    <cellStyle name="Comma 4 3 2 2 8" xfId="2364" xr:uid="{00000000-0005-0000-0000-000040090000}"/>
    <cellStyle name="Comma 4 3 2 2 9" xfId="2777" xr:uid="{00000000-0005-0000-0000-000041090000}"/>
    <cellStyle name="Comma 4 3 2 2 9 2" xfId="7001" xr:uid="{00000000-0005-0000-0000-000042090000}"/>
    <cellStyle name="Comma 4 3 2 2 9 2 2" xfId="15440" xr:uid="{0797D4AA-84AD-44D4-BCA3-2F43233CCD24}"/>
    <cellStyle name="Comma 4 3 2 2 9 3" xfId="11222" xr:uid="{95830AC1-269F-4893-A153-7F9B7F057ABE}"/>
    <cellStyle name="Comma 4 3 2 3" xfId="148" xr:uid="{00000000-0005-0000-0000-000043090000}"/>
    <cellStyle name="Comma 4 3 2 3 10" xfId="8841" xr:uid="{4160F2A7-5B43-469E-9DD1-CE33A0B79801}"/>
    <cellStyle name="Comma 4 3 2 3 2" xfId="685" xr:uid="{00000000-0005-0000-0000-000044090000}"/>
    <cellStyle name="Comma 4 3 2 3 2 2" xfId="2956" xr:uid="{00000000-0005-0000-0000-000045090000}"/>
    <cellStyle name="Comma 4 3 2 3 2 2 2" xfId="7179" xr:uid="{00000000-0005-0000-0000-000046090000}"/>
    <cellStyle name="Comma 4 3 2 3 2 2 2 2" xfId="15618" xr:uid="{76049705-30F2-464E-AEAE-71227D20C28D}"/>
    <cellStyle name="Comma 4 3 2 3 2 2 3" xfId="11400" xr:uid="{61BD66FD-71F9-42DF-A862-12A81FE0D70A}"/>
    <cellStyle name="Comma 4 3 2 3 2 3" xfId="5034" xr:uid="{00000000-0005-0000-0000-000047090000}"/>
    <cellStyle name="Comma 4 3 2 3 2 3 2" xfId="13473" xr:uid="{45EBAAC1-D149-4891-8950-3122E3C65EDA}"/>
    <cellStyle name="Comma 4 3 2 3 2 4" xfId="9255" xr:uid="{8ED6CA73-740F-405E-B639-A1F3D7A53763}"/>
    <cellStyle name="Comma 4 3 2 3 3" xfId="1138" xr:uid="{00000000-0005-0000-0000-000048090000}"/>
    <cellStyle name="Comma 4 3 2 3 3 2" xfId="3369" xr:uid="{00000000-0005-0000-0000-000049090000}"/>
    <cellStyle name="Comma 4 3 2 3 3 2 2" xfId="7592" xr:uid="{00000000-0005-0000-0000-00004A090000}"/>
    <cellStyle name="Comma 4 3 2 3 3 2 2 2" xfId="16031" xr:uid="{1CD0B071-4524-4D29-83DB-A4A99D56C942}"/>
    <cellStyle name="Comma 4 3 2 3 3 2 3" xfId="11813" xr:uid="{BA0A2C85-34FD-4765-8CA4-154FE91936DD}"/>
    <cellStyle name="Comma 4 3 2 3 3 3" xfId="5447" xr:uid="{00000000-0005-0000-0000-00004B090000}"/>
    <cellStyle name="Comma 4 3 2 3 3 3 2" xfId="13886" xr:uid="{E90B7F2E-57A8-40C3-967E-B33D718FA992}"/>
    <cellStyle name="Comma 4 3 2 3 3 4" xfId="9668" xr:uid="{3BB20716-3C3B-47D4-965C-60DC4A64ED63}"/>
    <cellStyle name="Comma 4 3 2 3 4" xfId="1552" xr:uid="{00000000-0005-0000-0000-00004C090000}"/>
    <cellStyle name="Comma 4 3 2 3 4 2" xfId="3782" xr:uid="{00000000-0005-0000-0000-00004D090000}"/>
    <cellStyle name="Comma 4 3 2 3 4 2 2" xfId="8005" xr:uid="{00000000-0005-0000-0000-00004E090000}"/>
    <cellStyle name="Comma 4 3 2 3 4 2 2 2" xfId="16444" xr:uid="{26515B83-007C-4A1C-8A9B-D998658516D5}"/>
    <cellStyle name="Comma 4 3 2 3 4 2 3" xfId="12226" xr:uid="{7A40107E-340B-487B-B385-F1A9751590FA}"/>
    <cellStyle name="Comma 4 3 2 3 4 3" xfId="5860" xr:uid="{00000000-0005-0000-0000-00004F090000}"/>
    <cellStyle name="Comma 4 3 2 3 4 3 2" xfId="14299" xr:uid="{DF1938E7-356B-4808-92D0-FF0C3D73BBA0}"/>
    <cellStyle name="Comma 4 3 2 3 4 4" xfId="10081" xr:uid="{A176D2DD-8729-497A-A71B-2A94942C7BAE}"/>
    <cellStyle name="Comma 4 3 2 3 5" xfId="1966" xr:uid="{00000000-0005-0000-0000-000050090000}"/>
    <cellStyle name="Comma 4 3 2 3 5 2" xfId="4195" xr:uid="{00000000-0005-0000-0000-000051090000}"/>
    <cellStyle name="Comma 4 3 2 3 5 2 2" xfId="8418" xr:uid="{00000000-0005-0000-0000-000052090000}"/>
    <cellStyle name="Comma 4 3 2 3 5 2 2 2" xfId="16857" xr:uid="{2FDBCA5B-D9A6-4492-83FB-D53C9C731A44}"/>
    <cellStyle name="Comma 4 3 2 3 5 2 3" xfId="12639" xr:uid="{BB3ADDAE-9B22-4476-9CCB-ADDDB8FCF5E4}"/>
    <cellStyle name="Comma 4 3 2 3 5 3" xfId="6273" xr:uid="{00000000-0005-0000-0000-000053090000}"/>
    <cellStyle name="Comma 4 3 2 3 5 3 2" xfId="14712" xr:uid="{27B02310-85A0-4056-953B-3D7BF58C31CC}"/>
    <cellStyle name="Comma 4 3 2 3 5 4" xfId="10494" xr:uid="{FA7DB9BF-BF0C-4612-8325-09E88EC2C4D7}"/>
    <cellStyle name="Comma 4 3 2 3 6" xfId="2401" xr:uid="{00000000-0005-0000-0000-000054090000}"/>
    <cellStyle name="Comma 4 3 2 3 6 2" xfId="6686" xr:uid="{00000000-0005-0000-0000-000055090000}"/>
    <cellStyle name="Comma 4 3 2 3 6 2 2" xfId="15125" xr:uid="{26960E7B-28E9-4E86-A013-CEEBEF669CD6}"/>
    <cellStyle name="Comma 4 3 2 3 6 3" xfId="10907" xr:uid="{38C07D12-BEAF-4BCD-BBA5-1EE6B1F1DEEB}"/>
    <cellStyle name="Comma 4 3 2 3 7" xfId="2362" xr:uid="{00000000-0005-0000-0000-000056090000}"/>
    <cellStyle name="Comma 4 3 2 3 8" xfId="2779" xr:uid="{00000000-0005-0000-0000-000057090000}"/>
    <cellStyle name="Comma 4 3 2 3 8 2" xfId="7003" xr:uid="{00000000-0005-0000-0000-000058090000}"/>
    <cellStyle name="Comma 4 3 2 3 8 2 2" xfId="15442" xr:uid="{C1B74317-CBE4-4202-A14A-2BD9CD87CFF2}"/>
    <cellStyle name="Comma 4 3 2 3 8 3" xfId="11224" xr:uid="{F0A56266-07C0-4CD5-8ACE-35FF46CD53F6}"/>
    <cellStyle name="Comma 4 3 2 3 9" xfId="4620" xr:uid="{00000000-0005-0000-0000-000059090000}"/>
    <cellStyle name="Comma 4 3 2 3 9 2" xfId="13059" xr:uid="{E3B5E36B-298A-48B5-8987-59E6D56E883B}"/>
    <cellStyle name="Comma 4 3 2 4" xfId="682" xr:uid="{00000000-0005-0000-0000-00005A090000}"/>
    <cellStyle name="Comma 4 3 2 4 2" xfId="2953" xr:uid="{00000000-0005-0000-0000-00005B090000}"/>
    <cellStyle name="Comma 4 3 2 4 2 2" xfId="7176" xr:uid="{00000000-0005-0000-0000-00005C090000}"/>
    <cellStyle name="Comma 4 3 2 4 2 2 2" xfId="15615" xr:uid="{28922C34-5E97-4FE5-A3D4-873CB31FDE65}"/>
    <cellStyle name="Comma 4 3 2 4 2 3" xfId="11397" xr:uid="{410F522C-512C-40A9-A3DA-564CFF21187D}"/>
    <cellStyle name="Comma 4 3 2 4 3" xfId="5031" xr:uid="{00000000-0005-0000-0000-00005D090000}"/>
    <cellStyle name="Comma 4 3 2 4 3 2" xfId="13470" xr:uid="{454C6472-B002-4056-9D29-0F6A4F9DA627}"/>
    <cellStyle name="Comma 4 3 2 4 4" xfId="9252" xr:uid="{15D7EA87-D3F0-46F1-9C01-33037A592E77}"/>
    <cellStyle name="Comma 4 3 2 5" xfId="1135" xr:uid="{00000000-0005-0000-0000-00005E090000}"/>
    <cellStyle name="Comma 4 3 2 5 2" xfId="3366" xr:uid="{00000000-0005-0000-0000-00005F090000}"/>
    <cellStyle name="Comma 4 3 2 5 2 2" xfId="7589" xr:uid="{00000000-0005-0000-0000-000060090000}"/>
    <cellStyle name="Comma 4 3 2 5 2 2 2" xfId="16028" xr:uid="{3BF28D8E-D1D4-4A06-B740-BE66391A3DFD}"/>
    <cellStyle name="Comma 4 3 2 5 2 3" xfId="11810" xr:uid="{06B59EC7-C5A9-4F90-A307-4EDA53DCF275}"/>
    <cellStyle name="Comma 4 3 2 5 3" xfId="5444" xr:uid="{00000000-0005-0000-0000-000061090000}"/>
    <cellStyle name="Comma 4 3 2 5 3 2" xfId="13883" xr:uid="{49DA7B4E-F4E6-4E5A-A04F-EFE078EC2BF3}"/>
    <cellStyle name="Comma 4 3 2 5 4" xfId="9665" xr:uid="{86DD7361-CAF6-4304-9E0F-CBD7ECD6837F}"/>
    <cellStyle name="Comma 4 3 2 6" xfId="1549" xr:uid="{00000000-0005-0000-0000-000062090000}"/>
    <cellStyle name="Comma 4 3 2 6 2" xfId="3779" xr:uid="{00000000-0005-0000-0000-000063090000}"/>
    <cellStyle name="Comma 4 3 2 6 2 2" xfId="8002" xr:uid="{00000000-0005-0000-0000-000064090000}"/>
    <cellStyle name="Comma 4 3 2 6 2 2 2" xfId="16441" xr:uid="{60A8E900-B721-4C9D-99F5-50E962CBD87B}"/>
    <cellStyle name="Comma 4 3 2 6 2 3" xfId="12223" xr:uid="{22D58EA1-6D77-465C-B1D8-4936CF8825FC}"/>
    <cellStyle name="Comma 4 3 2 6 3" xfId="5857" xr:uid="{00000000-0005-0000-0000-000065090000}"/>
    <cellStyle name="Comma 4 3 2 6 3 2" xfId="14296" xr:uid="{F25BD08E-8088-4074-A10A-80C82B125B23}"/>
    <cellStyle name="Comma 4 3 2 6 4" xfId="10078" xr:uid="{4D42D24C-5BBF-4C19-9288-093A28B28285}"/>
    <cellStyle name="Comma 4 3 2 7" xfId="1963" xr:uid="{00000000-0005-0000-0000-000066090000}"/>
    <cellStyle name="Comma 4 3 2 7 2" xfId="4192" xr:uid="{00000000-0005-0000-0000-000067090000}"/>
    <cellStyle name="Comma 4 3 2 7 2 2" xfId="8415" xr:uid="{00000000-0005-0000-0000-000068090000}"/>
    <cellStyle name="Comma 4 3 2 7 2 2 2" xfId="16854" xr:uid="{8561B292-BB87-44A0-828A-723333C809E3}"/>
    <cellStyle name="Comma 4 3 2 7 2 3" xfId="12636" xr:uid="{80B72F7B-987C-4FEB-B691-3D75333D48C8}"/>
    <cellStyle name="Comma 4 3 2 7 3" xfId="6270" xr:uid="{00000000-0005-0000-0000-000069090000}"/>
    <cellStyle name="Comma 4 3 2 7 3 2" xfId="14709" xr:uid="{9540D693-457A-4F89-9B98-C01F264CA1D5}"/>
    <cellStyle name="Comma 4 3 2 7 4" xfId="10491" xr:uid="{37D1F8D2-A622-4252-AED6-4B24361311E0}"/>
    <cellStyle name="Comma 4 3 2 8" xfId="2398" xr:uid="{00000000-0005-0000-0000-00006A090000}"/>
    <cellStyle name="Comma 4 3 2 8 2" xfId="6683" xr:uid="{00000000-0005-0000-0000-00006B090000}"/>
    <cellStyle name="Comma 4 3 2 8 2 2" xfId="15122" xr:uid="{6DE58ABF-DF01-419A-A0E8-4A24FD407AEB}"/>
    <cellStyle name="Comma 4 3 2 8 3" xfId="10904" xr:uid="{D214A3F3-E2AF-457E-989D-182F82DCA249}"/>
    <cellStyle name="Comma 4 3 2 9" xfId="2365" xr:uid="{00000000-0005-0000-0000-00006C090000}"/>
    <cellStyle name="Comma 4 3 3" xfId="149" xr:uid="{00000000-0005-0000-0000-00006D090000}"/>
    <cellStyle name="Comma 4 3 3 10" xfId="4621" xr:uid="{00000000-0005-0000-0000-00006E090000}"/>
    <cellStyle name="Comma 4 3 3 10 2" xfId="13060" xr:uid="{54FB6AF5-D05E-4E46-BC54-CE0DF1AE0AAA}"/>
    <cellStyle name="Comma 4 3 3 11" xfId="8842" xr:uid="{2203D4BC-218D-443B-823C-CB98296F0F0B}"/>
    <cellStyle name="Comma 4 3 3 2" xfId="150" xr:uid="{00000000-0005-0000-0000-00006F090000}"/>
    <cellStyle name="Comma 4 3 3 2 10" xfId="8843" xr:uid="{3D656AB4-7700-48D4-A3E4-B006F25887A3}"/>
    <cellStyle name="Comma 4 3 3 2 2" xfId="687" xr:uid="{00000000-0005-0000-0000-000070090000}"/>
    <cellStyle name="Comma 4 3 3 2 2 2" xfId="2958" xr:uid="{00000000-0005-0000-0000-000071090000}"/>
    <cellStyle name="Comma 4 3 3 2 2 2 2" xfId="7181" xr:uid="{00000000-0005-0000-0000-000072090000}"/>
    <cellStyle name="Comma 4 3 3 2 2 2 2 2" xfId="15620" xr:uid="{34604F2A-2173-42EF-977B-9B55F7B67B38}"/>
    <cellStyle name="Comma 4 3 3 2 2 2 3" xfId="11402" xr:uid="{6B39D617-C7F5-466D-864F-C14A2A560FDA}"/>
    <cellStyle name="Comma 4 3 3 2 2 3" xfId="5036" xr:uid="{00000000-0005-0000-0000-000073090000}"/>
    <cellStyle name="Comma 4 3 3 2 2 3 2" xfId="13475" xr:uid="{6F233E64-5F3A-4167-A5C7-17212BB73B94}"/>
    <cellStyle name="Comma 4 3 3 2 2 4" xfId="9257" xr:uid="{C1BA6365-9B46-4E67-8DCB-8064BF16B6F2}"/>
    <cellStyle name="Comma 4 3 3 2 3" xfId="1140" xr:uid="{00000000-0005-0000-0000-000074090000}"/>
    <cellStyle name="Comma 4 3 3 2 3 2" xfId="3371" xr:uid="{00000000-0005-0000-0000-000075090000}"/>
    <cellStyle name="Comma 4 3 3 2 3 2 2" xfId="7594" xr:uid="{00000000-0005-0000-0000-000076090000}"/>
    <cellStyle name="Comma 4 3 3 2 3 2 2 2" xfId="16033" xr:uid="{FCA76CB3-52CA-42CA-AFAD-8A7A35B14D52}"/>
    <cellStyle name="Comma 4 3 3 2 3 2 3" xfId="11815" xr:uid="{3261491F-8408-4497-BAE9-6558DE93A77E}"/>
    <cellStyle name="Comma 4 3 3 2 3 3" xfId="5449" xr:uid="{00000000-0005-0000-0000-000077090000}"/>
    <cellStyle name="Comma 4 3 3 2 3 3 2" xfId="13888" xr:uid="{6CF5A2C1-2F58-420A-9B67-5E1609B90211}"/>
    <cellStyle name="Comma 4 3 3 2 3 4" xfId="9670" xr:uid="{E37D3DBF-BFA3-46F9-820A-C964A832ADEB}"/>
    <cellStyle name="Comma 4 3 3 2 4" xfId="1554" xr:uid="{00000000-0005-0000-0000-000078090000}"/>
    <cellStyle name="Comma 4 3 3 2 4 2" xfId="3784" xr:uid="{00000000-0005-0000-0000-000079090000}"/>
    <cellStyle name="Comma 4 3 3 2 4 2 2" xfId="8007" xr:uid="{00000000-0005-0000-0000-00007A090000}"/>
    <cellStyle name="Comma 4 3 3 2 4 2 2 2" xfId="16446" xr:uid="{11869D8B-AC46-478B-B3EC-F6375F62ED58}"/>
    <cellStyle name="Comma 4 3 3 2 4 2 3" xfId="12228" xr:uid="{1F37DAD2-9552-4D40-8FA5-0FF16ED820DA}"/>
    <cellStyle name="Comma 4 3 3 2 4 3" xfId="5862" xr:uid="{00000000-0005-0000-0000-00007B090000}"/>
    <cellStyle name="Comma 4 3 3 2 4 3 2" xfId="14301" xr:uid="{19C988B3-5400-4555-B630-5C5C897B16C5}"/>
    <cellStyle name="Comma 4 3 3 2 4 4" xfId="10083" xr:uid="{3AB85B53-000E-4622-9229-B355645B2AD8}"/>
    <cellStyle name="Comma 4 3 3 2 5" xfId="1968" xr:uid="{00000000-0005-0000-0000-00007C090000}"/>
    <cellStyle name="Comma 4 3 3 2 5 2" xfId="4197" xr:uid="{00000000-0005-0000-0000-00007D090000}"/>
    <cellStyle name="Comma 4 3 3 2 5 2 2" xfId="8420" xr:uid="{00000000-0005-0000-0000-00007E090000}"/>
    <cellStyle name="Comma 4 3 3 2 5 2 2 2" xfId="16859" xr:uid="{AFE77CD9-5734-4820-B4F4-6024642D8119}"/>
    <cellStyle name="Comma 4 3 3 2 5 2 3" xfId="12641" xr:uid="{1E0F8D36-7F56-4E6B-B2A6-E1B037485555}"/>
    <cellStyle name="Comma 4 3 3 2 5 3" xfId="6275" xr:uid="{00000000-0005-0000-0000-00007F090000}"/>
    <cellStyle name="Comma 4 3 3 2 5 3 2" xfId="14714" xr:uid="{046F8B16-E0B8-473C-A760-527B9DFB02C7}"/>
    <cellStyle name="Comma 4 3 3 2 5 4" xfId="10496" xr:uid="{F8AC7C20-CAC3-46B7-B010-EC54CC2E10B7}"/>
    <cellStyle name="Comma 4 3 3 2 6" xfId="2403" xr:uid="{00000000-0005-0000-0000-000080090000}"/>
    <cellStyle name="Comma 4 3 3 2 6 2" xfId="6688" xr:uid="{00000000-0005-0000-0000-000081090000}"/>
    <cellStyle name="Comma 4 3 3 2 6 2 2" xfId="15127" xr:uid="{250CD7B0-7EDD-4208-B1FC-8DE078FF48C2}"/>
    <cellStyle name="Comma 4 3 3 2 6 3" xfId="10909" xr:uid="{6600E054-5C26-402A-A9DF-A84D5991DD76}"/>
    <cellStyle name="Comma 4 3 3 2 7" xfId="2360" xr:uid="{00000000-0005-0000-0000-000082090000}"/>
    <cellStyle name="Comma 4 3 3 2 8" xfId="2781" xr:uid="{00000000-0005-0000-0000-000083090000}"/>
    <cellStyle name="Comma 4 3 3 2 8 2" xfId="7005" xr:uid="{00000000-0005-0000-0000-000084090000}"/>
    <cellStyle name="Comma 4 3 3 2 8 2 2" xfId="15444" xr:uid="{A1F8E6BD-413E-43B1-8B04-32AE3DE79CCB}"/>
    <cellStyle name="Comma 4 3 3 2 8 3" xfId="11226" xr:uid="{B1F128B0-BABA-4895-B1DA-3CA1E3493F5C}"/>
    <cellStyle name="Comma 4 3 3 2 9" xfId="4622" xr:uid="{00000000-0005-0000-0000-000085090000}"/>
    <cellStyle name="Comma 4 3 3 2 9 2" xfId="13061" xr:uid="{4F2CBF8B-B79A-4659-8E67-83C3D7B7C30D}"/>
    <cellStyle name="Comma 4 3 3 3" xfId="686" xr:uid="{00000000-0005-0000-0000-000086090000}"/>
    <cellStyle name="Comma 4 3 3 3 2" xfId="2957" xr:uid="{00000000-0005-0000-0000-000087090000}"/>
    <cellStyle name="Comma 4 3 3 3 2 2" xfId="7180" xr:uid="{00000000-0005-0000-0000-000088090000}"/>
    <cellStyle name="Comma 4 3 3 3 2 2 2" xfId="15619" xr:uid="{51A95B47-4653-45B1-858D-49365076CB5E}"/>
    <cellStyle name="Comma 4 3 3 3 2 3" xfId="11401" xr:uid="{E4F23784-FF9B-4CF3-A71D-0B33E9B358D5}"/>
    <cellStyle name="Comma 4 3 3 3 3" xfId="5035" xr:uid="{00000000-0005-0000-0000-000089090000}"/>
    <cellStyle name="Comma 4 3 3 3 3 2" xfId="13474" xr:uid="{5BE0B143-E9AC-41FC-8E71-C198880AF8A9}"/>
    <cellStyle name="Comma 4 3 3 3 4" xfId="9256" xr:uid="{F1FE0F5F-545C-4005-B89A-5A4497232200}"/>
    <cellStyle name="Comma 4 3 3 4" xfId="1139" xr:uid="{00000000-0005-0000-0000-00008A090000}"/>
    <cellStyle name="Comma 4 3 3 4 2" xfId="3370" xr:uid="{00000000-0005-0000-0000-00008B090000}"/>
    <cellStyle name="Comma 4 3 3 4 2 2" xfId="7593" xr:uid="{00000000-0005-0000-0000-00008C090000}"/>
    <cellStyle name="Comma 4 3 3 4 2 2 2" xfId="16032" xr:uid="{CC1FACF2-502D-4AD7-BCFA-891C3C729C4A}"/>
    <cellStyle name="Comma 4 3 3 4 2 3" xfId="11814" xr:uid="{9533AFA5-D64A-4D69-BFDB-B21110CD1A3E}"/>
    <cellStyle name="Comma 4 3 3 4 3" xfId="5448" xr:uid="{00000000-0005-0000-0000-00008D090000}"/>
    <cellStyle name="Comma 4 3 3 4 3 2" xfId="13887" xr:uid="{E7E69B76-A75F-4F75-BB9A-8F20C6466F08}"/>
    <cellStyle name="Comma 4 3 3 4 4" xfId="9669" xr:uid="{5C3078F1-A193-410B-9C15-3FDB6B3C2916}"/>
    <cellStyle name="Comma 4 3 3 5" xfId="1553" xr:uid="{00000000-0005-0000-0000-00008E090000}"/>
    <cellStyle name="Comma 4 3 3 5 2" xfId="3783" xr:uid="{00000000-0005-0000-0000-00008F090000}"/>
    <cellStyle name="Comma 4 3 3 5 2 2" xfId="8006" xr:uid="{00000000-0005-0000-0000-000090090000}"/>
    <cellStyle name="Comma 4 3 3 5 2 2 2" xfId="16445" xr:uid="{A003E740-937F-42EE-BF08-55C0446C2EE1}"/>
    <cellStyle name="Comma 4 3 3 5 2 3" xfId="12227" xr:uid="{2144F9ED-8CF3-48C5-AB12-1D30B1457D94}"/>
    <cellStyle name="Comma 4 3 3 5 3" xfId="5861" xr:uid="{00000000-0005-0000-0000-000091090000}"/>
    <cellStyle name="Comma 4 3 3 5 3 2" xfId="14300" xr:uid="{66E2E80F-E581-4E21-A85B-E43181D47E1D}"/>
    <cellStyle name="Comma 4 3 3 5 4" xfId="10082" xr:uid="{72ABFD00-DD2B-4E0E-9A18-06D7710E9927}"/>
    <cellStyle name="Comma 4 3 3 6" xfId="1967" xr:uid="{00000000-0005-0000-0000-000092090000}"/>
    <cellStyle name="Comma 4 3 3 6 2" xfId="4196" xr:uid="{00000000-0005-0000-0000-000093090000}"/>
    <cellStyle name="Comma 4 3 3 6 2 2" xfId="8419" xr:uid="{00000000-0005-0000-0000-000094090000}"/>
    <cellStyle name="Comma 4 3 3 6 2 2 2" xfId="16858" xr:uid="{350A7C3F-138E-4FFD-9079-525BCC495EBE}"/>
    <cellStyle name="Comma 4 3 3 6 2 3" xfId="12640" xr:uid="{5B17B401-CABB-48AC-B97C-F6403CAD1D22}"/>
    <cellStyle name="Comma 4 3 3 6 3" xfId="6274" xr:uid="{00000000-0005-0000-0000-000095090000}"/>
    <cellStyle name="Comma 4 3 3 6 3 2" xfId="14713" xr:uid="{11BC829D-705F-45A4-9882-DA4451920EB2}"/>
    <cellStyle name="Comma 4 3 3 6 4" xfId="10495" xr:uid="{00CAC6F3-4BD6-40FE-BDA7-D7966A11336D}"/>
    <cellStyle name="Comma 4 3 3 7" xfId="2402" xr:uid="{00000000-0005-0000-0000-000096090000}"/>
    <cellStyle name="Comma 4 3 3 7 2" xfId="6687" xr:uid="{00000000-0005-0000-0000-000097090000}"/>
    <cellStyle name="Comma 4 3 3 7 2 2" xfId="15126" xr:uid="{BC4EC337-AB97-4F45-BCEA-D5FE08D2367E}"/>
    <cellStyle name="Comma 4 3 3 7 3" xfId="10908" xr:uid="{80F74CD9-D7B3-4265-9F92-699E76AF9F12}"/>
    <cellStyle name="Comma 4 3 3 8" xfId="2361" xr:uid="{00000000-0005-0000-0000-000098090000}"/>
    <cellStyle name="Comma 4 3 3 9" xfId="2780" xr:uid="{00000000-0005-0000-0000-000099090000}"/>
    <cellStyle name="Comma 4 3 3 9 2" xfId="7004" xr:uid="{00000000-0005-0000-0000-00009A090000}"/>
    <cellStyle name="Comma 4 3 3 9 2 2" xfId="15443" xr:uid="{F04C835E-7B7B-4671-8DE1-32691C82A67D}"/>
    <cellStyle name="Comma 4 3 3 9 3" xfId="11225" xr:uid="{17A12547-A80E-4F5A-9D34-782B649F0AE0}"/>
    <cellStyle name="Comma 4 3 4" xfId="151" xr:uid="{00000000-0005-0000-0000-00009B090000}"/>
    <cellStyle name="Comma 4 3 4 10" xfId="8844" xr:uid="{896BDBE8-658F-4385-9FBB-2E44BAF61791}"/>
    <cellStyle name="Comma 4 3 4 2" xfId="688" xr:uid="{00000000-0005-0000-0000-00009C090000}"/>
    <cellStyle name="Comma 4 3 4 2 2" xfId="2959" xr:uid="{00000000-0005-0000-0000-00009D090000}"/>
    <cellStyle name="Comma 4 3 4 2 2 2" xfId="7182" xr:uid="{00000000-0005-0000-0000-00009E090000}"/>
    <cellStyle name="Comma 4 3 4 2 2 2 2" xfId="15621" xr:uid="{AB29CC75-1D5D-4843-A96C-2E9B5EABD2C3}"/>
    <cellStyle name="Comma 4 3 4 2 2 3" xfId="11403" xr:uid="{2FF4ED76-7B34-48E9-A040-D8D309B8CDE4}"/>
    <cellStyle name="Comma 4 3 4 2 3" xfId="5037" xr:uid="{00000000-0005-0000-0000-00009F090000}"/>
    <cellStyle name="Comma 4 3 4 2 3 2" xfId="13476" xr:uid="{EAD0C314-13AF-495C-9732-92D550A9980F}"/>
    <cellStyle name="Comma 4 3 4 2 4" xfId="9258" xr:uid="{3C260DC5-6C20-4A04-9005-47A93C4966D3}"/>
    <cellStyle name="Comma 4 3 4 3" xfId="1141" xr:uid="{00000000-0005-0000-0000-0000A0090000}"/>
    <cellStyle name="Comma 4 3 4 3 2" xfId="3372" xr:uid="{00000000-0005-0000-0000-0000A1090000}"/>
    <cellStyle name="Comma 4 3 4 3 2 2" xfId="7595" xr:uid="{00000000-0005-0000-0000-0000A2090000}"/>
    <cellStyle name="Comma 4 3 4 3 2 2 2" xfId="16034" xr:uid="{C35C8F35-8061-451D-9E7F-D7E7DB90693F}"/>
    <cellStyle name="Comma 4 3 4 3 2 3" xfId="11816" xr:uid="{22B29D31-69A8-4F2E-B54A-6C34224299D9}"/>
    <cellStyle name="Comma 4 3 4 3 3" xfId="5450" xr:uid="{00000000-0005-0000-0000-0000A3090000}"/>
    <cellStyle name="Comma 4 3 4 3 3 2" xfId="13889" xr:uid="{7B3F2A6F-8040-4BD7-83AD-F1542EBB4699}"/>
    <cellStyle name="Comma 4 3 4 3 4" xfId="9671" xr:uid="{CE8954E6-B0F9-440A-BF68-051D39A95D6A}"/>
    <cellStyle name="Comma 4 3 4 4" xfId="1555" xr:uid="{00000000-0005-0000-0000-0000A4090000}"/>
    <cellStyle name="Comma 4 3 4 4 2" xfId="3785" xr:uid="{00000000-0005-0000-0000-0000A5090000}"/>
    <cellStyle name="Comma 4 3 4 4 2 2" xfId="8008" xr:uid="{00000000-0005-0000-0000-0000A6090000}"/>
    <cellStyle name="Comma 4 3 4 4 2 2 2" xfId="16447" xr:uid="{F6EE86C1-63DC-4D1A-A461-3ECBDC59B759}"/>
    <cellStyle name="Comma 4 3 4 4 2 3" xfId="12229" xr:uid="{AF097729-0854-48BE-B053-F0E4C0D07E98}"/>
    <cellStyle name="Comma 4 3 4 4 3" xfId="5863" xr:uid="{00000000-0005-0000-0000-0000A7090000}"/>
    <cellStyle name="Comma 4 3 4 4 3 2" xfId="14302" xr:uid="{DD11B07F-5A0B-4299-A90F-DCA894DDE43F}"/>
    <cellStyle name="Comma 4 3 4 4 4" xfId="10084" xr:uid="{F77F38E7-1726-4636-99C5-419E8E8D4C86}"/>
    <cellStyle name="Comma 4 3 4 5" xfId="1969" xr:uid="{00000000-0005-0000-0000-0000A8090000}"/>
    <cellStyle name="Comma 4 3 4 5 2" xfId="4198" xr:uid="{00000000-0005-0000-0000-0000A9090000}"/>
    <cellStyle name="Comma 4 3 4 5 2 2" xfId="8421" xr:uid="{00000000-0005-0000-0000-0000AA090000}"/>
    <cellStyle name="Comma 4 3 4 5 2 2 2" xfId="16860" xr:uid="{7ABA2898-2BA7-4EB8-883F-EBDB75E91E6D}"/>
    <cellStyle name="Comma 4 3 4 5 2 3" xfId="12642" xr:uid="{F45E25C9-B4E8-4427-83D3-FD2D44C4DBDB}"/>
    <cellStyle name="Comma 4 3 4 5 3" xfId="6276" xr:uid="{00000000-0005-0000-0000-0000AB090000}"/>
    <cellStyle name="Comma 4 3 4 5 3 2" xfId="14715" xr:uid="{D2B9B19E-2A81-4087-8041-E3768A5FF34E}"/>
    <cellStyle name="Comma 4 3 4 5 4" xfId="10497" xr:uid="{6597ABEE-F9E8-4DC9-B23A-692BE06320E7}"/>
    <cellStyle name="Comma 4 3 4 6" xfId="2404" xr:uid="{00000000-0005-0000-0000-0000AC090000}"/>
    <cellStyle name="Comma 4 3 4 6 2" xfId="6689" xr:uid="{00000000-0005-0000-0000-0000AD090000}"/>
    <cellStyle name="Comma 4 3 4 6 2 2" xfId="15128" xr:uid="{E296AD40-165C-4DF7-A3F9-1215D1DCA0B5}"/>
    <cellStyle name="Comma 4 3 4 6 3" xfId="10910" xr:uid="{9BE8E941-24A5-4C01-9397-02CC722F6872}"/>
    <cellStyle name="Comma 4 3 4 7" xfId="2700" xr:uid="{00000000-0005-0000-0000-0000AE090000}"/>
    <cellStyle name="Comma 4 3 4 8" xfId="2782" xr:uid="{00000000-0005-0000-0000-0000AF090000}"/>
    <cellStyle name="Comma 4 3 4 8 2" xfId="7006" xr:uid="{00000000-0005-0000-0000-0000B0090000}"/>
    <cellStyle name="Comma 4 3 4 8 2 2" xfId="15445" xr:uid="{F27BBA8C-16D5-427B-A1A4-5CEB1C051EC0}"/>
    <cellStyle name="Comma 4 3 4 8 3" xfId="11227" xr:uid="{A9B4CA41-E07D-4BDC-A681-32EF3B727F03}"/>
    <cellStyle name="Comma 4 3 4 9" xfId="4623" xr:uid="{00000000-0005-0000-0000-0000B1090000}"/>
    <cellStyle name="Comma 4 3 4 9 2" xfId="13062" xr:uid="{F185A530-61BC-4F3D-8E01-2C8AD703875F}"/>
    <cellStyle name="Comma 4 3 5" xfId="152" xr:uid="{00000000-0005-0000-0000-0000B2090000}"/>
    <cellStyle name="Comma 4 3 5 10" xfId="8845" xr:uid="{AE9664AB-FA59-4F3F-88FA-2E181A0EAE98}"/>
    <cellStyle name="Comma 4 3 5 2" xfId="689" xr:uid="{00000000-0005-0000-0000-0000B3090000}"/>
    <cellStyle name="Comma 4 3 5 2 2" xfId="2960" xr:uid="{00000000-0005-0000-0000-0000B4090000}"/>
    <cellStyle name="Comma 4 3 5 2 2 2" xfId="7183" xr:uid="{00000000-0005-0000-0000-0000B5090000}"/>
    <cellStyle name="Comma 4 3 5 2 2 2 2" xfId="15622" xr:uid="{2E64C2F0-5D2D-486B-BF02-B5BA84D7F107}"/>
    <cellStyle name="Comma 4 3 5 2 2 3" xfId="11404" xr:uid="{E747CE4C-994D-4CFD-93FE-B95DF1CC842A}"/>
    <cellStyle name="Comma 4 3 5 2 3" xfId="5038" xr:uid="{00000000-0005-0000-0000-0000B6090000}"/>
    <cellStyle name="Comma 4 3 5 2 3 2" xfId="13477" xr:uid="{0FE0FAF4-C2A5-4F93-AE86-5C1AC0CDB375}"/>
    <cellStyle name="Comma 4 3 5 2 4" xfId="9259" xr:uid="{B765ACFB-256D-4CD6-B34E-22F277ABBE4B}"/>
    <cellStyle name="Comma 4 3 5 3" xfId="1142" xr:uid="{00000000-0005-0000-0000-0000B7090000}"/>
    <cellStyle name="Comma 4 3 5 3 2" xfId="3373" xr:uid="{00000000-0005-0000-0000-0000B8090000}"/>
    <cellStyle name="Comma 4 3 5 3 2 2" xfId="7596" xr:uid="{00000000-0005-0000-0000-0000B9090000}"/>
    <cellStyle name="Comma 4 3 5 3 2 2 2" xfId="16035" xr:uid="{4A13567D-808D-44E8-8AEA-5591BB4A0D71}"/>
    <cellStyle name="Comma 4 3 5 3 2 3" xfId="11817" xr:uid="{8736B019-8074-4AC7-BADA-04104BF16DE4}"/>
    <cellStyle name="Comma 4 3 5 3 3" xfId="5451" xr:uid="{00000000-0005-0000-0000-0000BA090000}"/>
    <cellStyle name="Comma 4 3 5 3 3 2" xfId="13890" xr:uid="{D133FD38-60D7-4E3A-B7F5-07B984DC8473}"/>
    <cellStyle name="Comma 4 3 5 3 4" xfId="9672" xr:uid="{C3BCF9F9-B050-49A3-996F-302DBE886317}"/>
    <cellStyle name="Comma 4 3 5 4" xfId="1556" xr:uid="{00000000-0005-0000-0000-0000BB090000}"/>
    <cellStyle name="Comma 4 3 5 4 2" xfId="3786" xr:uid="{00000000-0005-0000-0000-0000BC090000}"/>
    <cellStyle name="Comma 4 3 5 4 2 2" xfId="8009" xr:uid="{00000000-0005-0000-0000-0000BD090000}"/>
    <cellStyle name="Comma 4 3 5 4 2 2 2" xfId="16448" xr:uid="{A120FBF7-0FD2-40F2-84F6-5A3744F366DB}"/>
    <cellStyle name="Comma 4 3 5 4 2 3" xfId="12230" xr:uid="{17EF5AE1-A9CD-4733-8389-EE1D55FBBDE2}"/>
    <cellStyle name="Comma 4 3 5 4 3" xfId="5864" xr:uid="{00000000-0005-0000-0000-0000BE090000}"/>
    <cellStyle name="Comma 4 3 5 4 3 2" xfId="14303" xr:uid="{8CC3E1AA-02C1-4C80-A829-E48A9E9A83E4}"/>
    <cellStyle name="Comma 4 3 5 4 4" xfId="10085" xr:uid="{73FC4B2C-BBD3-48CE-AFD0-C3CCD366AC96}"/>
    <cellStyle name="Comma 4 3 5 5" xfId="1970" xr:uid="{00000000-0005-0000-0000-0000BF090000}"/>
    <cellStyle name="Comma 4 3 5 5 2" xfId="4199" xr:uid="{00000000-0005-0000-0000-0000C0090000}"/>
    <cellStyle name="Comma 4 3 5 5 2 2" xfId="8422" xr:uid="{00000000-0005-0000-0000-0000C1090000}"/>
    <cellStyle name="Comma 4 3 5 5 2 2 2" xfId="16861" xr:uid="{04C8D799-B675-4696-B626-046EA2725DD3}"/>
    <cellStyle name="Comma 4 3 5 5 2 3" xfId="12643" xr:uid="{F086559E-6FB0-45B2-A352-36885E2D95D6}"/>
    <cellStyle name="Comma 4 3 5 5 3" xfId="6277" xr:uid="{00000000-0005-0000-0000-0000C2090000}"/>
    <cellStyle name="Comma 4 3 5 5 3 2" xfId="14716" xr:uid="{045B316D-E737-4B25-84B4-04FE89DEFD33}"/>
    <cellStyle name="Comma 4 3 5 5 4" xfId="10498" xr:uid="{9B8BE4F3-E037-4474-8D8B-0C821474B919}"/>
    <cellStyle name="Comma 4 3 5 6" xfId="2405" xr:uid="{00000000-0005-0000-0000-0000C3090000}"/>
    <cellStyle name="Comma 4 3 5 6 2" xfId="6690" xr:uid="{00000000-0005-0000-0000-0000C4090000}"/>
    <cellStyle name="Comma 4 3 5 6 2 2" xfId="15129" xr:uid="{359F616D-6C82-455A-B4AB-6CEF604933AA}"/>
    <cellStyle name="Comma 4 3 5 6 3" xfId="10911" xr:uid="{8CB612C4-3540-49D7-9B25-01375FE285FE}"/>
    <cellStyle name="Comma 4 3 5 7" xfId="2701" xr:uid="{00000000-0005-0000-0000-0000C5090000}"/>
    <cellStyle name="Comma 4 3 5 8" xfId="2783" xr:uid="{00000000-0005-0000-0000-0000C6090000}"/>
    <cellStyle name="Comma 4 3 5 8 2" xfId="7007" xr:uid="{00000000-0005-0000-0000-0000C7090000}"/>
    <cellStyle name="Comma 4 3 5 8 2 2" xfId="15446" xr:uid="{DB0B9BC2-9B1A-4E07-A126-9B98B9BA4D1B}"/>
    <cellStyle name="Comma 4 3 5 8 3" xfId="11228" xr:uid="{4022FCA7-95FE-45FB-ABD0-33BF78DD0989}"/>
    <cellStyle name="Comma 4 3 5 9" xfId="4624" xr:uid="{00000000-0005-0000-0000-0000C8090000}"/>
    <cellStyle name="Comma 4 3 5 9 2" xfId="13063" xr:uid="{74E89093-E1F7-402E-A0C0-A02CF52139BB}"/>
    <cellStyle name="Comma 4 4" xfId="153" xr:uid="{00000000-0005-0000-0000-0000C9090000}"/>
    <cellStyle name="Comma 4 4 10" xfId="2784" xr:uid="{00000000-0005-0000-0000-0000CA090000}"/>
    <cellStyle name="Comma 4 4 10 2" xfId="7008" xr:uid="{00000000-0005-0000-0000-0000CB090000}"/>
    <cellStyle name="Comma 4 4 10 2 2" xfId="15447" xr:uid="{055AB710-F6F3-464D-A080-EC1F861AA506}"/>
    <cellStyle name="Comma 4 4 10 3" xfId="11229" xr:uid="{3BCB7BA1-7E55-48E9-A294-EFD5CB8ED12C}"/>
    <cellStyle name="Comma 4 4 11" xfId="4625" xr:uid="{00000000-0005-0000-0000-0000CC090000}"/>
    <cellStyle name="Comma 4 4 11 2" xfId="13064" xr:uid="{5D784E1A-E117-48C9-BA33-D552572FD573}"/>
    <cellStyle name="Comma 4 4 12" xfId="8846" xr:uid="{1A7021CF-3104-4725-84CB-B7B2D1F9F3CB}"/>
    <cellStyle name="Comma 4 4 2" xfId="154" xr:uid="{00000000-0005-0000-0000-0000CD090000}"/>
    <cellStyle name="Comma 4 4 2 10" xfId="4626" xr:uid="{00000000-0005-0000-0000-0000CE090000}"/>
    <cellStyle name="Comma 4 4 2 10 2" xfId="13065" xr:uid="{1790E6C9-422C-4C20-8CBF-EACDB01A5C9A}"/>
    <cellStyle name="Comma 4 4 2 11" xfId="8847" xr:uid="{8E7D8998-C069-4E4C-8C4B-5FAE4B63B357}"/>
    <cellStyle name="Comma 4 4 2 2" xfId="155" xr:uid="{00000000-0005-0000-0000-0000CF090000}"/>
    <cellStyle name="Comma 4 4 2 2 10" xfId="8848" xr:uid="{58FA97E2-607A-4C89-9D23-62FB6D00329C}"/>
    <cellStyle name="Comma 4 4 2 2 2" xfId="692" xr:uid="{00000000-0005-0000-0000-0000D0090000}"/>
    <cellStyle name="Comma 4 4 2 2 2 2" xfId="2963" xr:uid="{00000000-0005-0000-0000-0000D1090000}"/>
    <cellStyle name="Comma 4 4 2 2 2 2 2" xfId="7186" xr:uid="{00000000-0005-0000-0000-0000D2090000}"/>
    <cellStyle name="Comma 4 4 2 2 2 2 2 2" xfId="15625" xr:uid="{5923B555-1206-48DC-9AF9-DE200C4333DB}"/>
    <cellStyle name="Comma 4 4 2 2 2 2 3" xfId="11407" xr:uid="{7B9E6F9D-F2C8-4820-BAA5-8FB26836BAF2}"/>
    <cellStyle name="Comma 4 4 2 2 2 3" xfId="5041" xr:uid="{00000000-0005-0000-0000-0000D3090000}"/>
    <cellStyle name="Comma 4 4 2 2 2 3 2" xfId="13480" xr:uid="{79AD5BF6-8688-4744-ADD8-9DEEE94554BD}"/>
    <cellStyle name="Comma 4 4 2 2 2 4" xfId="9262" xr:uid="{9C1438D8-A72E-4AB5-BECF-92282A628E3E}"/>
    <cellStyle name="Comma 4 4 2 2 3" xfId="1145" xr:uid="{00000000-0005-0000-0000-0000D4090000}"/>
    <cellStyle name="Comma 4 4 2 2 3 2" xfId="3376" xr:uid="{00000000-0005-0000-0000-0000D5090000}"/>
    <cellStyle name="Comma 4 4 2 2 3 2 2" xfId="7599" xr:uid="{00000000-0005-0000-0000-0000D6090000}"/>
    <cellStyle name="Comma 4 4 2 2 3 2 2 2" xfId="16038" xr:uid="{E4D1307C-FD9F-4D9A-9657-785A3A424D02}"/>
    <cellStyle name="Comma 4 4 2 2 3 2 3" xfId="11820" xr:uid="{5CDF18F7-4FF4-4A65-887D-4C575B6B719E}"/>
    <cellStyle name="Comma 4 4 2 2 3 3" xfId="5454" xr:uid="{00000000-0005-0000-0000-0000D7090000}"/>
    <cellStyle name="Comma 4 4 2 2 3 3 2" xfId="13893" xr:uid="{B950503F-41C7-4AA1-94D7-3AF9AA3B0A11}"/>
    <cellStyle name="Comma 4 4 2 2 3 4" xfId="9675" xr:uid="{E2BA183A-E917-4595-804D-E3B9CE6237C1}"/>
    <cellStyle name="Comma 4 4 2 2 4" xfId="1559" xr:uid="{00000000-0005-0000-0000-0000D8090000}"/>
    <cellStyle name="Comma 4 4 2 2 4 2" xfId="3789" xr:uid="{00000000-0005-0000-0000-0000D9090000}"/>
    <cellStyle name="Comma 4 4 2 2 4 2 2" xfId="8012" xr:uid="{00000000-0005-0000-0000-0000DA090000}"/>
    <cellStyle name="Comma 4 4 2 2 4 2 2 2" xfId="16451" xr:uid="{24014FC2-DEA3-4B41-967C-D414BB3D9501}"/>
    <cellStyle name="Comma 4 4 2 2 4 2 3" xfId="12233" xr:uid="{61F42AE2-56D8-48E4-BB93-2CBA7E8B60BC}"/>
    <cellStyle name="Comma 4 4 2 2 4 3" xfId="5867" xr:uid="{00000000-0005-0000-0000-0000DB090000}"/>
    <cellStyle name="Comma 4 4 2 2 4 3 2" xfId="14306" xr:uid="{8692AD48-2EDA-4365-BDD9-7A58BC56FE96}"/>
    <cellStyle name="Comma 4 4 2 2 4 4" xfId="10088" xr:uid="{C10E7BB6-EDE0-4C40-BF7D-150C2515A604}"/>
    <cellStyle name="Comma 4 4 2 2 5" xfId="1973" xr:uid="{00000000-0005-0000-0000-0000DC090000}"/>
    <cellStyle name="Comma 4 4 2 2 5 2" xfId="4202" xr:uid="{00000000-0005-0000-0000-0000DD090000}"/>
    <cellStyle name="Comma 4 4 2 2 5 2 2" xfId="8425" xr:uid="{00000000-0005-0000-0000-0000DE090000}"/>
    <cellStyle name="Comma 4 4 2 2 5 2 2 2" xfId="16864" xr:uid="{2F3B3CE5-A057-4278-A4B4-5F38DB35ED85}"/>
    <cellStyle name="Comma 4 4 2 2 5 2 3" xfId="12646" xr:uid="{1EE61E51-EEB2-41B1-939F-B4057D3FED5C}"/>
    <cellStyle name="Comma 4 4 2 2 5 3" xfId="6280" xr:uid="{00000000-0005-0000-0000-0000DF090000}"/>
    <cellStyle name="Comma 4 4 2 2 5 3 2" xfId="14719" xr:uid="{0E8B01EF-14EC-43FC-A142-B2C484962DF5}"/>
    <cellStyle name="Comma 4 4 2 2 5 4" xfId="10501" xr:uid="{EAD0E030-C0CB-43D7-A23B-9B3912690114}"/>
    <cellStyle name="Comma 4 4 2 2 6" xfId="2408" xr:uid="{00000000-0005-0000-0000-0000E0090000}"/>
    <cellStyle name="Comma 4 4 2 2 6 2" xfId="6693" xr:uid="{00000000-0005-0000-0000-0000E1090000}"/>
    <cellStyle name="Comma 4 4 2 2 6 2 2" xfId="15132" xr:uid="{1B849363-C239-4D55-95B6-EF0FFE10B285}"/>
    <cellStyle name="Comma 4 4 2 2 6 3" xfId="10914" xr:uid="{5E60C0F1-AC8B-41BA-BFEC-384BEB76BDA8}"/>
    <cellStyle name="Comma 4 4 2 2 7" xfId="2704" xr:uid="{00000000-0005-0000-0000-0000E2090000}"/>
    <cellStyle name="Comma 4 4 2 2 8" xfId="2786" xr:uid="{00000000-0005-0000-0000-0000E3090000}"/>
    <cellStyle name="Comma 4 4 2 2 8 2" xfId="7010" xr:uid="{00000000-0005-0000-0000-0000E4090000}"/>
    <cellStyle name="Comma 4 4 2 2 8 2 2" xfId="15449" xr:uid="{8798E3B2-F62F-4520-8211-21FEA32F2960}"/>
    <cellStyle name="Comma 4 4 2 2 8 3" xfId="11231" xr:uid="{142BC400-28CA-4CC3-932A-25406362B104}"/>
    <cellStyle name="Comma 4 4 2 2 9" xfId="4627" xr:uid="{00000000-0005-0000-0000-0000E5090000}"/>
    <cellStyle name="Comma 4 4 2 2 9 2" xfId="13066" xr:uid="{581E4863-CAC1-475C-B455-F436B91E6D09}"/>
    <cellStyle name="Comma 4 4 2 3" xfId="691" xr:uid="{00000000-0005-0000-0000-0000E6090000}"/>
    <cellStyle name="Comma 4 4 2 3 2" xfId="2962" xr:uid="{00000000-0005-0000-0000-0000E7090000}"/>
    <cellStyle name="Comma 4 4 2 3 2 2" xfId="7185" xr:uid="{00000000-0005-0000-0000-0000E8090000}"/>
    <cellStyle name="Comma 4 4 2 3 2 2 2" xfId="15624" xr:uid="{550B8D5D-72F7-441A-8CFA-6340C35EED0E}"/>
    <cellStyle name="Comma 4 4 2 3 2 3" xfId="11406" xr:uid="{ABBF3780-BE72-4FB3-AEC3-F166E55EADD3}"/>
    <cellStyle name="Comma 4 4 2 3 3" xfId="5040" xr:uid="{00000000-0005-0000-0000-0000E9090000}"/>
    <cellStyle name="Comma 4 4 2 3 3 2" xfId="13479" xr:uid="{6A8142D7-EC34-45F1-AEF9-43F451578585}"/>
    <cellStyle name="Comma 4 4 2 3 4" xfId="9261" xr:uid="{03F33DD4-7EE5-48D4-9379-80890308B99A}"/>
    <cellStyle name="Comma 4 4 2 4" xfId="1144" xr:uid="{00000000-0005-0000-0000-0000EA090000}"/>
    <cellStyle name="Comma 4 4 2 4 2" xfId="3375" xr:uid="{00000000-0005-0000-0000-0000EB090000}"/>
    <cellStyle name="Comma 4 4 2 4 2 2" xfId="7598" xr:uid="{00000000-0005-0000-0000-0000EC090000}"/>
    <cellStyle name="Comma 4 4 2 4 2 2 2" xfId="16037" xr:uid="{71138E4C-668B-403F-9FF8-403C4509100F}"/>
    <cellStyle name="Comma 4 4 2 4 2 3" xfId="11819" xr:uid="{D7EFA4A3-9E34-4C33-8DEA-13D9F472A7A0}"/>
    <cellStyle name="Comma 4 4 2 4 3" xfId="5453" xr:uid="{00000000-0005-0000-0000-0000ED090000}"/>
    <cellStyle name="Comma 4 4 2 4 3 2" xfId="13892" xr:uid="{4A75EF76-9A41-43A6-B52A-B8EAA6D44FEF}"/>
    <cellStyle name="Comma 4 4 2 4 4" xfId="9674" xr:uid="{3FD5594A-A339-4C2D-BB2F-EFA4D90E4C21}"/>
    <cellStyle name="Comma 4 4 2 5" xfId="1558" xr:uid="{00000000-0005-0000-0000-0000EE090000}"/>
    <cellStyle name="Comma 4 4 2 5 2" xfId="3788" xr:uid="{00000000-0005-0000-0000-0000EF090000}"/>
    <cellStyle name="Comma 4 4 2 5 2 2" xfId="8011" xr:uid="{00000000-0005-0000-0000-0000F0090000}"/>
    <cellStyle name="Comma 4 4 2 5 2 2 2" xfId="16450" xr:uid="{0062B79F-4619-4B59-BA27-3C40EE1C8766}"/>
    <cellStyle name="Comma 4 4 2 5 2 3" xfId="12232" xr:uid="{1578FC7C-71C8-4285-9931-79FCE4CBDDEB}"/>
    <cellStyle name="Comma 4 4 2 5 3" xfId="5866" xr:uid="{00000000-0005-0000-0000-0000F1090000}"/>
    <cellStyle name="Comma 4 4 2 5 3 2" xfId="14305" xr:uid="{98CBB95F-8DD5-444D-80FA-A0BD7D775815}"/>
    <cellStyle name="Comma 4 4 2 5 4" xfId="10087" xr:uid="{25ACD05B-FFFC-4567-AA01-D458FAA51A0F}"/>
    <cellStyle name="Comma 4 4 2 6" xfId="1972" xr:uid="{00000000-0005-0000-0000-0000F2090000}"/>
    <cellStyle name="Comma 4 4 2 6 2" xfId="4201" xr:uid="{00000000-0005-0000-0000-0000F3090000}"/>
    <cellStyle name="Comma 4 4 2 6 2 2" xfId="8424" xr:uid="{00000000-0005-0000-0000-0000F4090000}"/>
    <cellStyle name="Comma 4 4 2 6 2 2 2" xfId="16863" xr:uid="{6B7724BC-FA61-4785-B021-45524521BEE9}"/>
    <cellStyle name="Comma 4 4 2 6 2 3" xfId="12645" xr:uid="{C96951A6-BBF8-45AB-A1BB-E6A9337C878A}"/>
    <cellStyle name="Comma 4 4 2 6 3" xfId="6279" xr:uid="{00000000-0005-0000-0000-0000F5090000}"/>
    <cellStyle name="Comma 4 4 2 6 3 2" xfId="14718" xr:uid="{767A1F0B-7C76-4733-9E48-88A80E23F11D}"/>
    <cellStyle name="Comma 4 4 2 6 4" xfId="10500" xr:uid="{AD99D2B2-1EAF-4DB0-B713-47112C07FF59}"/>
    <cellStyle name="Comma 4 4 2 7" xfId="2407" xr:uid="{00000000-0005-0000-0000-0000F6090000}"/>
    <cellStyle name="Comma 4 4 2 7 2" xfId="6692" xr:uid="{00000000-0005-0000-0000-0000F7090000}"/>
    <cellStyle name="Comma 4 4 2 7 2 2" xfId="15131" xr:uid="{288AD280-9776-49A5-9478-BF4B70D17474}"/>
    <cellStyle name="Comma 4 4 2 7 3" xfId="10913" xr:uid="{D88CA90A-8D84-4A8F-8666-28B10B33AE60}"/>
    <cellStyle name="Comma 4 4 2 8" xfId="2703" xr:uid="{00000000-0005-0000-0000-0000F8090000}"/>
    <cellStyle name="Comma 4 4 2 9" xfId="2785" xr:uid="{00000000-0005-0000-0000-0000F9090000}"/>
    <cellStyle name="Comma 4 4 2 9 2" xfId="7009" xr:uid="{00000000-0005-0000-0000-0000FA090000}"/>
    <cellStyle name="Comma 4 4 2 9 2 2" xfId="15448" xr:uid="{02F85EDA-49A0-42A3-B113-13FC39A723EC}"/>
    <cellStyle name="Comma 4 4 2 9 3" xfId="11230" xr:uid="{1480BF56-6C0D-426A-B2A5-425AB331FF00}"/>
    <cellStyle name="Comma 4 4 3" xfId="156" xr:uid="{00000000-0005-0000-0000-0000FB090000}"/>
    <cellStyle name="Comma 4 4 3 10" xfId="8849" xr:uid="{96C9AAF4-746A-4A6B-956D-BD2C957E196E}"/>
    <cellStyle name="Comma 4 4 3 2" xfId="693" xr:uid="{00000000-0005-0000-0000-0000FC090000}"/>
    <cellStyle name="Comma 4 4 3 2 2" xfId="2964" xr:uid="{00000000-0005-0000-0000-0000FD090000}"/>
    <cellStyle name="Comma 4 4 3 2 2 2" xfId="7187" xr:uid="{00000000-0005-0000-0000-0000FE090000}"/>
    <cellStyle name="Comma 4 4 3 2 2 2 2" xfId="15626" xr:uid="{B8F4F04F-2883-40AF-9E78-CE9EFF86765B}"/>
    <cellStyle name="Comma 4 4 3 2 2 3" xfId="11408" xr:uid="{67A1B839-D33F-4DAC-9A43-EFBEE618037F}"/>
    <cellStyle name="Comma 4 4 3 2 3" xfId="5042" xr:uid="{00000000-0005-0000-0000-0000FF090000}"/>
    <cellStyle name="Comma 4 4 3 2 3 2" xfId="13481" xr:uid="{CBEE94FA-8552-456D-9028-B895C958A9BE}"/>
    <cellStyle name="Comma 4 4 3 2 4" xfId="9263" xr:uid="{78CB2464-836A-4A8F-AD07-0886FBCB9A1C}"/>
    <cellStyle name="Comma 4 4 3 3" xfId="1146" xr:uid="{00000000-0005-0000-0000-0000000A0000}"/>
    <cellStyle name="Comma 4 4 3 3 2" xfId="3377" xr:uid="{00000000-0005-0000-0000-0000010A0000}"/>
    <cellStyle name="Comma 4 4 3 3 2 2" xfId="7600" xr:uid="{00000000-0005-0000-0000-0000020A0000}"/>
    <cellStyle name="Comma 4 4 3 3 2 2 2" xfId="16039" xr:uid="{62438D8B-4841-49D5-B463-6710C7C73AFD}"/>
    <cellStyle name="Comma 4 4 3 3 2 3" xfId="11821" xr:uid="{E8F8F836-EC7F-4628-84F9-A4D9BA5B2174}"/>
    <cellStyle name="Comma 4 4 3 3 3" xfId="5455" xr:uid="{00000000-0005-0000-0000-0000030A0000}"/>
    <cellStyle name="Comma 4 4 3 3 3 2" xfId="13894" xr:uid="{F938D6C7-F3AF-4953-B0F8-104B967FB90D}"/>
    <cellStyle name="Comma 4 4 3 3 4" xfId="9676" xr:uid="{C07FDC65-D780-491C-BA6B-F88808551395}"/>
    <cellStyle name="Comma 4 4 3 4" xfId="1560" xr:uid="{00000000-0005-0000-0000-0000040A0000}"/>
    <cellStyle name="Comma 4 4 3 4 2" xfId="3790" xr:uid="{00000000-0005-0000-0000-0000050A0000}"/>
    <cellStyle name="Comma 4 4 3 4 2 2" xfId="8013" xr:uid="{00000000-0005-0000-0000-0000060A0000}"/>
    <cellStyle name="Comma 4 4 3 4 2 2 2" xfId="16452" xr:uid="{449A3DAC-FE61-4D9F-9CD1-1B595CAA7618}"/>
    <cellStyle name="Comma 4 4 3 4 2 3" xfId="12234" xr:uid="{2423A1D3-3F5B-4F64-88E4-E9B75A2857AD}"/>
    <cellStyle name="Comma 4 4 3 4 3" xfId="5868" xr:uid="{00000000-0005-0000-0000-0000070A0000}"/>
    <cellStyle name="Comma 4 4 3 4 3 2" xfId="14307" xr:uid="{AC7F8824-857C-4153-A406-F8D0A5533C9A}"/>
    <cellStyle name="Comma 4 4 3 4 4" xfId="10089" xr:uid="{ACCB9948-D63C-4BFD-AC2F-BEABBBE51B0B}"/>
    <cellStyle name="Comma 4 4 3 5" xfId="1974" xr:uid="{00000000-0005-0000-0000-0000080A0000}"/>
    <cellStyle name="Comma 4 4 3 5 2" xfId="4203" xr:uid="{00000000-0005-0000-0000-0000090A0000}"/>
    <cellStyle name="Comma 4 4 3 5 2 2" xfId="8426" xr:uid="{00000000-0005-0000-0000-00000A0A0000}"/>
    <cellStyle name="Comma 4 4 3 5 2 2 2" xfId="16865" xr:uid="{DBB32779-14F9-4E45-9E1E-9CD109814882}"/>
    <cellStyle name="Comma 4 4 3 5 2 3" xfId="12647" xr:uid="{99236DC0-9443-47F8-95D9-DB3528768BC2}"/>
    <cellStyle name="Comma 4 4 3 5 3" xfId="6281" xr:uid="{00000000-0005-0000-0000-00000B0A0000}"/>
    <cellStyle name="Comma 4 4 3 5 3 2" xfId="14720" xr:uid="{B549AEBE-7F5B-4DF2-B64C-099BA99F1B83}"/>
    <cellStyle name="Comma 4 4 3 5 4" xfId="10502" xr:uid="{3960FC6E-8020-449C-A06B-6BCCFC2A0247}"/>
    <cellStyle name="Comma 4 4 3 6" xfId="2409" xr:uid="{00000000-0005-0000-0000-00000C0A0000}"/>
    <cellStyle name="Comma 4 4 3 6 2" xfId="6694" xr:uid="{00000000-0005-0000-0000-00000D0A0000}"/>
    <cellStyle name="Comma 4 4 3 6 2 2" xfId="15133" xr:uid="{37C0DB01-E0C7-4D8D-A567-3DED9FAFBDCC}"/>
    <cellStyle name="Comma 4 4 3 6 3" xfId="10915" xr:uid="{DA0CCA1B-C04B-4C1C-AABE-A4C9A765846D}"/>
    <cellStyle name="Comma 4 4 3 7" xfId="2705" xr:uid="{00000000-0005-0000-0000-00000E0A0000}"/>
    <cellStyle name="Comma 4 4 3 8" xfId="2787" xr:uid="{00000000-0005-0000-0000-00000F0A0000}"/>
    <cellStyle name="Comma 4 4 3 8 2" xfId="7011" xr:uid="{00000000-0005-0000-0000-0000100A0000}"/>
    <cellStyle name="Comma 4 4 3 8 2 2" xfId="15450" xr:uid="{A0939F69-0643-4296-85BA-D92E290CDB1E}"/>
    <cellStyle name="Comma 4 4 3 8 3" xfId="11232" xr:uid="{1149BDCD-CAF6-4CBF-BC7B-A64D8DE273A4}"/>
    <cellStyle name="Comma 4 4 3 9" xfId="4628" xr:uid="{00000000-0005-0000-0000-0000110A0000}"/>
    <cellStyle name="Comma 4 4 3 9 2" xfId="13067" xr:uid="{F9F2B973-FFB2-4DBD-83E2-F45027CE154B}"/>
    <cellStyle name="Comma 4 4 4" xfId="690" xr:uid="{00000000-0005-0000-0000-0000120A0000}"/>
    <cellStyle name="Comma 4 4 4 2" xfId="2961" xr:uid="{00000000-0005-0000-0000-0000130A0000}"/>
    <cellStyle name="Comma 4 4 4 2 2" xfId="7184" xr:uid="{00000000-0005-0000-0000-0000140A0000}"/>
    <cellStyle name="Comma 4 4 4 2 2 2" xfId="15623" xr:uid="{16B59AAB-E517-4D04-A114-E2F6A9424C84}"/>
    <cellStyle name="Comma 4 4 4 2 3" xfId="11405" xr:uid="{117B00C7-A52A-469E-A8BB-A7ABC1C27954}"/>
    <cellStyle name="Comma 4 4 4 3" xfId="5039" xr:uid="{00000000-0005-0000-0000-0000150A0000}"/>
    <cellStyle name="Comma 4 4 4 3 2" xfId="13478" xr:uid="{BF128AC1-F298-49FC-AB57-CB8A5BC7758A}"/>
    <cellStyle name="Comma 4 4 4 4" xfId="9260" xr:uid="{CEB2325F-A1B3-49EE-8CFA-74D2F7C800DE}"/>
    <cellStyle name="Comma 4 4 5" xfId="1143" xr:uid="{00000000-0005-0000-0000-0000160A0000}"/>
    <cellStyle name="Comma 4 4 5 2" xfId="3374" xr:uid="{00000000-0005-0000-0000-0000170A0000}"/>
    <cellStyle name="Comma 4 4 5 2 2" xfId="7597" xr:uid="{00000000-0005-0000-0000-0000180A0000}"/>
    <cellStyle name="Comma 4 4 5 2 2 2" xfId="16036" xr:uid="{4A3B6554-B553-4911-8EFF-A4BF9F1FB931}"/>
    <cellStyle name="Comma 4 4 5 2 3" xfId="11818" xr:uid="{0B02BF1B-8308-46C2-B718-2F2CBEA72B27}"/>
    <cellStyle name="Comma 4 4 5 3" xfId="5452" xr:uid="{00000000-0005-0000-0000-0000190A0000}"/>
    <cellStyle name="Comma 4 4 5 3 2" xfId="13891" xr:uid="{E8726718-433E-49FC-828A-CF715761F03C}"/>
    <cellStyle name="Comma 4 4 5 4" xfId="9673" xr:uid="{89FE5EFE-3646-4795-85AD-72FC011E03CA}"/>
    <cellStyle name="Comma 4 4 6" xfId="1557" xr:uid="{00000000-0005-0000-0000-00001A0A0000}"/>
    <cellStyle name="Comma 4 4 6 2" xfId="3787" xr:uid="{00000000-0005-0000-0000-00001B0A0000}"/>
    <cellStyle name="Comma 4 4 6 2 2" xfId="8010" xr:uid="{00000000-0005-0000-0000-00001C0A0000}"/>
    <cellStyle name="Comma 4 4 6 2 2 2" xfId="16449" xr:uid="{67BD530B-ABF5-4970-AA18-13B1ADECF42E}"/>
    <cellStyle name="Comma 4 4 6 2 3" xfId="12231" xr:uid="{8E7F6650-327D-4B14-9758-50E6D4A66920}"/>
    <cellStyle name="Comma 4 4 6 3" xfId="5865" xr:uid="{00000000-0005-0000-0000-00001D0A0000}"/>
    <cellStyle name="Comma 4 4 6 3 2" xfId="14304" xr:uid="{B17A2508-64BD-46CF-AC60-A37673DC34B5}"/>
    <cellStyle name="Comma 4 4 6 4" xfId="10086" xr:uid="{19F6DC78-D7E9-4429-BFA4-D5B2473D25A7}"/>
    <cellStyle name="Comma 4 4 7" xfId="1971" xr:uid="{00000000-0005-0000-0000-00001E0A0000}"/>
    <cellStyle name="Comma 4 4 7 2" xfId="4200" xr:uid="{00000000-0005-0000-0000-00001F0A0000}"/>
    <cellStyle name="Comma 4 4 7 2 2" xfId="8423" xr:uid="{00000000-0005-0000-0000-0000200A0000}"/>
    <cellStyle name="Comma 4 4 7 2 2 2" xfId="16862" xr:uid="{67580685-BF41-4D5A-9AFE-83342E1DA6AF}"/>
    <cellStyle name="Comma 4 4 7 2 3" xfId="12644" xr:uid="{EF159517-B858-4FAB-A994-A577E85BDC32}"/>
    <cellStyle name="Comma 4 4 7 3" xfId="6278" xr:uid="{00000000-0005-0000-0000-0000210A0000}"/>
    <cellStyle name="Comma 4 4 7 3 2" xfId="14717" xr:uid="{FE49FEEA-01B6-40BA-9FDB-0E9F618C7D96}"/>
    <cellStyle name="Comma 4 4 7 4" xfId="10499" xr:uid="{D6F40ACD-B532-4879-9232-0AAE071F27A7}"/>
    <cellStyle name="Comma 4 4 8" xfId="2406" xr:uid="{00000000-0005-0000-0000-0000220A0000}"/>
    <cellStyle name="Comma 4 4 8 2" xfId="6691" xr:uid="{00000000-0005-0000-0000-0000230A0000}"/>
    <cellStyle name="Comma 4 4 8 2 2" xfId="15130" xr:uid="{7685C14B-2180-4381-99A8-4494889A9711}"/>
    <cellStyle name="Comma 4 4 8 3" xfId="10912" xr:uid="{D1F660CF-8555-4C5C-804D-0B50B53268FC}"/>
    <cellStyle name="Comma 4 4 9" xfId="2702" xr:uid="{00000000-0005-0000-0000-0000240A0000}"/>
    <cellStyle name="Comma 4 5" xfId="157" xr:uid="{00000000-0005-0000-0000-0000250A0000}"/>
    <cellStyle name="Comma 4 5 10" xfId="4629" xr:uid="{00000000-0005-0000-0000-0000260A0000}"/>
    <cellStyle name="Comma 4 5 10 2" xfId="13068" xr:uid="{A7692C9C-8402-41F6-B726-FE3126794359}"/>
    <cellStyle name="Comma 4 5 11" xfId="8850" xr:uid="{B3DAE91B-FBCA-4504-A582-35792D62853B}"/>
    <cellStyle name="Comma 4 5 2" xfId="158" xr:uid="{00000000-0005-0000-0000-0000270A0000}"/>
    <cellStyle name="Comma 4 5 2 10" xfId="8851" xr:uid="{A3A652DB-0BCB-4292-89FA-A14373091777}"/>
    <cellStyle name="Comma 4 5 2 2" xfId="695" xr:uid="{00000000-0005-0000-0000-0000280A0000}"/>
    <cellStyle name="Comma 4 5 2 2 2" xfId="2966" xr:uid="{00000000-0005-0000-0000-0000290A0000}"/>
    <cellStyle name="Comma 4 5 2 2 2 2" xfId="7189" xr:uid="{00000000-0005-0000-0000-00002A0A0000}"/>
    <cellStyle name="Comma 4 5 2 2 2 2 2" xfId="15628" xr:uid="{53AD1547-A60A-4A30-85EC-1B79448DD1FE}"/>
    <cellStyle name="Comma 4 5 2 2 2 3" xfId="11410" xr:uid="{60576FC6-AA18-488C-91E2-8E0F148EDEE4}"/>
    <cellStyle name="Comma 4 5 2 2 3" xfId="5044" xr:uid="{00000000-0005-0000-0000-00002B0A0000}"/>
    <cellStyle name="Comma 4 5 2 2 3 2" xfId="13483" xr:uid="{49DEA7ED-D16A-4F8F-B835-BA452280E6F1}"/>
    <cellStyle name="Comma 4 5 2 2 4" xfId="9265" xr:uid="{AF2B492A-1544-4004-A979-5CB9926B6E62}"/>
    <cellStyle name="Comma 4 5 2 3" xfId="1148" xr:uid="{00000000-0005-0000-0000-00002C0A0000}"/>
    <cellStyle name="Comma 4 5 2 3 2" xfId="3379" xr:uid="{00000000-0005-0000-0000-00002D0A0000}"/>
    <cellStyle name="Comma 4 5 2 3 2 2" xfId="7602" xr:uid="{00000000-0005-0000-0000-00002E0A0000}"/>
    <cellStyle name="Comma 4 5 2 3 2 2 2" xfId="16041" xr:uid="{5B118B0F-AF48-45C5-8B39-B9E5FD8D3887}"/>
    <cellStyle name="Comma 4 5 2 3 2 3" xfId="11823" xr:uid="{E61C741B-494D-4378-AE43-88770E6A94CB}"/>
    <cellStyle name="Comma 4 5 2 3 3" xfId="5457" xr:uid="{00000000-0005-0000-0000-00002F0A0000}"/>
    <cellStyle name="Comma 4 5 2 3 3 2" xfId="13896" xr:uid="{37C10E6A-4088-44A6-AED2-DFD3C621B3AF}"/>
    <cellStyle name="Comma 4 5 2 3 4" xfId="9678" xr:uid="{9D361248-51C4-4746-8F05-4F8133C56FEB}"/>
    <cellStyle name="Comma 4 5 2 4" xfId="1562" xr:uid="{00000000-0005-0000-0000-0000300A0000}"/>
    <cellStyle name="Comma 4 5 2 4 2" xfId="3792" xr:uid="{00000000-0005-0000-0000-0000310A0000}"/>
    <cellStyle name="Comma 4 5 2 4 2 2" xfId="8015" xr:uid="{00000000-0005-0000-0000-0000320A0000}"/>
    <cellStyle name="Comma 4 5 2 4 2 2 2" xfId="16454" xr:uid="{962C4C80-705E-45D2-B22D-0BDB0E83273C}"/>
    <cellStyle name="Comma 4 5 2 4 2 3" xfId="12236" xr:uid="{FB6815EE-0D84-4C9A-9686-BEB03A35687E}"/>
    <cellStyle name="Comma 4 5 2 4 3" xfId="5870" xr:uid="{00000000-0005-0000-0000-0000330A0000}"/>
    <cellStyle name="Comma 4 5 2 4 3 2" xfId="14309" xr:uid="{813DEE2E-576B-4847-9E72-3C8300370F0A}"/>
    <cellStyle name="Comma 4 5 2 4 4" xfId="10091" xr:uid="{7783FBC5-9DAC-4CAF-947F-37958D498FA8}"/>
    <cellStyle name="Comma 4 5 2 5" xfId="1976" xr:uid="{00000000-0005-0000-0000-0000340A0000}"/>
    <cellStyle name="Comma 4 5 2 5 2" xfId="4205" xr:uid="{00000000-0005-0000-0000-0000350A0000}"/>
    <cellStyle name="Comma 4 5 2 5 2 2" xfId="8428" xr:uid="{00000000-0005-0000-0000-0000360A0000}"/>
    <cellStyle name="Comma 4 5 2 5 2 2 2" xfId="16867" xr:uid="{558DF3C2-0949-4AF8-9D34-68B91A4089C7}"/>
    <cellStyle name="Comma 4 5 2 5 2 3" xfId="12649" xr:uid="{38603E4D-9DC3-4754-AECA-F06F31ACF7C0}"/>
    <cellStyle name="Comma 4 5 2 5 3" xfId="6283" xr:uid="{00000000-0005-0000-0000-0000370A0000}"/>
    <cellStyle name="Comma 4 5 2 5 3 2" xfId="14722" xr:uid="{7B10129B-DE26-48B3-98BF-8C369E20C6C9}"/>
    <cellStyle name="Comma 4 5 2 5 4" xfId="10504" xr:uid="{D8297FCA-9F48-41AD-B24C-84566CE5A667}"/>
    <cellStyle name="Comma 4 5 2 6" xfId="2411" xr:uid="{00000000-0005-0000-0000-0000380A0000}"/>
    <cellStyle name="Comma 4 5 2 6 2" xfId="6696" xr:uid="{00000000-0005-0000-0000-0000390A0000}"/>
    <cellStyle name="Comma 4 5 2 6 2 2" xfId="15135" xr:uid="{F84F7EA2-23F5-4190-B6D5-21F51D1BA3C3}"/>
    <cellStyle name="Comma 4 5 2 6 3" xfId="10917" xr:uid="{7A99B743-14F4-4E85-9F04-6D88C21215DF}"/>
    <cellStyle name="Comma 4 5 2 7" xfId="2707" xr:uid="{00000000-0005-0000-0000-00003A0A0000}"/>
    <cellStyle name="Comma 4 5 2 8" xfId="2789" xr:uid="{00000000-0005-0000-0000-00003B0A0000}"/>
    <cellStyle name="Comma 4 5 2 8 2" xfId="7013" xr:uid="{00000000-0005-0000-0000-00003C0A0000}"/>
    <cellStyle name="Comma 4 5 2 8 2 2" xfId="15452" xr:uid="{549EFEC4-16DB-4EC1-8CE3-F312C2E607CC}"/>
    <cellStyle name="Comma 4 5 2 8 3" xfId="11234" xr:uid="{945F5FD4-A1CA-4D69-83A6-D8E3448F290D}"/>
    <cellStyle name="Comma 4 5 2 9" xfId="4630" xr:uid="{00000000-0005-0000-0000-00003D0A0000}"/>
    <cellStyle name="Comma 4 5 2 9 2" xfId="13069" xr:uid="{7EF46527-F2D0-40D8-8E1E-B99E835F3745}"/>
    <cellStyle name="Comma 4 5 3" xfId="694" xr:uid="{00000000-0005-0000-0000-00003E0A0000}"/>
    <cellStyle name="Comma 4 5 3 2" xfId="2965" xr:uid="{00000000-0005-0000-0000-00003F0A0000}"/>
    <cellStyle name="Comma 4 5 3 2 2" xfId="7188" xr:uid="{00000000-0005-0000-0000-0000400A0000}"/>
    <cellStyle name="Comma 4 5 3 2 2 2" xfId="15627" xr:uid="{D8F7E5EB-2D97-467D-ABAE-9133D172A543}"/>
    <cellStyle name="Comma 4 5 3 2 3" xfId="11409" xr:uid="{36BE0DA1-81C4-4EBA-8061-B589D2FB7259}"/>
    <cellStyle name="Comma 4 5 3 3" xfId="5043" xr:uid="{00000000-0005-0000-0000-0000410A0000}"/>
    <cellStyle name="Comma 4 5 3 3 2" xfId="13482" xr:uid="{7F06CB5F-92D1-42C3-9084-D10555407843}"/>
    <cellStyle name="Comma 4 5 3 4" xfId="9264" xr:uid="{7F96046A-083C-4330-97A2-D144A254B2AE}"/>
    <cellStyle name="Comma 4 5 4" xfId="1147" xr:uid="{00000000-0005-0000-0000-0000420A0000}"/>
    <cellStyle name="Comma 4 5 4 2" xfId="3378" xr:uid="{00000000-0005-0000-0000-0000430A0000}"/>
    <cellStyle name="Comma 4 5 4 2 2" xfId="7601" xr:uid="{00000000-0005-0000-0000-0000440A0000}"/>
    <cellStyle name="Comma 4 5 4 2 2 2" xfId="16040" xr:uid="{22DBD308-20BA-4BE6-B37F-BA6912DD3E04}"/>
    <cellStyle name="Comma 4 5 4 2 3" xfId="11822" xr:uid="{0A2A7C2D-66D4-42A5-AFFF-8DFC3592A30E}"/>
    <cellStyle name="Comma 4 5 4 3" xfId="5456" xr:uid="{00000000-0005-0000-0000-0000450A0000}"/>
    <cellStyle name="Comma 4 5 4 3 2" xfId="13895" xr:uid="{DD613CDF-91FA-4B61-B88D-A5BABBFE6B1B}"/>
    <cellStyle name="Comma 4 5 4 4" xfId="9677" xr:uid="{8B026B7B-91A2-4739-9A7D-41091B29E8F3}"/>
    <cellStyle name="Comma 4 5 5" xfId="1561" xr:uid="{00000000-0005-0000-0000-0000460A0000}"/>
    <cellStyle name="Comma 4 5 5 2" xfId="3791" xr:uid="{00000000-0005-0000-0000-0000470A0000}"/>
    <cellStyle name="Comma 4 5 5 2 2" xfId="8014" xr:uid="{00000000-0005-0000-0000-0000480A0000}"/>
    <cellStyle name="Comma 4 5 5 2 2 2" xfId="16453" xr:uid="{E1FFE5A8-528F-415B-A078-789AF4E18CCC}"/>
    <cellStyle name="Comma 4 5 5 2 3" xfId="12235" xr:uid="{96D1BA06-710F-43A2-BC96-DF589C0F6BF7}"/>
    <cellStyle name="Comma 4 5 5 3" xfId="5869" xr:uid="{00000000-0005-0000-0000-0000490A0000}"/>
    <cellStyle name="Comma 4 5 5 3 2" xfId="14308" xr:uid="{4D9916EA-9B62-4239-BE97-ECFCC2AB6562}"/>
    <cellStyle name="Comma 4 5 5 4" xfId="10090" xr:uid="{B3AAC86A-C7A5-4DDB-BFDC-64B8B5DFB97D}"/>
    <cellStyle name="Comma 4 5 6" xfId="1975" xr:uid="{00000000-0005-0000-0000-00004A0A0000}"/>
    <cellStyle name="Comma 4 5 6 2" xfId="4204" xr:uid="{00000000-0005-0000-0000-00004B0A0000}"/>
    <cellStyle name="Comma 4 5 6 2 2" xfId="8427" xr:uid="{00000000-0005-0000-0000-00004C0A0000}"/>
    <cellStyle name="Comma 4 5 6 2 2 2" xfId="16866" xr:uid="{52EE687B-A119-4029-8262-5AC18F6A0812}"/>
    <cellStyle name="Comma 4 5 6 2 3" xfId="12648" xr:uid="{6F805F69-36E7-462C-808D-7DAB2F30F95B}"/>
    <cellStyle name="Comma 4 5 6 3" xfId="6282" xr:uid="{00000000-0005-0000-0000-00004D0A0000}"/>
    <cellStyle name="Comma 4 5 6 3 2" xfId="14721" xr:uid="{3FD1B78B-DF0D-4878-B0F3-EF897B2D5D1E}"/>
    <cellStyle name="Comma 4 5 6 4" xfId="10503" xr:uid="{D3FD5B20-2F83-434E-894A-422289808024}"/>
    <cellStyle name="Comma 4 5 7" xfId="2410" xr:uid="{00000000-0005-0000-0000-00004E0A0000}"/>
    <cellStyle name="Comma 4 5 7 2" xfId="6695" xr:uid="{00000000-0005-0000-0000-00004F0A0000}"/>
    <cellStyle name="Comma 4 5 7 2 2" xfId="15134" xr:uid="{361AD21F-4A35-4B71-8B40-26BDF5C1ED8E}"/>
    <cellStyle name="Comma 4 5 7 3" xfId="10916" xr:uid="{DA473314-E338-4BD4-8B85-2BC74FF5EAE0}"/>
    <cellStyle name="Comma 4 5 8" xfId="2706" xr:uid="{00000000-0005-0000-0000-0000500A0000}"/>
    <cellStyle name="Comma 4 5 9" xfId="2788" xr:uid="{00000000-0005-0000-0000-0000510A0000}"/>
    <cellStyle name="Comma 4 5 9 2" xfId="7012" xr:uid="{00000000-0005-0000-0000-0000520A0000}"/>
    <cellStyle name="Comma 4 5 9 2 2" xfId="15451" xr:uid="{B594841F-D81D-4815-91A0-8F6E65115345}"/>
    <cellStyle name="Comma 4 5 9 3" xfId="11233" xr:uid="{8912DBEB-CF80-4C05-9D26-2E38F85A8216}"/>
    <cellStyle name="Comma 4 6" xfId="159" xr:uid="{00000000-0005-0000-0000-0000530A0000}"/>
    <cellStyle name="Comma 4 6 10" xfId="8852" xr:uid="{FE7477AF-77CA-4567-B46D-546467D65A8A}"/>
    <cellStyle name="Comma 4 6 2" xfId="696" xr:uid="{00000000-0005-0000-0000-0000540A0000}"/>
    <cellStyle name="Comma 4 6 2 2" xfId="2967" xr:uid="{00000000-0005-0000-0000-0000550A0000}"/>
    <cellStyle name="Comma 4 6 2 2 2" xfId="7190" xr:uid="{00000000-0005-0000-0000-0000560A0000}"/>
    <cellStyle name="Comma 4 6 2 2 2 2" xfId="15629" xr:uid="{08CCEA98-0E84-470D-8038-94E639FFEC34}"/>
    <cellStyle name="Comma 4 6 2 2 3" xfId="11411" xr:uid="{2AE807F5-1EA8-4BEA-AFEE-F87FCC9E6975}"/>
    <cellStyle name="Comma 4 6 2 3" xfId="5045" xr:uid="{00000000-0005-0000-0000-0000570A0000}"/>
    <cellStyle name="Comma 4 6 2 3 2" xfId="13484" xr:uid="{67920293-7B86-46C9-87E2-2DDC0FCDB413}"/>
    <cellStyle name="Comma 4 6 2 4" xfId="9266" xr:uid="{CC9F8145-9F4D-4A60-9814-F3918129650B}"/>
    <cellStyle name="Comma 4 6 3" xfId="1149" xr:uid="{00000000-0005-0000-0000-0000580A0000}"/>
    <cellStyle name="Comma 4 6 3 2" xfId="3380" xr:uid="{00000000-0005-0000-0000-0000590A0000}"/>
    <cellStyle name="Comma 4 6 3 2 2" xfId="7603" xr:uid="{00000000-0005-0000-0000-00005A0A0000}"/>
    <cellStyle name="Comma 4 6 3 2 2 2" xfId="16042" xr:uid="{9458FB78-EFF7-40B0-A21D-E8BDAE2EC2C0}"/>
    <cellStyle name="Comma 4 6 3 2 3" xfId="11824" xr:uid="{1F56B8A8-9531-448B-83C5-B155B5799DCC}"/>
    <cellStyle name="Comma 4 6 3 3" xfId="5458" xr:uid="{00000000-0005-0000-0000-00005B0A0000}"/>
    <cellStyle name="Comma 4 6 3 3 2" xfId="13897" xr:uid="{1C202560-E151-4692-B72B-F0DF2413CECC}"/>
    <cellStyle name="Comma 4 6 3 4" xfId="9679" xr:uid="{8F01800F-A40A-4CF0-9F24-A86DB508C733}"/>
    <cellStyle name="Comma 4 6 4" xfId="1563" xr:uid="{00000000-0005-0000-0000-00005C0A0000}"/>
    <cellStyle name="Comma 4 6 4 2" xfId="3793" xr:uid="{00000000-0005-0000-0000-00005D0A0000}"/>
    <cellStyle name="Comma 4 6 4 2 2" xfId="8016" xr:uid="{00000000-0005-0000-0000-00005E0A0000}"/>
    <cellStyle name="Comma 4 6 4 2 2 2" xfId="16455" xr:uid="{3BCFE833-943F-448C-826A-33F0CAFD775D}"/>
    <cellStyle name="Comma 4 6 4 2 3" xfId="12237" xr:uid="{AD603E25-4AE4-487B-A774-EB25A8B72C3E}"/>
    <cellStyle name="Comma 4 6 4 3" xfId="5871" xr:uid="{00000000-0005-0000-0000-00005F0A0000}"/>
    <cellStyle name="Comma 4 6 4 3 2" xfId="14310" xr:uid="{DE95B5DB-3F0F-445B-9280-2FB1B915C5E5}"/>
    <cellStyle name="Comma 4 6 4 4" xfId="10092" xr:uid="{C7F15691-BE85-4A70-9201-880772C72B3B}"/>
    <cellStyle name="Comma 4 6 5" xfId="1977" xr:uid="{00000000-0005-0000-0000-0000600A0000}"/>
    <cellStyle name="Comma 4 6 5 2" xfId="4206" xr:uid="{00000000-0005-0000-0000-0000610A0000}"/>
    <cellStyle name="Comma 4 6 5 2 2" xfId="8429" xr:uid="{00000000-0005-0000-0000-0000620A0000}"/>
    <cellStyle name="Comma 4 6 5 2 2 2" xfId="16868" xr:uid="{B751D419-546D-4FD8-898F-DBED0F218164}"/>
    <cellStyle name="Comma 4 6 5 2 3" xfId="12650" xr:uid="{15A156ED-412A-4599-8B1D-7E01C6A1BE72}"/>
    <cellStyle name="Comma 4 6 5 3" xfId="6284" xr:uid="{00000000-0005-0000-0000-0000630A0000}"/>
    <cellStyle name="Comma 4 6 5 3 2" xfId="14723" xr:uid="{6CF4FEA7-5F90-40F1-8ECC-97CCC95D0E52}"/>
    <cellStyle name="Comma 4 6 5 4" xfId="10505" xr:uid="{37256160-305E-41AB-A7B3-2D7CB29D1C1C}"/>
    <cellStyle name="Comma 4 6 6" xfId="2412" xr:uid="{00000000-0005-0000-0000-0000640A0000}"/>
    <cellStyle name="Comma 4 6 6 2" xfId="6697" xr:uid="{00000000-0005-0000-0000-0000650A0000}"/>
    <cellStyle name="Comma 4 6 6 2 2" xfId="15136" xr:uid="{E553C76C-416C-4C77-8022-299C63CE1328}"/>
    <cellStyle name="Comma 4 6 6 3" xfId="10918" xr:uid="{A2605C3A-8062-472E-BDB4-3E3E69AF9EF9}"/>
    <cellStyle name="Comma 4 6 7" xfId="2708" xr:uid="{00000000-0005-0000-0000-0000660A0000}"/>
    <cellStyle name="Comma 4 6 8" xfId="2790" xr:uid="{00000000-0005-0000-0000-0000670A0000}"/>
    <cellStyle name="Comma 4 6 8 2" xfId="7014" xr:uid="{00000000-0005-0000-0000-0000680A0000}"/>
    <cellStyle name="Comma 4 6 8 2 2" xfId="15453" xr:uid="{623B5D5C-A844-4FC6-831A-EA94BE5808CB}"/>
    <cellStyle name="Comma 4 6 8 3" xfId="11235" xr:uid="{2FE86D3D-1E58-433F-ACAD-2AE159403057}"/>
    <cellStyle name="Comma 4 6 9" xfId="4631" xr:uid="{00000000-0005-0000-0000-0000690A0000}"/>
    <cellStyle name="Comma 4 6 9 2" xfId="13070" xr:uid="{84F48AFD-077D-41D7-B2CE-102108C68DAC}"/>
    <cellStyle name="Comma 4 7" xfId="160" xr:uid="{00000000-0005-0000-0000-00006A0A0000}"/>
    <cellStyle name="Comma 4 7 10" xfId="8853" xr:uid="{5DC1892B-4AE2-46B9-99AE-E8B64403236A}"/>
    <cellStyle name="Comma 4 7 2" xfId="697" xr:uid="{00000000-0005-0000-0000-00006B0A0000}"/>
    <cellStyle name="Comma 4 7 2 2" xfId="2968" xr:uid="{00000000-0005-0000-0000-00006C0A0000}"/>
    <cellStyle name="Comma 4 7 2 2 2" xfId="7191" xr:uid="{00000000-0005-0000-0000-00006D0A0000}"/>
    <cellStyle name="Comma 4 7 2 2 2 2" xfId="15630" xr:uid="{02FA2D8D-1F3E-480F-87F0-AACDC0DB57ED}"/>
    <cellStyle name="Comma 4 7 2 2 3" xfId="11412" xr:uid="{53D28285-4D1E-4BA1-9E2A-21253A9F0D1C}"/>
    <cellStyle name="Comma 4 7 2 3" xfId="5046" xr:uid="{00000000-0005-0000-0000-00006E0A0000}"/>
    <cellStyle name="Comma 4 7 2 3 2" xfId="13485" xr:uid="{1D20C8B4-A3F0-46BD-A6D7-BEB30267C167}"/>
    <cellStyle name="Comma 4 7 2 4" xfId="9267" xr:uid="{35405EBB-A199-4C18-A77B-600CF9DAC968}"/>
    <cellStyle name="Comma 4 7 3" xfId="1150" xr:uid="{00000000-0005-0000-0000-00006F0A0000}"/>
    <cellStyle name="Comma 4 7 3 2" xfId="3381" xr:uid="{00000000-0005-0000-0000-0000700A0000}"/>
    <cellStyle name="Comma 4 7 3 2 2" xfId="7604" xr:uid="{00000000-0005-0000-0000-0000710A0000}"/>
    <cellStyle name="Comma 4 7 3 2 2 2" xfId="16043" xr:uid="{1018A7C2-D526-40EF-A0B5-AE5E81A2DEBB}"/>
    <cellStyle name="Comma 4 7 3 2 3" xfId="11825" xr:uid="{F562CB9C-6B69-4043-B781-1EE7D767E0ED}"/>
    <cellStyle name="Comma 4 7 3 3" xfId="5459" xr:uid="{00000000-0005-0000-0000-0000720A0000}"/>
    <cellStyle name="Comma 4 7 3 3 2" xfId="13898" xr:uid="{38CD319E-3D3C-41FC-877D-62430EC77D41}"/>
    <cellStyle name="Comma 4 7 3 4" xfId="9680" xr:uid="{446B3C33-3080-4179-87DC-687DD2C63D44}"/>
    <cellStyle name="Comma 4 7 4" xfId="1564" xr:uid="{00000000-0005-0000-0000-0000730A0000}"/>
    <cellStyle name="Comma 4 7 4 2" xfId="3794" xr:uid="{00000000-0005-0000-0000-0000740A0000}"/>
    <cellStyle name="Comma 4 7 4 2 2" xfId="8017" xr:uid="{00000000-0005-0000-0000-0000750A0000}"/>
    <cellStyle name="Comma 4 7 4 2 2 2" xfId="16456" xr:uid="{2A49A9CF-2870-4374-83F5-BF16F4BD2FB6}"/>
    <cellStyle name="Comma 4 7 4 2 3" xfId="12238" xr:uid="{BBD67799-9219-4624-81DC-71B57139EDA1}"/>
    <cellStyle name="Comma 4 7 4 3" xfId="5872" xr:uid="{00000000-0005-0000-0000-0000760A0000}"/>
    <cellStyle name="Comma 4 7 4 3 2" xfId="14311" xr:uid="{1F313D04-3336-4679-AEF8-5EA001602BE5}"/>
    <cellStyle name="Comma 4 7 4 4" xfId="10093" xr:uid="{9FBC2A3E-9DE7-49FB-8F3F-21028BF0B8E7}"/>
    <cellStyle name="Comma 4 7 5" xfId="1978" xr:uid="{00000000-0005-0000-0000-0000770A0000}"/>
    <cellStyle name="Comma 4 7 5 2" xfId="4207" xr:uid="{00000000-0005-0000-0000-0000780A0000}"/>
    <cellStyle name="Comma 4 7 5 2 2" xfId="8430" xr:uid="{00000000-0005-0000-0000-0000790A0000}"/>
    <cellStyle name="Comma 4 7 5 2 2 2" xfId="16869" xr:uid="{4697DE2D-0366-4A88-B671-08D250A3C814}"/>
    <cellStyle name="Comma 4 7 5 2 3" xfId="12651" xr:uid="{9767DDDC-0EA0-46FD-B73B-61009F19ABCD}"/>
    <cellStyle name="Comma 4 7 5 3" xfId="6285" xr:uid="{00000000-0005-0000-0000-00007A0A0000}"/>
    <cellStyle name="Comma 4 7 5 3 2" xfId="14724" xr:uid="{691AB50F-C173-4760-AA77-8F8FBA8070C0}"/>
    <cellStyle name="Comma 4 7 5 4" xfId="10506" xr:uid="{D594281A-2429-47CC-9479-513EB64683E9}"/>
    <cellStyle name="Comma 4 7 6" xfId="2413" xr:uid="{00000000-0005-0000-0000-00007B0A0000}"/>
    <cellStyle name="Comma 4 7 6 2" xfId="6698" xr:uid="{00000000-0005-0000-0000-00007C0A0000}"/>
    <cellStyle name="Comma 4 7 6 2 2" xfId="15137" xr:uid="{9E8781AC-5024-48D6-8FEF-CCA9ACA448DB}"/>
    <cellStyle name="Comma 4 7 6 3" xfId="10919" xr:uid="{AABC956C-FBA2-4BE1-A858-4547E20E8965}"/>
    <cellStyle name="Comma 4 7 7" xfId="2709" xr:uid="{00000000-0005-0000-0000-00007D0A0000}"/>
    <cellStyle name="Comma 4 7 8" xfId="2791" xr:uid="{00000000-0005-0000-0000-00007E0A0000}"/>
    <cellStyle name="Comma 4 7 8 2" xfId="7015" xr:uid="{00000000-0005-0000-0000-00007F0A0000}"/>
    <cellStyle name="Comma 4 7 8 2 2" xfId="15454" xr:uid="{8A0FEBBD-A89F-472B-BE6F-41ACB0C8B397}"/>
    <cellStyle name="Comma 4 7 8 3" xfId="11236" xr:uid="{014227E3-DA7E-4508-8022-E8A4C210AC5E}"/>
    <cellStyle name="Comma 4 7 9" xfId="4632" xr:uid="{00000000-0005-0000-0000-0000800A0000}"/>
    <cellStyle name="Comma 4 7 9 2" xfId="13071" xr:uid="{D9B082E2-CED4-43AA-BD69-4EB9585D42AD}"/>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12939" xr:uid="{CD7706FA-1587-4D19-AD30-AE9584FC5F1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2 2" xfId="17156" xr:uid="{6784568B-45F3-497C-9ADF-5E0A3C35037E}"/>
    <cellStyle name="Currency 14 3" xfId="8720" xr:uid="{729B09A7-2394-4D7C-912C-1471FB3455A3}"/>
    <cellStyle name="Currency 14 3 2" xfId="8724" xr:uid="{1945FB0F-31EC-4D98-B64C-BAFBADA341A1}"/>
    <cellStyle name="Currency 14 3 2 2" xfId="17162" xr:uid="{B302E129-0424-4448-8F7B-090A064960A0}"/>
    <cellStyle name="Currency 14 3 3" xfId="17159" xr:uid="{20C430BD-1BF0-43B4-9334-FD4CF70D2208}"/>
    <cellStyle name="Currency 14 4" xfId="12942" xr:uid="{482DDD49-2CED-4791-9C9F-506B06F26EFB}"/>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0 2 2" xfId="15455" xr:uid="{D24512CA-FF53-4451-AADB-AAC822F4664A}"/>
    <cellStyle name="Currency 3 2 2 10 3" xfId="11237" xr:uid="{DD8BDE63-81E6-482C-8A7C-54244BC0D9FD}"/>
    <cellStyle name="Currency 3 2 2 11" xfId="4633" xr:uid="{00000000-0005-0000-0000-0000A50A0000}"/>
    <cellStyle name="Currency 3 2 2 11 2" xfId="13072" xr:uid="{022F2355-DFF8-49BA-AE0B-AAF4EF3B55A2}"/>
    <cellStyle name="Currency 3 2 2 12" xfId="8854" xr:uid="{1679B897-0040-4966-96EE-A52F3758A208}"/>
    <cellStyle name="Currency 3 2 2 2" xfId="179" xr:uid="{00000000-0005-0000-0000-0000A60A0000}"/>
    <cellStyle name="Currency 3 2 2 2 10" xfId="4634" xr:uid="{00000000-0005-0000-0000-0000A70A0000}"/>
    <cellStyle name="Currency 3 2 2 2 10 2" xfId="13073" xr:uid="{4C89D17F-33A4-4820-86C1-BE464A4948E0}"/>
    <cellStyle name="Currency 3 2 2 2 11" xfId="8855" xr:uid="{4417AC26-C8AE-4110-997B-A93400C7D0E1}"/>
    <cellStyle name="Currency 3 2 2 2 2" xfId="180" xr:uid="{00000000-0005-0000-0000-0000A80A0000}"/>
    <cellStyle name="Currency 3 2 2 2 2 10" xfId="8856" xr:uid="{FF5BE6DC-72DA-4157-97A8-EF2D81AF5C58}"/>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2 2 2" xfId="15633" xr:uid="{0D00A25C-9F9E-4E0F-87F3-FCA097D4CAB0}"/>
    <cellStyle name="Currency 3 2 2 2 2 2 2 3" xfId="11415" xr:uid="{AE142DC5-89E7-4E51-BAA0-A538F0447C35}"/>
    <cellStyle name="Currency 3 2 2 2 2 2 3" xfId="5049" xr:uid="{00000000-0005-0000-0000-0000AC0A0000}"/>
    <cellStyle name="Currency 3 2 2 2 2 2 3 2" xfId="13488" xr:uid="{769A9FE2-DEA3-41F9-B927-C628F40D4AD5}"/>
    <cellStyle name="Currency 3 2 2 2 2 2 4" xfId="9270" xr:uid="{643FE6BA-8678-4D20-9A25-DB7E52DAE2FF}"/>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2 2 2" xfId="16046" xr:uid="{A205230E-BB9D-469C-B422-07B547E5A57E}"/>
    <cellStyle name="Currency 3 2 2 2 2 3 2 3" xfId="11828" xr:uid="{2A954924-4B94-4D33-9A78-1C1EBF2EC744}"/>
    <cellStyle name="Currency 3 2 2 2 2 3 3" xfId="5462" xr:uid="{00000000-0005-0000-0000-0000B00A0000}"/>
    <cellStyle name="Currency 3 2 2 2 2 3 3 2" xfId="13901" xr:uid="{8BBDCC20-2104-4C63-AE26-DB54F222B81E}"/>
    <cellStyle name="Currency 3 2 2 2 2 3 4" xfId="9683" xr:uid="{B516FD8D-D171-4AD2-B3AA-F9B398EC8136}"/>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2 2 2" xfId="16459" xr:uid="{3ACB6913-5189-4E2B-B4FB-053AD368F556}"/>
    <cellStyle name="Currency 3 2 2 2 2 4 2 3" xfId="12241" xr:uid="{D141ED6D-7C4E-4FEA-9F1D-658CA845059A}"/>
    <cellStyle name="Currency 3 2 2 2 2 4 3" xfId="5875" xr:uid="{00000000-0005-0000-0000-0000B40A0000}"/>
    <cellStyle name="Currency 3 2 2 2 2 4 3 2" xfId="14314" xr:uid="{F80D4E15-12E3-45E0-99BF-E4FC36B58992}"/>
    <cellStyle name="Currency 3 2 2 2 2 4 4" xfId="10096" xr:uid="{D96CC4B6-74CA-4B7E-9607-E55FBAE5AF88}"/>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2 2 2" xfId="16872" xr:uid="{1E19831B-82B2-4A4C-B38B-831AAE8E60E3}"/>
    <cellStyle name="Currency 3 2 2 2 2 5 2 3" xfId="12654" xr:uid="{CB1F2B43-24B6-4F1B-8099-6957EAED2B9E}"/>
    <cellStyle name="Currency 3 2 2 2 2 5 3" xfId="6288" xr:uid="{00000000-0005-0000-0000-0000B80A0000}"/>
    <cellStyle name="Currency 3 2 2 2 2 5 3 2" xfId="14727" xr:uid="{588A6EA2-9183-4C78-8166-827CF7275CD8}"/>
    <cellStyle name="Currency 3 2 2 2 2 5 4" xfId="10509" xr:uid="{E0E2938A-35CF-4E66-8C42-01C7CD2E7E32}"/>
    <cellStyle name="Currency 3 2 2 2 2 6" xfId="2416" xr:uid="{00000000-0005-0000-0000-0000B90A0000}"/>
    <cellStyle name="Currency 3 2 2 2 2 6 2" xfId="6701" xr:uid="{00000000-0005-0000-0000-0000BA0A0000}"/>
    <cellStyle name="Currency 3 2 2 2 2 6 2 2" xfId="15140" xr:uid="{E7D5942C-3EFC-4309-87EE-1D58482EF2E5}"/>
    <cellStyle name="Currency 3 2 2 2 2 6 3" xfId="10922" xr:uid="{34EFD071-55C3-42BE-B93D-94B4255734B7}"/>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8 2 2" xfId="15457" xr:uid="{CB17E8C8-CD3F-44C5-971B-B10BF9B4DF05}"/>
    <cellStyle name="Currency 3 2 2 2 2 8 3" xfId="11239" xr:uid="{34440D39-648C-41B8-8B87-5A62E92B355D}"/>
    <cellStyle name="Currency 3 2 2 2 2 9" xfId="4635" xr:uid="{00000000-0005-0000-0000-0000BE0A0000}"/>
    <cellStyle name="Currency 3 2 2 2 2 9 2" xfId="13074" xr:uid="{38596135-C6E1-43E4-9A58-C3CC98623FDF}"/>
    <cellStyle name="Currency 3 2 2 2 3" xfId="709" xr:uid="{00000000-0005-0000-0000-0000BF0A0000}"/>
    <cellStyle name="Currency 3 2 2 2 3 2" xfId="2970" xr:uid="{00000000-0005-0000-0000-0000C00A0000}"/>
    <cellStyle name="Currency 3 2 2 2 3 2 2" xfId="7193" xr:uid="{00000000-0005-0000-0000-0000C10A0000}"/>
    <cellStyle name="Currency 3 2 2 2 3 2 2 2" xfId="15632" xr:uid="{5B2B16C3-730C-45D7-B30B-C6DECE1A1616}"/>
    <cellStyle name="Currency 3 2 2 2 3 2 3" xfId="11414" xr:uid="{4FB3C14E-CDCC-419A-A87F-0C253C275DA2}"/>
    <cellStyle name="Currency 3 2 2 2 3 3" xfId="5048" xr:uid="{00000000-0005-0000-0000-0000C20A0000}"/>
    <cellStyle name="Currency 3 2 2 2 3 3 2" xfId="13487" xr:uid="{7BF42BE7-D783-46D6-A04C-422168BA199B}"/>
    <cellStyle name="Currency 3 2 2 2 3 4" xfId="9269" xr:uid="{BDD03E06-DC1E-442F-9177-B57BB87EB6B6}"/>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2 2 2" xfId="16045" xr:uid="{0F0510EE-6A27-474B-83D3-65262CDF4F73}"/>
    <cellStyle name="Currency 3 2 2 2 4 2 3" xfId="11827" xr:uid="{2B1DF321-97E7-44FB-9542-4C76B24D8937}"/>
    <cellStyle name="Currency 3 2 2 2 4 3" xfId="5461" xr:uid="{00000000-0005-0000-0000-0000C60A0000}"/>
    <cellStyle name="Currency 3 2 2 2 4 3 2" xfId="13900" xr:uid="{E1BC0A44-7BFB-4C48-A1D7-770640C7E16A}"/>
    <cellStyle name="Currency 3 2 2 2 4 4" xfId="9682" xr:uid="{15F22432-FD4D-4BDC-ADE6-90C21FECDA23}"/>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2 2 2" xfId="16458" xr:uid="{7FEF38CC-46BE-4837-99C2-E2FD88E345E5}"/>
    <cellStyle name="Currency 3 2 2 2 5 2 3" xfId="12240" xr:uid="{8B1E23A0-A577-4121-B5BC-F486A2ED29D5}"/>
    <cellStyle name="Currency 3 2 2 2 5 3" xfId="5874" xr:uid="{00000000-0005-0000-0000-0000CA0A0000}"/>
    <cellStyle name="Currency 3 2 2 2 5 3 2" xfId="14313" xr:uid="{490F67CD-67D9-4FDC-9B2F-3F3B806AFDF1}"/>
    <cellStyle name="Currency 3 2 2 2 5 4" xfId="10095" xr:uid="{2E67F73C-A65D-4590-AB4D-BCE87375CC3A}"/>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2 2 2" xfId="16871" xr:uid="{6F2268B6-9E7A-4E4F-B67D-21BA0EE14952}"/>
    <cellStyle name="Currency 3 2 2 2 6 2 3" xfId="12653" xr:uid="{DADF2EF7-E3D0-4B99-A8B7-B2944EF1FC79}"/>
    <cellStyle name="Currency 3 2 2 2 6 3" xfId="6287" xr:uid="{00000000-0005-0000-0000-0000CE0A0000}"/>
    <cellStyle name="Currency 3 2 2 2 6 3 2" xfId="14726" xr:uid="{1DE3D314-6A4A-426F-BE23-683D6A2838DE}"/>
    <cellStyle name="Currency 3 2 2 2 6 4" xfId="10508" xr:uid="{D72CD445-6917-442D-B6A2-8B558E6799DA}"/>
    <cellStyle name="Currency 3 2 2 2 7" xfId="2415" xr:uid="{00000000-0005-0000-0000-0000CF0A0000}"/>
    <cellStyle name="Currency 3 2 2 2 7 2" xfId="6700" xr:uid="{00000000-0005-0000-0000-0000D00A0000}"/>
    <cellStyle name="Currency 3 2 2 2 7 2 2" xfId="15139" xr:uid="{01B1A858-D0B7-4B07-BC8F-4FDE25E6C0C3}"/>
    <cellStyle name="Currency 3 2 2 2 7 3" xfId="10921" xr:uid="{239605CB-D71E-48B6-AC8D-9F7F7A872FC4}"/>
    <cellStyle name="Currency 3 2 2 2 8" xfId="2712" xr:uid="{00000000-0005-0000-0000-0000D10A0000}"/>
    <cellStyle name="Currency 3 2 2 2 9" xfId="2793" xr:uid="{00000000-0005-0000-0000-0000D20A0000}"/>
    <cellStyle name="Currency 3 2 2 2 9 2" xfId="7017" xr:uid="{00000000-0005-0000-0000-0000D30A0000}"/>
    <cellStyle name="Currency 3 2 2 2 9 2 2" xfId="15456" xr:uid="{4E90C0B5-0C4A-4D47-A8E4-935D528DA317}"/>
    <cellStyle name="Currency 3 2 2 2 9 3" xfId="11238" xr:uid="{06D4EB8C-6832-4C8F-AA90-5A79EA514CBE}"/>
    <cellStyle name="Currency 3 2 2 3" xfId="181" xr:uid="{00000000-0005-0000-0000-0000D40A0000}"/>
    <cellStyle name="Currency 3 2 2 3 10" xfId="8857" xr:uid="{E5507B3C-D071-4C30-A512-369BBB4C1CB6}"/>
    <cellStyle name="Currency 3 2 2 3 2" xfId="711" xr:uid="{00000000-0005-0000-0000-0000D50A0000}"/>
    <cellStyle name="Currency 3 2 2 3 2 2" xfId="2972" xr:uid="{00000000-0005-0000-0000-0000D60A0000}"/>
    <cellStyle name="Currency 3 2 2 3 2 2 2" xfId="7195" xr:uid="{00000000-0005-0000-0000-0000D70A0000}"/>
    <cellStyle name="Currency 3 2 2 3 2 2 2 2" xfId="15634" xr:uid="{F179B779-A341-4FB7-88C6-98B1243EAD6B}"/>
    <cellStyle name="Currency 3 2 2 3 2 2 3" xfId="11416" xr:uid="{D3121E95-0C63-4F67-9BE9-CAB7ACD633DA}"/>
    <cellStyle name="Currency 3 2 2 3 2 3" xfId="5050" xr:uid="{00000000-0005-0000-0000-0000D80A0000}"/>
    <cellStyle name="Currency 3 2 2 3 2 3 2" xfId="13489" xr:uid="{153C73DD-6A63-4909-8EE6-A906F08FED5C}"/>
    <cellStyle name="Currency 3 2 2 3 2 4" xfId="9271" xr:uid="{9D30BA3F-070C-4597-8C32-437437E3BC74}"/>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2 2 2" xfId="16047" xr:uid="{BA8DA071-03AF-43D1-B189-9E9E66B57910}"/>
    <cellStyle name="Currency 3 2 2 3 3 2 3" xfId="11829" xr:uid="{E2327D47-40A3-45AF-8B17-674C20280BE6}"/>
    <cellStyle name="Currency 3 2 2 3 3 3" xfId="5463" xr:uid="{00000000-0005-0000-0000-0000DC0A0000}"/>
    <cellStyle name="Currency 3 2 2 3 3 3 2" xfId="13902" xr:uid="{9080D7E9-CA99-413A-B6A8-154890DD8EE4}"/>
    <cellStyle name="Currency 3 2 2 3 3 4" xfId="9684" xr:uid="{5B45E42E-C3E0-4968-AD2A-5E79AEC29BA5}"/>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2 2 2" xfId="16460" xr:uid="{A15C692F-9E01-4CD1-AF5B-D78F7E3D95D9}"/>
    <cellStyle name="Currency 3 2 2 3 4 2 3" xfId="12242" xr:uid="{3D055E2F-4C83-411A-9A9A-0D0062716B07}"/>
    <cellStyle name="Currency 3 2 2 3 4 3" xfId="5876" xr:uid="{00000000-0005-0000-0000-0000E00A0000}"/>
    <cellStyle name="Currency 3 2 2 3 4 3 2" xfId="14315" xr:uid="{03F46F76-1FBF-4C35-B6FE-0CF68FC99DEA}"/>
    <cellStyle name="Currency 3 2 2 3 4 4" xfId="10097" xr:uid="{512C422D-1759-489A-8458-64D3AF546C7B}"/>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2 2 2" xfId="16873" xr:uid="{231829DF-A6F8-4F73-81BE-929990CED93F}"/>
    <cellStyle name="Currency 3 2 2 3 5 2 3" xfId="12655" xr:uid="{E52F5454-C373-4BB7-9966-91310F9068CE}"/>
    <cellStyle name="Currency 3 2 2 3 5 3" xfId="6289" xr:uid="{00000000-0005-0000-0000-0000E40A0000}"/>
    <cellStyle name="Currency 3 2 2 3 5 3 2" xfId="14728" xr:uid="{9CA5E786-E24A-4DBA-80C2-757873968161}"/>
    <cellStyle name="Currency 3 2 2 3 5 4" xfId="10510" xr:uid="{3A83AF7C-7D2B-4C4D-99EE-69DF6BE1C125}"/>
    <cellStyle name="Currency 3 2 2 3 6" xfId="2417" xr:uid="{00000000-0005-0000-0000-0000E50A0000}"/>
    <cellStyle name="Currency 3 2 2 3 6 2" xfId="6702" xr:uid="{00000000-0005-0000-0000-0000E60A0000}"/>
    <cellStyle name="Currency 3 2 2 3 6 2 2" xfId="15141" xr:uid="{25B0DA82-F270-4668-B30D-368FA35462C9}"/>
    <cellStyle name="Currency 3 2 2 3 6 3" xfId="10923" xr:uid="{D8644E2C-B6D2-4FA9-9087-08C9B40A65B2}"/>
    <cellStyle name="Currency 3 2 2 3 7" xfId="2714" xr:uid="{00000000-0005-0000-0000-0000E70A0000}"/>
    <cellStyle name="Currency 3 2 2 3 8" xfId="2795" xr:uid="{00000000-0005-0000-0000-0000E80A0000}"/>
    <cellStyle name="Currency 3 2 2 3 8 2" xfId="7019" xr:uid="{00000000-0005-0000-0000-0000E90A0000}"/>
    <cellStyle name="Currency 3 2 2 3 8 2 2" xfId="15458" xr:uid="{A50E47C1-8C77-4A5D-AD82-29FAC6D333F0}"/>
    <cellStyle name="Currency 3 2 2 3 8 3" xfId="11240" xr:uid="{2162D83F-5892-480F-8F7A-639A6BD5E575}"/>
    <cellStyle name="Currency 3 2 2 3 9" xfId="4636" xr:uid="{00000000-0005-0000-0000-0000EA0A0000}"/>
    <cellStyle name="Currency 3 2 2 3 9 2" xfId="13075" xr:uid="{5E5F032F-ABE8-4098-8FEB-AC4200F402DD}"/>
    <cellStyle name="Currency 3 2 2 4" xfId="708" xr:uid="{00000000-0005-0000-0000-0000EB0A0000}"/>
    <cellStyle name="Currency 3 2 2 4 2" xfId="2969" xr:uid="{00000000-0005-0000-0000-0000EC0A0000}"/>
    <cellStyle name="Currency 3 2 2 4 2 2" xfId="7192" xr:uid="{00000000-0005-0000-0000-0000ED0A0000}"/>
    <cellStyle name="Currency 3 2 2 4 2 2 2" xfId="15631" xr:uid="{B4EE06FE-BAD3-4819-9445-4888C0173ACF}"/>
    <cellStyle name="Currency 3 2 2 4 2 3" xfId="11413" xr:uid="{11CBAAAB-488C-4B26-B69C-1769494F8C42}"/>
    <cellStyle name="Currency 3 2 2 4 3" xfId="5047" xr:uid="{00000000-0005-0000-0000-0000EE0A0000}"/>
    <cellStyle name="Currency 3 2 2 4 3 2" xfId="13486" xr:uid="{DBAACABB-CC10-481B-93A9-F9557DC50D60}"/>
    <cellStyle name="Currency 3 2 2 4 4" xfId="9268" xr:uid="{4133F9B7-E106-4595-BE72-20AE68C5FD10}"/>
    <cellStyle name="Currency 3 2 2 5" xfId="1151" xr:uid="{00000000-0005-0000-0000-0000EF0A0000}"/>
    <cellStyle name="Currency 3 2 2 5 2" xfId="3382" xr:uid="{00000000-0005-0000-0000-0000F00A0000}"/>
    <cellStyle name="Currency 3 2 2 5 2 2" xfId="7605" xr:uid="{00000000-0005-0000-0000-0000F10A0000}"/>
    <cellStyle name="Currency 3 2 2 5 2 2 2" xfId="16044" xr:uid="{6C8FE72A-D347-4BE3-9C18-FF728BE63D2F}"/>
    <cellStyle name="Currency 3 2 2 5 2 3" xfId="11826" xr:uid="{FC932F6E-2599-42A7-8EEE-9AE71BE5CE83}"/>
    <cellStyle name="Currency 3 2 2 5 3" xfId="5460" xr:uid="{00000000-0005-0000-0000-0000F20A0000}"/>
    <cellStyle name="Currency 3 2 2 5 3 2" xfId="13899" xr:uid="{F5D22EB4-5FDE-4F88-8A94-A36985F14620}"/>
    <cellStyle name="Currency 3 2 2 5 4" xfId="9681" xr:uid="{960FEE05-D2C8-4E5C-808E-EE4E3150D5C2}"/>
    <cellStyle name="Currency 3 2 2 6" xfId="1565" xr:uid="{00000000-0005-0000-0000-0000F30A0000}"/>
    <cellStyle name="Currency 3 2 2 6 2" xfId="3795" xr:uid="{00000000-0005-0000-0000-0000F40A0000}"/>
    <cellStyle name="Currency 3 2 2 6 2 2" xfId="8018" xr:uid="{00000000-0005-0000-0000-0000F50A0000}"/>
    <cellStyle name="Currency 3 2 2 6 2 2 2" xfId="16457" xr:uid="{F9179FCF-CC46-4B71-9257-3482AB5E3270}"/>
    <cellStyle name="Currency 3 2 2 6 2 3" xfId="12239" xr:uid="{2B278995-1DE5-4872-BFAF-50609BBB0E27}"/>
    <cellStyle name="Currency 3 2 2 6 3" xfId="5873" xr:uid="{00000000-0005-0000-0000-0000F60A0000}"/>
    <cellStyle name="Currency 3 2 2 6 3 2" xfId="14312" xr:uid="{297BD13F-5D6B-4912-B211-25622E73DF38}"/>
    <cellStyle name="Currency 3 2 2 6 4" xfId="10094" xr:uid="{19883D61-54BD-48B6-89BA-AAAC31C29E81}"/>
    <cellStyle name="Currency 3 2 2 7" xfId="1979" xr:uid="{00000000-0005-0000-0000-0000F70A0000}"/>
    <cellStyle name="Currency 3 2 2 7 2" xfId="4208" xr:uid="{00000000-0005-0000-0000-0000F80A0000}"/>
    <cellStyle name="Currency 3 2 2 7 2 2" xfId="8431" xr:uid="{00000000-0005-0000-0000-0000F90A0000}"/>
    <cellStyle name="Currency 3 2 2 7 2 2 2" xfId="16870" xr:uid="{DC8A8543-D371-484E-85A4-3123802F43B7}"/>
    <cellStyle name="Currency 3 2 2 7 2 3" xfId="12652" xr:uid="{4AFC4E10-5E9C-4529-B980-A9B227213041}"/>
    <cellStyle name="Currency 3 2 2 7 3" xfId="6286" xr:uid="{00000000-0005-0000-0000-0000FA0A0000}"/>
    <cellStyle name="Currency 3 2 2 7 3 2" xfId="14725" xr:uid="{0DF1C0A7-019D-451B-A003-50B7F760F505}"/>
    <cellStyle name="Currency 3 2 2 7 4" xfId="10507" xr:uid="{5D4F44F4-0695-4F28-B5C3-1A684A634B05}"/>
    <cellStyle name="Currency 3 2 2 8" xfId="2414" xr:uid="{00000000-0005-0000-0000-0000FB0A0000}"/>
    <cellStyle name="Currency 3 2 2 8 2" xfId="6699" xr:uid="{00000000-0005-0000-0000-0000FC0A0000}"/>
    <cellStyle name="Currency 3 2 2 8 2 2" xfId="15138" xr:uid="{060EB6A3-6417-4B2B-BAEC-0FFAF13C3713}"/>
    <cellStyle name="Currency 3 2 2 8 3" xfId="10920" xr:uid="{CC2953AE-C01F-4960-98EF-13FF9D3459D7}"/>
    <cellStyle name="Currency 3 2 2 9" xfId="2711" xr:uid="{00000000-0005-0000-0000-0000FD0A0000}"/>
    <cellStyle name="Currency 3 2 3" xfId="182" xr:uid="{00000000-0005-0000-0000-0000FE0A0000}"/>
    <cellStyle name="Currency 3 2 3 10" xfId="4637" xr:uid="{00000000-0005-0000-0000-0000FF0A0000}"/>
    <cellStyle name="Currency 3 2 3 10 2" xfId="13076" xr:uid="{6EA1A7F6-A891-4668-9BC1-766F6A94F4E3}"/>
    <cellStyle name="Currency 3 2 3 11" xfId="8858" xr:uid="{6DE7E749-BF1A-4438-B2C9-072D330AD2FA}"/>
    <cellStyle name="Currency 3 2 3 2" xfId="183" xr:uid="{00000000-0005-0000-0000-0000000B0000}"/>
    <cellStyle name="Currency 3 2 3 2 10" xfId="8859" xr:uid="{7A8E1EEB-38C0-4F3F-95F4-609DA483CDCF}"/>
    <cellStyle name="Currency 3 2 3 2 2" xfId="713" xr:uid="{00000000-0005-0000-0000-0000010B0000}"/>
    <cellStyle name="Currency 3 2 3 2 2 2" xfId="2974" xr:uid="{00000000-0005-0000-0000-0000020B0000}"/>
    <cellStyle name="Currency 3 2 3 2 2 2 2" xfId="7197" xr:uid="{00000000-0005-0000-0000-0000030B0000}"/>
    <cellStyle name="Currency 3 2 3 2 2 2 2 2" xfId="15636" xr:uid="{669BAF05-3A7A-4B27-AD29-A8C2B9097070}"/>
    <cellStyle name="Currency 3 2 3 2 2 2 3" xfId="11418" xr:uid="{1BEDC47B-80E1-4A42-B4FA-A8EE91EA0BC7}"/>
    <cellStyle name="Currency 3 2 3 2 2 3" xfId="5052" xr:uid="{00000000-0005-0000-0000-0000040B0000}"/>
    <cellStyle name="Currency 3 2 3 2 2 3 2" xfId="13491" xr:uid="{B8DCFAE8-E235-4D0C-879D-F133A63B9FC4}"/>
    <cellStyle name="Currency 3 2 3 2 2 4" xfId="9273" xr:uid="{15445BD7-9A5E-47D8-A07A-27B8F240CB15}"/>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2 2 2" xfId="16049" xr:uid="{31954B68-7680-4FDC-ADAC-B7A34FAD497B}"/>
    <cellStyle name="Currency 3 2 3 2 3 2 3" xfId="11831" xr:uid="{84CEB942-EE28-4CDD-B2AD-716A6F52098F}"/>
    <cellStyle name="Currency 3 2 3 2 3 3" xfId="5465" xr:uid="{00000000-0005-0000-0000-0000080B0000}"/>
    <cellStyle name="Currency 3 2 3 2 3 3 2" xfId="13904" xr:uid="{13C319F0-994F-464F-8D53-323E61D63197}"/>
    <cellStyle name="Currency 3 2 3 2 3 4" xfId="9686" xr:uid="{354CBA1C-F2E4-4F09-A47B-238EEFE4318E}"/>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2 2 2" xfId="16462" xr:uid="{FEDE0933-71BB-41FF-92F6-BB6BB1B8B665}"/>
    <cellStyle name="Currency 3 2 3 2 4 2 3" xfId="12244" xr:uid="{B572F362-6DB5-427D-B715-A9FE5B490B03}"/>
    <cellStyle name="Currency 3 2 3 2 4 3" xfId="5878" xr:uid="{00000000-0005-0000-0000-00000C0B0000}"/>
    <cellStyle name="Currency 3 2 3 2 4 3 2" xfId="14317" xr:uid="{A4336883-C892-4DF0-8D24-08C943982BCE}"/>
    <cellStyle name="Currency 3 2 3 2 4 4" xfId="10099" xr:uid="{4DD8C223-D45A-49DA-BF69-2324034ABA6F}"/>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2 2 2" xfId="16875" xr:uid="{8D5F1976-F680-4FED-81B3-37CDAC6E516A}"/>
    <cellStyle name="Currency 3 2 3 2 5 2 3" xfId="12657" xr:uid="{FDBB3A2B-B3F6-4DEB-85B9-97368DA7BB81}"/>
    <cellStyle name="Currency 3 2 3 2 5 3" xfId="6291" xr:uid="{00000000-0005-0000-0000-0000100B0000}"/>
    <cellStyle name="Currency 3 2 3 2 5 3 2" xfId="14730" xr:uid="{6C757B9E-ED57-48C1-AB0C-2F66F529EF0B}"/>
    <cellStyle name="Currency 3 2 3 2 5 4" xfId="10512" xr:uid="{06A6BE76-07B9-45F8-A923-A27EE88E2A94}"/>
    <cellStyle name="Currency 3 2 3 2 6" xfId="2419" xr:uid="{00000000-0005-0000-0000-0000110B0000}"/>
    <cellStyle name="Currency 3 2 3 2 6 2" xfId="6704" xr:uid="{00000000-0005-0000-0000-0000120B0000}"/>
    <cellStyle name="Currency 3 2 3 2 6 2 2" xfId="15143" xr:uid="{D2828276-A0C5-4217-9DAF-1BAAEB39BB1B}"/>
    <cellStyle name="Currency 3 2 3 2 6 3" xfId="10925" xr:uid="{763EF867-2AF9-4692-B26E-62D6DF60AAD9}"/>
    <cellStyle name="Currency 3 2 3 2 7" xfId="2716" xr:uid="{00000000-0005-0000-0000-0000130B0000}"/>
    <cellStyle name="Currency 3 2 3 2 8" xfId="2797" xr:uid="{00000000-0005-0000-0000-0000140B0000}"/>
    <cellStyle name="Currency 3 2 3 2 8 2" xfId="7021" xr:uid="{00000000-0005-0000-0000-0000150B0000}"/>
    <cellStyle name="Currency 3 2 3 2 8 2 2" xfId="15460" xr:uid="{9B667A7D-4AD5-4B99-8E76-7B7FF44EC7EE}"/>
    <cellStyle name="Currency 3 2 3 2 8 3" xfId="11242" xr:uid="{9634C890-96E7-45C5-8C52-3204758BBBA2}"/>
    <cellStyle name="Currency 3 2 3 2 9" xfId="4638" xr:uid="{00000000-0005-0000-0000-0000160B0000}"/>
    <cellStyle name="Currency 3 2 3 2 9 2" xfId="13077" xr:uid="{BC46D2F0-5AE8-4EBD-A589-C1EC464A5F9A}"/>
    <cellStyle name="Currency 3 2 3 3" xfId="712" xr:uid="{00000000-0005-0000-0000-0000170B0000}"/>
    <cellStyle name="Currency 3 2 3 3 2" xfId="2973" xr:uid="{00000000-0005-0000-0000-0000180B0000}"/>
    <cellStyle name="Currency 3 2 3 3 2 2" xfId="7196" xr:uid="{00000000-0005-0000-0000-0000190B0000}"/>
    <cellStyle name="Currency 3 2 3 3 2 2 2" xfId="15635" xr:uid="{43ED4D34-87EA-4B47-9F0E-8C8757B5D981}"/>
    <cellStyle name="Currency 3 2 3 3 2 3" xfId="11417" xr:uid="{34B20A32-B4C6-4277-97B9-752FD8EE68A1}"/>
    <cellStyle name="Currency 3 2 3 3 3" xfId="5051" xr:uid="{00000000-0005-0000-0000-00001A0B0000}"/>
    <cellStyle name="Currency 3 2 3 3 3 2" xfId="13490" xr:uid="{C7EDF073-2A2E-4BBD-8632-C275E5B8CD17}"/>
    <cellStyle name="Currency 3 2 3 3 4" xfId="9272" xr:uid="{7B6AE792-C311-400D-9F68-DCB8CEBACD28}"/>
    <cellStyle name="Currency 3 2 3 4" xfId="1155" xr:uid="{00000000-0005-0000-0000-00001B0B0000}"/>
    <cellStyle name="Currency 3 2 3 4 2" xfId="3386" xr:uid="{00000000-0005-0000-0000-00001C0B0000}"/>
    <cellStyle name="Currency 3 2 3 4 2 2" xfId="7609" xr:uid="{00000000-0005-0000-0000-00001D0B0000}"/>
    <cellStyle name="Currency 3 2 3 4 2 2 2" xfId="16048" xr:uid="{9BE25507-C7D0-4873-B065-C4DC3E7299D1}"/>
    <cellStyle name="Currency 3 2 3 4 2 3" xfId="11830" xr:uid="{30BF4840-41A3-4BD8-8280-D0C0E1746768}"/>
    <cellStyle name="Currency 3 2 3 4 3" xfId="5464" xr:uid="{00000000-0005-0000-0000-00001E0B0000}"/>
    <cellStyle name="Currency 3 2 3 4 3 2" xfId="13903" xr:uid="{7829B72C-E773-4918-9E16-5F631EF1ACE1}"/>
    <cellStyle name="Currency 3 2 3 4 4" xfId="9685" xr:uid="{F3C8BAA3-0BBC-47C5-9CA0-5F3C4CDEFADE}"/>
    <cellStyle name="Currency 3 2 3 5" xfId="1569" xr:uid="{00000000-0005-0000-0000-00001F0B0000}"/>
    <cellStyle name="Currency 3 2 3 5 2" xfId="3799" xr:uid="{00000000-0005-0000-0000-0000200B0000}"/>
    <cellStyle name="Currency 3 2 3 5 2 2" xfId="8022" xr:uid="{00000000-0005-0000-0000-0000210B0000}"/>
    <cellStyle name="Currency 3 2 3 5 2 2 2" xfId="16461" xr:uid="{FE990F83-6B40-4F89-B4DC-4646B6ABB97C}"/>
    <cellStyle name="Currency 3 2 3 5 2 3" xfId="12243" xr:uid="{8691432D-2648-4CAF-99D7-B9C1A165E381}"/>
    <cellStyle name="Currency 3 2 3 5 3" xfId="5877" xr:uid="{00000000-0005-0000-0000-0000220B0000}"/>
    <cellStyle name="Currency 3 2 3 5 3 2" xfId="14316" xr:uid="{FA759ADF-0A61-4A2E-B9DA-2506E1557141}"/>
    <cellStyle name="Currency 3 2 3 5 4" xfId="10098" xr:uid="{DC279A9F-48E7-4A90-9586-264A2BBD0B28}"/>
    <cellStyle name="Currency 3 2 3 6" xfId="1983" xr:uid="{00000000-0005-0000-0000-0000230B0000}"/>
    <cellStyle name="Currency 3 2 3 6 2" xfId="4212" xr:uid="{00000000-0005-0000-0000-0000240B0000}"/>
    <cellStyle name="Currency 3 2 3 6 2 2" xfId="8435" xr:uid="{00000000-0005-0000-0000-0000250B0000}"/>
    <cellStyle name="Currency 3 2 3 6 2 2 2" xfId="16874" xr:uid="{60DA245D-2AF1-45D0-A9D1-1E7E7CE88E56}"/>
    <cellStyle name="Currency 3 2 3 6 2 3" xfId="12656" xr:uid="{660D2619-F011-4B4D-AD36-B471D98D9ADB}"/>
    <cellStyle name="Currency 3 2 3 6 3" xfId="6290" xr:uid="{00000000-0005-0000-0000-0000260B0000}"/>
    <cellStyle name="Currency 3 2 3 6 3 2" xfId="14729" xr:uid="{43B70349-2C2F-470C-89C5-82C978C3BB60}"/>
    <cellStyle name="Currency 3 2 3 6 4" xfId="10511" xr:uid="{806EF0A5-8E8C-42FD-8947-D45563E65FBE}"/>
    <cellStyle name="Currency 3 2 3 7" xfId="2418" xr:uid="{00000000-0005-0000-0000-0000270B0000}"/>
    <cellStyle name="Currency 3 2 3 7 2" xfId="6703" xr:uid="{00000000-0005-0000-0000-0000280B0000}"/>
    <cellStyle name="Currency 3 2 3 7 2 2" xfId="15142" xr:uid="{3A63EF69-CA91-48F1-8BDB-ACDBDED89925}"/>
    <cellStyle name="Currency 3 2 3 7 3" xfId="10924" xr:uid="{8467C73D-22EC-4971-95CB-58EBDF34B8DC}"/>
    <cellStyle name="Currency 3 2 3 8" xfId="2715" xr:uid="{00000000-0005-0000-0000-0000290B0000}"/>
    <cellStyle name="Currency 3 2 3 9" xfId="2796" xr:uid="{00000000-0005-0000-0000-00002A0B0000}"/>
    <cellStyle name="Currency 3 2 3 9 2" xfId="7020" xr:uid="{00000000-0005-0000-0000-00002B0B0000}"/>
    <cellStyle name="Currency 3 2 3 9 2 2" xfId="15459" xr:uid="{EA2294B4-4A57-459F-BBDE-CF018A07923A}"/>
    <cellStyle name="Currency 3 2 3 9 3" xfId="11241" xr:uid="{A669508D-1CE2-436E-8A93-19675DC8FB20}"/>
    <cellStyle name="Currency 3 2 4" xfId="184" xr:uid="{00000000-0005-0000-0000-00002C0B0000}"/>
    <cellStyle name="Currency 3 2 4 10" xfId="8860" xr:uid="{F2875EA7-F919-411B-B164-25CB1FD1FBE5}"/>
    <cellStyle name="Currency 3 2 4 2" xfId="714" xr:uid="{00000000-0005-0000-0000-00002D0B0000}"/>
    <cellStyle name="Currency 3 2 4 2 2" xfId="2975" xr:uid="{00000000-0005-0000-0000-00002E0B0000}"/>
    <cellStyle name="Currency 3 2 4 2 2 2" xfId="7198" xr:uid="{00000000-0005-0000-0000-00002F0B0000}"/>
    <cellStyle name="Currency 3 2 4 2 2 2 2" xfId="15637" xr:uid="{8B01A2E1-E374-4DBD-8CB2-50D8AB616FC2}"/>
    <cellStyle name="Currency 3 2 4 2 2 3" xfId="11419" xr:uid="{56CE7B2F-1DF0-49FA-B3B8-EE80098EF4FF}"/>
    <cellStyle name="Currency 3 2 4 2 3" xfId="5053" xr:uid="{00000000-0005-0000-0000-0000300B0000}"/>
    <cellStyle name="Currency 3 2 4 2 3 2" xfId="13492" xr:uid="{9B5CEB5D-6314-4FE8-A10E-74562D14CA5F}"/>
    <cellStyle name="Currency 3 2 4 2 4" xfId="9274" xr:uid="{FA717BBC-1E59-4E44-A8B6-C334AF692DBC}"/>
    <cellStyle name="Currency 3 2 4 3" xfId="1157" xr:uid="{00000000-0005-0000-0000-0000310B0000}"/>
    <cellStyle name="Currency 3 2 4 3 2" xfId="3388" xr:uid="{00000000-0005-0000-0000-0000320B0000}"/>
    <cellStyle name="Currency 3 2 4 3 2 2" xfId="7611" xr:uid="{00000000-0005-0000-0000-0000330B0000}"/>
    <cellStyle name="Currency 3 2 4 3 2 2 2" xfId="16050" xr:uid="{E677904B-6609-4AAD-8D79-A165481E4B50}"/>
    <cellStyle name="Currency 3 2 4 3 2 3" xfId="11832" xr:uid="{0017A7A2-9327-402F-AD52-C76730A8C4B2}"/>
    <cellStyle name="Currency 3 2 4 3 3" xfId="5466" xr:uid="{00000000-0005-0000-0000-0000340B0000}"/>
    <cellStyle name="Currency 3 2 4 3 3 2" xfId="13905" xr:uid="{3B8C57D4-BF6C-479B-A56E-E2D0637A0A5A}"/>
    <cellStyle name="Currency 3 2 4 3 4" xfId="9687" xr:uid="{710816CB-1A9A-43C6-AE9F-580DF0D7CFBE}"/>
    <cellStyle name="Currency 3 2 4 4" xfId="1571" xr:uid="{00000000-0005-0000-0000-0000350B0000}"/>
    <cellStyle name="Currency 3 2 4 4 2" xfId="3801" xr:uid="{00000000-0005-0000-0000-0000360B0000}"/>
    <cellStyle name="Currency 3 2 4 4 2 2" xfId="8024" xr:uid="{00000000-0005-0000-0000-0000370B0000}"/>
    <cellStyle name="Currency 3 2 4 4 2 2 2" xfId="16463" xr:uid="{6318836B-66CB-4B85-82FB-1A181824FF4A}"/>
    <cellStyle name="Currency 3 2 4 4 2 3" xfId="12245" xr:uid="{9768BD4F-64D3-473F-AD77-9384AA0EC23F}"/>
    <cellStyle name="Currency 3 2 4 4 3" xfId="5879" xr:uid="{00000000-0005-0000-0000-0000380B0000}"/>
    <cellStyle name="Currency 3 2 4 4 3 2" xfId="14318" xr:uid="{06725308-89D2-43D3-A31A-6C2A444E969B}"/>
    <cellStyle name="Currency 3 2 4 4 4" xfId="10100" xr:uid="{03E8CEA0-B4CD-4A37-BE40-52A75F387B06}"/>
    <cellStyle name="Currency 3 2 4 5" xfId="1985" xr:uid="{00000000-0005-0000-0000-0000390B0000}"/>
    <cellStyle name="Currency 3 2 4 5 2" xfId="4214" xr:uid="{00000000-0005-0000-0000-00003A0B0000}"/>
    <cellStyle name="Currency 3 2 4 5 2 2" xfId="8437" xr:uid="{00000000-0005-0000-0000-00003B0B0000}"/>
    <cellStyle name="Currency 3 2 4 5 2 2 2" xfId="16876" xr:uid="{DDC34122-3753-4A8D-B625-E2571614C558}"/>
    <cellStyle name="Currency 3 2 4 5 2 3" xfId="12658" xr:uid="{437BC5F1-9152-4B8E-BCBF-D84CEE495871}"/>
    <cellStyle name="Currency 3 2 4 5 3" xfId="6292" xr:uid="{00000000-0005-0000-0000-00003C0B0000}"/>
    <cellStyle name="Currency 3 2 4 5 3 2" xfId="14731" xr:uid="{BB811AA2-A1AB-49B1-9B04-A4A7687EB4FE}"/>
    <cellStyle name="Currency 3 2 4 5 4" xfId="10513" xr:uid="{B092CE91-6097-44A5-AE12-F3995FBD97E1}"/>
    <cellStyle name="Currency 3 2 4 6" xfId="2420" xr:uid="{00000000-0005-0000-0000-00003D0B0000}"/>
    <cellStyle name="Currency 3 2 4 6 2" xfId="6705" xr:uid="{00000000-0005-0000-0000-00003E0B0000}"/>
    <cellStyle name="Currency 3 2 4 6 2 2" xfId="15144" xr:uid="{DE5FB43D-2377-4BB3-8271-47B8C93E574B}"/>
    <cellStyle name="Currency 3 2 4 6 3" xfId="10926" xr:uid="{E9935F8F-1E97-49FD-BCE4-8FCF0FC8DA18}"/>
    <cellStyle name="Currency 3 2 4 7" xfId="2717" xr:uid="{00000000-0005-0000-0000-00003F0B0000}"/>
    <cellStyle name="Currency 3 2 4 8" xfId="2798" xr:uid="{00000000-0005-0000-0000-0000400B0000}"/>
    <cellStyle name="Currency 3 2 4 8 2" xfId="7022" xr:uid="{00000000-0005-0000-0000-0000410B0000}"/>
    <cellStyle name="Currency 3 2 4 8 2 2" xfId="15461" xr:uid="{CA978451-C02E-496F-832B-4C42BF7A97D3}"/>
    <cellStyle name="Currency 3 2 4 8 3" xfId="11243" xr:uid="{4F7DB60A-6692-42FA-A5E1-C2377D468998}"/>
    <cellStyle name="Currency 3 2 4 9" xfId="4639" xr:uid="{00000000-0005-0000-0000-0000420B0000}"/>
    <cellStyle name="Currency 3 2 4 9 2" xfId="13078" xr:uid="{3ED0A33B-9CFE-45DE-9D32-4957F6C3B2EA}"/>
    <cellStyle name="Currency 3 2 5" xfId="185" xr:uid="{00000000-0005-0000-0000-0000430B0000}"/>
    <cellStyle name="Currency 3 2 5 10" xfId="8861" xr:uid="{FAC38BCF-830F-4501-A06E-384CAED2008E}"/>
    <cellStyle name="Currency 3 2 5 2" xfId="715" xr:uid="{00000000-0005-0000-0000-0000440B0000}"/>
    <cellStyle name="Currency 3 2 5 2 2" xfId="2976" xr:uid="{00000000-0005-0000-0000-0000450B0000}"/>
    <cellStyle name="Currency 3 2 5 2 2 2" xfId="7199" xr:uid="{00000000-0005-0000-0000-0000460B0000}"/>
    <cellStyle name="Currency 3 2 5 2 2 2 2" xfId="15638" xr:uid="{F8159BAE-FE4A-4BE6-8F24-AB1B995C8E62}"/>
    <cellStyle name="Currency 3 2 5 2 2 3" xfId="11420" xr:uid="{B6BF59DB-4D31-4A30-9903-59A24120BA2F}"/>
    <cellStyle name="Currency 3 2 5 2 3" xfId="5054" xr:uid="{00000000-0005-0000-0000-0000470B0000}"/>
    <cellStyle name="Currency 3 2 5 2 3 2" xfId="13493" xr:uid="{9DCE6E1D-3641-4B24-88A8-55D831040DFB}"/>
    <cellStyle name="Currency 3 2 5 2 4" xfId="9275" xr:uid="{81D439E2-A674-479A-B70D-721B9E7E28C1}"/>
    <cellStyle name="Currency 3 2 5 3" xfId="1158" xr:uid="{00000000-0005-0000-0000-0000480B0000}"/>
    <cellStyle name="Currency 3 2 5 3 2" xfId="3389" xr:uid="{00000000-0005-0000-0000-0000490B0000}"/>
    <cellStyle name="Currency 3 2 5 3 2 2" xfId="7612" xr:uid="{00000000-0005-0000-0000-00004A0B0000}"/>
    <cellStyle name="Currency 3 2 5 3 2 2 2" xfId="16051" xr:uid="{0250E575-833F-4767-96DE-C2CC13734335}"/>
    <cellStyle name="Currency 3 2 5 3 2 3" xfId="11833" xr:uid="{A65DAF75-1E45-41B6-95B1-5BD044A0E847}"/>
    <cellStyle name="Currency 3 2 5 3 3" xfId="5467" xr:uid="{00000000-0005-0000-0000-00004B0B0000}"/>
    <cellStyle name="Currency 3 2 5 3 3 2" xfId="13906" xr:uid="{21E5A2F4-E21E-46FC-AF29-B88A8C27A0D6}"/>
    <cellStyle name="Currency 3 2 5 3 4" xfId="9688" xr:uid="{7EC090FD-7E0A-4959-BDEE-4B2054973A08}"/>
    <cellStyle name="Currency 3 2 5 4" xfId="1572" xr:uid="{00000000-0005-0000-0000-00004C0B0000}"/>
    <cellStyle name="Currency 3 2 5 4 2" xfId="3802" xr:uid="{00000000-0005-0000-0000-00004D0B0000}"/>
    <cellStyle name="Currency 3 2 5 4 2 2" xfId="8025" xr:uid="{00000000-0005-0000-0000-00004E0B0000}"/>
    <cellStyle name="Currency 3 2 5 4 2 2 2" xfId="16464" xr:uid="{94A20562-2CC5-492F-8742-A0A5875F4067}"/>
    <cellStyle name="Currency 3 2 5 4 2 3" xfId="12246" xr:uid="{A9957098-43D0-453A-9731-A1F4EB425E7D}"/>
    <cellStyle name="Currency 3 2 5 4 3" xfId="5880" xr:uid="{00000000-0005-0000-0000-00004F0B0000}"/>
    <cellStyle name="Currency 3 2 5 4 3 2" xfId="14319" xr:uid="{EA725656-404A-4D07-93E0-8CED6352D067}"/>
    <cellStyle name="Currency 3 2 5 4 4" xfId="10101" xr:uid="{5A952788-F52F-4AAD-9373-99A5A8365015}"/>
    <cellStyle name="Currency 3 2 5 5" xfId="1986" xr:uid="{00000000-0005-0000-0000-0000500B0000}"/>
    <cellStyle name="Currency 3 2 5 5 2" xfId="4215" xr:uid="{00000000-0005-0000-0000-0000510B0000}"/>
    <cellStyle name="Currency 3 2 5 5 2 2" xfId="8438" xr:uid="{00000000-0005-0000-0000-0000520B0000}"/>
    <cellStyle name="Currency 3 2 5 5 2 2 2" xfId="16877" xr:uid="{FD390F29-4A9C-4CAA-B1A1-0CD5490DBC32}"/>
    <cellStyle name="Currency 3 2 5 5 2 3" xfId="12659" xr:uid="{B6912C5E-BB81-4558-BD94-06D414F332E2}"/>
    <cellStyle name="Currency 3 2 5 5 3" xfId="6293" xr:uid="{00000000-0005-0000-0000-0000530B0000}"/>
    <cellStyle name="Currency 3 2 5 5 3 2" xfId="14732" xr:uid="{F76619E9-DDFF-4524-A4B1-255F64438B7E}"/>
    <cellStyle name="Currency 3 2 5 5 4" xfId="10514" xr:uid="{88758CF7-93D1-41A9-9BCB-26C83B428C29}"/>
    <cellStyle name="Currency 3 2 5 6" xfId="2421" xr:uid="{00000000-0005-0000-0000-0000540B0000}"/>
    <cellStyle name="Currency 3 2 5 6 2" xfId="6706" xr:uid="{00000000-0005-0000-0000-0000550B0000}"/>
    <cellStyle name="Currency 3 2 5 6 2 2" xfId="15145" xr:uid="{986EC425-2697-422F-BF8C-A3E3CE8F4E2C}"/>
    <cellStyle name="Currency 3 2 5 6 3" xfId="10927" xr:uid="{77A93AE8-F051-4EF1-BAB1-3E43C9554F0F}"/>
    <cellStyle name="Currency 3 2 5 7" xfId="2718" xr:uid="{00000000-0005-0000-0000-0000560B0000}"/>
    <cellStyle name="Currency 3 2 5 8" xfId="2799" xr:uid="{00000000-0005-0000-0000-0000570B0000}"/>
    <cellStyle name="Currency 3 2 5 8 2" xfId="7023" xr:uid="{00000000-0005-0000-0000-0000580B0000}"/>
    <cellStyle name="Currency 3 2 5 8 2 2" xfId="15462" xr:uid="{C75CC481-859C-4BB6-9904-FCD105B79DEC}"/>
    <cellStyle name="Currency 3 2 5 8 3" xfId="11244" xr:uid="{2867C820-BF4B-4D38-9CDA-405015FD4B9D}"/>
    <cellStyle name="Currency 3 2 5 9" xfId="4640" xr:uid="{00000000-0005-0000-0000-0000590B0000}"/>
    <cellStyle name="Currency 3 2 5 9 2" xfId="13079" xr:uid="{B9C99815-C135-4B6B-A2F8-827C8B4A20D5}"/>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0 2 2" xfId="15463" xr:uid="{3A252157-10F7-47CD-9D36-64EBB0A38F39}"/>
    <cellStyle name="Currency 5 2 2 2 10 3" xfId="11245" xr:uid="{6832AB46-BC17-40CC-892C-3548F4A2992D}"/>
    <cellStyle name="Currency 5 2 2 2 11" xfId="4641" xr:uid="{00000000-0005-0000-0000-00006C0B0000}"/>
    <cellStyle name="Currency 5 2 2 2 11 2" xfId="13080" xr:uid="{55E2054F-F885-4283-ACA1-A150D7F4A6D9}"/>
    <cellStyle name="Currency 5 2 2 2 12" xfId="8862" xr:uid="{73947456-CEA2-485B-8B72-F81E4ADB997E}"/>
    <cellStyle name="Currency 5 2 2 2 2" xfId="197" xr:uid="{00000000-0005-0000-0000-00006D0B0000}"/>
    <cellStyle name="Currency 5 2 2 2 2 10" xfId="4642" xr:uid="{00000000-0005-0000-0000-00006E0B0000}"/>
    <cellStyle name="Currency 5 2 2 2 2 10 2" xfId="13081" xr:uid="{04FDFC93-19A4-47A3-ABC2-B3E3A351E946}"/>
    <cellStyle name="Currency 5 2 2 2 2 11" xfId="8863" xr:uid="{B52B794F-6D23-443C-83F3-CFBEEE1704B5}"/>
    <cellStyle name="Currency 5 2 2 2 2 2" xfId="198" xr:uid="{00000000-0005-0000-0000-00006F0B0000}"/>
    <cellStyle name="Currency 5 2 2 2 2 2 10" xfId="8864" xr:uid="{56A922FB-A277-41D8-A7AC-C470E757995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2 2 2" xfId="15641" xr:uid="{324A5BB7-C102-4BF5-B73C-2BBE38DE2D83}"/>
    <cellStyle name="Currency 5 2 2 2 2 2 2 2 3" xfId="11423" xr:uid="{874D9210-DE25-4DDE-BB1B-E2D2242B3D89}"/>
    <cellStyle name="Currency 5 2 2 2 2 2 2 3" xfId="5057" xr:uid="{00000000-0005-0000-0000-0000730B0000}"/>
    <cellStyle name="Currency 5 2 2 2 2 2 2 3 2" xfId="13496" xr:uid="{42A5D55E-1484-4F45-B439-66C90B99E03E}"/>
    <cellStyle name="Currency 5 2 2 2 2 2 2 4" xfId="9278" xr:uid="{8592E94A-106C-4648-A6F3-5AC63AECB7BA}"/>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2 2 2" xfId="16054" xr:uid="{C327034F-9A49-4CE7-ACB3-C3C5B680E470}"/>
    <cellStyle name="Currency 5 2 2 2 2 2 3 2 3" xfId="11836" xr:uid="{9154EFE7-0768-4B28-9DD1-5744F8D7A1F2}"/>
    <cellStyle name="Currency 5 2 2 2 2 2 3 3" xfId="5470" xr:uid="{00000000-0005-0000-0000-0000770B0000}"/>
    <cellStyle name="Currency 5 2 2 2 2 2 3 3 2" xfId="13909" xr:uid="{FF127BB9-E279-4D8E-A35C-573AE4CD397D}"/>
    <cellStyle name="Currency 5 2 2 2 2 2 3 4" xfId="9691" xr:uid="{E15F2B22-F794-4D2B-96AB-3FAA75E5987D}"/>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2 2 2" xfId="16467" xr:uid="{34EFEEEE-3922-4369-AE99-A0834DB079B4}"/>
    <cellStyle name="Currency 5 2 2 2 2 2 4 2 3" xfId="12249" xr:uid="{60A22302-4380-4387-9C5D-C5A310ADC38E}"/>
    <cellStyle name="Currency 5 2 2 2 2 2 4 3" xfId="5883" xr:uid="{00000000-0005-0000-0000-00007B0B0000}"/>
    <cellStyle name="Currency 5 2 2 2 2 2 4 3 2" xfId="14322" xr:uid="{A9237419-B048-4FCD-8A33-E285AB05678C}"/>
    <cellStyle name="Currency 5 2 2 2 2 2 4 4" xfId="10104" xr:uid="{403FC33D-88D9-4738-92A5-475F11D3EA77}"/>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2 2 2" xfId="16880" xr:uid="{C2FEEBD7-7F40-4B96-BDA3-483C17337410}"/>
    <cellStyle name="Currency 5 2 2 2 2 2 5 2 3" xfId="12662" xr:uid="{7B36AF89-3C46-4AA8-8B60-E9CF25D61FC9}"/>
    <cellStyle name="Currency 5 2 2 2 2 2 5 3" xfId="6296" xr:uid="{00000000-0005-0000-0000-00007F0B0000}"/>
    <cellStyle name="Currency 5 2 2 2 2 2 5 3 2" xfId="14735" xr:uid="{479E5A6D-C4F5-4EA6-9401-2FDE6BB8B537}"/>
    <cellStyle name="Currency 5 2 2 2 2 2 5 4" xfId="10517" xr:uid="{480B6ABB-424C-4972-9D7B-7EF1FBCB6065}"/>
    <cellStyle name="Currency 5 2 2 2 2 2 6" xfId="2424" xr:uid="{00000000-0005-0000-0000-0000800B0000}"/>
    <cellStyle name="Currency 5 2 2 2 2 2 6 2" xfId="6709" xr:uid="{00000000-0005-0000-0000-0000810B0000}"/>
    <cellStyle name="Currency 5 2 2 2 2 2 6 2 2" xfId="15148" xr:uid="{F587C5DA-2668-41E8-927D-232A5111B970}"/>
    <cellStyle name="Currency 5 2 2 2 2 2 6 3" xfId="10930" xr:uid="{90BDA587-31DC-4B91-9F8F-FBC276A3DE7A}"/>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8 2 2" xfId="15465" xr:uid="{2163DF5C-C7FF-45E8-B27A-8B10F240C328}"/>
    <cellStyle name="Currency 5 2 2 2 2 2 8 3" xfId="11247" xr:uid="{5BC94B58-B3D7-4996-8A80-033F001FEF5A}"/>
    <cellStyle name="Currency 5 2 2 2 2 2 9" xfId="4643" xr:uid="{00000000-0005-0000-0000-0000850B0000}"/>
    <cellStyle name="Currency 5 2 2 2 2 2 9 2" xfId="13082" xr:uid="{AE96B80C-9D91-4E08-B493-3B13493A2518}"/>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2 2 2" xfId="15640" xr:uid="{0EDF2497-F256-4723-80C1-C3C73674C286}"/>
    <cellStyle name="Currency 5 2 2 2 2 3 2 3" xfId="11422" xr:uid="{E0EC6093-3A71-4BCA-90C6-9FE1D9D0AF38}"/>
    <cellStyle name="Currency 5 2 2 2 2 3 3" xfId="5056" xr:uid="{00000000-0005-0000-0000-0000890B0000}"/>
    <cellStyle name="Currency 5 2 2 2 2 3 3 2" xfId="13495" xr:uid="{B8DDE07A-E2A1-4743-8CA6-9FB6671E98E7}"/>
    <cellStyle name="Currency 5 2 2 2 2 3 4" xfId="9277" xr:uid="{9F084994-DE7B-453C-8F06-BED362813F82}"/>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2 2 2" xfId="16053" xr:uid="{156CE407-5370-4CEB-AAF8-B9CB98488277}"/>
    <cellStyle name="Currency 5 2 2 2 2 4 2 3" xfId="11835" xr:uid="{C5D844C2-05A7-417A-BA52-5301FF8EAAE6}"/>
    <cellStyle name="Currency 5 2 2 2 2 4 3" xfId="5469" xr:uid="{00000000-0005-0000-0000-00008D0B0000}"/>
    <cellStyle name="Currency 5 2 2 2 2 4 3 2" xfId="13908" xr:uid="{F7E6B753-FD4D-4AA7-A8DE-0FAC2CCA32B9}"/>
    <cellStyle name="Currency 5 2 2 2 2 4 4" xfId="9690" xr:uid="{19B716CC-2BFB-4BC7-AC5C-82736ABD9118}"/>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2 2 2" xfId="16466" xr:uid="{C5C619CD-36BB-4CF6-948B-D5788DBD6AD1}"/>
    <cellStyle name="Currency 5 2 2 2 2 5 2 3" xfId="12248" xr:uid="{39776EB5-CACD-4459-A700-288B737A941F}"/>
    <cellStyle name="Currency 5 2 2 2 2 5 3" xfId="5882" xr:uid="{00000000-0005-0000-0000-0000910B0000}"/>
    <cellStyle name="Currency 5 2 2 2 2 5 3 2" xfId="14321" xr:uid="{1A54B113-0705-491E-9281-9E673875A377}"/>
    <cellStyle name="Currency 5 2 2 2 2 5 4" xfId="10103" xr:uid="{A738B43D-86E0-4184-B067-21B718F0F168}"/>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2 2 2" xfId="16879" xr:uid="{99170359-9C59-471E-BEE2-EF0C34A11F19}"/>
    <cellStyle name="Currency 5 2 2 2 2 6 2 3" xfId="12661" xr:uid="{38840F4B-9E4B-4575-B89B-C060BE881BEF}"/>
    <cellStyle name="Currency 5 2 2 2 2 6 3" xfId="6295" xr:uid="{00000000-0005-0000-0000-0000950B0000}"/>
    <cellStyle name="Currency 5 2 2 2 2 6 3 2" xfId="14734" xr:uid="{2B0095C4-A9B6-4912-AD3C-D0CBB97C8F52}"/>
    <cellStyle name="Currency 5 2 2 2 2 6 4" xfId="10516" xr:uid="{B1B08516-CBAD-4F6A-AA9F-0BE606024884}"/>
    <cellStyle name="Currency 5 2 2 2 2 7" xfId="2423" xr:uid="{00000000-0005-0000-0000-0000960B0000}"/>
    <cellStyle name="Currency 5 2 2 2 2 7 2" xfId="6708" xr:uid="{00000000-0005-0000-0000-0000970B0000}"/>
    <cellStyle name="Currency 5 2 2 2 2 7 2 2" xfId="15147" xr:uid="{72A31530-04B0-4199-BD10-374D3902D196}"/>
    <cellStyle name="Currency 5 2 2 2 2 7 3" xfId="10929" xr:uid="{A748E1D0-F466-4B9D-9812-60548D988A24}"/>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2 9 2 2" xfId="15464" xr:uid="{0F0D051E-A2FE-4B9E-8447-04A3312AEDFE}"/>
    <cellStyle name="Currency 5 2 2 2 2 9 3" xfId="11246" xr:uid="{27B2B325-220A-4181-BCAF-31000E066179}"/>
    <cellStyle name="Currency 5 2 2 2 3" xfId="199" xr:uid="{00000000-0005-0000-0000-00009B0B0000}"/>
    <cellStyle name="Currency 5 2 2 2 3 10" xfId="8865" xr:uid="{626E0F40-3DB1-42D2-B488-9DF6A7A29F9D}"/>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2 2 2" xfId="15642" xr:uid="{997812D8-16D9-4E60-9CFF-12ED7129D468}"/>
    <cellStyle name="Currency 5 2 2 2 3 2 2 3" xfId="11424" xr:uid="{AD72F6BC-CC72-401F-8F31-3EDE95122475}"/>
    <cellStyle name="Currency 5 2 2 2 3 2 3" xfId="5058" xr:uid="{00000000-0005-0000-0000-00009F0B0000}"/>
    <cellStyle name="Currency 5 2 2 2 3 2 3 2" xfId="13497" xr:uid="{44A86D9C-E93E-4318-B1F2-D8A3CD5E2FA6}"/>
    <cellStyle name="Currency 5 2 2 2 3 2 4" xfId="9279" xr:uid="{C0EBBF76-3A7C-44CB-BAB1-88C6591B286F}"/>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2 2 2" xfId="16055" xr:uid="{4A6AD52F-BD31-433E-B017-35411214FEF8}"/>
    <cellStyle name="Currency 5 2 2 2 3 3 2 3" xfId="11837" xr:uid="{0E967AA7-0CB5-45D9-975C-8C83ABF6666C}"/>
    <cellStyle name="Currency 5 2 2 2 3 3 3" xfId="5471" xr:uid="{00000000-0005-0000-0000-0000A30B0000}"/>
    <cellStyle name="Currency 5 2 2 2 3 3 3 2" xfId="13910" xr:uid="{BE2E1C7F-B730-4915-94E0-2337EDC33F31}"/>
    <cellStyle name="Currency 5 2 2 2 3 3 4" xfId="9692" xr:uid="{CE597CA2-EE5C-43E2-AEEB-357BD490C987}"/>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2 2 2" xfId="16468" xr:uid="{886E8451-6846-45BC-A351-86A581C54DEC}"/>
    <cellStyle name="Currency 5 2 2 2 3 4 2 3" xfId="12250" xr:uid="{1B3674BA-D01C-4149-9261-5A0C9B322583}"/>
    <cellStyle name="Currency 5 2 2 2 3 4 3" xfId="5884" xr:uid="{00000000-0005-0000-0000-0000A70B0000}"/>
    <cellStyle name="Currency 5 2 2 2 3 4 3 2" xfId="14323" xr:uid="{F0C5B93B-DC15-449C-91EA-765D913102AC}"/>
    <cellStyle name="Currency 5 2 2 2 3 4 4" xfId="10105" xr:uid="{D0E63E5C-145E-4832-BC8E-73601DDBE4A8}"/>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2 2 2" xfId="16881" xr:uid="{92C5443E-AC43-4697-8C93-724608B3BFBB}"/>
    <cellStyle name="Currency 5 2 2 2 3 5 2 3" xfId="12663" xr:uid="{88884D7A-31D0-41E1-AB50-A82506CCADFE}"/>
    <cellStyle name="Currency 5 2 2 2 3 5 3" xfId="6297" xr:uid="{00000000-0005-0000-0000-0000AB0B0000}"/>
    <cellStyle name="Currency 5 2 2 2 3 5 3 2" xfId="14736" xr:uid="{7214CE3B-39DF-402F-9A99-1C5173EB965A}"/>
    <cellStyle name="Currency 5 2 2 2 3 5 4" xfId="10518" xr:uid="{3C5967A6-F19C-46E2-99EB-79C3C51A93E7}"/>
    <cellStyle name="Currency 5 2 2 2 3 6" xfId="2425" xr:uid="{00000000-0005-0000-0000-0000AC0B0000}"/>
    <cellStyle name="Currency 5 2 2 2 3 6 2" xfId="6710" xr:uid="{00000000-0005-0000-0000-0000AD0B0000}"/>
    <cellStyle name="Currency 5 2 2 2 3 6 2 2" xfId="15149" xr:uid="{BF722044-A7BB-4733-8C5D-B3ABF948474F}"/>
    <cellStyle name="Currency 5 2 2 2 3 6 3" xfId="10931" xr:uid="{CEB76E7E-D5D7-4F30-AC2E-59EAF1774DBD}"/>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8 2 2" xfId="15466" xr:uid="{48441C67-9978-4E7A-B647-258C07D9ADFA}"/>
    <cellStyle name="Currency 5 2 2 2 3 8 3" xfId="11248" xr:uid="{C7E41817-6634-41AB-86CA-3204FF333207}"/>
    <cellStyle name="Currency 5 2 2 2 3 9" xfId="4644" xr:uid="{00000000-0005-0000-0000-0000B10B0000}"/>
    <cellStyle name="Currency 5 2 2 2 3 9 2" xfId="13083" xr:uid="{4195C87F-39EB-4FF1-B879-EC115EB11C8D}"/>
    <cellStyle name="Currency 5 2 2 2 4" xfId="723" xr:uid="{00000000-0005-0000-0000-0000B20B0000}"/>
    <cellStyle name="Currency 5 2 2 2 4 2" xfId="2977" xr:uid="{00000000-0005-0000-0000-0000B30B0000}"/>
    <cellStyle name="Currency 5 2 2 2 4 2 2" xfId="7200" xr:uid="{00000000-0005-0000-0000-0000B40B0000}"/>
    <cellStyle name="Currency 5 2 2 2 4 2 2 2" xfId="15639" xr:uid="{14B12E27-A628-4173-B21E-DC7C8219B987}"/>
    <cellStyle name="Currency 5 2 2 2 4 2 3" xfId="11421" xr:uid="{F8D19EC0-D569-4995-96BC-7906331E9214}"/>
    <cellStyle name="Currency 5 2 2 2 4 3" xfId="5055" xr:uid="{00000000-0005-0000-0000-0000B50B0000}"/>
    <cellStyle name="Currency 5 2 2 2 4 3 2" xfId="13494" xr:uid="{BB30352A-13F7-43EF-BC95-47A789D235C4}"/>
    <cellStyle name="Currency 5 2 2 2 4 4" xfId="9276" xr:uid="{6F1297EA-3C95-4D86-8ED3-EA220BD869FD}"/>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2 2 2" xfId="16052" xr:uid="{3A75D70E-47F9-4154-8FED-38903ED0A524}"/>
    <cellStyle name="Currency 5 2 2 2 5 2 3" xfId="11834" xr:uid="{7C5C56B3-CDD5-41F0-BC83-783101BB4275}"/>
    <cellStyle name="Currency 5 2 2 2 5 3" xfId="5468" xr:uid="{00000000-0005-0000-0000-0000B90B0000}"/>
    <cellStyle name="Currency 5 2 2 2 5 3 2" xfId="13907" xr:uid="{13C418E9-34F7-45E6-96BE-FAA4325CEE01}"/>
    <cellStyle name="Currency 5 2 2 2 5 4" xfId="9689" xr:uid="{5C56A069-4A5A-48F8-8287-E946CBCDF5DD}"/>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2 2 2" xfId="16465" xr:uid="{31CDE96D-60D5-4137-AF02-18041638F9CB}"/>
    <cellStyle name="Currency 5 2 2 2 6 2 3" xfId="12247" xr:uid="{0CD2D831-983E-4884-B743-3785E4FF0AAD}"/>
    <cellStyle name="Currency 5 2 2 2 6 3" xfId="5881" xr:uid="{00000000-0005-0000-0000-0000BD0B0000}"/>
    <cellStyle name="Currency 5 2 2 2 6 3 2" xfId="14320" xr:uid="{FB02B7BE-E14B-4228-8A23-637CDBA6C93A}"/>
    <cellStyle name="Currency 5 2 2 2 6 4" xfId="10102" xr:uid="{25D794B4-683A-42FC-BB77-48CCDBBA4B54}"/>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2 2 2" xfId="16878" xr:uid="{79643B98-448B-4177-99FA-610E1C826EAA}"/>
    <cellStyle name="Currency 5 2 2 2 7 2 3" xfId="12660" xr:uid="{46945A5D-6DFB-462F-A530-857915FD0C12}"/>
    <cellStyle name="Currency 5 2 2 2 7 3" xfId="6294" xr:uid="{00000000-0005-0000-0000-0000C10B0000}"/>
    <cellStyle name="Currency 5 2 2 2 7 3 2" xfId="14733" xr:uid="{97E46863-1400-4A78-9504-A8C4459A7336}"/>
    <cellStyle name="Currency 5 2 2 2 7 4" xfId="10515" xr:uid="{F5AF7678-C87F-4F95-B6D9-374C4C5BD876}"/>
    <cellStyle name="Currency 5 2 2 2 8" xfId="2422" xr:uid="{00000000-0005-0000-0000-0000C20B0000}"/>
    <cellStyle name="Currency 5 2 2 2 8 2" xfId="6707" xr:uid="{00000000-0005-0000-0000-0000C30B0000}"/>
    <cellStyle name="Currency 5 2 2 2 8 2 2" xfId="15146" xr:uid="{04B54542-F5B3-4688-ABCC-91D53EDCE8F1}"/>
    <cellStyle name="Currency 5 2 2 2 8 3" xfId="10928" xr:uid="{1036330A-8630-4F61-B3E3-00E726119BCF}"/>
    <cellStyle name="Currency 5 2 2 2 9" xfId="2719" xr:uid="{00000000-0005-0000-0000-0000C40B0000}"/>
    <cellStyle name="Currency 5 2 2 3" xfId="200" xr:uid="{00000000-0005-0000-0000-0000C50B0000}"/>
    <cellStyle name="Currency 5 2 2 3 10" xfId="4645" xr:uid="{00000000-0005-0000-0000-0000C60B0000}"/>
    <cellStyle name="Currency 5 2 2 3 10 2" xfId="13084" xr:uid="{81449F30-B173-472B-BF8E-B856E08F6106}"/>
    <cellStyle name="Currency 5 2 2 3 11" xfId="8866" xr:uid="{F13922BE-C0F2-4ACC-BB70-77ABC493BE2D}"/>
    <cellStyle name="Currency 5 2 2 3 2" xfId="201" xr:uid="{00000000-0005-0000-0000-0000C70B0000}"/>
    <cellStyle name="Currency 5 2 2 3 2 10" xfId="8867" xr:uid="{B3A62D43-4D65-42E2-BCEA-C9B0234617B9}"/>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2 2 2" xfId="15644" xr:uid="{55922FC9-28B3-44EB-B590-DBF2968A1BE6}"/>
    <cellStyle name="Currency 5 2 2 3 2 2 2 3" xfId="11426" xr:uid="{859AD86C-8CD3-4077-A820-FE3AE0DC4D93}"/>
    <cellStyle name="Currency 5 2 2 3 2 2 3" xfId="5060" xr:uid="{00000000-0005-0000-0000-0000CB0B0000}"/>
    <cellStyle name="Currency 5 2 2 3 2 2 3 2" xfId="13499" xr:uid="{B3691126-1207-482C-8632-C9EFBF95BCD2}"/>
    <cellStyle name="Currency 5 2 2 3 2 2 4" xfId="9281" xr:uid="{068D3563-E95A-47F4-BF1B-EC86990CB64D}"/>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2 2 2" xfId="16057" xr:uid="{F263E2F2-7590-4B8F-989D-54676FD45BCA}"/>
    <cellStyle name="Currency 5 2 2 3 2 3 2 3" xfId="11839" xr:uid="{EA3D961F-64FD-42A8-B91C-A4F959800605}"/>
    <cellStyle name="Currency 5 2 2 3 2 3 3" xfId="5473" xr:uid="{00000000-0005-0000-0000-0000CF0B0000}"/>
    <cellStyle name="Currency 5 2 2 3 2 3 3 2" xfId="13912" xr:uid="{1C02A810-537B-49BC-89C5-EAD1E2B947F7}"/>
    <cellStyle name="Currency 5 2 2 3 2 3 4" xfId="9694" xr:uid="{5751AB27-78A4-4EE1-9D01-03172C8EE3C2}"/>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2 2 2" xfId="16470" xr:uid="{61865609-AD26-48A1-A1FC-AD274E8CD8F2}"/>
    <cellStyle name="Currency 5 2 2 3 2 4 2 3" xfId="12252" xr:uid="{97D50A0F-86A0-48FA-9DB9-056265C02237}"/>
    <cellStyle name="Currency 5 2 2 3 2 4 3" xfId="5886" xr:uid="{00000000-0005-0000-0000-0000D30B0000}"/>
    <cellStyle name="Currency 5 2 2 3 2 4 3 2" xfId="14325" xr:uid="{C7ED5260-3BEB-4608-9B79-0B132689C6F7}"/>
    <cellStyle name="Currency 5 2 2 3 2 4 4" xfId="10107" xr:uid="{7961F50D-8A3D-4E68-A161-74DE2B73A5CC}"/>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2 2 2" xfId="16883" xr:uid="{C1D61951-550E-4BEF-A931-45828FEFA76C}"/>
    <cellStyle name="Currency 5 2 2 3 2 5 2 3" xfId="12665" xr:uid="{6706DCE2-F90A-41E2-9C0F-D43A21B916FA}"/>
    <cellStyle name="Currency 5 2 2 3 2 5 3" xfId="6299" xr:uid="{00000000-0005-0000-0000-0000D70B0000}"/>
    <cellStyle name="Currency 5 2 2 3 2 5 3 2" xfId="14738" xr:uid="{36A581D7-4C86-44BB-BAB7-461C6619A874}"/>
    <cellStyle name="Currency 5 2 2 3 2 5 4" xfId="10520" xr:uid="{F04DC3D4-EC44-4EAB-9B74-BC834DE921F4}"/>
    <cellStyle name="Currency 5 2 2 3 2 6" xfId="2427" xr:uid="{00000000-0005-0000-0000-0000D80B0000}"/>
    <cellStyle name="Currency 5 2 2 3 2 6 2" xfId="6712" xr:uid="{00000000-0005-0000-0000-0000D90B0000}"/>
    <cellStyle name="Currency 5 2 2 3 2 6 2 2" xfId="15151" xr:uid="{74FFD654-6F23-484C-808E-A12C63DD4BAB}"/>
    <cellStyle name="Currency 5 2 2 3 2 6 3" xfId="10933" xr:uid="{2107970E-EAAF-4B13-A221-59F5A30AEAE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8 2 2" xfId="15468" xr:uid="{D837F833-8EC2-4AE6-98EA-7A073DE84300}"/>
    <cellStyle name="Currency 5 2 2 3 2 8 3" xfId="11250" xr:uid="{31F3EAEA-F43D-4F58-8916-8F1578E9B0B6}"/>
    <cellStyle name="Currency 5 2 2 3 2 9" xfId="4646" xr:uid="{00000000-0005-0000-0000-0000DD0B0000}"/>
    <cellStyle name="Currency 5 2 2 3 2 9 2" xfId="13085" xr:uid="{54B2054D-C704-4D02-A3D6-137DF47AC5E5}"/>
    <cellStyle name="Currency 5 2 2 3 3" xfId="727" xr:uid="{00000000-0005-0000-0000-0000DE0B0000}"/>
    <cellStyle name="Currency 5 2 2 3 3 2" xfId="2981" xr:uid="{00000000-0005-0000-0000-0000DF0B0000}"/>
    <cellStyle name="Currency 5 2 2 3 3 2 2" xfId="7204" xr:uid="{00000000-0005-0000-0000-0000E00B0000}"/>
    <cellStyle name="Currency 5 2 2 3 3 2 2 2" xfId="15643" xr:uid="{DD53283E-1423-4F9D-880A-842C0BBEAADB}"/>
    <cellStyle name="Currency 5 2 2 3 3 2 3" xfId="11425" xr:uid="{3366E75E-41B2-4371-A7ED-7D338331796F}"/>
    <cellStyle name="Currency 5 2 2 3 3 3" xfId="5059" xr:uid="{00000000-0005-0000-0000-0000E10B0000}"/>
    <cellStyle name="Currency 5 2 2 3 3 3 2" xfId="13498" xr:uid="{5A5791C9-CD01-47D7-84AE-16D544D8D545}"/>
    <cellStyle name="Currency 5 2 2 3 3 4" xfId="9280" xr:uid="{55E0D25B-9FC6-4C33-885F-1FFAA4E3647D}"/>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2 2 2" xfId="16056" xr:uid="{512543CF-0207-4FAA-91F6-2D6E2F76224A}"/>
    <cellStyle name="Currency 5 2 2 3 4 2 3" xfId="11838" xr:uid="{30A1184F-3CEB-437F-9ED7-A9B2F600D71E}"/>
    <cellStyle name="Currency 5 2 2 3 4 3" xfId="5472" xr:uid="{00000000-0005-0000-0000-0000E50B0000}"/>
    <cellStyle name="Currency 5 2 2 3 4 3 2" xfId="13911" xr:uid="{8A576835-95C2-4C11-A156-18B86C012015}"/>
    <cellStyle name="Currency 5 2 2 3 4 4" xfId="9693" xr:uid="{8B8003ED-9817-4EF4-A695-6FA22D82D8A1}"/>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2 2 2" xfId="16469" xr:uid="{6067FBA9-BB79-4E18-9307-22BE610B1650}"/>
    <cellStyle name="Currency 5 2 2 3 5 2 3" xfId="12251" xr:uid="{1BD207C4-E59B-4558-B6AA-566D2A1E36D9}"/>
    <cellStyle name="Currency 5 2 2 3 5 3" xfId="5885" xr:uid="{00000000-0005-0000-0000-0000E90B0000}"/>
    <cellStyle name="Currency 5 2 2 3 5 3 2" xfId="14324" xr:uid="{CF79FA6D-E90C-44AB-9F19-9A17C2EE11B3}"/>
    <cellStyle name="Currency 5 2 2 3 5 4" xfId="10106" xr:uid="{92A48C02-A168-445D-83D1-CCDEF64DB291}"/>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2 2 2" xfId="16882" xr:uid="{889BC9FB-CD46-42A4-8ED3-1B2030CFDA55}"/>
    <cellStyle name="Currency 5 2 2 3 6 2 3" xfId="12664" xr:uid="{0A0DC5FC-32C5-4356-8BC8-DCBB6F2416F8}"/>
    <cellStyle name="Currency 5 2 2 3 6 3" xfId="6298" xr:uid="{00000000-0005-0000-0000-0000ED0B0000}"/>
    <cellStyle name="Currency 5 2 2 3 6 3 2" xfId="14737" xr:uid="{1D45125A-6738-4626-B9F2-238E917A8FE3}"/>
    <cellStyle name="Currency 5 2 2 3 6 4" xfId="10519" xr:uid="{6A215344-B173-4E13-87D9-338B997EDBCC}"/>
    <cellStyle name="Currency 5 2 2 3 7" xfId="2426" xr:uid="{00000000-0005-0000-0000-0000EE0B0000}"/>
    <cellStyle name="Currency 5 2 2 3 7 2" xfId="6711" xr:uid="{00000000-0005-0000-0000-0000EF0B0000}"/>
    <cellStyle name="Currency 5 2 2 3 7 2 2" xfId="15150" xr:uid="{231EE46E-A5BD-456D-9806-E49A5FE13F63}"/>
    <cellStyle name="Currency 5 2 2 3 7 3" xfId="10932" xr:uid="{65DBFDA9-3DFD-4AF8-8964-814198F78C72}"/>
    <cellStyle name="Currency 5 2 2 3 8" xfId="2723" xr:uid="{00000000-0005-0000-0000-0000F00B0000}"/>
    <cellStyle name="Currency 5 2 2 3 9" xfId="2804" xr:uid="{00000000-0005-0000-0000-0000F10B0000}"/>
    <cellStyle name="Currency 5 2 2 3 9 2" xfId="7028" xr:uid="{00000000-0005-0000-0000-0000F20B0000}"/>
    <cellStyle name="Currency 5 2 2 3 9 2 2" xfId="15467" xr:uid="{793B7B94-475E-4AFA-875B-5A9E05B87C7F}"/>
    <cellStyle name="Currency 5 2 2 3 9 3" xfId="11249" xr:uid="{9A5C5AE2-3028-4BE8-B2A7-2CACD4153FA1}"/>
    <cellStyle name="Currency 5 2 2 4" xfId="202" xr:uid="{00000000-0005-0000-0000-0000F30B0000}"/>
    <cellStyle name="Currency 5 2 2 4 10" xfId="8868" xr:uid="{D30128C0-DB05-49C1-AA39-17B141BD1459}"/>
    <cellStyle name="Currency 5 2 2 4 2" xfId="729" xr:uid="{00000000-0005-0000-0000-0000F40B0000}"/>
    <cellStyle name="Currency 5 2 2 4 2 2" xfId="2983" xr:uid="{00000000-0005-0000-0000-0000F50B0000}"/>
    <cellStyle name="Currency 5 2 2 4 2 2 2" xfId="7206" xr:uid="{00000000-0005-0000-0000-0000F60B0000}"/>
    <cellStyle name="Currency 5 2 2 4 2 2 2 2" xfId="15645" xr:uid="{3DCB119D-D536-4839-8344-015AA8C32636}"/>
    <cellStyle name="Currency 5 2 2 4 2 2 3" xfId="11427" xr:uid="{83054B97-D983-4F23-BFA5-0DCB3FBECC25}"/>
    <cellStyle name="Currency 5 2 2 4 2 3" xfId="5061" xr:uid="{00000000-0005-0000-0000-0000F70B0000}"/>
    <cellStyle name="Currency 5 2 2 4 2 3 2" xfId="13500" xr:uid="{9E63CEDF-9265-4843-A15B-78A0C83BFC99}"/>
    <cellStyle name="Currency 5 2 2 4 2 4" xfId="9282" xr:uid="{42F0C4D7-16A9-43B0-8EB6-CC546AE8F11A}"/>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2 2 2" xfId="16058" xr:uid="{7C7F0365-9FF7-4BB3-935C-D88FC398CA97}"/>
    <cellStyle name="Currency 5 2 2 4 3 2 3" xfId="11840" xr:uid="{174F42FC-51F9-46FE-9969-C5AC09809879}"/>
    <cellStyle name="Currency 5 2 2 4 3 3" xfId="5474" xr:uid="{00000000-0005-0000-0000-0000FB0B0000}"/>
    <cellStyle name="Currency 5 2 2 4 3 3 2" xfId="13913" xr:uid="{718DCA8F-E0C3-4849-87C7-2D103E2E7E6E}"/>
    <cellStyle name="Currency 5 2 2 4 3 4" xfId="9695" xr:uid="{8969B713-9F36-4371-A0E0-D3CDB1D1C574}"/>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2 2 2" xfId="16471" xr:uid="{1738DDCC-A3B3-4FD1-B0D5-774D2D748655}"/>
    <cellStyle name="Currency 5 2 2 4 4 2 3" xfId="12253" xr:uid="{685303F6-76AD-4F4F-8D16-BF26C0762544}"/>
    <cellStyle name="Currency 5 2 2 4 4 3" xfId="5887" xr:uid="{00000000-0005-0000-0000-0000FF0B0000}"/>
    <cellStyle name="Currency 5 2 2 4 4 3 2" xfId="14326" xr:uid="{BFE06B12-2687-4A25-8726-CB74A7DA14F3}"/>
    <cellStyle name="Currency 5 2 2 4 4 4" xfId="10108" xr:uid="{27DA0C74-B39F-4CBE-A026-C6D9EC1F08E4}"/>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2 2 2" xfId="16884" xr:uid="{72B998DF-4F80-4384-9260-3D6BCBA57D79}"/>
    <cellStyle name="Currency 5 2 2 4 5 2 3" xfId="12666" xr:uid="{2BE02623-5FBB-4711-8E12-B766564BBC6F}"/>
    <cellStyle name="Currency 5 2 2 4 5 3" xfId="6300" xr:uid="{00000000-0005-0000-0000-0000030C0000}"/>
    <cellStyle name="Currency 5 2 2 4 5 3 2" xfId="14739" xr:uid="{334F0654-B381-472E-8453-86AF71CF54B6}"/>
    <cellStyle name="Currency 5 2 2 4 5 4" xfId="10521" xr:uid="{216CE072-37ED-4C57-BAC2-68AC86EEAD2E}"/>
    <cellStyle name="Currency 5 2 2 4 6" xfId="2428" xr:uid="{00000000-0005-0000-0000-0000040C0000}"/>
    <cellStyle name="Currency 5 2 2 4 6 2" xfId="6713" xr:uid="{00000000-0005-0000-0000-0000050C0000}"/>
    <cellStyle name="Currency 5 2 2 4 6 2 2" xfId="15152" xr:uid="{3657238B-F9DE-4D16-B922-ACC19962D4A1}"/>
    <cellStyle name="Currency 5 2 2 4 6 3" xfId="10934" xr:uid="{CA8CC9AA-C4C4-4D68-9D0E-5BE54E632683}"/>
    <cellStyle name="Currency 5 2 2 4 7" xfId="2725" xr:uid="{00000000-0005-0000-0000-0000060C0000}"/>
    <cellStyle name="Currency 5 2 2 4 8" xfId="2806" xr:uid="{00000000-0005-0000-0000-0000070C0000}"/>
    <cellStyle name="Currency 5 2 2 4 8 2" xfId="7030" xr:uid="{00000000-0005-0000-0000-0000080C0000}"/>
    <cellStyle name="Currency 5 2 2 4 8 2 2" xfId="15469" xr:uid="{4A6128DC-8F6B-4B8D-8352-5E99953F1F88}"/>
    <cellStyle name="Currency 5 2 2 4 8 3" xfId="11251" xr:uid="{41DB2943-A8E1-4183-95E9-9AC74AD7E717}"/>
    <cellStyle name="Currency 5 2 2 4 9" xfId="4647" xr:uid="{00000000-0005-0000-0000-0000090C0000}"/>
    <cellStyle name="Currency 5 2 2 4 9 2" xfId="13086" xr:uid="{09BCE34E-B168-4A9D-8F3B-EC8BA26DFF86}"/>
    <cellStyle name="Currency 5 2 2 5" xfId="203" xr:uid="{00000000-0005-0000-0000-00000A0C0000}"/>
    <cellStyle name="Currency 5 2 2 5 10" xfId="8869" xr:uid="{9364D16C-7EA8-440B-B8D4-24F2053244F1}"/>
    <cellStyle name="Currency 5 2 2 5 2" xfId="730" xr:uid="{00000000-0005-0000-0000-00000B0C0000}"/>
    <cellStyle name="Currency 5 2 2 5 2 2" xfId="2984" xr:uid="{00000000-0005-0000-0000-00000C0C0000}"/>
    <cellStyle name="Currency 5 2 2 5 2 2 2" xfId="7207" xr:uid="{00000000-0005-0000-0000-00000D0C0000}"/>
    <cellStyle name="Currency 5 2 2 5 2 2 2 2" xfId="15646" xr:uid="{0A9C6898-0089-4C89-BAE9-74D452174511}"/>
    <cellStyle name="Currency 5 2 2 5 2 2 3" xfId="11428" xr:uid="{101BC2A8-F04D-4D8C-818E-BF8355C8E58F}"/>
    <cellStyle name="Currency 5 2 2 5 2 3" xfId="5062" xr:uid="{00000000-0005-0000-0000-00000E0C0000}"/>
    <cellStyle name="Currency 5 2 2 5 2 3 2" xfId="13501" xr:uid="{C66B7EAF-4E08-483C-810C-6AEA7DDDBB48}"/>
    <cellStyle name="Currency 5 2 2 5 2 4" xfId="9283" xr:uid="{294A1919-99F9-4864-B8E7-FB3A58D38131}"/>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2 2 2" xfId="16059" xr:uid="{73BC9D70-8151-4501-8549-5D3F4018F21D}"/>
    <cellStyle name="Currency 5 2 2 5 3 2 3" xfId="11841" xr:uid="{FB303806-DF54-4E24-85E5-76DF1B5EFA9E}"/>
    <cellStyle name="Currency 5 2 2 5 3 3" xfId="5475" xr:uid="{00000000-0005-0000-0000-0000120C0000}"/>
    <cellStyle name="Currency 5 2 2 5 3 3 2" xfId="13914" xr:uid="{8371CE13-4263-48AD-887E-243ED9E13F44}"/>
    <cellStyle name="Currency 5 2 2 5 3 4" xfId="9696" xr:uid="{EECF7442-E7F8-4F19-9E3E-ABC470740CDF}"/>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2 2 2" xfId="16472" xr:uid="{77DB091A-74B5-494C-9F3D-D298EE98140F}"/>
    <cellStyle name="Currency 5 2 2 5 4 2 3" xfId="12254" xr:uid="{FFBE219E-5B19-48C4-82DF-273C81DE50BC}"/>
    <cellStyle name="Currency 5 2 2 5 4 3" xfId="5888" xr:uid="{00000000-0005-0000-0000-0000160C0000}"/>
    <cellStyle name="Currency 5 2 2 5 4 3 2" xfId="14327" xr:uid="{5396F9F9-DDF3-4200-9FBC-CA47DC8E894C}"/>
    <cellStyle name="Currency 5 2 2 5 4 4" xfId="10109" xr:uid="{6CB10A3B-DAC8-43C2-9FF8-C46F1DD699E8}"/>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2 2 2" xfId="16885" xr:uid="{2C6FAF26-1034-4F4D-8596-1507A25BC8BA}"/>
    <cellStyle name="Currency 5 2 2 5 5 2 3" xfId="12667" xr:uid="{EB8443A2-504B-4DF4-8024-9530C723AEBD}"/>
    <cellStyle name="Currency 5 2 2 5 5 3" xfId="6301" xr:uid="{00000000-0005-0000-0000-00001A0C0000}"/>
    <cellStyle name="Currency 5 2 2 5 5 3 2" xfId="14740" xr:uid="{95820C56-75B3-48DD-9006-5F1B47A2C690}"/>
    <cellStyle name="Currency 5 2 2 5 5 4" xfId="10522" xr:uid="{7B7B59FA-8FF8-4925-B527-E348B5CD7CA6}"/>
    <cellStyle name="Currency 5 2 2 5 6" xfId="2429" xr:uid="{00000000-0005-0000-0000-00001B0C0000}"/>
    <cellStyle name="Currency 5 2 2 5 6 2" xfId="6714" xr:uid="{00000000-0005-0000-0000-00001C0C0000}"/>
    <cellStyle name="Currency 5 2 2 5 6 2 2" xfId="15153" xr:uid="{A075B66F-EE25-4373-B2F5-6D394F344863}"/>
    <cellStyle name="Currency 5 2 2 5 6 3" xfId="10935" xr:uid="{7FF50823-936F-4D95-AFA3-EE4DCAB62FAB}"/>
    <cellStyle name="Currency 5 2 2 5 7" xfId="2726" xr:uid="{00000000-0005-0000-0000-00001D0C0000}"/>
    <cellStyle name="Currency 5 2 2 5 8" xfId="2807" xr:uid="{00000000-0005-0000-0000-00001E0C0000}"/>
    <cellStyle name="Currency 5 2 2 5 8 2" xfId="7031" xr:uid="{00000000-0005-0000-0000-00001F0C0000}"/>
    <cellStyle name="Currency 5 2 2 5 8 2 2" xfId="15470" xr:uid="{C5DA7E6B-748A-48C6-8386-60DF06C98555}"/>
    <cellStyle name="Currency 5 2 2 5 8 3" xfId="11252" xr:uid="{3C48C253-5E0F-4621-A432-3ADD5A53CFC2}"/>
    <cellStyle name="Currency 5 2 2 5 9" xfId="4648" xr:uid="{00000000-0005-0000-0000-0000200C0000}"/>
    <cellStyle name="Currency 5 2 2 5 9 2" xfId="13087" xr:uid="{D6991017-1985-4957-BA01-91439FB444F8}"/>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10 2" xfId="13088" xr:uid="{743EFDE5-06BA-46C4-A176-79393319037C}"/>
    <cellStyle name="Currency 5 2 4 11" xfId="8870" xr:uid="{1EAF2CCC-25A4-4E72-9C8C-39F7734C8A37}"/>
    <cellStyle name="Currency 5 2 4 2" xfId="206" xr:uid="{00000000-0005-0000-0000-0000250C0000}"/>
    <cellStyle name="Currency 5 2 4 2 10" xfId="8871" xr:uid="{86377169-C76C-4896-8A86-E7B2C4134E51}"/>
    <cellStyle name="Currency 5 2 4 2 2" xfId="733" xr:uid="{00000000-0005-0000-0000-0000260C0000}"/>
    <cellStyle name="Currency 5 2 4 2 2 2" xfId="2986" xr:uid="{00000000-0005-0000-0000-0000270C0000}"/>
    <cellStyle name="Currency 5 2 4 2 2 2 2" xfId="7209" xr:uid="{00000000-0005-0000-0000-0000280C0000}"/>
    <cellStyle name="Currency 5 2 4 2 2 2 2 2" xfId="15648" xr:uid="{307CF9C7-867C-491E-8119-844BA5CC4945}"/>
    <cellStyle name="Currency 5 2 4 2 2 2 3" xfId="11430" xr:uid="{DE6CD336-5FE0-499C-B3C5-C831796DFF86}"/>
    <cellStyle name="Currency 5 2 4 2 2 3" xfId="5064" xr:uid="{00000000-0005-0000-0000-0000290C0000}"/>
    <cellStyle name="Currency 5 2 4 2 2 3 2" xfId="13503" xr:uid="{8A86407A-58A9-4E69-B4C2-BB770E32FAB5}"/>
    <cellStyle name="Currency 5 2 4 2 2 4" xfId="9285" xr:uid="{57BC1D7D-34C1-4106-A7F7-A0016F984603}"/>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2 2 2" xfId="16061" xr:uid="{744EBFF2-0347-45E9-9BCE-F87442DDB909}"/>
    <cellStyle name="Currency 5 2 4 2 3 2 3" xfId="11843" xr:uid="{4CA19625-1B5D-4741-AADF-4B3F1162C35B}"/>
    <cellStyle name="Currency 5 2 4 2 3 3" xfId="5477" xr:uid="{00000000-0005-0000-0000-00002D0C0000}"/>
    <cellStyle name="Currency 5 2 4 2 3 3 2" xfId="13916" xr:uid="{967ABD67-861C-41B9-A467-AE6B56CEDAD4}"/>
    <cellStyle name="Currency 5 2 4 2 3 4" xfId="9698" xr:uid="{34E93334-9B31-4003-9D75-9AC0102DF743}"/>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2 2 2" xfId="16474" xr:uid="{3CF1B7DF-311E-469C-A2D4-9D14281F0CA5}"/>
    <cellStyle name="Currency 5 2 4 2 4 2 3" xfId="12256" xr:uid="{1C65079F-F23E-465C-85B3-3A26280DE34A}"/>
    <cellStyle name="Currency 5 2 4 2 4 3" xfId="5890" xr:uid="{00000000-0005-0000-0000-0000310C0000}"/>
    <cellStyle name="Currency 5 2 4 2 4 3 2" xfId="14329" xr:uid="{2A1334EB-50C0-49C9-9DAA-B7128B237946}"/>
    <cellStyle name="Currency 5 2 4 2 4 4" xfId="10111" xr:uid="{DDA84981-F7BC-418B-A708-D1F671E82AF8}"/>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2 2 2" xfId="16887" xr:uid="{1F9205B5-A1C2-4EFF-800C-AD962AAAE48B}"/>
    <cellStyle name="Currency 5 2 4 2 5 2 3" xfId="12669" xr:uid="{8D22F6D2-660C-4271-9CCC-3485F4EE228D}"/>
    <cellStyle name="Currency 5 2 4 2 5 3" xfId="6303" xr:uid="{00000000-0005-0000-0000-0000350C0000}"/>
    <cellStyle name="Currency 5 2 4 2 5 3 2" xfId="14742" xr:uid="{E2D7976F-70A3-462E-B158-262A8484047F}"/>
    <cellStyle name="Currency 5 2 4 2 5 4" xfId="10524" xr:uid="{9CD4483F-7F92-4E97-B1E7-9F9A3204B88E}"/>
    <cellStyle name="Currency 5 2 4 2 6" xfId="2431" xr:uid="{00000000-0005-0000-0000-0000360C0000}"/>
    <cellStyle name="Currency 5 2 4 2 6 2" xfId="6716" xr:uid="{00000000-0005-0000-0000-0000370C0000}"/>
    <cellStyle name="Currency 5 2 4 2 6 2 2" xfId="15155" xr:uid="{8F431160-B1C8-4120-9C7E-D75A635304FE}"/>
    <cellStyle name="Currency 5 2 4 2 6 3" xfId="10937" xr:uid="{8C4C9353-ACA9-49FD-8324-E0B42D7E9434}"/>
    <cellStyle name="Currency 5 2 4 2 7" xfId="2728" xr:uid="{00000000-0005-0000-0000-0000380C0000}"/>
    <cellStyle name="Currency 5 2 4 2 8" xfId="2809" xr:uid="{00000000-0005-0000-0000-0000390C0000}"/>
    <cellStyle name="Currency 5 2 4 2 8 2" xfId="7033" xr:uid="{00000000-0005-0000-0000-00003A0C0000}"/>
    <cellStyle name="Currency 5 2 4 2 8 2 2" xfId="15472" xr:uid="{C4B9C0B5-C793-4E90-AE97-6284A4B7B875}"/>
    <cellStyle name="Currency 5 2 4 2 8 3" xfId="11254" xr:uid="{9CFD1FA5-D508-49EC-A9DC-D799DB29405A}"/>
    <cellStyle name="Currency 5 2 4 2 9" xfId="4650" xr:uid="{00000000-0005-0000-0000-00003B0C0000}"/>
    <cellStyle name="Currency 5 2 4 2 9 2" xfId="13089" xr:uid="{5F271AA6-C35B-46DB-9E37-9BC47651A97C}"/>
    <cellStyle name="Currency 5 2 4 3" xfId="732" xr:uid="{00000000-0005-0000-0000-00003C0C0000}"/>
    <cellStyle name="Currency 5 2 4 3 2" xfId="2985" xr:uid="{00000000-0005-0000-0000-00003D0C0000}"/>
    <cellStyle name="Currency 5 2 4 3 2 2" xfId="7208" xr:uid="{00000000-0005-0000-0000-00003E0C0000}"/>
    <cellStyle name="Currency 5 2 4 3 2 2 2" xfId="15647" xr:uid="{A44679F9-CFA7-4EF5-9975-040D32FC0214}"/>
    <cellStyle name="Currency 5 2 4 3 2 3" xfId="11429" xr:uid="{32767394-17B8-4C62-B72D-8DF45B85ABA7}"/>
    <cellStyle name="Currency 5 2 4 3 3" xfId="5063" xr:uid="{00000000-0005-0000-0000-00003F0C0000}"/>
    <cellStyle name="Currency 5 2 4 3 3 2" xfId="13502" xr:uid="{39714447-3804-4640-B0EE-DAF158D40D41}"/>
    <cellStyle name="Currency 5 2 4 3 4" xfId="9284" xr:uid="{AD900734-C82D-4635-BDEA-A948BD1CECAA}"/>
    <cellStyle name="Currency 5 2 4 4" xfId="1167" xr:uid="{00000000-0005-0000-0000-0000400C0000}"/>
    <cellStyle name="Currency 5 2 4 4 2" xfId="3398" xr:uid="{00000000-0005-0000-0000-0000410C0000}"/>
    <cellStyle name="Currency 5 2 4 4 2 2" xfId="7621" xr:uid="{00000000-0005-0000-0000-0000420C0000}"/>
    <cellStyle name="Currency 5 2 4 4 2 2 2" xfId="16060" xr:uid="{437B75A2-98AB-4F37-8B31-CF2D7799869F}"/>
    <cellStyle name="Currency 5 2 4 4 2 3" xfId="11842" xr:uid="{505D8042-82F3-4396-BC9D-AB4E2D1B76CC}"/>
    <cellStyle name="Currency 5 2 4 4 3" xfId="5476" xr:uid="{00000000-0005-0000-0000-0000430C0000}"/>
    <cellStyle name="Currency 5 2 4 4 3 2" xfId="13915" xr:uid="{8F3682F6-4824-4789-8610-6C744B78A7AC}"/>
    <cellStyle name="Currency 5 2 4 4 4" xfId="9697" xr:uid="{B32E71A6-1AC7-4C5F-ACF2-2FC5C99E0D43}"/>
    <cellStyle name="Currency 5 2 4 5" xfId="1581" xr:uid="{00000000-0005-0000-0000-0000440C0000}"/>
    <cellStyle name="Currency 5 2 4 5 2" xfId="3811" xr:uid="{00000000-0005-0000-0000-0000450C0000}"/>
    <cellStyle name="Currency 5 2 4 5 2 2" xfId="8034" xr:uid="{00000000-0005-0000-0000-0000460C0000}"/>
    <cellStyle name="Currency 5 2 4 5 2 2 2" xfId="16473" xr:uid="{97FC0332-DA67-4C62-9D07-077322C5B23D}"/>
    <cellStyle name="Currency 5 2 4 5 2 3" xfId="12255" xr:uid="{93ED3F88-2E7E-4F95-ABD6-6AD5DB1742FC}"/>
    <cellStyle name="Currency 5 2 4 5 3" xfId="5889" xr:uid="{00000000-0005-0000-0000-0000470C0000}"/>
    <cellStyle name="Currency 5 2 4 5 3 2" xfId="14328" xr:uid="{DFD98145-13E3-4A5E-AD1D-DBB19EE6B414}"/>
    <cellStyle name="Currency 5 2 4 5 4" xfId="10110" xr:uid="{A966DB6C-DD12-4FDE-BFD7-1DCBE7F8F38D}"/>
    <cellStyle name="Currency 5 2 4 6" xfId="1995" xr:uid="{00000000-0005-0000-0000-0000480C0000}"/>
    <cellStyle name="Currency 5 2 4 6 2" xfId="4224" xr:uid="{00000000-0005-0000-0000-0000490C0000}"/>
    <cellStyle name="Currency 5 2 4 6 2 2" xfId="8447" xr:uid="{00000000-0005-0000-0000-00004A0C0000}"/>
    <cellStyle name="Currency 5 2 4 6 2 2 2" xfId="16886" xr:uid="{42616CCB-FD46-4DB5-B576-70E21DCA4B20}"/>
    <cellStyle name="Currency 5 2 4 6 2 3" xfId="12668" xr:uid="{A740E7F6-18CF-4305-8756-50282AC60718}"/>
    <cellStyle name="Currency 5 2 4 6 3" xfId="6302" xr:uid="{00000000-0005-0000-0000-00004B0C0000}"/>
    <cellStyle name="Currency 5 2 4 6 3 2" xfId="14741" xr:uid="{1DA49DF7-80F0-4780-B997-4F5279EFCD9F}"/>
    <cellStyle name="Currency 5 2 4 6 4" xfId="10523" xr:uid="{0E3B9C83-C78E-4A19-B251-77ACBB6F074C}"/>
    <cellStyle name="Currency 5 2 4 7" xfId="2430" xr:uid="{00000000-0005-0000-0000-00004C0C0000}"/>
    <cellStyle name="Currency 5 2 4 7 2" xfId="6715" xr:uid="{00000000-0005-0000-0000-00004D0C0000}"/>
    <cellStyle name="Currency 5 2 4 7 2 2" xfId="15154" xr:uid="{2C26C9EA-4216-4F4C-A360-9271742B6C22}"/>
    <cellStyle name="Currency 5 2 4 7 3" xfId="10936" xr:uid="{5946D08B-4993-4C2A-871E-B16484EE9271}"/>
    <cellStyle name="Currency 5 2 4 8" xfId="2727" xr:uid="{00000000-0005-0000-0000-00004E0C0000}"/>
    <cellStyle name="Currency 5 2 4 9" xfId="2808" xr:uid="{00000000-0005-0000-0000-00004F0C0000}"/>
    <cellStyle name="Currency 5 2 4 9 2" xfId="7032" xr:uid="{00000000-0005-0000-0000-0000500C0000}"/>
    <cellStyle name="Currency 5 2 4 9 2 2" xfId="15471" xr:uid="{E276510D-4D8B-41BE-82FB-7117B2A3C76A}"/>
    <cellStyle name="Currency 5 2 4 9 3" xfId="11253" xr:uid="{F4042ACE-080A-4E7C-8B7A-7C1AEDB4E708}"/>
    <cellStyle name="Currency 5 2 5" xfId="207" xr:uid="{00000000-0005-0000-0000-0000510C0000}"/>
    <cellStyle name="Currency 5 2 5 10" xfId="8872" xr:uid="{3E4121A5-8FCB-4062-8FF4-984785384AEA}"/>
    <cellStyle name="Currency 5 2 5 2" xfId="734" xr:uid="{00000000-0005-0000-0000-0000520C0000}"/>
    <cellStyle name="Currency 5 2 5 2 2" xfId="2987" xr:uid="{00000000-0005-0000-0000-0000530C0000}"/>
    <cellStyle name="Currency 5 2 5 2 2 2" xfId="7210" xr:uid="{00000000-0005-0000-0000-0000540C0000}"/>
    <cellStyle name="Currency 5 2 5 2 2 2 2" xfId="15649" xr:uid="{0029398A-ADF5-4685-A05F-B47ACCEE7A09}"/>
    <cellStyle name="Currency 5 2 5 2 2 3" xfId="11431" xr:uid="{CC258A2F-8862-4784-98CF-7B0AA187A11E}"/>
    <cellStyle name="Currency 5 2 5 2 3" xfId="5065" xr:uid="{00000000-0005-0000-0000-0000550C0000}"/>
    <cellStyle name="Currency 5 2 5 2 3 2" xfId="13504" xr:uid="{D110692A-E2F5-46AF-B1DE-B6CEF0B136D5}"/>
    <cellStyle name="Currency 5 2 5 2 4" xfId="9286" xr:uid="{F7C56E2A-4D17-43E0-9DF6-22E3EFA367C0}"/>
    <cellStyle name="Currency 5 2 5 3" xfId="1169" xr:uid="{00000000-0005-0000-0000-0000560C0000}"/>
    <cellStyle name="Currency 5 2 5 3 2" xfId="3400" xr:uid="{00000000-0005-0000-0000-0000570C0000}"/>
    <cellStyle name="Currency 5 2 5 3 2 2" xfId="7623" xr:uid="{00000000-0005-0000-0000-0000580C0000}"/>
    <cellStyle name="Currency 5 2 5 3 2 2 2" xfId="16062" xr:uid="{BB77B57F-B7D2-48A5-BAE9-F5DEC4E4CAD4}"/>
    <cellStyle name="Currency 5 2 5 3 2 3" xfId="11844" xr:uid="{ECF7A9A9-7785-4BDB-A8D1-991E1C7042E4}"/>
    <cellStyle name="Currency 5 2 5 3 3" xfId="5478" xr:uid="{00000000-0005-0000-0000-0000590C0000}"/>
    <cellStyle name="Currency 5 2 5 3 3 2" xfId="13917" xr:uid="{CE7E8F29-D695-4D10-A000-8B70DCCF6AC1}"/>
    <cellStyle name="Currency 5 2 5 3 4" xfId="9699" xr:uid="{AD7203F3-4CD7-43C6-BBC7-B51E6E13EB96}"/>
    <cellStyle name="Currency 5 2 5 4" xfId="1583" xr:uid="{00000000-0005-0000-0000-00005A0C0000}"/>
    <cellStyle name="Currency 5 2 5 4 2" xfId="3813" xr:uid="{00000000-0005-0000-0000-00005B0C0000}"/>
    <cellStyle name="Currency 5 2 5 4 2 2" xfId="8036" xr:uid="{00000000-0005-0000-0000-00005C0C0000}"/>
    <cellStyle name="Currency 5 2 5 4 2 2 2" xfId="16475" xr:uid="{1746AA8F-E003-404D-8807-D8EB4F5C4BA9}"/>
    <cellStyle name="Currency 5 2 5 4 2 3" xfId="12257" xr:uid="{FB786968-9423-47E5-81C3-6A98C874A02D}"/>
    <cellStyle name="Currency 5 2 5 4 3" xfId="5891" xr:uid="{00000000-0005-0000-0000-00005D0C0000}"/>
    <cellStyle name="Currency 5 2 5 4 3 2" xfId="14330" xr:uid="{9BB2A0C7-AA27-4D6C-9F42-45883188CEB8}"/>
    <cellStyle name="Currency 5 2 5 4 4" xfId="10112" xr:uid="{5136008C-6361-48B1-A486-86A8D0625D3C}"/>
    <cellStyle name="Currency 5 2 5 5" xfId="1997" xr:uid="{00000000-0005-0000-0000-00005E0C0000}"/>
    <cellStyle name="Currency 5 2 5 5 2" xfId="4226" xr:uid="{00000000-0005-0000-0000-00005F0C0000}"/>
    <cellStyle name="Currency 5 2 5 5 2 2" xfId="8449" xr:uid="{00000000-0005-0000-0000-0000600C0000}"/>
    <cellStyle name="Currency 5 2 5 5 2 2 2" xfId="16888" xr:uid="{8507154D-CD0C-43F1-983E-52C3FC8EE1A7}"/>
    <cellStyle name="Currency 5 2 5 5 2 3" xfId="12670" xr:uid="{678E0B6C-2321-4846-80DE-254651BBF963}"/>
    <cellStyle name="Currency 5 2 5 5 3" xfId="6304" xr:uid="{00000000-0005-0000-0000-0000610C0000}"/>
    <cellStyle name="Currency 5 2 5 5 3 2" xfId="14743" xr:uid="{1671CAC5-6127-46F7-84F8-1374FFF02B0A}"/>
    <cellStyle name="Currency 5 2 5 5 4" xfId="10525" xr:uid="{90CD592D-7171-47F8-8D78-70F329EBCB5B}"/>
    <cellStyle name="Currency 5 2 5 6" xfId="2432" xr:uid="{00000000-0005-0000-0000-0000620C0000}"/>
    <cellStyle name="Currency 5 2 5 6 2" xfId="6717" xr:uid="{00000000-0005-0000-0000-0000630C0000}"/>
    <cellStyle name="Currency 5 2 5 6 2 2" xfId="15156" xr:uid="{E42A2F12-4945-4E4C-BB5D-4C1EE9B42171}"/>
    <cellStyle name="Currency 5 2 5 6 3" xfId="10938" xr:uid="{704C4291-7CF5-4B39-AB1B-61C16497D61F}"/>
    <cellStyle name="Currency 5 2 5 7" xfId="2729" xr:uid="{00000000-0005-0000-0000-0000640C0000}"/>
    <cellStyle name="Currency 5 2 5 8" xfId="2810" xr:uid="{00000000-0005-0000-0000-0000650C0000}"/>
    <cellStyle name="Currency 5 2 5 8 2" xfId="7034" xr:uid="{00000000-0005-0000-0000-0000660C0000}"/>
    <cellStyle name="Currency 5 2 5 8 2 2" xfId="15473" xr:uid="{0EE7E596-039D-40CC-A5F3-00C226B988D6}"/>
    <cellStyle name="Currency 5 2 5 8 3" xfId="11255" xr:uid="{83697290-0C48-4A26-8868-4D02B9511BC5}"/>
    <cellStyle name="Currency 5 2 5 9" xfId="4651" xr:uid="{00000000-0005-0000-0000-0000670C0000}"/>
    <cellStyle name="Currency 5 2 5 9 2" xfId="13090" xr:uid="{1E901C79-A0B4-4767-908F-790E6BAB22FA}"/>
    <cellStyle name="Currency 5 2 6" xfId="208" xr:uid="{00000000-0005-0000-0000-0000680C0000}"/>
    <cellStyle name="Currency 5 2 6 10" xfId="8873" xr:uid="{FEB3200C-2D90-4668-9A13-369B1E5F0294}"/>
    <cellStyle name="Currency 5 2 6 2" xfId="735" xr:uid="{00000000-0005-0000-0000-0000690C0000}"/>
    <cellStyle name="Currency 5 2 6 2 2" xfId="2988" xr:uid="{00000000-0005-0000-0000-00006A0C0000}"/>
    <cellStyle name="Currency 5 2 6 2 2 2" xfId="7211" xr:uid="{00000000-0005-0000-0000-00006B0C0000}"/>
    <cellStyle name="Currency 5 2 6 2 2 2 2" xfId="15650" xr:uid="{5D4A8D2C-1D36-4D02-896A-612180CBF8D8}"/>
    <cellStyle name="Currency 5 2 6 2 2 3" xfId="11432" xr:uid="{BA747F0A-9CAD-450E-90B4-5B37B94E7C84}"/>
    <cellStyle name="Currency 5 2 6 2 3" xfId="5066" xr:uid="{00000000-0005-0000-0000-00006C0C0000}"/>
    <cellStyle name="Currency 5 2 6 2 3 2" xfId="13505" xr:uid="{BD4D6D7D-9BD8-4C20-B387-ED55AFE3BF58}"/>
    <cellStyle name="Currency 5 2 6 2 4" xfId="9287" xr:uid="{C451401C-62FC-4B59-9BE5-6306FB24F6F5}"/>
    <cellStyle name="Currency 5 2 6 3" xfId="1170" xr:uid="{00000000-0005-0000-0000-00006D0C0000}"/>
    <cellStyle name="Currency 5 2 6 3 2" xfId="3401" xr:uid="{00000000-0005-0000-0000-00006E0C0000}"/>
    <cellStyle name="Currency 5 2 6 3 2 2" xfId="7624" xr:uid="{00000000-0005-0000-0000-00006F0C0000}"/>
    <cellStyle name="Currency 5 2 6 3 2 2 2" xfId="16063" xr:uid="{0735B499-E6C6-41B5-8FE2-C2111F42EE92}"/>
    <cellStyle name="Currency 5 2 6 3 2 3" xfId="11845" xr:uid="{4E233A2B-42F3-44A7-8F22-EFA84734219C}"/>
    <cellStyle name="Currency 5 2 6 3 3" xfId="5479" xr:uid="{00000000-0005-0000-0000-0000700C0000}"/>
    <cellStyle name="Currency 5 2 6 3 3 2" xfId="13918" xr:uid="{A6A3CCCF-0A58-49B0-9031-8A7F9AEC3917}"/>
    <cellStyle name="Currency 5 2 6 3 4" xfId="9700" xr:uid="{654CE8B1-AE86-4DE7-8D4E-6871D47B3352}"/>
    <cellStyle name="Currency 5 2 6 4" xfId="1584" xr:uid="{00000000-0005-0000-0000-0000710C0000}"/>
    <cellStyle name="Currency 5 2 6 4 2" xfId="3814" xr:uid="{00000000-0005-0000-0000-0000720C0000}"/>
    <cellStyle name="Currency 5 2 6 4 2 2" xfId="8037" xr:uid="{00000000-0005-0000-0000-0000730C0000}"/>
    <cellStyle name="Currency 5 2 6 4 2 2 2" xfId="16476" xr:uid="{6B9F4AEC-3EFC-4D67-978E-41A88A12BC61}"/>
    <cellStyle name="Currency 5 2 6 4 2 3" xfId="12258" xr:uid="{C3F7CCB2-7135-4FF7-905C-B248CCEE419B}"/>
    <cellStyle name="Currency 5 2 6 4 3" xfId="5892" xr:uid="{00000000-0005-0000-0000-0000740C0000}"/>
    <cellStyle name="Currency 5 2 6 4 3 2" xfId="14331" xr:uid="{44181BA4-2E8F-4AFD-8001-C7190A6E1DFB}"/>
    <cellStyle name="Currency 5 2 6 4 4" xfId="10113" xr:uid="{EDDCF342-C329-47FB-9C9A-4235852542B1}"/>
    <cellStyle name="Currency 5 2 6 5" xfId="1998" xr:uid="{00000000-0005-0000-0000-0000750C0000}"/>
    <cellStyle name="Currency 5 2 6 5 2" xfId="4227" xr:uid="{00000000-0005-0000-0000-0000760C0000}"/>
    <cellStyle name="Currency 5 2 6 5 2 2" xfId="8450" xr:uid="{00000000-0005-0000-0000-0000770C0000}"/>
    <cellStyle name="Currency 5 2 6 5 2 2 2" xfId="16889" xr:uid="{14166B76-0F08-42A1-84A9-DEF64F77BFB6}"/>
    <cellStyle name="Currency 5 2 6 5 2 3" xfId="12671" xr:uid="{CD0EC95B-7A95-46D1-BF88-D28BD8A82436}"/>
    <cellStyle name="Currency 5 2 6 5 3" xfId="6305" xr:uid="{00000000-0005-0000-0000-0000780C0000}"/>
    <cellStyle name="Currency 5 2 6 5 3 2" xfId="14744" xr:uid="{364A3A18-B225-4A4B-A5BA-704B02172212}"/>
    <cellStyle name="Currency 5 2 6 5 4" xfId="10526" xr:uid="{DD7E5DE8-6518-4970-8053-516D57C40CE2}"/>
    <cellStyle name="Currency 5 2 6 6" xfId="2433" xr:uid="{00000000-0005-0000-0000-0000790C0000}"/>
    <cellStyle name="Currency 5 2 6 6 2" xfId="6718" xr:uid="{00000000-0005-0000-0000-00007A0C0000}"/>
    <cellStyle name="Currency 5 2 6 6 2 2" xfId="15157" xr:uid="{71A8D8F2-0C23-4D9D-86DF-300B563FE860}"/>
    <cellStyle name="Currency 5 2 6 6 3" xfId="10939" xr:uid="{260D7BE0-A027-4BB8-AA83-20F0A4F1D680}"/>
    <cellStyle name="Currency 5 2 6 7" xfId="2730" xr:uid="{00000000-0005-0000-0000-00007B0C0000}"/>
    <cellStyle name="Currency 5 2 6 8" xfId="2811" xr:uid="{00000000-0005-0000-0000-00007C0C0000}"/>
    <cellStyle name="Currency 5 2 6 8 2" xfId="7035" xr:uid="{00000000-0005-0000-0000-00007D0C0000}"/>
    <cellStyle name="Currency 5 2 6 8 2 2" xfId="15474" xr:uid="{22D0206E-F2FA-4754-8BA6-4C3E4A0AA130}"/>
    <cellStyle name="Currency 5 2 6 8 3" xfId="11256" xr:uid="{40769556-67E4-48B3-A30C-B4D4A85396F3}"/>
    <cellStyle name="Currency 5 2 6 9" xfId="4652" xr:uid="{00000000-0005-0000-0000-00007E0C0000}"/>
    <cellStyle name="Currency 5 2 6 9 2" xfId="13091" xr:uid="{DB4C12E6-FECF-44E5-9D1C-E6E80670EF84}"/>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0 2 2" xfId="15475" xr:uid="{5C64692D-848C-4173-9AF2-6B685C9EB54D}"/>
    <cellStyle name="Currency 5 3 2 10 3" xfId="11257" xr:uid="{E8616BCF-5D38-4DE8-B9F0-A63FAEFACB3E}"/>
    <cellStyle name="Currency 5 3 2 11" xfId="4653" xr:uid="{00000000-0005-0000-0000-0000840C0000}"/>
    <cellStyle name="Currency 5 3 2 11 2" xfId="13092" xr:uid="{E0ACDA85-24E6-4643-91F7-CC3502805BED}"/>
    <cellStyle name="Currency 5 3 2 12" xfId="8874" xr:uid="{84DE9C29-C35D-4C70-8BD2-62819C4CDD76}"/>
    <cellStyle name="Currency 5 3 2 2" xfId="211" xr:uid="{00000000-0005-0000-0000-0000850C0000}"/>
    <cellStyle name="Currency 5 3 2 2 10" xfId="4654" xr:uid="{00000000-0005-0000-0000-0000860C0000}"/>
    <cellStyle name="Currency 5 3 2 2 10 2" xfId="13093" xr:uid="{943C13C1-0B93-450D-A0B1-D25E32ED4B71}"/>
    <cellStyle name="Currency 5 3 2 2 11" xfId="8875" xr:uid="{ECA92449-EF8C-42B6-88FE-25E91D1B008A}"/>
    <cellStyle name="Currency 5 3 2 2 2" xfId="212" xr:uid="{00000000-0005-0000-0000-0000870C0000}"/>
    <cellStyle name="Currency 5 3 2 2 2 10" xfId="8876" xr:uid="{D7312BE1-CDE9-4B43-B859-81F16045C652}"/>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2 2 2" xfId="15653" xr:uid="{5D2ADB6D-E3CC-41F6-A6D9-D08B5C49FAB6}"/>
    <cellStyle name="Currency 5 3 2 2 2 2 2 3" xfId="11435" xr:uid="{5631B38E-D858-4F24-8538-980921BBFCFE}"/>
    <cellStyle name="Currency 5 3 2 2 2 2 3" xfId="5069" xr:uid="{00000000-0005-0000-0000-00008B0C0000}"/>
    <cellStyle name="Currency 5 3 2 2 2 2 3 2" xfId="13508" xr:uid="{A6E8D651-19C9-4EAE-93D1-C1D361FA94F4}"/>
    <cellStyle name="Currency 5 3 2 2 2 2 4" xfId="9290" xr:uid="{32FE76D3-521B-4040-A35F-88B967F1CB01}"/>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2 2 2" xfId="16066" xr:uid="{32E28189-CC78-4CAA-A68D-D0C4F00F17E0}"/>
    <cellStyle name="Currency 5 3 2 2 2 3 2 3" xfId="11848" xr:uid="{6957649B-AF75-4DCA-9461-371560A19475}"/>
    <cellStyle name="Currency 5 3 2 2 2 3 3" xfId="5482" xr:uid="{00000000-0005-0000-0000-00008F0C0000}"/>
    <cellStyle name="Currency 5 3 2 2 2 3 3 2" xfId="13921" xr:uid="{1EC74231-C0E2-4FC8-B138-F5B0695AB886}"/>
    <cellStyle name="Currency 5 3 2 2 2 3 4" xfId="9703" xr:uid="{FEECCC6A-CD36-4AED-9805-B95FED2D35E8}"/>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2 2 2" xfId="16479" xr:uid="{A6CF7FC6-F2B7-4AFC-819F-A05FEBD03E79}"/>
    <cellStyle name="Currency 5 3 2 2 2 4 2 3" xfId="12261" xr:uid="{D40D5F77-6D45-4CE4-BD79-F62A13B00F95}"/>
    <cellStyle name="Currency 5 3 2 2 2 4 3" xfId="5895" xr:uid="{00000000-0005-0000-0000-0000930C0000}"/>
    <cellStyle name="Currency 5 3 2 2 2 4 3 2" xfId="14334" xr:uid="{69EA6CF8-5025-44D7-830D-21F6BAEAC307}"/>
    <cellStyle name="Currency 5 3 2 2 2 4 4" xfId="10116" xr:uid="{B7D390DE-FBC0-4E72-B8E8-79ADFC4AB5CE}"/>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2 2 2" xfId="16892" xr:uid="{6421F781-E508-4305-848F-7385AB47CE40}"/>
    <cellStyle name="Currency 5 3 2 2 2 5 2 3" xfId="12674" xr:uid="{77C6EB51-95CF-4B4C-947E-03C874013BA7}"/>
    <cellStyle name="Currency 5 3 2 2 2 5 3" xfId="6308" xr:uid="{00000000-0005-0000-0000-0000970C0000}"/>
    <cellStyle name="Currency 5 3 2 2 2 5 3 2" xfId="14747" xr:uid="{32C2D478-F927-498E-9041-D6ADC8E4BA89}"/>
    <cellStyle name="Currency 5 3 2 2 2 5 4" xfId="10529" xr:uid="{59A00AC1-1FE5-42D4-BE34-6ED70D300758}"/>
    <cellStyle name="Currency 5 3 2 2 2 6" xfId="2436" xr:uid="{00000000-0005-0000-0000-0000980C0000}"/>
    <cellStyle name="Currency 5 3 2 2 2 6 2" xfId="6721" xr:uid="{00000000-0005-0000-0000-0000990C0000}"/>
    <cellStyle name="Currency 5 3 2 2 2 6 2 2" xfId="15160" xr:uid="{C2A94AE8-25A9-45D5-A3AC-0F40718AA75F}"/>
    <cellStyle name="Currency 5 3 2 2 2 6 3" xfId="10942" xr:uid="{06DDA885-CB0B-45BB-A171-8C1ABE3AC239}"/>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8 2 2" xfId="15477" xr:uid="{5E566682-40F6-4B6B-A36D-53DE9EA39136}"/>
    <cellStyle name="Currency 5 3 2 2 2 8 3" xfId="11259" xr:uid="{1179715D-5E68-4389-81A6-A91BBB365D83}"/>
    <cellStyle name="Currency 5 3 2 2 2 9" xfId="4655" xr:uid="{00000000-0005-0000-0000-00009D0C0000}"/>
    <cellStyle name="Currency 5 3 2 2 2 9 2" xfId="13094" xr:uid="{8AF564FE-EB10-419F-9AC9-FFB58747A964}"/>
    <cellStyle name="Currency 5 3 2 2 3" xfId="737" xr:uid="{00000000-0005-0000-0000-00009E0C0000}"/>
    <cellStyle name="Currency 5 3 2 2 3 2" xfId="2990" xr:uid="{00000000-0005-0000-0000-00009F0C0000}"/>
    <cellStyle name="Currency 5 3 2 2 3 2 2" xfId="7213" xr:uid="{00000000-0005-0000-0000-0000A00C0000}"/>
    <cellStyle name="Currency 5 3 2 2 3 2 2 2" xfId="15652" xr:uid="{BA921CC0-D887-4C5B-B6EF-1138CACF8A20}"/>
    <cellStyle name="Currency 5 3 2 2 3 2 3" xfId="11434" xr:uid="{135F60E5-B789-4B95-A4A5-AFB69381B558}"/>
    <cellStyle name="Currency 5 3 2 2 3 3" xfId="5068" xr:uid="{00000000-0005-0000-0000-0000A10C0000}"/>
    <cellStyle name="Currency 5 3 2 2 3 3 2" xfId="13507" xr:uid="{708199D4-6CFF-418F-8F0E-FA647B6EA768}"/>
    <cellStyle name="Currency 5 3 2 2 3 4" xfId="9289" xr:uid="{D161C430-4516-466F-9C49-9A7D96346CB2}"/>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2 2 2" xfId="16065" xr:uid="{107D7B12-1DE0-4DAD-98D0-9846CDD41053}"/>
    <cellStyle name="Currency 5 3 2 2 4 2 3" xfId="11847" xr:uid="{354129E1-64D5-40E1-B836-533F5D932130}"/>
    <cellStyle name="Currency 5 3 2 2 4 3" xfId="5481" xr:uid="{00000000-0005-0000-0000-0000A50C0000}"/>
    <cellStyle name="Currency 5 3 2 2 4 3 2" xfId="13920" xr:uid="{0387DD41-B277-4875-BD5E-BA5CF783751E}"/>
    <cellStyle name="Currency 5 3 2 2 4 4" xfId="9702" xr:uid="{7A8E9BFF-A62A-4581-829E-8B0B8855D6D4}"/>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2 2 2" xfId="16478" xr:uid="{4CCEB473-2982-43C5-960A-AA3682D3D598}"/>
    <cellStyle name="Currency 5 3 2 2 5 2 3" xfId="12260" xr:uid="{3A559292-B4C7-427F-A548-01A41AD658F7}"/>
    <cellStyle name="Currency 5 3 2 2 5 3" xfId="5894" xr:uid="{00000000-0005-0000-0000-0000A90C0000}"/>
    <cellStyle name="Currency 5 3 2 2 5 3 2" xfId="14333" xr:uid="{FC770712-F503-4C71-9009-37B240A985FA}"/>
    <cellStyle name="Currency 5 3 2 2 5 4" xfId="10115" xr:uid="{8EB101E3-3C65-4915-B803-8BF71B6B9B02}"/>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2 2 2" xfId="16891" xr:uid="{05347C2D-6BB5-4871-B312-F181DE72B064}"/>
    <cellStyle name="Currency 5 3 2 2 6 2 3" xfId="12673" xr:uid="{EDF4E873-3A21-4FA9-AC3D-6704764D68D8}"/>
    <cellStyle name="Currency 5 3 2 2 6 3" xfId="6307" xr:uid="{00000000-0005-0000-0000-0000AD0C0000}"/>
    <cellStyle name="Currency 5 3 2 2 6 3 2" xfId="14746" xr:uid="{065F7332-4020-44F5-8756-9B30C35788C5}"/>
    <cellStyle name="Currency 5 3 2 2 6 4" xfId="10528" xr:uid="{7765A0F2-6064-4F56-B196-9284E322568E}"/>
    <cellStyle name="Currency 5 3 2 2 7" xfId="2435" xr:uid="{00000000-0005-0000-0000-0000AE0C0000}"/>
    <cellStyle name="Currency 5 3 2 2 7 2" xfId="6720" xr:uid="{00000000-0005-0000-0000-0000AF0C0000}"/>
    <cellStyle name="Currency 5 3 2 2 7 2 2" xfId="15159" xr:uid="{8C0B948F-2AA2-451F-8243-F35DA874E4C4}"/>
    <cellStyle name="Currency 5 3 2 2 7 3" xfId="10941" xr:uid="{1B4EDBDF-25E3-4D56-93ED-24F07A2D6015}"/>
    <cellStyle name="Currency 5 3 2 2 8" xfId="2732" xr:uid="{00000000-0005-0000-0000-0000B00C0000}"/>
    <cellStyle name="Currency 5 3 2 2 9" xfId="2813" xr:uid="{00000000-0005-0000-0000-0000B10C0000}"/>
    <cellStyle name="Currency 5 3 2 2 9 2" xfId="7037" xr:uid="{00000000-0005-0000-0000-0000B20C0000}"/>
    <cellStyle name="Currency 5 3 2 2 9 2 2" xfId="15476" xr:uid="{85189078-5810-4A74-947C-96EA2C373E42}"/>
    <cellStyle name="Currency 5 3 2 2 9 3" xfId="11258" xr:uid="{9B42FA29-FB90-4254-A52F-7C1A9863265A}"/>
    <cellStyle name="Currency 5 3 2 3" xfId="213" xr:uid="{00000000-0005-0000-0000-0000B30C0000}"/>
    <cellStyle name="Currency 5 3 2 3 10" xfId="8877" xr:uid="{AA1EF676-B09F-4F02-A4E2-9DFD24D50AA5}"/>
    <cellStyle name="Currency 5 3 2 3 2" xfId="739" xr:uid="{00000000-0005-0000-0000-0000B40C0000}"/>
    <cellStyle name="Currency 5 3 2 3 2 2" xfId="2992" xr:uid="{00000000-0005-0000-0000-0000B50C0000}"/>
    <cellStyle name="Currency 5 3 2 3 2 2 2" xfId="7215" xr:uid="{00000000-0005-0000-0000-0000B60C0000}"/>
    <cellStyle name="Currency 5 3 2 3 2 2 2 2" xfId="15654" xr:uid="{011D3FAC-AF6C-455D-8CBF-7F1362C2BDB5}"/>
    <cellStyle name="Currency 5 3 2 3 2 2 3" xfId="11436" xr:uid="{FE68BB20-35B3-415F-A80F-11F361C28842}"/>
    <cellStyle name="Currency 5 3 2 3 2 3" xfId="5070" xr:uid="{00000000-0005-0000-0000-0000B70C0000}"/>
    <cellStyle name="Currency 5 3 2 3 2 3 2" xfId="13509" xr:uid="{A8A5DD4D-4015-47C7-9467-2F7D590B1796}"/>
    <cellStyle name="Currency 5 3 2 3 2 4" xfId="9291" xr:uid="{0296E9A5-F5F5-44A2-BDD8-BDC6E07F1109}"/>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2 2 2" xfId="16067" xr:uid="{6448FFDA-3589-4FB4-8A15-03EC87EDEA38}"/>
    <cellStyle name="Currency 5 3 2 3 3 2 3" xfId="11849" xr:uid="{0882E4BE-F31A-48CE-A9CE-B8AFE45612B7}"/>
    <cellStyle name="Currency 5 3 2 3 3 3" xfId="5483" xr:uid="{00000000-0005-0000-0000-0000BB0C0000}"/>
    <cellStyle name="Currency 5 3 2 3 3 3 2" xfId="13922" xr:uid="{1FE30343-E66F-4EB6-9DC0-B43B080B6A2E}"/>
    <cellStyle name="Currency 5 3 2 3 3 4" xfId="9704" xr:uid="{12E85EAD-E3E8-4FBD-9C74-C01CEDE33BBF}"/>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2 2 2" xfId="16480" xr:uid="{0079B252-869C-44F2-A119-05CC2DB88024}"/>
    <cellStyle name="Currency 5 3 2 3 4 2 3" xfId="12262" xr:uid="{7D423968-06A6-4D72-94E9-45CE107FDC00}"/>
    <cellStyle name="Currency 5 3 2 3 4 3" xfId="5896" xr:uid="{00000000-0005-0000-0000-0000BF0C0000}"/>
    <cellStyle name="Currency 5 3 2 3 4 3 2" xfId="14335" xr:uid="{264FA4F0-8F16-4614-BC33-2EA9F7A760C4}"/>
    <cellStyle name="Currency 5 3 2 3 4 4" xfId="10117" xr:uid="{DDA0256E-E75D-411F-8B22-F9802D2BF18E}"/>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2 2 2" xfId="16893" xr:uid="{5B4069A8-58E0-4F1B-9E4F-4BC44389375F}"/>
    <cellStyle name="Currency 5 3 2 3 5 2 3" xfId="12675" xr:uid="{FC17FC05-6FB9-419C-AD7A-7F2935185847}"/>
    <cellStyle name="Currency 5 3 2 3 5 3" xfId="6309" xr:uid="{00000000-0005-0000-0000-0000C30C0000}"/>
    <cellStyle name="Currency 5 3 2 3 5 3 2" xfId="14748" xr:uid="{B059161B-4894-4689-9E62-34D494F94108}"/>
    <cellStyle name="Currency 5 3 2 3 5 4" xfId="10530" xr:uid="{292267D2-0BA2-46F0-BED5-D16B2296A421}"/>
    <cellStyle name="Currency 5 3 2 3 6" xfId="2437" xr:uid="{00000000-0005-0000-0000-0000C40C0000}"/>
    <cellStyle name="Currency 5 3 2 3 6 2" xfId="6722" xr:uid="{00000000-0005-0000-0000-0000C50C0000}"/>
    <cellStyle name="Currency 5 3 2 3 6 2 2" xfId="15161" xr:uid="{6918B93D-B8BB-4FA5-A4AA-532A6E27070E}"/>
    <cellStyle name="Currency 5 3 2 3 6 3" xfId="10943" xr:uid="{1DE56A4A-722A-48C1-804E-50C1A5DCC368}"/>
    <cellStyle name="Currency 5 3 2 3 7" xfId="2734" xr:uid="{00000000-0005-0000-0000-0000C60C0000}"/>
    <cellStyle name="Currency 5 3 2 3 8" xfId="2815" xr:uid="{00000000-0005-0000-0000-0000C70C0000}"/>
    <cellStyle name="Currency 5 3 2 3 8 2" xfId="7039" xr:uid="{00000000-0005-0000-0000-0000C80C0000}"/>
    <cellStyle name="Currency 5 3 2 3 8 2 2" xfId="15478" xr:uid="{6B32DC53-2613-4CD1-86AF-27020A7D2C4D}"/>
    <cellStyle name="Currency 5 3 2 3 8 3" xfId="11260" xr:uid="{65D3A800-4421-4859-8ED3-6146DB818AFA}"/>
    <cellStyle name="Currency 5 3 2 3 9" xfId="4656" xr:uid="{00000000-0005-0000-0000-0000C90C0000}"/>
    <cellStyle name="Currency 5 3 2 3 9 2" xfId="13095" xr:uid="{9F1C280D-7226-4C61-BC6C-AF2884F8BA66}"/>
    <cellStyle name="Currency 5 3 2 4" xfId="736" xr:uid="{00000000-0005-0000-0000-0000CA0C0000}"/>
    <cellStyle name="Currency 5 3 2 4 2" xfId="2989" xr:uid="{00000000-0005-0000-0000-0000CB0C0000}"/>
    <cellStyle name="Currency 5 3 2 4 2 2" xfId="7212" xr:uid="{00000000-0005-0000-0000-0000CC0C0000}"/>
    <cellStyle name="Currency 5 3 2 4 2 2 2" xfId="15651" xr:uid="{8AEBC262-F3FE-4D50-9A5D-16BBC2D4512D}"/>
    <cellStyle name="Currency 5 3 2 4 2 3" xfId="11433" xr:uid="{51E459B1-AA87-48F9-8914-B9F9FB0E1E20}"/>
    <cellStyle name="Currency 5 3 2 4 3" xfId="5067" xr:uid="{00000000-0005-0000-0000-0000CD0C0000}"/>
    <cellStyle name="Currency 5 3 2 4 3 2" xfId="13506" xr:uid="{ADE97C27-7CB9-438D-947C-09A1589DCD14}"/>
    <cellStyle name="Currency 5 3 2 4 4" xfId="9288" xr:uid="{A74F46D1-9E20-4179-96C8-21C7AE264E19}"/>
    <cellStyle name="Currency 5 3 2 5" xfId="1171" xr:uid="{00000000-0005-0000-0000-0000CE0C0000}"/>
    <cellStyle name="Currency 5 3 2 5 2" xfId="3402" xr:uid="{00000000-0005-0000-0000-0000CF0C0000}"/>
    <cellStyle name="Currency 5 3 2 5 2 2" xfId="7625" xr:uid="{00000000-0005-0000-0000-0000D00C0000}"/>
    <cellStyle name="Currency 5 3 2 5 2 2 2" xfId="16064" xr:uid="{2E2EB8A3-A37B-43CC-9F85-5994A231D290}"/>
    <cellStyle name="Currency 5 3 2 5 2 3" xfId="11846" xr:uid="{42CEC54E-39EE-4D3A-8BAC-C82187697C2B}"/>
    <cellStyle name="Currency 5 3 2 5 3" xfId="5480" xr:uid="{00000000-0005-0000-0000-0000D10C0000}"/>
    <cellStyle name="Currency 5 3 2 5 3 2" xfId="13919" xr:uid="{F0F92AB1-195F-4D96-BFBB-2CE37C614215}"/>
    <cellStyle name="Currency 5 3 2 5 4" xfId="9701" xr:uid="{6499231C-AC25-4EAE-B1DF-08CB3B292A67}"/>
    <cellStyle name="Currency 5 3 2 6" xfId="1585" xr:uid="{00000000-0005-0000-0000-0000D20C0000}"/>
    <cellStyle name="Currency 5 3 2 6 2" xfId="3815" xr:uid="{00000000-0005-0000-0000-0000D30C0000}"/>
    <cellStyle name="Currency 5 3 2 6 2 2" xfId="8038" xr:uid="{00000000-0005-0000-0000-0000D40C0000}"/>
    <cellStyle name="Currency 5 3 2 6 2 2 2" xfId="16477" xr:uid="{53728099-C612-46C5-A651-5AD11381AE3B}"/>
    <cellStyle name="Currency 5 3 2 6 2 3" xfId="12259" xr:uid="{970240F1-7A44-4352-A11C-3AE760A0FDBA}"/>
    <cellStyle name="Currency 5 3 2 6 3" xfId="5893" xr:uid="{00000000-0005-0000-0000-0000D50C0000}"/>
    <cellStyle name="Currency 5 3 2 6 3 2" xfId="14332" xr:uid="{C804D9E4-5D47-4591-BC3B-C4F878F28A75}"/>
    <cellStyle name="Currency 5 3 2 6 4" xfId="10114" xr:uid="{E21867AB-8F21-4F96-9766-76B760DC86FF}"/>
    <cellStyle name="Currency 5 3 2 7" xfId="1999" xr:uid="{00000000-0005-0000-0000-0000D60C0000}"/>
    <cellStyle name="Currency 5 3 2 7 2" xfId="4228" xr:uid="{00000000-0005-0000-0000-0000D70C0000}"/>
    <cellStyle name="Currency 5 3 2 7 2 2" xfId="8451" xr:uid="{00000000-0005-0000-0000-0000D80C0000}"/>
    <cellStyle name="Currency 5 3 2 7 2 2 2" xfId="16890" xr:uid="{28020A18-3BAA-48BC-908C-DBF2F635C883}"/>
    <cellStyle name="Currency 5 3 2 7 2 3" xfId="12672" xr:uid="{5171C9D9-67C2-4ED3-A9DB-51EAE95596A2}"/>
    <cellStyle name="Currency 5 3 2 7 3" xfId="6306" xr:uid="{00000000-0005-0000-0000-0000D90C0000}"/>
    <cellStyle name="Currency 5 3 2 7 3 2" xfId="14745" xr:uid="{AD4D2838-BAF2-47BA-8B00-5127C029FFFF}"/>
    <cellStyle name="Currency 5 3 2 7 4" xfId="10527" xr:uid="{CC386C21-2E91-42A1-84F8-1244C88A48C7}"/>
    <cellStyle name="Currency 5 3 2 8" xfId="2434" xr:uid="{00000000-0005-0000-0000-0000DA0C0000}"/>
    <cellStyle name="Currency 5 3 2 8 2" xfId="6719" xr:uid="{00000000-0005-0000-0000-0000DB0C0000}"/>
    <cellStyle name="Currency 5 3 2 8 2 2" xfId="15158" xr:uid="{8FDE2E8A-2AE2-4748-912B-0457BA1C1319}"/>
    <cellStyle name="Currency 5 3 2 8 3" xfId="10940" xr:uid="{93395736-5398-40C0-86BD-C941A15A79E6}"/>
    <cellStyle name="Currency 5 3 2 9" xfId="2731" xr:uid="{00000000-0005-0000-0000-0000DC0C0000}"/>
    <cellStyle name="Currency 5 3 3" xfId="214" xr:uid="{00000000-0005-0000-0000-0000DD0C0000}"/>
    <cellStyle name="Currency 5 3 3 10" xfId="4657" xr:uid="{00000000-0005-0000-0000-0000DE0C0000}"/>
    <cellStyle name="Currency 5 3 3 10 2" xfId="13096" xr:uid="{B0B48FB3-C785-4E03-932A-000A5CE3322F}"/>
    <cellStyle name="Currency 5 3 3 11" xfId="8878" xr:uid="{7FA14FDC-E23B-49E4-ACAC-0A3D02A38A11}"/>
    <cellStyle name="Currency 5 3 3 2" xfId="215" xr:uid="{00000000-0005-0000-0000-0000DF0C0000}"/>
    <cellStyle name="Currency 5 3 3 2 10" xfId="8879" xr:uid="{03C500B9-3D3C-4A99-8AB9-06DE4071E716}"/>
    <cellStyle name="Currency 5 3 3 2 2" xfId="741" xr:uid="{00000000-0005-0000-0000-0000E00C0000}"/>
    <cellStyle name="Currency 5 3 3 2 2 2" xfId="2994" xr:uid="{00000000-0005-0000-0000-0000E10C0000}"/>
    <cellStyle name="Currency 5 3 3 2 2 2 2" xfId="7217" xr:uid="{00000000-0005-0000-0000-0000E20C0000}"/>
    <cellStyle name="Currency 5 3 3 2 2 2 2 2" xfId="15656" xr:uid="{4CA290F7-B16A-4A27-9520-F649AAA4F9CB}"/>
    <cellStyle name="Currency 5 3 3 2 2 2 3" xfId="11438" xr:uid="{F9141973-7FDF-4561-A320-D7994B031ED4}"/>
    <cellStyle name="Currency 5 3 3 2 2 3" xfId="5072" xr:uid="{00000000-0005-0000-0000-0000E30C0000}"/>
    <cellStyle name="Currency 5 3 3 2 2 3 2" xfId="13511" xr:uid="{201510C7-ED23-4748-B65C-DDDEF454BBC3}"/>
    <cellStyle name="Currency 5 3 3 2 2 4" xfId="9293" xr:uid="{A1430D56-00D2-42F5-AD8C-AD7492222FF7}"/>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2 2 2" xfId="16069" xr:uid="{A86D726F-659B-44F7-9C29-9FF8D798E9EC}"/>
    <cellStyle name="Currency 5 3 3 2 3 2 3" xfId="11851" xr:uid="{7BEDCBEC-828A-485D-89EF-F8E2285AD0DE}"/>
    <cellStyle name="Currency 5 3 3 2 3 3" xfId="5485" xr:uid="{00000000-0005-0000-0000-0000E70C0000}"/>
    <cellStyle name="Currency 5 3 3 2 3 3 2" xfId="13924" xr:uid="{9C5B5309-9128-4C91-9854-491F79077276}"/>
    <cellStyle name="Currency 5 3 3 2 3 4" xfId="9706" xr:uid="{ACFCFD17-AB8C-45BB-9A62-C2794585BC35}"/>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2 2 2" xfId="16482" xr:uid="{668E64AB-7938-4C12-8990-F742BF98ABA6}"/>
    <cellStyle name="Currency 5 3 3 2 4 2 3" xfId="12264" xr:uid="{7F52DA98-36EA-4992-9DB0-43B5BA805C27}"/>
    <cellStyle name="Currency 5 3 3 2 4 3" xfId="5898" xr:uid="{00000000-0005-0000-0000-0000EB0C0000}"/>
    <cellStyle name="Currency 5 3 3 2 4 3 2" xfId="14337" xr:uid="{384D957F-6E41-4223-BA3F-10C07BDC785E}"/>
    <cellStyle name="Currency 5 3 3 2 4 4" xfId="10119" xr:uid="{1422A576-B584-4F2A-81F8-42604F8237A3}"/>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2 2 2" xfId="16895" xr:uid="{8410C255-3D46-4184-B90C-7A06C09B9491}"/>
    <cellStyle name="Currency 5 3 3 2 5 2 3" xfId="12677" xr:uid="{CFD5BC39-03FC-4977-BCE5-096A719FEC7C}"/>
    <cellStyle name="Currency 5 3 3 2 5 3" xfId="6311" xr:uid="{00000000-0005-0000-0000-0000EF0C0000}"/>
    <cellStyle name="Currency 5 3 3 2 5 3 2" xfId="14750" xr:uid="{0A6E1CD3-3BDA-4FB7-BF90-B41613D6E8AC}"/>
    <cellStyle name="Currency 5 3 3 2 5 4" xfId="10532" xr:uid="{4DD13F36-F712-4FE8-989C-FBCA677895C3}"/>
    <cellStyle name="Currency 5 3 3 2 6" xfId="2439" xr:uid="{00000000-0005-0000-0000-0000F00C0000}"/>
    <cellStyle name="Currency 5 3 3 2 6 2" xfId="6724" xr:uid="{00000000-0005-0000-0000-0000F10C0000}"/>
    <cellStyle name="Currency 5 3 3 2 6 2 2" xfId="15163" xr:uid="{CD2A868E-1808-4B8A-A003-36743A2142C9}"/>
    <cellStyle name="Currency 5 3 3 2 6 3" xfId="10945" xr:uid="{17E1B162-13F2-40BA-8555-19DB43D0D671}"/>
    <cellStyle name="Currency 5 3 3 2 7" xfId="2736" xr:uid="{00000000-0005-0000-0000-0000F20C0000}"/>
    <cellStyle name="Currency 5 3 3 2 8" xfId="2817" xr:uid="{00000000-0005-0000-0000-0000F30C0000}"/>
    <cellStyle name="Currency 5 3 3 2 8 2" xfId="7041" xr:uid="{00000000-0005-0000-0000-0000F40C0000}"/>
    <cellStyle name="Currency 5 3 3 2 8 2 2" xfId="15480" xr:uid="{F8D14567-CD93-4FA0-8E51-53E362D1CAFB}"/>
    <cellStyle name="Currency 5 3 3 2 8 3" xfId="11262" xr:uid="{AAB5F6F0-AC36-4CFA-A936-CA80678660F3}"/>
    <cellStyle name="Currency 5 3 3 2 9" xfId="4658" xr:uid="{00000000-0005-0000-0000-0000F50C0000}"/>
    <cellStyle name="Currency 5 3 3 2 9 2" xfId="13097" xr:uid="{CC2FE336-A6E1-4C7C-AB91-D27F6384FA1B}"/>
    <cellStyle name="Currency 5 3 3 3" xfId="740" xr:uid="{00000000-0005-0000-0000-0000F60C0000}"/>
    <cellStyle name="Currency 5 3 3 3 2" xfId="2993" xr:uid="{00000000-0005-0000-0000-0000F70C0000}"/>
    <cellStyle name="Currency 5 3 3 3 2 2" xfId="7216" xr:uid="{00000000-0005-0000-0000-0000F80C0000}"/>
    <cellStyle name="Currency 5 3 3 3 2 2 2" xfId="15655" xr:uid="{38041A91-764A-42A9-BD31-2B66D3488CA4}"/>
    <cellStyle name="Currency 5 3 3 3 2 3" xfId="11437" xr:uid="{4B923EC7-9CEC-43BF-A652-6E42550EB318}"/>
    <cellStyle name="Currency 5 3 3 3 3" xfId="5071" xr:uid="{00000000-0005-0000-0000-0000F90C0000}"/>
    <cellStyle name="Currency 5 3 3 3 3 2" xfId="13510" xr:uid="{228CD4DD-82AD-452B-8EE6-032AB6B418A8}"/>
    <cellStyle name="Currency 5 3 3 3 4" xfId="9292" xr:uid="{9775BEA2-FE8A-4C20-95B8-5BC62582C880}"/>
    <cellStyle name="Currency 5 3 3 4" xfId="1175" xr:uid="{00000000-0005-0000-0000-0000FA0C0000}"/>
    <cellStyle name="Currency 5 3 3 4 2" xfId="3406" xr:uid="{00000000-0005-0000-0000-0000FB0C0000}"/>
    <cellStyle name="Currency 5 3 3 4 2 2" xfId="7629" xr:uid="{00000000-0005-0000-0000-0000FC0C0000}"/>
    <cellStyle name="Currency 5 3 3 4 2 2 2" xfId="16068" xr:uid="{4542402B-1BDA-4426-BA0B-572E4FA34C35}"/>
    <cellStyle name="Currency 5 3 3 4 2 3" xfId="11850" xr:uid="{C165E48C-15D9-4B04-B3BC-55D554D0D358}"/>
    <cellStyle name="Currency 5 3 3 4 3" xfId="5484" xr:uid="{00000000-0005-0000-0000-0000FD0C0000}"/>
    <cellStyle name="Currency 5 3 3 4 3 2" xfId="13923" xr:uid="{0D63EAEE-1811-47B9-9CAA-08F9385D17CE}"/>
    <cellStyle name="Currency 5 3 3 4 4" xfId="9705" xr:uid="{F53285EF-BC08-4771-916E-E25E9FBDB4AE}"/>
    <cellStyle name="Currency 5 3 3 5" xfId="1589" xr:uid="{00000000-0005-0000-0000-0000FE0C0000}"/>
    <cellStyle name="Currency 5 3 3 5 2" xfId="3819" xr:uid="{00000000-0005-0000-0000-0000FF0C0000}"/>
    <cellStyle name="Currency 5 3 3 5 2 2" xfId="8042" xr:uid="{00000000-0005-0000-0000-0000000D0000}"/>
    <cellStyle name="Currency 5 3 3 5 2 2 2" xfId="16481" xr:uid="{86713C0B-891A-4BB7-BC27-CB9104F6CEAC}"/>
    <cellStyle name="Currency 5 3 3 5 2 3" xfId="12263" xr:uid="{8F6E2A01-AB83-48AC-A537-683CD5D7A3A3}"/>
    <cellStyle name="Currency 5 3 3 5 3" xfId="5897" xr:uid="{00000000-0005-0000-0000-0000010D0000}"/>
    <cellStyle name="Currency 5 3 3 5 3 2" xfId="14336" xr:uid="{CE3B413D-D8BC-4B47-9909-106B468D520E}"/>
    <cellStyle name="Currency 5 3 3 5 4" xfId="10118" xr:uid="{25EACCB6-6D46-427E-A5AB-43D69CFFCF8D}"/>
    <cellStyle name="Currency 5 3 3 6" xfId="2003" xr:uid="{00000000-0005-0000-0000-0000020D0000}"/>
    <cellStyle name="Currency 5 3 3 6 2" xfId="4232" xr:uid="{00000000-0005-0000-0000-0000030D0000}"/>
    <cellStyle name="Currency 5 3 3 6 2 2" xfId="8455" xr:uid="{00000000-0005-0000-0000-0000040D0000}"/>
    <cellStyle name="Currency 5 3 3 6 2 2 2" xfId="16894" xr:uid="{18112E81-2FAE-41D1-8962-7A7A0C786DD8}"/>
    <cellStyle name="Currency 5 3 3 6 2 3" xfId="12676" xr:uid="{70D2DAB4-CB56-4BB1-9789-33AF1226F08A}"/>
    <cellStyle name="Currency 5 3 3 6 3" xfId="6310" xr:uid="{00000000-0005-0000-0000-0000050D0000}"/>
    <cellStyle name="Currency 5 3 3 6 3 2" xfId="14749" xr:uid="{31391B90-D443-4519-9475-03B709AC9508}"/>
    <cellStyle name="Currency 5 3 3 6 4" xfId="10531" xr:uid="{B9E74374-EB6B-48EA-A4DE-F476F09B9B94}"/>
    <cellStyle name="Currency 5 3 3 7" xfId="2438" xr:uid="{00000000-0005-0000-0000-0000060D0000}"/>
    <cellStyle name="Currency 5 3 3 7 2" xfId="6723" xr:uid="{00000000-0005-0000-0000-0000070D0000}"/>
    <cellStyle name="Currency 5 3 3 7 2 2" xfId="15162" xr:uid="{F1D31953-EEEC-455B-A7ED-5C21169C8EF9}"/>
    <cellStyle name="Currency 5 3 3 7 3" xfId="10944" xr:uid="{D5D2443B-BB4B-4CF2-97FD-31F0CB3E6057}"/>
    <cellStyle name="Currency 5 3 3 8" xfId="2735" xr:uid="{00000000-0005-0000-0000-0000080D0000}"/>
    <cellStyle name="Currency 5 3 3 9" xfId="2816" xr:uid="{00000000-0005-0000-0000-0000090D0000}"/>
    <cellStyle name="Currency 5 3 3 9 2" xfId="7040" xr:uid="{00000000-0005-0000-0000-00000A0D0000}"/>
    <cellStyle name="Currency 5 3 3 9 2 2" xfId="15479" xr:uid="{52A5858F-8FF2-4752-87FE-FF6082FAE2BB}"/>
    <cellStyle name="Currency 5 3 3 9 3" xfId="11261" xr:uid="{5E30855E-9C81-4223-87E7-74C43F7B4252}"/>
    <cellStyle name="Currency 5 3 4" xfId="216" xr:uid="{00000000-0005-0000-0000-00000B0D0000}"/>
    <cellStyle name="Currency 5 3 4 10" xfId="8880" xr:uid="{F660B23C-3622-4CAF-A78A-282C490BC927}"/>
    <cellStyle name="Currency 5 3 4 2" xfId="742" xr:uid="{00000000-0005-0000-0000-00000C0D0000}"/>
    <cellStyle name="Currency 5 3 4 2 2" xfId="2995" xr:uid="{00000000-0005-0000-0000-00000D0D0000}"/>
    <cellStyle name="Currency 5 3 4 2 2 2" xfId="7218" xr:uid="{00000000-0005-0000-0000-00000E0D0000}"/>
    <cellStyle name="Currency 5 3 4 2 2 2 2" xfId="15657" xr:uid="{6F114EB0-13CF-46F3-8C99-37F4AF67FECD}"/>
    <cellStyle name="Currency 5 3 4 2 2 3" xfId="11439" xr:uid="{292CF5BB-D7FC-4AFE-BE71-4A9549B41D3C}"/>
    <cellStyle name="Currency 5 3 4 2 3" xfId="5073" xr:uid="{00000000-0005-0000-0000-00000F0D0000}"/>
    <cellStyle name="Currency 5 3 4 2 3 2" xfId="13512" xr:uid="{49A6DCFB-1882-4EA7-B86E-83A126D395F0}"/>
    <cellStyle name="Currency 5 3 4 2 4" xfId="9294" xr:uid="{3DAE2BA3-0653-4960-9599-240DCB45CE20}"/>
    <cellStyle name="Currency 5 3 4 3" xfId="1177" xr:uid="{00000000-0005-0000-0000-0000100D0000}"/>
    <cellStyle name="Currency 5 3 4 3 2" xfId="3408" xr:uid="{00000000-0005-0000-0000-0000110D0000}"/>
    <cellStyle name="Currency 5 3 4 3 2 2" xfId="7631" xr:uid="{00000000-0005-0000-0000-0000120D0000}"/>
    <cellStyle name="Currency 5 3 4 3 2 2 2" xfId="16070" xr:uid="{C7229406-D5FA-426F-B4FD-9BF5DBC35065}"/>
    <cellStyle name="Currency 5 3 4 3 2 3" xfId="11852" xr:uid="{9ADF9352-23BC-4421-A1D4-DD5ADA0E19A0}"/>
    <cellStyle name="Currency 5 3 4 3 3" xfId="5486" xr:uid="{00000000-0005-0000-0000-0000130D0000}"/>
    <cellStyle name="Currency 5 3 4 3 3 2" xfId="13925" xr:uid="{5315F721-0028-456E-B53C-69835B571146}"/>
    <cellStyle name="Currency 5 3 4 3 4" xfId="9707" xr:uid="{B10FEFE7-64AE-46E1-8837-6CAD45A13334}"/>
    <cellStyle name="Currency 5 3 4 4" xfId="1591" xr:uid="{00000000-0005-0000-0000-0000140D0000}"/>
    <cellStyle name="Currency 5 3 4 4 2" xfId="3821" xr:uid="{00000000-0005-0000-0000-0000150D0000}"/>
    <cellStyle name="Currency 5 3 4 4 2 2" xfId="8044" xr:uid="{00000000-0005-0000-0000-0000160D0000}"/>
    <cellStyle name="Currency 5 3 4 4 2 2 2" xfId="16483" xr:uid="{E68DCC6C-E044-4295-9239-4FD7C6D85FC3}"/>
    <cellStyle name="Currency 5 3 4 4 2 3" xfId="12265" xr:uid="{8A8CED44-9CB0-4532-95E2-5E46EC8DE840}"/>
    <cellStyle name="Currency 5 3 4 4 3" xfId="5899" xr:uid="{00000000-0005-0000-0000-0000170D0000}"/>
    <cellStyle name="Currency 5 3 4 4 3 2" xfId="14338" xr:uid="{95973198-EB40-40D4-834B-7C35789E0CAC}"/>
    <cellStyle name="Currency 5 3 4 4 4" xfId="10120" xr:uid="{ADC62548-D582-4610-A4DB-EBDB958718CB}"/>
    <cellStyle name="Currency 5 3 4 5" xfId="2005" xr:uid="{00000000-0005-0000-0000-0000180D0000}"/>
    <cellStyle name="Currency 5 3 4 5 2" xfId="4234" xr:uid="{00000000-0005-0000-0000-0000190D0000}"/>
    <cellStyle name="Currency 5 3 4 5 2 2" xfId="8457" xr:uid="{00000000-0005-0000-0000-00001A0D0000}"/>
    <cellStyle name="Currency 5 3 4 5 2 2 2" xfId="16896" xr:uid="{BC3D8703-DCC3-42CB-9541-A6E62E74FB46}"/>
    <cellStyle name="Currency 5 3 4 5 2 3" xfId="12678" xr:uid="{6AC94C41-D06C-43EE-BD97-DF4129C9C2A2}"/>
    <cellStyle name="Currency 5 3 4 5 3" xfId="6312" xr:uid="{00000000-0005-0000-0000-00001B0D0000}"/>
    <cellStyle name="Currency 5 3 4 5 3 2" xfId="14751" xr:uid="{9B573FD3-D697-4B59-9610-EEDE392C449B}"/>
    <cellStyle name="Currency 5 3 4 5 4" xfId="10533" xr:uid="{8E47D6E7-B1AF-4119-8C27-7657F30B0643}"/>
    <cellStyle name="Currency 5 3 4 6" xfId="2440" xr:uid="{00000000-0005-0000-0000-00001C0D0000}"/>
    <cellStyle name="Currency 5 3 4 6 2" xfId="6725" xr:uid="{00000000-0005-0000-0000-00001D0D0000}"/>
    <cellStyle name="Currency 5 3 4 6 2 2" xfId="15164" xr:uid="{ACA85E3D-758D-4D6E-BA6C-7BD27FF9CD5E}"/>
    <cellStyle name="Currency 5 3 4 6 3" xfId="10946" xr:uid="{D600841D-7EE1-49B5-868C-C0BFB4BF3400}"/>
    <cellStyle name="Currency 5 3 4 7" xfId="2737" xr:uid="{00000000-0005-0000-0000-00001E0D0000}"/>
    <cellStyle name="Currency 5 3 4 8" xfId="2818" xr:uid="{00000000-0005-0000-0000-00001F0D0000}"/>
    <cellStyle name="Currency 5 3 4 8 2" xfId="7042" xr:uid="{00000000-0005-0000-0000-0000200D0000}"/>
    <cellStyle name="Currency 5 3 4 8 2 2" xfId="15481" xr:uid="{C989421C-7F64-4AE4-BDA3-A46151E7A8AF}"/>
    <cellStyle name="Currency 5 3 4 8 3" xfId="11263" xr:uid="{736584B7-0A36-4BEC-93A6-7E3F73CDBCD8}"/>
    <cellStyle name="Currency 5 3 4 9" xfId="4659" xr:uid="{00000000-0005-0000-0000-0000210D0000}"/>
    <cellStyle name="Currency 5 3 4 9 2" xfId="13098" xr:uid="{040A0868-FC2B-434D-9493-23E5EED56811}"/>
    <cellStyle name="Currency 5 3 5" xfId="217" xr:uid="{00000000-0005-0000-0000-0000220D0000}"/>
    <cellStyle name="Currency 5 3 5 10" xfId="8881" xr:uid="{398E3703-4782-40A7-8D74-A0CD96A115DB}"/>
    <cellStyle name="Currency 5 3 5 2" xfId="743" xr:uid="{00000000-0005-0000-0000-0000230D0000}"/>
    <cellStyle name="Currency 5 3 5 2 2" xfId="2996" xr:uid="{00000000-0005-0000-0000-0000240D0000}"/>
    <cellStyle name="Currency 5 3 5 2 2 2" xfId="7219" xr:uid="{00000000-0005-0000-0000-0000250D0000}"/>
    <cellStyle name="Currency 5 3 5 2 2 2 2" xfId="15658" xr:uid="{C962DB7A-0D4F-403E-A2FE-9F29871CB3CD}"/>
    <cellStyle name="Currency 5 3 5 2 2 3" xfId="11440" xr:uid="{254E467A-505E-4368-B0DC-ECEA2F375071}"/>
    <cellStyle name="Currency 5 3 5 2 3" xfId="5074" xr:uid="{00000000-0005-0000-0000-0000260D0000}"/>
    <cellStyle name="Currency 5 3 5 2 3 2" xfId="13513" xr:uid="{A9D8B61B-7A1A-40E0-AAED-0F180F99698F}"/>
    <cellStyle name="Currency 5 3 5 2 4" xfId="9295" xr:uid="{A3401231-7FB7-4C41-99B7-F500E85A929E}"/>
    <cellStyle name="Currency 5 3 5 3" xfId="1178" xr:uid="{00000000-0005-0000-0000-0000270D0000}"/>
    <cellStyle name="Currency 5 3 5 3 2" xfId="3409" xr:uid="{00000000-0005-0000-0000-0000280D0000}"/>
    <cellStyle name="Currency 5 3 5 3 2 2" xfId="7632" xr:uid="{00000000-0005-0000-0000-0000290D0000}"/>
    <cellStyle name="Currency 5 3 5 3 2 2 2" xfId="16071" xr:uid="{0C93D2BC-D6FD-49BC-8E73-0C00CC206C56}"/>
    <cellStyle name="Currency 5 3 5 3 2 3" xfId="11853" xr:uid="{5E3957EF-7B87-445E-8ADD-B7CF84C5E8A9}"/>
    <cellStyle name="Currency 5 3 5 3 3" xfId="5487" xr:uid="{00000000-0005-0000-0000-00002A0D0000}"/>
    <cellStyle name="Currency 5 3 5 3 3 2" xfId="13926" xr:uid="{6CB35707-98C8-44A5-9149-628DBE308C71}"/>
    <cellStyle name="Currency 5 3 5 3 4" xfId="9708" xr:uid="{B14FE306-8EB7-4D17-B6BC-F98603DBF9B5}"/>
    <cellStyle name="Currency 5 3 5 4" xfId="1592" xr:uid="{00000000-0005-0000-0000-00002B0D0000}"/>
    <cellStyle name="Currency 5 3 5 4 2" xfId="3822" xr:uid="{00000000-0005-0000-0000-00002C0D0000}"/>
    <cellStyle name="Currency 5 3 5 4 2 2" xfId="8045" xr:uid="{00000000-0005-0000-0000-00002D0D0000}"/>
    <cellStyle name="Currency 5 3 5 4 2 2 2" xfId="16484" xr:uid="{C12D9AA7-A381-4740-901B-5E7A3C08176C}"/>
    <cellStyle name="Currency 5 3 5 4 2 3" xfId="12266" xr:uid="{6F9D6A58-2215-4CD4-A0E8-781DDAABC860}"/>
    <cellStyle name="Currency 5 3 5 4 3" xfId="5900" xr:uid="{00000000-0005-0000-0000-00002E0D0000}"/>
    <cellStyle name="Currency 5 3 5 4 3 2" xfId="14339" xr:uid="{A37B8AD7-5B0A-43D0-A0A7-57DCD6C82D30}"/>
    <cellStyle name="Currency 5 3 5 4 4" xfId="10121" xr:uid="{F95197E4-2367-43CE-B788-7DA67D392231}"/>
    <cellStyle name="Currency 5 3 5 5" xfId="2006" xr:uid="{00000000-0005-0000-0000-00002F0D0000}"/>
    <cellStyle name="Currency 5 3 5 5 2" xfId="4235" xr:uid="{00000000-0005-0000-0000-0000300D0000}"/>
    <cellStyle name="Currency 5 3 5 5 2 2" xfId="8458" xr:uid="{00000000-0005-0000-0000-0000310D0000}"/>
    <cellStyle name="Currency 5 3 5 5 2 2 2" xfId="16897" xr:uid="{2B98A1D6-4869-4E4E-B463-BCE1D40C719F}"/>
    <cellStyle name="Currency 5 3 5 5 2 3" xfId="12679" xr:uid="{D34C08E4-8467-4299-BC7C-98E635BBBFB0}"/>
    <cellStyle name="Currency 5 3 5 5 3" xfId="6313" xr:uid="{00000000-0005-0000-0000-0000320D0000}"/>
    <cellStyle name="Currency 5 3 5 5 3 2" xfId="14752" xr:uid="{35BD88B4-29BE-41F3-8F22-1AD2C8177C1D}"/>
    <cellStyle name="Currency 5 3 5 5 4" xfId="10534" xr:uid="{29ADD613-8786-4F24-A923-19A84D4E33B3}"/>
    <cellStyle name="Currency 5 3 5 6" xfId="2441" xr:uid="{00000000-0005-0000-0000-0000330D0000}"/>
    <cellStyle name="Currency 5 3 5 6 2" xfId="6726" xr:uid="{00000000-0005-0000-0000-0000340D0000}"/>
    <cellStyle name="Currency 5 3 5 6 2 2" xfId="15165" xr:uid="{F5CDBECF-4B96-4626-AC4C-ED15A89FC324}"/>
    <cellStyle name="Currency 5 3 5 6 3" xfId="10947" xr:uid="{AB719CCF-1CF0-4B90-950C-6FC6005206A1}"/>
    <cellStyle name="Currency 5 3 5 7" xfId="2738" xr:uid="{00000000-0005-0000-0000-0000350D0000}"/>
    <cellStyle name="Currency 5 3 5 8" xfId="2819" xr:uid="{00000000-0005-0000-0000-0000360D0000}"/>
    <cellStyle name="Currency 5 3 5 8 2" xfId="7043" xr:uid="{00000000-0005-0000-0000-0000370D0000}"/>
    <cellStyle name="Currency 5 3 5 8 2 2" xfId="15482" xr:uid="{177AB09E-A9C9-4EFD-8ACD-01B9B2889957}"/>
    <cellStyle name="Currency 5 3 5 8 3" xfId="11264" xr:uid="{3E7AA5B4-9ADB-4058-BCDB-BAEDA70E5F3D}"/>
    <cellStyle name="Currency 5 3 5 9" xfId="4660" xr:uid="{00000000-0005-0000-0000-0000380D0000}"/>
    <cellStyle name="Currency 5 3 5 9 2" xfId="13099" xr:uid="{19C3F564-0E66-460E-B6A7-607F25B9C14C}"/>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10 2" xfId="13100" xr:uid="{FF99C61B-48E4-496F-9AF0-122EA87C0880}"/>
    <cellStyle name="Currency 5 5 11" xfId="8882" xr:uid="{D46312C5-8F26-44E6-9691-3F0C35005905}"/>
    <cellStyle name="Currency 5 5 2" xfId="220" xr:uid="{00000000-0005-0000-0000-00003D0D0000}"/>
    <cellStyle name="Currency 5 5 2 10" xfId="8883" xr:uid="{E12AF4D1-30C5-42A3-8914-918095E79D6F}"/>
    <cellStyle name="Currency 5 5 2 2" xfId="746" xr:uid="{00000000-0005-0000-0000-00003E0D0000}"/>
    <cellStyle name="Currency 5 5 2 2 2" xfId="2998" xr:uid="{00000000-0005-0000-0000-00003F0D0000}"/>
    <cellStyle name="Currency 5 5 2 2 2 2" xfId="7221" xr:uid="{00000000-0005-0000-0000-0000400D0000}"/>
    <cellStyle name="Currency 5 5 2 2 2 2 2" xfId="15660" xr:uid="{81DC1F2D-AF5F-4D75-B6EF-4B098B0FA09F}"/>
    <cellStyle name="Currency 5 5 2 2 2 3" xfId="11442" xr:uid="{FF66FF12-7C6F-4B81-AE0B-57937245FB43}"/>
    <cellStyle name="Currency 5 5 2 2 3" xfId="5076" xr:uid="{00000000-0005-0000-0000-0000410D0000}"/>
    <cellStyle name="Currency 5 5 2 2 3 2" xfId="13515" xr:uid="{67D8C174-2439-4ADF-82EE-CF5CB7366B18}"/>
    <cellStyle name="Currency 5 5 2 2 4" xfId="9297" xr:uid="{8E4548F4-BA0F-4E09-BBFD-6400A26DE03C}"/>
    <cellStyle name="Currency 5 5 2 3" xfId="1180" xr:uid="{00000000-0005-0000-0000-0000420D0000}"/>
    <cellStyle name="Currency 5 5 2 3 2" xfId="3411" xr:uid="{00000000-0005-0000-0000-0000430D0000}"/>
    <cellStyle name="Currency 5 5 2 3 2 2" xfId="7634" xr:uid="{00000000-0005-0000-0000-0000440D0000}"/>
    <cellStyle name="Currency 5 5 2 3 2 2 2" xfId="16073" xr:uid="{3C9B79CD-1353-456F-812F-690658FCA55F}"/>
    <cellStyle name="Currency 5 5 2 3 2 3" xfId="11855" xr:uid="{2A515BEC-EFD7-4654-B2E7-F81B913E7ABF}"/>
    <cellStyle name="Currency 5 5 2 3 3" xfId="5489" xr:uid="{00000000-0005-0000-0000-0000450D0000}"/>
    <cellStyle name="Currency 5 5 2 3 3 2" xfId="13928" xr:uid="{33B34A62-F75C-486E-9309-7BBDC8E2A8CE}"/>
    <cellStyle name="Currency 5 5 2 3 4" xfId="9710" xr:uid="{CDA24E26-C9CF-46C8-884D-76E315E744A2}"/>
    <cellStyle name="Currency 5 5 2 4" xfId="1594" xr:uid="{00000000-0005-0000-0000-0000460D0000}"/>
    <cellStyle name="Currency 5 5 2 4 2" xfId="3824" xr:uid="{00000000-0005-0000-0000-0000470D0000}"/>
    <cellStyle name="Currency 5 5 2 4 2 2" xfId="8047" xr:uid="{00000000-0005-0000-0000-0000480D0000}"/>
    <cellStyle name="Currency 5 5 2 4 2 2 2" xfId="16486" xr:uid="{0ACE62D3-FEC2-40AE-B884-BBCCAFBC6E5B}"/>
    <cellStyle name="Currency 5 5 2 4 2 3" xfId="12268" xr:uid="{1C670A38-4950-4B63-996D-58D26262F01E}"/>
    <cellStyle name="Currency 5 5 2 4 3" xfId="5902" xr:uid="{00000000-0005-0000-0000-0000490D0000}"/>
    <cellStyle name="Currency 5 5 2 4 3 2" xfId="14341" xr:uid="{17576351-FE2C-4877-964F-C75ED07D681F}"/>
    <cellStyle name="Currency 5 5 2 4 4" xfId="10123" xr:uid="{D00424EC-CFE8-4F00-A671-BC9267429253}"/>
    <cellStyle name="Currency 5 5 2 5" xfId="2008" xr:uid="{00000000-0005-0000-0000-00004A0D0000}"/>
    <cellStyle name="Currency 5 5 2 5 2" xfId="4237" xr:uid="{00000000-0005-0000-0000-00004B0D0000}"/>
    <cellStyle name="Currency 5 5 2 5 2 2" xfId="8460" xr:uid="{00000000-0005-0000-0000-00004C0D0000}"/>
    <cellStyle name="Currency 5 5 2 5 2 2 2" xfId="16899" xr:uid="{8ADF45A2-09B2-4C64-BF87-7E6AE4659CB3}"/>
    <cellStyle name="Currency 5 5 2 5 2 3" xfId="12681" xr:uid="{F23774E2-996B-46A0-96AB-09390C68F58B}"/>
    <cellStyle name="Currency 5 5 2 5 3" xfId="6315" xr:uid="{00000000-0005-0000-0000-00004D0D0000}"/>
    <cellStyle name="Currency 5 5 2 5 3 2" xfId="14754" xr:uid="{5DCC543B-71EE-496B-A1EB-098E297288F7}"/>
    <cellStyle name="Currency 5 5 2 5 4" xfId="10536" xr:uid="{1B5E1CD0-C8C3-432A-B4B9-CAA3C84A481D}"/>
    <cellStyle name="Currency 5 5 2 6" xfId="2443" xr:uid="{00000000-0005-0000-0000-00004E0D0000}"/>
    <cellStyle name="Currency 5 5 2 6 2" xfId="6728" xr:uid="{00000000-0005-0000-0000-00004F0D0000}"/>
    <cellStyle name="Currency 5 5 2 6 2 2" xfId="15167" xr:uid="{EF8139C7-EA1D-40F4-9486-1D1798F0E66B}"/>
    <cellStyle name="Currency 5 5 2 6 3" xfId="10949" xr:uid="{0CAD6919-EFCB-4ED0-8115-E4B5E9AFC85F}"/>
    <cellStyle name="Currency 5 5 2 7" xfId="2740" xr:uid="{00000000-0005-0000-0000-0000500D0000}"/>
    <cellStyle name="Currency 5 5 2 8" xfId="2821" xr:uid="{00000000-0005-0000-0000-0000510D0000}"/>
    <cellStyle name="Currency 5 5 2 8 2" xfId="7045" xr:uid="{00000000-0005-0000-0000-0000520D0000}"/>
    <cellStyle name="Currency 5 5 2 8 2 2" xfId="15484" xr:uid="{6937E9F5-558F-4EB0-BB84-E0DD111C5C86}"/>
    <cellStyle name="Currency 5 5 2 8 3" xfId="11266" xr:uid="{238C251D-78EC-4417-AC6C-56422DEDFDB6}"/>
    <cellStyle name="Currency 5 5 2 9" xfId="4662" xr:uid="{00000000-0005-0000-0000-0000530D0000}"/>
    <cellStyle name="Currency 5 5 2 9 2" xfId="13101" xr:uid="{223F84C5-935E-408B-B3C9-A7920B47DEB4}"/>
    <cellStyle name="Currency 5 5 3" xfId="745" xr:uid="{00000000-0005-0000-0000-0000540D0000}"/>
    <cellStyle name="Currency 5 5 3 2" xfId="2997" xr:uid="{00000000-0005-0000-0000-0000550D0000}"/>
    <cellStyle name="Currency 5 5 3 2 2" xfId="7220" xr:uid="{00000000-0005-0000-0000-0000560D0000}"/>
    <cellStyle name="Currency 5 5 3 2 2 2" xfId="15659" xr:uid="{E2167478-5D6A-4182-AF66-A2D6E35707CC}"/>
    <cellStyle name="Currency 5 5 3 2 3" xfId="11441" xr:uid="{2E509A82-48C1-4568-A76B-1364F541C624}"/>
    <cellStyle name="Currency 5 5 3 3" xfId="5075" xr:uid="{00000000-0005-0000-0000-0000570D0000}"/>
    <cellStyle name="Currency 5 5 3 3 2" xfId="13514" xr:uid="{0095CB01-99C0-4601-8C1B-B09F63EBC36F}"/>
    <cellStyle name="Currency 5 5 3 4" xfId="9296" xr:uid="{34D4AC81-BADB-413A-8357-1ABBC256BB9C}"/>
    <cellStyle name="Currency 5 5 4" xfId="1179" xr:uid="{00000000-0005-0000-0000-0000580D0000}"/>
    <cellStyle name="Currency 5 5 4 2" xfId="3410" xr:uid="{00000000-0005-0000-0000-0000590D0000}"/>
    <cellStyle name="Currency 5 5 4 2 2" xfId="7633" xr:uid="{00000000-0005-0000-0000-00005A0D0000}"/>
    <cellStyle name="Currency 5 5 4 2 2 2" xfId="16072" xr:uid="{A5E5A147-9B5C-4E66-936E-53BD3AD46EED}"/>
    <cellStyle name="Currency 5 5 4 2 3" xfId="11854" xr:uid="{DE158252-F4B0-4DDD-B8D7-6E078932219C}"/>
    <cellStyle name="Currency 5 5 4 3" xfId="5488" xr:uid="{00000000-0005-0000-0000-00005B0D0000}"/>
    <cellStyle name="Currency 5 5 4 3 2" xfId="13927" xr:uid="{8C10EAF4-D028-498A-9CDE-176738565699}"/>
    <cellStyle name="Currency 5 5 4 4" xfId="9709" xr:uid="{2E6FD76B-6157-47D0-82C2-74044CE449EA}"/>
    <cellStyle name="Currency 5 5 5" xfId="1593" xr:uid="{00000000-0005-0000-0000-00005C0D0000}"/>
    <cellStyle name="Currency 5 5 5 2" xfId="3823" xr:uid="{00000000-0005-0000-0000-00005D0D0000}"/>
    <cellStyle name="Currency 5 5 5 2 2" xfId="8046" xr:uid="{00000000-0005-0000-0000-00005E0D0000}"/>
    <cellStyle name="Currency 5 5 5 2 2 2" xfId="16485" xr:uid="{A57A707F-4EA5-446E-BE79-6362708C025D}"/>
    <cellStyle name="Currency 5 5 5 2 3" xfId="12267" xr:uid="{342B24B9-9801-4B65-B081-97DD26F62445}"/>
    <cellStyle name="Currency 5 5 5 3" xfId="5901" xr:uid="{00000000-0005-0000-0000-00005F0D0000}"/>
    <cellStyle name="Currency 5 5 5 3 2" xfId="14340" xr:uid="{3535A10C-CE0A-471E-AA20-DBF45B328964}"/>
    <cellStyle name="Currency 5 5 5 4" xfId="10122" xr:uid="{A91D67AF-D4D4-4946-AC7A-175E917DEA2A}"/>
    <cellStyle name="Currency 5 5 6" xfId="2007" xr:uid="{00000000-0005-0000-0000-0000600D0000}"/>
    <cellStyle name="Currency 5 5 6 2" xfId="4236" xr:uid="{00000000-0005-0000-0000-0000610D0000}"/>
    <cellStyle name="Currency 5 5 6 2 2" xfId="8459" xr:uid="{00000000-0005-0000-0000-0000620D0000}"/>
    <cellStyle name="Currency 5 5 6 2 2 2" xfId="16898" xr:uid="{41C53250-B62C-440C-838C-B1F8F1D0E64C}"/>
    <cellStyle name="Currency 5 5 6 2 3" xfId="12680" xr:uid="{673DE937-6DE9-453F-BB7D-BEA22BF42FE3}"/>
    <cellStyle name="Currency 5 5 6 3" xfId="6314" xr:uid="{00000000-0005-0000-0000-0000630D0000}"/>
    <cellStyle name="Currency 5 5 6 3 2" xfId="14753" xr:uid="{8AE492D0-5CDE-4D27-96B0-E46AF6C9A67C}"/>
    <cellStyle name="Currency 5 5 6 4" xfId="10535" xr:uid="{70398EA2-FCF3-4A8A-BF90-FC2956B7DE05}"/>
    <cellStyle name="Currency 5 5 7" xfId="2442" xr:uid="{00000000-0005-0000-0000-0000640D0000}"/>
    <cellStyle name="Currency 5 5 7 2" xfId="6727" xr:uid="{00000000-0005-0000-0000-0000650D0000}"/>
    <cellStyle name="Currency 5 5 7 2 2" xfId="15166" xr:uid="{7D723088-DED2-49EC-9133-12B5C2464FD8}"/>
    <cellStyle name="Currency 5 5 7 3" xfId="10948" xr:uid="{7BE81629-0FE8-49D7-93FE-CFA4145FA621}"/>
    <cellStyle name="Currency 5 5 8" xfId="2739" xr:uid="{00000000-0005-0000-0000-0000660D0000}"/>
    <cellStyle name="Currency 5 5 9" xfId="2820" xr:uid="{00000000-0005-0000-0000-0000670D0000}"/>
    <cellStyle name="Currency 5 5 9 2" xfId="7044" xr:uid="{00000000-0005-0000-0000-0000680D0000}"/>
    <cellStyle name="Currency 5 5 9 2 2" xfId="15483" xr:uid="{2603BD2D-FB1B-43BE-89C1-8653CFCC28BA}"/>
    <cellStyle name="Currency 5 5 9 3" xfId="11265" xr:uid="{FE671264-E7BB-4E75-886F-F67AF39D9067}"/>
    <cellStyle name="Currency 5 6" xfId="221" xr:uid="{00000000-0005-0000-0000-0000690D0000}"/>
    <cellStyle name="Currency 5 6 10" xfId="8884" xr:uid="{1A35FA9F-6B3C-49E0-9237-377909FE6087}"/>
    <cellStyle name="Currency 5 6 2" xfId="747" xr:uid="{00000000-0005-0000-0000-00006A0D0000}"/>
    <cellStyle name="Currency 5 6 2 2" xfId="2999" xr:uid="{00000000-0005-0000-0000-00006B0D0000}"/>
    <cellStyle name="Currency 5 6 2 2 2" xfId="7222" xr:uid="{00000000-0005-0000-0000-00006C0D0000}"/>
    <cellStyle name="Currency 5 6 2 2 2 2" xfId="15661" xr:uid="{456D08DB-74C2-40EC-8F53-4234176DC42C}"/>
    <cellStyle name="Currency 5 6 2 2 3" xfId="11443" xr:uid="{424DA2F5-4D16-44DE-8703-FA43CDE12764}"/>
    <cellStyle name="Currency 5 6 2 3" xfId="5077" xr:uid="{00000000-0005-0000-0000-00006D0D0000}"/>
    <cellStyle name="Currency 5 6 2 3 2" xfId="13516" xr:uid="{09B31C53-AE12-47D2-BD3B-FAB4816C3DC2}"/>
    <cellStyle name="Currency 5 6 2 4" xfId="9298" xr:uid="{F9055690-34E2-4E02-BEF1-744BD68543F9}"/>
    <cellStyle name="Currency 5 6 3" xfId="1181" xr:uid="{00000000-0005-0000-0000-00006E0D0000}"/>
    <cellStyle name="Currency 5 6 3 2" xfId="3412" xr:uid="{00000000-0005-0000-0000-00006F0D0000}"/>
    <cellStyle name="Currency 5 6 3 2 2" xfId="7635" xr:uid="{00000000-0005-0000-0000-0000700D0000}"/>
    <cellStyle name="Currency 5 6 3 2 2 2" xfId="16074" xr:uid="{3B6460A5-4687-4719-A3A2-702D40F8E40D}"/>
    <cellStyle name="Currency 5 6 3 2 3" xfId="11856" xr:uid="{BE18AD0B-C42C-4EBB-9696-3B6CA7A02E83}"/>
    <cellStyle name="Currency 5 6 3 3" xfId="5490" xr:uid="{00000000-0005-0000-0000-0000710D0000}"/>
    <cellStyle name="Currency 5 6 3 3 2" xfId="13929" xr:uid="{7C2111D5-2CFA-4F13-9F99-0F4BF9791F8C}"/>
    <cellStyle name="Currency 5 6 3 4" xfId="9711" xr:uid="{A85FEEDC-6DEF-4271-A76C-87886DAFB085}"/>
    <cellStyle name="Currency 5 6 4" xfId="1595" xr:uid="{00000000-0005-0000-0000-0000720D0000}"/>
    <cellStyle name="Currency 5 6 4 2" xfId="3825" xr:uid="{00000000-0005-0000-0000-0000730D0000}"/>
    <cellStyle name="Currency 5 6 4 2 2" xfId="8048" xr:uid="{00000000-0005-0000-0000-0000740D0000}"/>
    <cellStyle name="Currency 5 6 4 2 2 2" xfId="16487" xr:uid="{8339C10D-8568-431E-BBFE-34B76A8FE142}"/>
    <cellStyle name="Currency 5 6 4 2 3" xfId="12269" xr:uid="{035554AD-A7C7-4A56-A685-8BCB3B1AC39F}"/>
    <cellStyle name="Currency 5 6 4 3" xfId="5903" xr:uid="{00000000-0005-0000-0000-0000750D0000}"/>
    <cellStyle name="Currency 5 6 4 3 2" xfId="14342" xr:uid="{7B16299E-72F4-4D4A-A1F5-90D56F7AB865}"/>
    <cellStyle name="Currency 5 6 4 4" xfId="10124" xr:uid="{6AC1912F-3025-4769-930D-64C69205109A}"/>
    <cellStyle name="Currency 5 6 5" xfId="2009" xr:uid="{00000000-0005-0000-0000-0000760D0000}"/>
    <cellStyle name="Currency 5 6 5 2" xfId="4238" xr:uid="{00000000-0005-0000-0000-0000770D0000}"/>
    <cellStyle name="Currency 5 6 5 2 2" xfId="8461" xr:uid="{00000000-0005-0000-0000-0000780D0000}"/>
    <cellStyle name="Currency 5 6 5 2 2 2" xfId="16900" xr:uid="{CE92D513-3012-4BF6-B3BD-96077EB0DBF0}"/>
    <cellStyle name="Currency 5 6 5 2 3" xfId="12682" xr:uid="{BA0499B6-BF71-45CF-8B12-089ADE97021B}"/>
    <cellStyle name="Currency 5 6 5 3" xfId="6316" xr:uid="{00000000-0005-0000-0000-0000790D0000}"/>
    <cellStyle name="Currency 5 6 5 3 2" xfId="14755" xr:uid="{8BCFD4BA-388F-4DEC-A8D8-DF9C3A9EDFF9}"/>
    <cellStyle name="Currency 5 6 5 4" xfId="10537" xr:uid="{E9130914-E0DC-4882-A064-092106D0D524}"/>
    <cellStyle name="Currency 5 6 6" xfId="2444" xr:uid="{00000000-0005-0000-0000-00007A0D0000}"/>
    <cellStyle name="Currency 5 6 6 2" xfId="6729" xr:uid="{00000000-0005-0000-0000-00007B0D0000}"/>
    <cellStyle name="Currency 5 6 6 2 2" xfId="15168" xr:uid="{B7B91EB4-C5C1-43C5-B6D2-1371C84DBC58}"/>
    <cellStyle name="Currency 5 6 6 3" xfId="10950" xr:uid="{602F6CCC-23FC-44D3-80A0-17405C4BE7F1}"/>
    <cellStyle name="Currency 5 6 7" xfId="2741" xr:uid="{00000000-0005-0000-0000-00007C0D0000}"/>
    <cellStyle name="Currency 5 6 8" xfId="2822" xr:uid="{00000000-0005-0000-0000-00007D0D0000}"/>
    <cellStyle name="Currency 5 6 8 2" xfId="7046" xr:uid="{00000000-0005-0000-0000-00007E0D0000}"/>
    <cellStyle name="Currency 5 6 8 2 2" xfId="15485" xr:uid="{D688CCA7-906B-4409-B201-5F80250F31A2}"/>
    <cellStyle name="Currency 5 6 8 3" xfId="11267" xr:uid="{EAD8358A-1A76-40FF-AD52-5B27535DDA1D}"/>
    <cellStyle name="Currency 5 6 9" xfId="4663" xr:uid="{00000000-0005-0000-0000-00007F0D0000}"/>
    <cellStyle name="Currency 5 6 9 2" xfId="13102" xr:uid="{CEB29C3B-A3DA-4853-9D73-4028995E0CB3}"/>
    <cellStyle name="Currency 5 7" xfId="222" xr:uid="{00000000-0005-0000-0000-0000800D0000}"/>
    <cellStyle name="Currency 5 7 10" xfId="8885" xr:uid="{43BB80E0-9FC7-41E5-A628-8680ADB51A5D}"/>
    <cellStyle name="Currency 5 7 2" xfId="748" xr:uid="{00000000-0005-0000-0000-0000810D0000}"/>
    <cellStyle name="Currency 5 7 2 2" xfId="3000" xr:uid="{00000000-0005-0000-0000-0000820D0000}"/>
    <cellStyle name="Currency 5 7 2 2 2" xfId="7223" xr:uid="{00000000-0005-0000-0000-0000830D0000}"/>
    <cellStyle name="Currency 5 7 2 2 2 2" xfId="15662" xr:uid="{21CC4F17-D11F-4E02-ADD7-B5D44A72F442}"/>
    <cellStyle name="Currency 5 7 2 2 3" xfId="11444" xr:uid="{F70DBB23-FAE4-4721-AF4A-FA97E3C0C47C}"/>
    <cellStyle name="Currency 5 7 2 3" xfId="5078" xr:uid="{00000000-0005-0000-0000-0000840D0000}"/>
    <cellStyle name="Currency 5 7 2 3 2" xfId="13517" xr:uid="{8518E679-4087-470D-A7FF-7809050D5CB3}"/>
    <cellStyle name="Currency 5 7 2 4" xfId="9299" xr:uid="{5EF89457-2B22-4011-AF46-040E527AE29D}"/>
    <cellStyle name="Currency 5 7 3" xfId="1182" xr:uid="{00000000-0005-0000-0000-0000850D0000}"/>
    <cellStyle name="Currency 5 7 3 2" xfId="3413" xr:uid="{00000000-0005-0000-0000-0000860D0000}"/>
    <cellStyle name="Currency 5 7 3 2 2" xfId="7636" xr:uid="{00000000-0005-0000-0000-0000870D0000}"/>
    <cellStyle name="Currency 5 7 3 2 2 2" xfId="16075" xr:uid="{10BFBCA9-07F7-46CB-A4E1-155CF7D19F36}"/>
    <cellStyle name="Currency 5 7 3 2 3" xfId="11857" xr:uid="{9D651A19-E9C3-4F9D-B2C6-6E7D9515C45E}"/>
    <cellStyle name="Currency 5 7 3 3" xfId="5491" xr:uid="{00000000-0005-0000-0000-0000880D0000}"/>
    <cellStyle name="Currency 5 7 3 3 2" xfId="13930" xr:uid="{34DA8F98-F4CD-47A5-BA8D-6DDFF423B0D4}"/>
    <cellStyle name="Currency 5 7 3 4" xfId="9712" xr:uid="{1C9FCAA1-E959-476F-8181-85A3A4CA26F9}"/>
    <cellStyle name="Currency 5 7 4" xfId="1596" xr:uid="{00000000-0005-0000-0000-0000890D0000}"/>
    <cellStyle name="Currency 5 7 4 2" xfId="3826" xr:uid="{00000000-0005-0000-0000-00008A0D0000}"/>
    <cellStyle name="Currency 5 7 4 2 2" xfId="8049" xr:uid="{00000000-0005-0000-0000-00008B0D0000}"/>
    <cellStyle name="Currency 5 7 4 2 2 2" xfId="16488" xr:uid="{BD264F33-D707-4976-8ED2-76F7D5D91910}"/>
    <cellStyle name="Currency 5 7 4 2 3" xfId="12270" xr:uid="{D501DC7D-CC3D-4125-B5D6-22B9FCF1D422}"/>
    <cellStyle name="Currency 5 7 4 3" xfId="5904" xr:uid="{00000000-0005-0000-0000-00008C0D0000}"/>
    <cellStyle name="Currency 5 7 4 3 2" xfId="14343" xr:uid="{AB4B5515-B613-4BC7-86F8-4253C324BF21}"/>
    <cellStyle name="Currency 5 7 4 4" xfId="10125" xr:uid="{82EFEB5E-D1A4-4C8B-80F0-592CAECDB63E}"/>
    <cellStyle name="Currency 5 7 5" xfId="2010" xr:uid="{00000000-0005-0000-0000-00008D0D0000}"/>
    <cellStyle name="Currency 5 7 5 2" xfId="4239" xr:uid="{00000000-0005-0000-0000-00008E0D0000}"/>
    <cellStyle name="Currency 5 7 5 2 2" xfId="8462" xr:uid="{00000000-0005-0000-0000-00008F0D0000}"/>
    <cellStyle name="Currency 5 7 5 2 2 2" xfId="16901" xr:uid="{CA689E32-D54C-4154-8452-C385FCEEDD2C}"/>
    <cellStyle name="Currency 5 7 5 2 3" xfId="12683" xr:uid="{BF71968B-D1A7-48DF-9E5A-A958B313B4C1}"/>
    <cellStyle name="Currency 5 7 5 3" xfId="6317" xr:uid="{00000000-0005-0000-0000-0000900D0000}"/>
    <cellStyle name="Currency 5 7 5 3 2" xfId="14756" xr:uid="{6721DE49-89ED-482B-9629-ED7AAF9D83E8}"/>
    <cellStyle name="Currency 5 7 5 4" xfId="10538" xr:uid="{B8E4E476-3337-4184-8E09-4670E853804B}"/>
    <cellStyle name="Currency 5 7 6" xfId="2445" xr:uid="{00000000-0005-0000-0000-0000910D0000}"/>
    <cellStyle name="Currency 5 7 6 2" xfId="6730" xr:uid="{00000000-0005-0000-0000-0000920D0000}"/>
    <cellStyle name="Currency 5 7 6 2 2" xfId="15169" xr:uid="{C5C20BC7-812A-4615-83B3-FE9BCB6D7E7C}"/>
    <cellStyle name="Currency 5 7 6 3" xfId="10951" xr:uid="{8B79F9F7-7F97-41B1-A721-493D848566CB}"/>
    <cellStyle name="Currency 5 7 7" xfId="2742" xr:uid="{00000000-0005-0000-0000-0000930D0000}"/>
    <cellStyle name="Currency 5 7 8" xfId="2823" xr:uid="{00000000-0005-0000-0000-0000940D0000}"/>
    <cellStyle name="Currency 5 7 8 2" xfId="7047" xr:uid="{00000000-0005-0000-0000-0000950D0000}"/>
    <cellStyle name="Currency 5 7 8 2 2" xfId="15486" xr:uid="{D678C588-3998-4CD9-99A8-BE068E9C1F85}"/>
    <cellStyle name="Currency 5 7 8 3" xfId="11268" xr:uid="{A27127EA-6749-47D4-8F5F-2496F4E4B69F}"/>
    <cellStyle name="Currency 5 7 9" xfId="4664" xr:uid="{00000000-0005-0000-0000-0000960D0000}"/>
    <cellStyle name="Currency 5 7 9 2" xfId="13103" xr:uid="{5388C558-049E-4F6A-842E-BCC7DF576B0F}"/>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0 2 2" xfId="15170" xr:uid="{4582A310-2A55-4A8A-B75B-5DF53850D693}"/>
    <cellStyle name="Normal 12 10 3" xfId="10952" xr:uid="{830B82AA-33E1-47E3-9E1D-192A8D56DB59}"/>
    <cellStyle name="Normal 12 11" xfId="4665" xr:uid="{00000000-0005-0000-0000-0000CC0D0000}"/>
    <cellStyle name="Normal 12 11 2" xfId="13104" xr:uid="{8A1074E0-D0E7-4BC6-8E32-CF5DAEE85BA9}"/>
    <cellStyle name="Normal 12 12" xfId="8886" xr:uid="{917D6D4B-BE55-4A56-A279-5CA0BDF60001}"/>
    <cellStyle name="Normal 12 2" xfId="260" xr:uid="{00000000-0005-0000-0000-0000CD0D0000}"/>
    <cellStyle name="Normal 12 2 10" xfId="8887" xr:uid="{5CC1ECB1-885F-4534-8A58-3CA681A418B4}"/>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2 2 2" xfId="15666" xr:uid="{08E091DF-873D-49C8-9008-061AE555A3B0}"/>
    <cellStyle name="Normal 12 2 2 2 2 2 3" xfId="11448" xr:uid="{3DAE2851-1279-44F6-B84C-5838F3A8EB9C}"/>
    <cellStyle name="Normal 12 2 2 2 2 3" xfId="5082" xr:uid="{00000000-0005-0000-0000-0000D30D0000}"/>
    <cellStyle name="Normal 12 2 2 2 2 3 2" xfId="13521" xr:uid="{5A35B86A-0EEF-42D4-8D3C-6202D379F7C5}"/>
    <cellStyle name="Normal 12 2 2 2 2 4" xfId="9303" xr:uid="{1F99E90B-6E64-4236-816B-94BA1DD34655}"/>
    <cellStyle name="Normal 12 2 2 2 3" xfId="1186" xr:uid="{00000000-0005-0000-0000-0000D40D0000}"/>
    <cellStyle name="Normal 12 2 2 2 3 2" xfId="3417" xr:uid="{00000000-0005-0000-0000-0000D50D0000}"/>
    <cellStyle name="Normal 12 2 2 2 3 2 2" xfId="7640" xr:uid="{00000000-0005-0000-0000-0000D60D0000}"/>
    <cellStyle name="Normal 12 2 2 2 3 2 2 2" xfId="16079" xr:uid="{CABF706C-3130-4F17-822D-F1D66D847193}"/>
    <cellStyle name="Normal 12 2 2 2 3 2 3" xfId="11861" xr:uid="{1BC4C26C-E99B-4952-BA02-CA62321B5DF3}"/>
    <cellStyle name="Normal 12 2 2 2 3 3" xfId="5495" xr:uid="{00000000-0005-0000-0000-0000D70D0000}"/>
    <cellStyle name="Normal 12 2 2 2 3 3 2" xfId="13934" xr:uid="{0A05058B-8049-4362-AB18-50700694EC60}"/>
    <cellStyle name="Normal 12 2 2 2 3 4" xfId="9716" xr:uid="{1E1D8D2B-A6CF-4E81-AF6D-2CAE2CDD3BE9}"/>
    <cellStyle name="Normal 12 2 2 2 4" xfId="1600" xr:uid="{00000000-0005-0000-0000-0000D80D0000}"/>
    <cellStyle name="Normal 12 2 2 2 4 2" xfId="3830" xr:uid="{00000000-0005-0000-0000-0000D90D0000}"/>
    <cellStyle name="Normal 12 2 2 2 4 2 2" xfId="8053" xr:uid="{00000000-0005-0000-0000-0000DA0D0000}"/>
    <cellStyle name="Normal 12 2 2 2 4 2 2 2" xfId="16492" xr:uid="{1C67F2AD-BA0F-4FCA-8D00-589F3B82ECD8}"/>
    <cellStyle name="Normal 12 2 2 2 4 2 3" xfId="12274" xr:uid="{992B95DD-CACD-45DF-8D8F-12FEF76CDCFE}"/>
    <cellStyle name="Normal 12 2 2 2 4 3" xfId="5908" xr:uid="{00000000-0005-0000-0000-0000DB0D0000}"/>
    <cellStyle name="Normal 12 2 2 2 4 3 2" xfId="14347" xr:uid="{CED59929-5EAD-484F-879A-BD5896FA7945}"/>
    <cellStyle name="Normal 12 2 2 2 4 4" xfId="10129" xr:uid="{7D4F6B2E-3C57-4A97-8CDF-4DCE6640058B}"/>
    <cellStyle name="Normal 12 2 2 2 5" xfId="2014" xr:uid="{00000000-0005-0000-0000-0000DC0D0000}"/>
    <cellStyle name="Normal 12 2 2 2 5 2" xfId="4243" xr:uid="{00000000-0005-0000-0000-0000DD0D0000}"/>
    <cellStyle name="Normal 12 2 2 2 5 2 2" xfId="8466" xr:uid="{00000000-0005-0000-0000-0000DE0D0000}"/>
    <cellStyle name="Normal 12 2 2 2 5 2 2 2" xfId="16905" xr:uid="{EB1BDB17-5817-47AC-892A-AF7F42CAA8E7}"/>
    <cellStyle name="Normal 12 2 2 2 5 2 3" xfId="12687" xr:uid="{F6DF5646-F2E4-4F85-9CBF-02AD69C2B043}"/>
    <cellStyle name="Normal 12 2 2 2 5 3" xfId="6321" xr:uid="{00000000-0005-0000-0000-0000DF0D0000}"/>
    <cellStyle name="Normal 12 2 2 2 5 3 2" xfId="14760" xr:uid="{D4E4C5BF-A93D-4E63-99F7-0EF42F3E004C}"/>
    <cellStyle name="Normal 12 2 2 2 5 4" xfId="10542" xr:uid="{737410C9-A31D-4D73-A421-91DAB78D4B21}"/>
    <cellStyle name="Normal 12 2 2 2 6" xfId="2450" xr:uid="{00000000-0005-0000-0000-0000E00D0000}"/>
    <cellStyle name="Normal 12 2 2 2 6 2" xfId="6734" xr:uid="{00000000-0005-0000-0000-0000E10D0000}"/>
    <cellStyle name="Normal 12 2 2 2 6 2 2" xfId="15173" xr:uid="{3D2472E3-FE25-4D28-B5B4-4E3B9B67D1CC}"/>
    <cellStyle name="Normal 12 2 2 2 6 3" xfId="10955" xr:uid="{7B09E893-6362-4BBE-A866-0EDD300B89FB}"/>
    <cellStyle name="Normal 12 2 2 2 7" xfId="4668" xr:uid="{00000000-0005-0000-0000-0000E20D0000}"/>
    <cellStyle name="Normal 12 2 2 2 7 2" xfId="13107" xr:uid="{148326F1-35D8-4C32-88E9-0DF0695153E1}"/>
    <cellStyle name="Normal 12 2 2 2 8" xfId="8889" xr:uid="{DBC66182-3FC2-4AEF-8F25-4EB6EA371923}"/>
    <cellStyle name="Normal 12 2 2 3" xfId="762" xr:uid="{00000000-0005-0000-0000-0000E30D0000}"/>
    <cellStyle name="Normal 12 2 2 3 2" xfId="3003" xr:uid="{00000000-0005-0000-0000-0000E40D0000}"/>
    <cellStyle name="Normal 12 2 2 3 2 2" xfId="7226" xr:uid="{00000000-0005-0000-0000-0000E50D0000}"/>
    <cellStyle name="Normal 12 2 2 3 2 2 2" xfId="15665" xr:uid="{782C240F-29E3-4F73-9AB4-93D61C7B757F}"/>
    <cellStyle name="Normal 12 2 2 3 2 3" xfId="11447" xr:uid="{F93FCBE6-D8DE-4569-93C3-352D97494DF5}"/>
    <cellStyle name="Normal 12 2 2 3 3" xfId="5081" xr:uid="{00000000-0005-0000-0000-0000E60D0000}"/>
    <cellStyle name="Normal 12 2 2 3 3 2" xfId="13520" xr:uid="{5E986395-40B4-4958-8731-601D058F80B9}"/>
    <cellStyle name="Normal 12 2 2 3 4" xfId="9302" xr:uid="{DF7223E6-3A90-4C91-81F3-F2F20B052FB4}"/>
    <cellStyle name="Normal 12 2 2 4" xfId="1185" xr:uid="{00000000-0005-0000-0000-0000E70D0000}"/>
    <cellStyle name="Normal 12 2 2 4 2" xfId="3416" xr:uid="{00000000-0005-0000-0000-0000E80D0000}"/>
    <cellStyle name="Normal 12 2 2 4 2 2" xfId="7639" xr:uid="{00000000-0005-0000-0000-0000E90D0000}"/>
    <cellStyle name="Normal 12 2 2 4 2 2 2" xfId="16078" xr:uid="{94D85DC3-4A6B-40FD-B761-FA9B4418C220}"/>
    <cellStyle name="Normal 12 2 2 4 2 3" xfId="11860" xr:uid="{57279DE8-3526-4D4A-8F1E-1CB095767FF5}"/>
    <cellStyle name="Normal 12 2 2 4 3" xfId="5494" xr:uid="{00000000-0005-0000-0000-0000EA0D0000}"/>
    <cellStyle name="Normal 12 2 2 4 3 2" xfId="13933" xr:uid="{C301EA33-6ED8-460B-931B-7694ADB72D62}"/>
    <cellStyle name="Normal 12 2 2 4 4" xfId="9715" xr:uid="{2E77D7CC-87CC-4791-89B0-5C35B3D799D0}"/>
    <cellStyle name="Normal 12 2 2 5" xfId="1599" xr:uid="{00000000-0005-0000-0000-0000EB0D0000}"/>
    <cellStyle name="Normal 12 2 2 5 2" xfId="3829" xr:uid="{00000000-0005-0000-0000-0000EC0D0000}"/>
    <cellStyle name="Normal 12 2 2 5 2 2" xfId="8052" xr:uid="{00000000-0005-0000-0000-0000ED0D0000}"/>
    <cellStyle name="Normal 12 2 2 5 2 2 2" xfId="16491" xr:uid="{F288F3E5-4A04-4CCC-A816-80F0FCC62D3F}"/>
    <cellStyle name="Normal 12 2 2 5 2 3" xfId="12273" xr:uid="{51CBF5EA-5937-4123-A560-B8D84203DFD4}"/>
    <cellStyle name="Normal 12 2 2 5 3" xfId="5907" xr:uid="{00000000-0005-0000-0000-0000EE0D0000}"/>
    <cellStyle name="Normal 12 2 2 5 3 2" xfId="14346" xr:uid="{5FE10E32-35C4-4A4A-A8D0-6B955E386D99}"/>
    <cellStyle name="Normal 12 2 2 5 4" xfId="10128" xr:uid="{6ED5DF18-F72A-4348-A162-971D8DDDC45D}"/>
    <cellStyle name="Normal 12 2 2 6" xfId="2013" xr:uid="{00000000-0005-0000-0000-0000EF0D0000}"/>
    <cellStyle name="Normal 12 2 2 6 2" xfId="4242" xr:uid="{00000000-0005-0000-0000-0000F00D0000}"/>
    <cellStyle name="Normal 12 2 2 6 2 2" xfId="8465" xr:uid="{00000000-0005-0000-0000-0000F10D0000}"/>
    <cellStyle name="Normal 12 2 2 6 2 2 2" xfId="16904" xr:uid="{70FA7AB4-698B-4391-81D5-9DE70CD5D79A}"/>
    <cellStyle name="Normal 12 2 2 6 2 3" xfId="12686" xr:uid="{8F830990-4C4F-4E8D-B820-5F13F3329286}"/>
    <cellStyle name="Normal 12 2 2 6 3" xfId="6320" xr:uid="{00000000-0005-0000-0000-0000F20D0000}"/>
    <cellStyle name="Normal 12 2 2 6 3 2" xfId="14759" xr:uid="{5BA77515-F39D-42F4-8778-0EC3C41ACF03}"/>
    <cellStyle name="Normal 12 2 2 6 4" xfId="10541" xr:uid="{4E59E45F-EC04-465F-9435-9F072E81AEAB}"/>
    <cellStyle name="Normal 12 2 2 7" xfId="2449" xr:uid="{00000000-0005-0000-0000-0000F30D0000}"/>
    <cellStyle name="Normal 12 2 2 7 2" xfId="6733" xr:uid="{00000000-0005-0000-0000-0000F40D0000}"/>
    <cellStyle name="Normal 12 2 2 7 2 2" xfId="15172" xr:uid="{1B5F7F24-7D84-4E15-AAE0-4AADF241F4B0}"/>
    <cellStyle name="Normal 12 2 2 7 3" xfId="10954" xr:uid="{ACAA7993-FACC-4E02-9954-31E05E2B9D96}"/>
    <cellStyle name="Normal 12 2 2 8" xfId="4667" xr:uid="{00000000-0005-0000-0000-0000F50D0000}"/>
    <cellStyle name="Normal 12 2 2 8 2" xfId="13106" xr:uid="{BAEBA3C2-A59E-4665-83A9-0638227B5DE9}"/>
    <cellStyle name="Normal 12 2 2 9" xfId="8888" xr:uid="{F892E9A4-4419-4E9F-A6CD-A4D2A1F39F74}"/>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2 2 2" xfId="15667" xr:uid="{61836BCE-621A-4782-9D21-5243E2A43B31}"/>
    <cellStyle name="Normal 12 2 3 2 2 3" xfId="11449" xr:uid="{213F01C2-FF05-4FCC-BCAC-21B673157431}"/>
    <cellStyle name="Normal 12 2 3 2 3" xfId="5083" xr:uid="{00000000-0005-0000-0000-0000FA0D0000}"/>
    <cellStyle name="Normal 12 2 3 2 3 2" xfId="13522" xr:uid="{0CC63701-5270-483D-A89F-9984C592D58E}"/>
    <cellStyle name="Normal 12 2 3 2 4" xfId="9304" xr:uid="{FBD96A8A-71EB-44D2-BB80-82791622CB9B}"/>
    <cellStyle name="Normal 12 2 3 3" xfId="1187" xr:uid="{00000000-0005-0000-0000-0000FB0D0000}"/>
    <cellStyle name="Normal 12 2 3 3 2" xfId="3418" xr:uid="{00000000-0005-0000-0000-0000FC0D0000}"/>
    <cellStyle name="Normal 12 2 3 3 2 2" xfId="7641" xr:uid="{00000000-0005-0000-0000-0000FD0D0000}"/>
    <cellStyle name="Normal 12 2 3 3 2 2 2" xfId="16080" xr:uid="{E70A4187-976C-48FC-A980-77919BC91816}"/>
    <cellStyle name="Normal 12 2 3 3 2 3" xfId="11862" xr:uid="{AE90E8D2-DDCE-4028-827A-A0DC7D56624B}"/>
    <cellStyle name="Normal 12 2 3 3 3" xfId="5496" xr:uid="{00000000-0005-0000-0000-0000FE0D0000}"/>
    <cellStyle name="Normal 12 2 3 3 3 2" xfId="13935" xr:uid="{580D7763-9EEF-4B32-84D2-4741FCBBA211}"/>
    <cellStyle name="Normal 12 2 3 3 4" xfId="9717" xr:uid="{02C9BAC0-2B43-488E-A9FB-4143EB87DB85}"/>
    <cellStyle name="Normal 12 2 3 4" xfId="1601" xr:uid="{00000000-0005-0000-0000-0000FF0D0000}"/>
    <cellStyle name="Normal 12 2 3 4 2" xfId="3831" xr:uid="{00000000-0005-0000-0000-0000000E0000}"/>
    <cellStyle name="Normal 12 2 3 4 2 2" xfId="8054" xr:uid="{00000000-0005-0000-0000-0000010E0000}"/>
    <cellStyle name="Normal 12 2 3 4 2 2 2" xfId="16493" xr:uid="{80394B68-2411-482B-9D4D-43D702A7295D}"/>
    <cellStyle name="Normal 12 2 3 4 2 3" xfId="12275" xr:uid="{634991AF-305D-4F22-81CC-59EFFBF8D45D}"/>
    <cellStyle name="Normal 12 2 3 4 3" xfId="5909" xr:uid="{00000000-0005-0000-0000-0000020E0000}"/>
    <cellStyle name="Normal 12 2 3 4 3 2" xfId="14348" xr:uid="{5C2BC1E5-866E-4D5C-ADF3-38D326C3F8CD}"/>
    <cellStyle name="Normal 12 2 3 4 4" xfId="10130" xr:uid="{C6A04E7E-55DE-4053-B5A2-13F3D0472A9B}"/>
    <cellStyle name="Normal 12 2 3 5" xfId="2015" xr:uid="{00000000-0005-0000-0000-0000030E0000}"/>
    <cellStyle name="Normal 12 2 3 5 2" xfId="4244" xr:uid="{00000000-0005-0000-0000-0000040E0000}"/>
    <cellStyle name="Normal 12 2 3 5 2 2" xfId="8467" xr:uid="{00000000-0005-0000-0000-0000050E0000}"/>
    <cellStyle name="Normal 12 2 3 5 2 2 2" xfId="16906" xr:uid="{88E376EC-FD56-48E7-BCFC-86A5FA990E06}"/>
    <cellStyle name="Normal 12 2 3 5 2 3" xfId="12688" xr:uid="{79D463C1-592A-4C1A-A16D-BA24C91907A9}"/>
    <cellStyle name="Normal 12 2 3 5 3" xfId="6322" xr:uid="{00000000-0005-0000-0000-0000060E0000}"/>
    <cellStyle name="Normal 12 2 3 5 3 2" xfId="14761" xr:uid="{7A616DDF-ECAD-463E-A4D3-34BE29CF0111}"/>
    <cellStyle name="Normal 12 2 3 5 4" xfId="10543" xr:uid="{0A88C226-C754-41FD-966A-3C1BCE47EDD0}"/>
    <cellStyle name="Normal 12 2 3 6" xfId="2451" xr:uid="{00000000-0005-0000-0000-0000070E0000}"/>
    <cellStyle name="Normal 12 2 3 6 2" xfId="6735" xr:uid="{00000000-0005-0000-0000-0000080E0000}"/>
    <cellStyle name="Normal 12 2 3 6 2 2" xfId="15174" xr:uid="{CDF25E5A-BD7D-4A9C-B295-EF9824B9B76E}"/>
    <cellStyle name="Normal 12 2 3 6 3" xfId="10956" xr:uid="{2715D335-6CDB-4FA9-8E33-8DA568677DD3}"/>
    <cellStyle name="Normal 12 2 3 7" xfId="4669" xr:uid="{00000000-0005-0000-0000-0000090E0000}"/>
    <cellStyle name="Normal 12 2 3 7 2" xfId="13108" xr:uid="{0965CD60-197F-42BB-9D0E-E232BB089FD6}"/>
    <cellStyle name="Normal 12 2 3 8" xfId="8890" xr:uid="{CCAB3F61-C507-46D5-9BB3-E48EE22D2506}"/>
    <cellStyle name="Normal 12 2 4" xfId="761" xr:uid="{00000000-0005-0000-0000-00000A0E0000}"/>
    <cellStyle name="Normal 12 2 4 2" xfId="3002" xr:uid="{00000000-0005-0000-0000-00000B0E0000}"/>
    <cellStyle name="Normal 12 2 4 2 2" xfId="7225" xr:uid="{00000000-0005-0000-0000-00000C0E0000}"/>
    <cellStyle name="Normal 12 2 4 2 2 2" xfId="15664" xr:uid="{2FB45103-025B-4E68-8AF9-7FDE570DE481}"/>
    <cellStyle name="Normal 12 2 4 2 3" xfId="11446" xr:uid="{715FBE52-6D7E-4838-894E-B9D8207A3E6A}"/>
    <cellStyle name="Normal 12 2 4 3" xfId="5080" xr:uid="{00000000-0005-0000-0000-00000D0E0000}"/>
    <cellStyle name="Normal 12 2 4 3 2" xfId="13519" xr:uid="{C6F213C6-B099-4E37-8667-D1788DD86CBB}"/>
    <cellStyle name="Normal 12 2 4 4" xfId="9301" xr:uid="{3FAAC189-A3E8-424A-B406-CEA3511AD45E}"/>
    <cellStyle name="Normal 12 2 5" xfId="1184" xr:uid="{00000000-0005-0000-0000-00000E0E0000}"/>
    <cellStyle name="Normal 12 2 5 2" xfId="3415" xr:uid="{00000000-0005-0000-0000-00000F0E0000}"/>
    <cellStyle name="Normal 12 2 5 2 2" xfId="7638" xr:uid="{00000000-0005-0000-0000-0000100E0000}"/>
    <cellStyle name="Normal 12 2 5 2 2 2" xfId="16077" xr:uid="{BD3AE99F-457E-482A-8251-3E7B27732A1D}"/>
    <cellStyle name="Normal 12 2 5 2 3" xfId="11859" xr:uid="{280FD0EC-B11B-4FAF-AB16-75DA7E83DAE9}"/>
    <cellStyle name="Normal 12 2 5 3" xfId="5493" xr:uid="{00000000-0005-0000-0000-0000110E0000}"/>
    <cellStyle name="Normal 12 2 5 3 2" xfId="13932" xr:uid="{7EED159E-B83C-4CBF-9749-57817E7977A4}"/>
    <cellStyle name="Normal 12 2 5 4" xfId="9714" xr:uid="{323848CA-C983-4EB5-A2EC-4EF55B9AB544}"/>
    <cellStyle name="Normal 12 2 6" xfId="1598" xr:uid="{00000000-0005-0000-0000-0000120E0000}"/>
    <cellStyle name="Normal 12 2 6 2" xfId="3828" xr:uid="{00000000-0005-0000-0000-0000130E0000}"/>
    <cellStyle name="Normal 12 2 6 2 2" xfId="8051" xr:uid="{00000000-0005-0000-0000-0000140E0000}"/>
    <cellStyle name="Normal 12 2 6 2 2 2" xfId="16490" xr:uid="{D5C999BB-6F5E-4621-B665-E7E754A1FCCA}"/>
    <cellStyle name="Normal 12 2 6 2 3" xfId="12272" xr:uid="{7A05A9C6-D746-495E-9B07-642E61B0D21F}"/>
    <cellStyle name="Normal 12 2 6 3" xfId="5906" xr:uid="{00000000-0005-0000-0000-0000150E0000}"/>
    <cellStyle name="Normal 12 2 6 3 2" xfId="14345" xr:uid="{C29FB2BE-4DED-4A6A-922A-4606ABFB654E}"/>
    <cellStyle name="Normal 12 2 6 4" xfId="10127" xr:uid="{DB8C1A77-53A6-4ADD-9223-3CAEA9F78C70}"/>
    <cellStyle name="Normal 12 2 7" xfId="2012" xr:uid="{00000000-0005-0000-0000-0000160E0000}"/>
    <cellStyle name="Normal 12 2 7 2" xfId="4241" xr:uid="{00000000-0005-0000-0000-0000170E0000}"/>
    <cellStyle name="Normal 12 2 7 2 2" xfId="8464" xr:uid="{00000000-0005-0000-0000-0000180E0000}"/>
    <cellStyle name="Normal 12 2 7 2 2 2" xfId="16903" xr:uid="{78D9FA5D-3A6F-448A-96BE-DDBACF50C9C7}"/>
    <cellStyle name="Normal 12 2 7 2 3" xfId="12685" xr:uid="{02686B38-15DE-4D19-A10B-C0EA861C9741}"/>
    <cellStyle name="Normal 12 2 7 3" xfId="6319" xr:uid="{00000000-0005-0000-0000-0000190E0000}"/>
    <cellStyle name="Normal 12 2 7 3 2" xfId="14758" xr:uid="{7174FC0A-B4C8-4D2E-8FD1-FAAB71C997CD}"/>
    <cellStyle name="Normal 12 2 7 4" xfId="10540" xr:uid="{13E00B9E-DE3C-417C-8495-7412F4089FCE}"/>
    <cellStyle name="Normal 12 2 8" xfId="2448" xr:uid="{00000000-0005-0000-0000-00001A0E0000}"/>
    <cellStyle name="Normal 12 2 8 2" xfId="6732" xr:uid="{00000000-0005-0000-0000-00001B0E0000}"/>
    <cellStyle name="Normal 12 2 8 2 2" xfId="15171" xr:uid="{C3947296-6026-41C4-9557-3119AB7B4A3E}"/>
    <cellStyle name="Normal 12 2 8 3" xfId="10953" xr:uid="{867E6142-D226-4EBF-AF86-2CB4BA1ED93D}"/>
    <cellStyle name="Normal 12 2 9" xfId="4666" xr:uid="{00000000-0005-0000-0000-00001C0E0000}"/>
    <cellStyle name="Normal 12 2 9 2" xfId="13105" xr:uid="{53C8DA54-F528-4713-B242-4BCB3ADFA337}"/>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2 2 2" xfId="15669" xr:uid="{D0638203-A61C-4B74-B46E-716C9D996C8F}"/>
    <cellStyle name="Normal 12 3 2 2 2 3" xfId="11451" xr:uid="{BBE3B43B-25CE-4564-8AC2-178C6D47F475}"/>
    <cellStyle name="Normal 12 3 2 2 3" xfId="5085" xr:uid="{00000000-0005-0000-0000-0000220E0000}"/>
    <cellStyle name="Normal 12 3 2 2 3 2" xfId="13524" xr:uid="{05EAF739-726B-4E85-81B0-B468B8598096}"/>
    <cellStyle name="Normal 12 3 2 2 4" xfId="9306" xr:uid="{F95B1471-1D8F-4FCA-9C1A-0CAFC850ABDF}"/>
    <cellStyle name="Normal 12 3 2 3" xfId="1189" xr:uid="{00000000-0005-0000-0000-0000230E0000}"/>
    <cellStyle name="Normal 12 3 2 3 2" xfId="3420" xr:uid="{00000000-0005-0000-0000-0000240E0000}"/>
    <cellStyle name="Normal 12 3 2 3 2 2" xfId="7643" xr:uid="{00000000-0005-0000-0000-0000250E0000}"/>
    <cellStyle name="Normal 12 3 2 3 2 2 2" xfId="16082" xr:uid="{4A4BCF1B-7C59-444D-9C9F-6DF9DD919BB5}"/>
    <cellStyle name="Normal 12 3 2 3 2 3" xfId="11864" xr:uid="{2FE51E70-C002-4346-A8FD-C8D6CCB652D1}"/>
    <cellStyle name="Normal 12 3 2 3 3" xfId="5498" xr:uid="{00000000-0005-0000-0000-0000260E0000}"/>
    <cellStyle name="Normal 12 3 2 3 3 2" xfId="13937" xr:uid="{7711B702-58CE-4C20-A170-50FBB616251D}"/>
    <cellStyle name="Normal 12 3 2 3 4" xfId="9719" xr:uid="{14D00BC4-68C7-49C5-807A-F6F4653DC308}"/>
    <cellStyle name="Normal 12 3 2 4" xfId="1603" xr:uid="{00000000-0005-0000-0000-0000270E0000}"/>
    <cellStyle name="Normal 12 3 2 4 2" xfId="3833" xr:uid="{00000000-0005-0000-0000-0000280E0000}"/>
    <cellStyle name="Normal 12 3 2 4 2 2" xfId="8056" xr:uid="{00000000-0005-0000-0000-0000290E0000}"/>
    <cellStyle name="Normal 12 3 2 4 2 2 2" xfId="16495" xr:uid="{374F2825-EEEE-4D39-8E89-490765AE0796}"/>
    <cellStyle name="Normal 12 3 2 4 2 3" xfId="12277" xr:uid="{10FD54CC-F20C-4382-8539-8B80F40BD7A5}"/>
    <cellStyle name="Normal 12 3 2 4 3" xfId="5911" xr:uid="{00000000-0005-0000-0000-00002A0E0000}"/>
    <cellStyle name="Normal 12 3 2 4 3 2" xfId="14350" xr:uid="{EC143018-9A99-40A5-9156-9C245ED05B29}"/>
    <cellStyle name="Normal 12 3 2 4 4" xfId="10132" xr:uid="{C26F8119-2E44-425E-8DA7-9FA1800A8F92}"/>
    <cellStyle name="Normal 12 3 2 5" xfId="2017" xr:uid="{00000000-0005-0000-0000-00002B0E0000}"/>
    <cellStyle name="Normal 12 3 2 5 2" xfId="4246" xr:uid="{00000000-0005-0000-0000-00002C0E0000}"/>
    <cellStyle name="Normal 12 3 2 5 2 2" xfId="8469" xr:uid="{00000000-0005-0000-0000-00002D0E0000}"/>
    <cellStyle name="Normal 12 3 2 5 2 2 2" xfId="16908" xr:uid="{69C3E853-9384-4DD5-9437-E3B530F492F1}"/>
    <cellStyle name="Normal 12 3 2 5 2 3" xfId="12690" xr:uid="{23A0D942-F3A6-4469-815F-27FAD0282F38}"/>
    <cellStyle name="Normal 12 3 2 5 3" xfId="6324" xr:uid="{00000000-0005-0000-0000-00002E0E0000}"/>
    <cellStyle name="Normal 12 3 2 5 3 2" xfId="14763" xr:uid="{B6DAEE83-CF2E-4D40-BF9B-E06799C19A96}"/>
    <cellStyle name="Normal 12 3 2 5 4" xfId="10545" xr:uid="{AB45E7AD-550B-413E-8A26-34486E0C391F}"/>
    <cellStyle name="Normal 12 3 2 6" xfId="2453" xr:uid="{00000000-0005-0000-0000-00002F0E0000}"/>
    <cellStyle name="Normal 12 3 2 6 2" xfId="6737" xr:uid="{00000000-0005-0000-0000-0000300E0000}"/>
    <cellStyle name="Normal 12 3 2 6 2 2" xfId="15176" xr:uid="{B78FE307-2BDA-4FC1-B1F8-0A4C5F5689F2}"/>
    <cellStyle name="Normal 12 3 2 6 3" xfId="10958" xr:uid="{29190A25-6FCF-4741-8AEB-094875AE2CB9}"/>
    <cellStyle name="Normal 12 3 2 7" xfId="4671" xr:uid="{00000000-0005-0000-0000-0000310E0000}"/>
    <cellStyle name="Normal 12 3 2 7 2" xfId="13110" xr:uid="{878FEEB3-4A98-4812-9008-B9CF524EBCE2}"/>
    <cellStyle name="Normal 12 3 2 8" xfId="8892" xr:uid="{8BB5FB47-3FC9-4A51-B94B-DF71F9E9CBCF}"/>
    <cellStyle name="Normal 12 3 3" xfId="765" xr:uid="{00000000-0005-0000-0000-0000320E0000}"/>
    <cellStyle name="Normal 12 3 3 2" xfId="3006" xr:uid="{00000000-0005-0000-0000-0000330E0000}"/>
    <cellStyle name="Normal 12 3 3 2 2" xfId="7229" xr:uid="{00000000-0005-0000-0000-0000340E0000}"/>
    <cellStyle name="Normal 12 3 3 2 2 2" xfId="15668" xr:uid="{44FE1FC0-096D-4CAB-88C4-4C3CCDCB5CA9}"/>
    <cellStyle name="Normal 12 3 3 2 3" xfId="11450" xr:uid="{F234A560-EC4D-4B4C-BBD3-52185223FF5A}"/>
    <cellStyle name="Normal 12 3 3 3" xfId="5084" xr:uid="{00000000-0005-0000-0000-0000350E0000}"/>
    <cellStyle name="Normal 12 3 3 3 2" xfId="13523" xr:uid="{D0EB1557-4D33-43DC-8813-68ABA2AA66F5}"/>
    <cellStyle name="Normal 12 3 3 4" xfId="9305" xr:uid="{02FDF12F-8A1D-4BE0-B4CF-BF0CFA589C5B}"/>
    <cellStyle name="Normal 12 3 4" xfId="1188" xr:uid="{00000000-0005-0000-0000-0000360E0000}"/>
    <cellStyle name="Normal 12 3 4 2" xfId="3419" xr:uid="{00000000-0005-0000-0000-0000370E0000}"/>
    <cellStyle name="Normal 12 3 4 2 2" xfId="7642" xr:uid="{00000000-0005-0000-0000-0000380E0000}"/>
    <cellStyle name="Normal 12 3 4 2 2 2" xfId="16081" xr:uid="{51CD4DD6-6C83-4260-B5AF-5A99A6F25493}"/>
    <cellStyle name="Normal 12 3 4 2 3" xfId="11863" xr:uid="{F4BBFBAF-B6B8-4BBB-A71E-FE181031DFC4}"/>
    <cellStyle name="Normal 12 3 4 3" xfId="5497" xr:uid="{00000000-0005-0000-0000-0000390E0000}"/>
    <cellStyle name="Normal 12 3 4 3 2" xfId="13936" xr:uid="{F9A9EAD1-E7FF-44F4-9176-1549F36229BE}"/>
    <cellStyle name="Normal 12 3 4 4" xfId="9718" xr:uid="{77599AAA-3CBA-41F1-B62A-CCD66741BD7E}"/>
    <cellStyle name="Normal 12 3 5" xfId="1602" xr:uid="{00000000-0005-0000-0000-00003A0E0000}"/>
    <cellStyle name="Normal 12 3 5 2" xfId="3832" xr:uid="{00000000-0005-0000-0000-00003B0E0000}"/>
    <cellStyle name="Normal 12 3 5 2 2" xfId="8055" xr:uid="{00000000-0005-0000-0000-00003C0E0000}"/>
    <cellStyle name="Normal 12 3 5 2 2 2" xfId="16494" xr:uid="{B2033379-586A-4BCA-877B-6A36B7D8723E}"/>
    <cellStyle name="Normal 12 3 5 2 3" xfId="12276" xr:uid="{B3617E51-DDBA-484E-A6DD-6C6BB46FFDE0}"/>
    <cellStyle name="Normal 12 3 5 3" xfId="5910" xr:uid="{00000000-0005-0000-0000-00003D0E0000}"/>
    <cellStyle name="Normal 12 3 5 3 2" xfId="14349" xr:uid="{183D0721-FB11-4281-A9C6-5D4B182B4975}"/>
    <cellStyle name="Normal 12 3 5 4" xfId="10131" xr:uid="{391F225E-AB10-4DF5-BCBE-14D4FB0D6529}"/>
    <cellStyle name="Normal 12 3 6" xfId="2016" xr:uid="{00000000-0005-0000-0000-00003E0E0000}"/>
    <cellStyle name="Normal 12 3 6 2" xfId="4245" xr:uid="{00000000-0005-0000-0000-00003F0E0000}"/>
    <cellStyle name="Normal 12 3 6 2 2" xfId="8468" xr:uid="{00000000-0005-0000-0000-0000400E0000}"/>
    <cellStyle name="Normal 12 3 6 2 2 2" xfId="16907" xr:uid="{696EF3C7-CF61-4BA5-81C8-BCFF1D30B82E}"/>
    <cellStyle name="Normal 12 3 6 2 3" xfId="12689" xr:uid="{208BE8C5-4857-43A8-B107-9689F180AD9D}"/>
    <cellStyle name="Normal 12 3 6 3" xfId="6323" xr:uid="{00000000-0005-0000-0000-0000410E0000}"/>
    <cellStyle name="Normal 12 3 6 3 2" xfId="14762" xr:uid="{C6A7CA88-F347-49A8-857E-82DE8FF304B1}"/>
    <cellStyle name="Normal 12 3 6 4" xfId="10544" xr:uid="{85FFE8FE-C1CD-4F33-B8D6-25B10433BB41}"/>
    <cellStyle name="Normal 12 3 7" xfId="2452" xr:uid="{00000000-0005-0000-0000-0000420E0000}"/>
    <cellStyle name="Normal 12 3 7 2" xfId="6736" xr:uid="{00000000-0005-0000-0000-0000430E0000}"/>
    <cellStyle name="Normal 12 3 7 2 2" xfId="15175" xr:uid="{5F36E463-D7D4-4807-B329-AFB5FA890BCC}"/>
    <cellStyle name="Normal 12 3 7 3" xfId="10957" xr:uid="{9AFE24F6-6C95-4420-9EEE-D1A31F518873}"/>
    <cellStyle name="Normal 12 3 8" xfId="4670" xr:uid="{00000000-0005-0000-0000-0000440E0000}"/>
    <cellStyle name="Normal 12 3 8 2" xfId="13109" xr:uid="{06E3385B-C6E8-475D-B385-C699B3DB2038}"/>
    <cellStyle name="Normal 12 3 9" xfId="8891" xr:uid="{886EF27D-70B9-4AB9-840A-B99545356A7E}"/>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2 2 2" xfId="15670" xr:uid="{EC125EB1-02C6-43D2-AB58-43498638FC35}"/>
    <cellStyle name="Normal 12 4 2 2 3" xfId="11452" xr:uid="{6D48F9E5-83C9-48B4-8030-61641AE31735}"/>
    <cellStyle name="Normal 12 4 2 3" xfId="5086" xr:uid="{00000000-0005-0000-0000-0000490E0000}"/>
    <cellStyle name="Normal 12 4 2 3 2" xfId="13525" xr:uid="{786C99BF-E15C-41FB-9C1A-2AB6D5963380}"/>
    <cellStyle name="Normal 12 4 2 4" xfId="9307" xr:uid="{7095F231-C529-4C8A-A60B-2B8229DA8570}"/>
    <cellStyle name="Normal 12 4 3" xfId="1190" xr:uid="{00000000-0005-0000-0000-00004A0E0000}"/>
    <cellStyle name="Normal 12 4 3 2" xfId="3421" xr:uid="{00000000-0005-0000-0000-00004B0E0000}"/>
    <cellStyle name="Normal 12 4 3 2 2" xfId="7644" xr:uid="{00000000-0005-0000-0000-00004C0E0000}"/>
    <cellStyle name="Normal 12 4 3 2 2 2" xfId="16083" xr:uid="{20704041-935E-4684-A12B-780DF51AABA8}"/>
    <cellStyle name="Normal 12 4 3 2 3" xfId="11865" xr:uid="{1EDD6283-09C0-4154-B3A1-1D4FB51915A2}"/>
    <cellStyle name="Normal 12 4 3 3" xfId="5499" xr:uid="{00000000-0005-0000-0000-00004D0E0000}"/>
    <cellStyle name="Normal 12 4 3 3 2" xfId="13938" xr:uid="{622C139D-A410-4D77-A6FF-ED32FAFC713D}"/>
    <cellStyle name="Normal 12 4 3 4" xfId="9720" xr:uid="{9E59B901-738A-4C3C-802B-A953B9006DF2}"/>
    <cellStyle name="Normal 12 4 4" xfId="1604" xr:uid="{00000000-0005-0000-0000-00004E0E0000}"/>
    <cellStyle name="Normal 12 4 4 2" xfId="3834" xr:uid="{00000000-0005-0000-0000-00004F0E0000}"/>
    <cellStyle name="Normal 12 4 4 2 2" xfId="8057" xr:uid="{00000000-0005-0000-0000-0000500E0000}"/>
    <cellStyle name="Normal 12 4 4 2 2 2" xfId="16496" xr:uid="{E2957E37-6444-48EA-9E43-347B97602158}"/>
    <cellStyle name="Normal 12 4 4 2 3" xfId="12278" xr:uid="{C34FF2FD-3186-4580-89D8-39EA701FE954}"/>
    <cellStyle name="Normal 12 4 4 3" xfId="5912" xr:uid="{00000000-0005-0000-0000-0000510E0000}"/>
    <cellStyle name="Normal 12 4 4 3 2" xfId="14351" xr:uid="{BC1B795B-E409-4C87-8A81-B9323A4354C3}"/>
    <cellStyle name="Normal 12 4 4 4" xfId="10133" xr:uid="{54D2E126-0F6A-4F0F-88A0-7E1063D9D29D}"/>
    <cellStyle name="Normal 12 4 5" xfId="2018" xr:uid="{00000000-0005-0000-0000-0000520E0000}"/>
    <cellStyle name="Normal 12 4 5 2" xfId="4247" xr:uid="{00000000-0005-0000-0000-0000530E0000}"/>
    <cellStyle name="Normal 12 4 5 2 2" xfId="8470" xr:uid="{00000000-0005-0000-0000-0000540E0000}"/>
    <cellStyle name="Normal 12 4 5 2 2 2" xfId="16909" xr:uid="{64364073-C1F1-47C5-853F-12289DA7D7F3}"/>
    <cellStyle name="Normal 12 4 5 2 3" xfId="12691" xr:uid="{0B245180-2893-4D7A-B921-6DDE13C1BEEA}"/>
    <cellStyle name="Normal 12 4 5 3" xfId="6325" xr:uid="{00000000-0005-0000-0000-0000550E0000}"/>
    <cellStyle name="Normal 12 4 5 3 2" xfId="14764" xr:uid="{C69099A7-5D8F-470E-AEBD-86036BAAE3BF}"/>
    <cellStyle name="Normal 12 4 5 4" xfId="10546" xr:uid="{77A1FBAC-31A4-4E8D-AD75-A4D3C445C150}"/>
    <cellStyle name="Normal 12 4 6" xfId="2454" xr:uid="{00000000-0005-0000-0000-0000560E0000}"/>
    <cellStyle name="Normal 12 4 6 2" xfId="6738" xr:uid="{00000000-0005-0000-0000-0000570E0000}"/>
    <cellStyle name="Normal 12 4 6 2 2" xfId="15177" xr:uid="{7763E2AA-E768-4630-97F7-7A1324D15C0B}"/>
    <cellStyle name="Normal 12 4 6 3" xfId="10959" xr:uid="{A6AFE292-FBFD-4AC7-92F8-6E73A01E2D50}"/>
    <cellStyle name="Normal 12 4 7" xfId="4672" xr:uid="{00000000-0005-0000-0000-0000580E0000}"/>
    <cellStyle name="Normal 12 4 7 2" xfId="13111" xr:uid="{F1215BFF-1BC8-463D-9FE6-78C04E176243}"/>
    <cellStyle name="Normal 12 4 8" xfId="8893" xr:uid="{66763DC5-CE9B-4433-8B63-754B28B22B43}"/>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2 2 2" xfId="15663" xr:uid="{5715FCB1-7658-436A-9B25-44B21F721012}"/>
    <cellStyle name="Normal 12 6 2 3" xfId="11445" xr:uid="{B7401734-9721-45FA-B2DF-D07466A59BBA}"/>
    <cellStyle name="Normal 12 6 3" xfId="5079" xr:uid="{00000000-0005-0000-0000-00005D0E0000}"/>
    <cellStyle name="Normal 12 6 3 2" xfId="13518" xr:uid="{2AC3A2A7-974A-4BA7-890A-3C188FC1F371}"/>
    <cellStyle name="Normal 12 6 4" xfId="9300" xr:uid="{4BF0E877-556C-4A3E-B88D-ECF261BA2805}"/>
    <cellStyle name="Normal 12 7" xfId="1183" xr:uid="{00000000-0005-0000-0000-00005E0E0000}"/>
    <cellStyle name="Normal 12 7 2" xfId="3414" xr:uid="{00000000-0005-0000-0000-00005F0E0000}"/>
    <cellStyle name="Normal 12 7 2 2" xfId="7637" xr:uid="{00000000-0005-0000-0000-0000600E0000}"/>
    <cellStyle name="Normal 12 7 2 2 2" xfId="16076" xr:uid="{E1B2B656-3CCC-4EE1-890C-6C9D16693D7F}"/>
    <cellStyle name="Normal 12 7 2 3" xfId="11858" xr:uid="{1B35BB79-2753-4495-8235-E9AFF3B04FD6}"/>
    <cellStyle name="Normal 12 7 3" xfId="5492" xr:uid="{00000000-0005-0000-0000-0000610E0000}"/>
    <cellStyle name="Normal 12 7 3 2" xfId="13931" xr:uid="{5F817D2C-04D2-4D25-AEC2-ED90B6DD71BB}"/>
    <cellStyle name="Normal 12 7 4" xfId="9713" xr:uid="{9F6E5448-3A9F-4864-B001-177C035C19AC}"/>
    <cellStyle name="Normal 12 8" xfId="1597" xr:uid="{00000000-0005-0000-0000-0000620E0000}"/>
    <cellStyle name="Normal 12 8 2" xfId="3827" xr:uid="{00000000-0005-0000-0000-0000630E0000}"/>
    <cellStyle name="Normal 12 8 2 2" xfId="8050" xr:uid="{00000000-0005-0000-0000-0000640E0000}"/>
    <cellStyle name="Normal 12 8 2 2 2" xfId="16489" xr:uid="{DB26D800-2692-4942-BA7D-5A306E15233F}"/>
    <cellStyle name="Normal 12 8 2 3" xfId="12271" xr:uid="{9B4403E5-2DB7-4430-AD2C-7ECC0294255D}"/>
    <cellStyle name="Normal 12 8 3" xfId="5905" xr:uid="{00000000-0005-0000-0000-0000650E0000}"/>
    <cellStyle name="Normal 12 8 3 2" xfId="14344" xr:uid="{8862C8F7-EB64-4333-9008-6858DEF77C83}"/>
    <cellStyle name="Normal 12 8 4" xfId="10126" xr:uid="{8CAB2209-2ED6-484C-A925-5656EFC5A3E5}"/>
    <cellStyle name="Normal 12 9" xfId="2011" xr:uid="{00000000-0005-0000-0000-0000660E0000}"/>
    <cellStyle name="Normal 12 9 2" xfId="4240" xr:uid="{00000000-0005-0000-0000-0000670E0000}"/>
    <cellStyle name="Normal 12 9 2 2" xfId="8463" xr:uid="{00000000-0005-0000-0000-0000680E0000}"/>
    <cellStyle name="Normal 12 9 2 2 2" xfId="16902" xr:uid="{32D06FCC-5EAA-4827-A880-9D890E318413}"/>
    <cellStyle name="Normal 12 9 2 3" xfId="12684" xr:uid="{7AF58CC2-1EAE-4B59-8DCC-A30B105B5AF5}"/>
    <cellStyle name="Normal 12 9 3" xfId="6318" xr:uid="{00000000-0005-0000-0000-0000690E0000}"/>
    <cellStyle name="Normal 12 9 3 2" xfId="14757" xr:uid="{89CE33AE-DAA1-46A1-A4BE-878CFB00BC65}"/>
    <cellStyle name="Normal 12 9 4" xfId="10539" xr:uid="{1C0BC3A2-FBB1-4257-8D6D-626BEF586C91}"/>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2 2 2" xfId="15671" xr:uid="{E4094553-EC81-4F91-BB3F-F5386BE96287}"/>
    <cellStyle name="Normal 14 2 2 3" xfId="11453" xr:uid="{057D2357-8D73-4F99-AD8F-3790F3317406}"/>
    <cellStyle name="Normal 14 2 3" xfId="5087" xr:uid="{00000000-0005-0000-0000-0000700E0000}"/>
    <cellStyle name="Normal 14 2 3 2" xfId="13526" xr:uid="{8F3450B3-79BC-436E-A968-4DFD624AD7EB}"/>
    <cellStyle name="Normal 14 2 4" xfId="9308" xr:uid="{523F07E6-6084-463C-A19C-0223DFC214FF}"/>
    <cellStyle name="Normal 14 3" xfId="1191" xr:uid="{00000000-0005-0000-0000-0000710E0000}"/>
    <cellStyle name="Normal 14 3 2" xfId="3422" xr:uid="{00000000-0005-0000-0000-0000720E0000}"/>
    <cellStyle name="Normal 14 3 2 2" xfId="7645" xr:uid="{00000000-0005-0000-0000-0000730E0000}"/>
    <cellStyle name="Normal 14 3 2 2 2" xfId="16084" xr:uid="{9C7C681B-B865-4F5F-A8AE-DC7E0CD59A96}"/>
    <cellStyle name="Normal 14 3 2 3" xfId="11866" xr:uid="{61D992BA-1390-48AF-A72E-DD6088A86AD6}"/>
    <cellStyle name="Normal 14 3 3" xfId="5500" xr:uid="{00000000-0005-0000-0000-0000740E0000}"/>
    <cellStyle name="Normal 14 3 3 2" xfId="13939" xr:uid="{43D8977A-BDBC-4F42-80D2-28B60367A470}"/>
    <cellStyle name="Normal 14 3 4" xfId="9721" xr:uid="{29C6C573-9988-49E8-95B0-5D7E0F51A8D7}"/>
    <cellStyle name="Normal 14 4" xfId="1605" xr:uid="{00000000-0005-0000-0000-0000750E0000}"/>
    <cellStyle name="Normal 14 4 2" xfId="3835" xr:uid="{00000000-0005-0000-0000-0000760E0000}"/>
    <cellStyle name="Normal 14 4 2 2" xfId="8058" xr:uid="{00000000-0005-0000-0000-0000770E0000}"/>
    <cellStyle name="Normal 14 4 2 2 2" xfId="16497" xr:uid="{87171BCD-CC57-4810-B084-A441517164E3}"/>
    <cellStyle name="Normal 14 4 2 3" xfId="12279" xr:uid="{263C0E02-F77B-4CCC-92DD-EF7734B91BE3}"/>
    <cellStyle name="Normal 14 4 3" xfId="5913" xr:uid="{00000000-0005-0000-0000-0000780E0000}"/>
    <cellStyle name="Normal 14 4 3 2" xfId="14352" xr:uid="{12B17496-0BC5-495F-B14B-DF84D62E043F}"/>
    <cellStyle name="Normal 14 4 4" xfId="10134" xr:uid="{92C4F904-B8CD-403A-ABB0-5B17425DFD03}"/>
    <cellStyle name="Normal 14 5" xfId="2019" xr:uid="{00000000-0005-0000-0000-0000790E0000}"/>
    <cellStyle name="Normal 14 5 2" xfId="4248" xr:uid="{00000000-0005-0000-0000-00007A0E0000}"/>
    <cellStyle name="Normal 14 5 2 2" xfId="8471" xr:uid="{00000000-0005-0000-0000-00007B0E0000}"/>
    <cellStyle name="Normal 14 5 2 2 2" xfId="16910" xr:uid="{483814E1-75A4-41B6-8E29-1C96BBA3F411}"/>
    <cellStyle name="Normal 14 5 2 3" xfId="12692" xr:uid="{68596BF1-4B13-4F53-9A86-DB2E60B7AFD6}"/>
    <cellStyle name="Normal 14 5 3" xfId="6326" xr:uid="{00000000-0005-0000-0000-00007C0E0000}"/>
    <cellStyle name="Normal 14 5 3 2" xfId="14765" xr:uid="{3A9B1D86-1BCC-49BC-B7E0-3F22F608DDB2}"/>
    <cellStyle name="Normal 14 5 4" xfId="10547" xr:uid="{71359FC5-DC7D-4AB3-BFCB-132493F24EBD}"/>
    <cellStyle name="Normal 14 6" xfId="2455" xr:uid="{00000000-0005-0000-0000-00007D0E0000}"/>
    <cellStyle name="Normal 14 6 2" xfId="6739" xr:uid="{00000000-0005-0000-0000-00007E0E0000}"/>
    <cellStyle name="Normal 14 6 2 2" xfId="15178" xr:uid="{0562213E-1093-422E-85C5-3CA9FCA218DD}"/>
    <cellStyle name="Normal 14 6 3" xfId="10960" xr:uid="{D814FA89-2BC6-4822-9F1C-4159411E4A3C}"/>
    <cellStyle name="Normal 14 7" xfId="4673" xr:uid="{00000000-0005-0000-0000-00007F0E0000}"/>
    <cellStyle name="Normal 14 7 2" xfId="13112" xr:uid="{D6E9F775-7366-498F-ACC1-EA09DC4AA476}"/>
    <cellStyle name="Normal 14 8" xfId="8894" xr:uid="{9354831F-38A6-479F-823B-DC918D8CA0E5}"/>
    <cellStyle name="Normal 15" xfId="4496" xr:uid="{00000000-0005-0000-0000-0000800E0000}"/>
    <cellStyle name="Normal 15 2" xfId="12938" xr:uid="{6A89F9FB-48CB-437D-A520-3671AE4CEF76}"/>
    <cellStyle name="Normal 16" xfId="4500" xr:uid="{00000000-0005-0000-0000-0000810E0000}"/>
    <cellStyle name="Normal 16 2" xfId="8716" xr:uid="{00000000-0005-0000-0000-0000820E0000}"/>
    <cellStyle name="Normal 16 2 2" xfId="17155" xr:uid="{91DD9FAB-BAD5-46A0-80F5-4359DFD761D5}"/>
    <cellStyle name="Normal 16 3" xfId="8719" xr:uid="{3DE1BEEB-61FA-4094-B10F-9E0444F68763}"/>
    <cellStyle name="Normal 16 3 2" xfId="8723" xr:uid="{FE0BC069-4698-40B2-814D-8E09719245E9}"/>
    <cellStyle name="Normal 16 3 2 2" xfId="17161" xr:uid="{B557CEF0-391E-4054-8174-F9E37B98176C}"/>
    <cellStyle name="Normal 16 3 3" xfId="17158" xr:uid="{E73DB1E8-FB53-4F03-A877-C599EE832802}"/>
    <cellStyle name="Normal 16 4" xfId="12941" xr:uid="{080FB16F-AAA7-4035-B230-0C2A1DEBCF40}"/>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2 2 2" xfId="16911" xr:uid="{862931B9-A4B1-4469-8228-E0E0B15B8DF4}"/>
    <cellStyle name="Normal 2 4 2 10 2 3" xfId="12693" xr:uid="{61F42C17-9EF2-4650-B35F-D610B9C8BAD7}"/>
    <cellStyle name="Normal 2 4 2 10 3" xfId="6327" xr:uid="{00000000-0005-0000-0000-0000910E0000}"/>
    <cellStyle name="Normal 2 4 2 10 3 2" xfId="14766" xr:uid="{F67922C1-F363-4883-A864-D26F4E24DA4D}"/>
    <cellStyle name="Normal 2 4 2 10 4" xfId="10548" xr:uid="{418B29F1-1FB8-4AC1-91E0-D007A980EE5F}"/>
    <cellStyle name="Normal 2 4 2 11" xfId="2456" xr:uid="{00000000-0005-0000-0000-0000920E0000}"/>
    <cellStyle name="Normal 2 4 2 11 2" xfId="6740" xr:uid="{00000000-0005-0000-0000-0000930E0000}"/>
    <cellStyle name="Normal 2 4 2 11 2 2" xfId="15179" xr:uid="{7459A38A-2BE2-4104-A8B7-FEC750FFA9A4}"/>
    <cellStyle name="Normal 2 4 2 11 3" xfId="10961" xr:uid="{6EBB0CCC-BB5E-4992-ACCA-FC1C794B7A58}"/>
    <cellStyle name="Normal 2 4 2 12" xfId="4674" xr:uid="{00000000-0005-0000-0000-0000940E0000}"/>
    <cellStyle name="Normal 2 4 2 12 2" xfId="13113" xr:uid="{52AA0677-CD89-4171-BD5B-8BBD98419446}"/>
    <cellStyle name="Normal 2 4 2 13" xfId="8895" xr:uid="{49431474-B016-45F8-90AD-8B09049D56D9}"/>
    <cellStyle name="Normal 2 4 2 2" xfId="280" xr:uid="{00000000-0005-0000-0000-0000950E0000}"/>
    <cellStyle name="Normal 2 4 2 3" xfId="281" xr:uid="{00000000-0005-0000-0000-0000960E0000}"/>
    <cellStyle name="Normal 2 4 2 3 10" xfId="4675" xr:uid="{00000000-0005-0000-0000-0000970E0000}"/>
    <cellStyle name="Normal 2 4 2 3 10 2" xfId="13114" xr:uid="{B1862463-F00A-4AFF-A118-550E717D839C}"/>
    <cellStyle name="Normal 2 4 2 3 11" xfId="8896" xr:uid="{2DAA39D2-AE36-4D04-A08C-A0FA3378D73F}"/>
    <cellStyle name="Normal 2 4 2 3 2" xfId="282" xr:uid="{00000000-0005-0000-0000-0000980E0000}"/>
    <cellStyle name="Normal 2 4 2 3 2 10" xfId="8897" xr:uid="{7F71D1E8-3EB3-4711-AB77-B24F63AD036F}"/>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2 2 2" xfId="15676" xr:uid="{5891E113-6477-4009-8525-E69EB184D313}"/>
    <cellStyle name="Normal 2 4 2 3 2 2 2 2 2 3" xfId="11458" xr:uid="{29D58F0D-D012-4081-B86B-601489A423CC}"/>
    <cellStyle name="Normal 2 4 2 3 2 2 2 2 3" xfId="5092" xr:uid="{00000000-0005-0000-0000-00009E0E0000}"/>
    <cellStyle name="Normal 2 4 2 3 2 2 2 2 3 2" xfId="13531" xr:uid="{C0F2331A-B233-448D-9C3A-67F6F697DA64}"/>
    <cellStyle name="Normal 2 4 2 3 2 2 2 2 4" xfId="9313" xr:uid="{857DF7AE-F188-4A26-95E6-1F634CA000E8}"/>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2 2 2" xfId="16089" xr:uid="{69241AFA-092B-40B8-9113-595AF370ED5E}"/>
    <cellStyle name="Normal 2 4 2 3 2 2 2 3 2 3" xfId="11871" xr:uid="{AFEA86BE-9094-4BA0-B7C2-7FBF244D0A0A}"/>
    <cellStyle name="Normal 2 4 2 3 2 2 2 3 3" xfId="5505" xr:uid="{00000000-0005-0000-0000-0000A20E0000}"/>
    <cellStyle name="Normal 2 4 2 3 2 2 2 3 3 2" xfId="13944" xr:uid="{7AD73359-83F0-4038-944A-E3931DD8C53E}"/>
    <cellStyle name="Normal 2 4 2 3 2 2 2 3 4" xfId="9726" xr:uid="{537CE371-0797-4679-9EE8-3B30D5392E26}"/>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2 2 2" xfId="16502" xr:uid="{ECF3B7E6-B973-46A4-9A02-4C23D2CC02F3}"/>
    <cellStyle name="Normal 2 4 2 3 2 2 2 4 2 3" xfId="12284" xr:uid="{CDF57133-8950-4431-A26F-D494AEB02BE6}"/>
    <cellStyle name="Normal 2 4 2 3 2 2 2 4 3" xfId="5918" xr:uid="{00000000-0005-0000-0000-0000A60E0000}"/>
    <cellStyle name="Normal 2 4 2 3 2 2 2 4 3 2" xfId="14357" xr:uid="{5AA77498-2133-4F18-A697-3AD33949A5D0}"/>
    <cellStyle name="Normal 2 4 2 3 2 2 2 4 4" xfId="10139" xr:uid="{3BEDB877-D358-41A7-B803-89FD39C0D37A}"/>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2 2 2" xfId="16915" xr:uid="{F5C0B088-FD33-477F-94C6-68C6FE763F28}"/>
    <cellStyle name="Normal 2 4 2 3 2 2 2 5 2 3" xfId="12697" xr:uid="{F7872752-B82A-47FA-8973-385921AEBD8D}"/>
    <cellStyle name="Normal 2 4 2 3 2 2 2 5 3" xfId="6331" xr:uid="{00000000-0005-0000-0000-0000AA0E0000}"/>
    <cellStyle name="Normal 2 4 2 3 2 2 2 5 3 2" xfId="14770" xr:uid="{F0BCD6C2-0EE5-434C-B94C-2ACF27F55021}"/>
    <cellStyle name="Normal 2 4 2 3 2 2 2 5 4" xfId="10552" xr:uid="{B8ED97F1-D8C3-42DC-B4D6-5CD62A8C8E3F}"/>
    <cellStyle name="Normal 2 4 2 3 2 2 2 6" xfId="2460" xr:uid="{00000000-0005-0000-0000-0000AB0E0000}"/>
    <cellStyle name="Normal 2 4 2 3 2 2 2 6 2" xfId="6744" xr:uid="{00000000-0005-0000-0000-0000AC0E0000}"/>
    <cellStyle name="Normal 2 4 2 3 2 2 2 6 2 2" xfId="15183" xr:uid="{150455E2-7277-487F-9A2E-82A4ED032455}"/>
    <cellStyle name="Normal 2 4 2 3 2 2 2 6 3" xfId="10965" xr:uid="{A8C85031-9A64-4DC7-8E9D-22288F4FC737}"/>
    <cellStyle name="Normal 2 4 2 3 2 2 2 7" xfId="4678" xr:uid="{00000000-0005-0000-0000-0000AD0E0000}"/>
    <cellStyle name="Normal 2 4 2 3 2 2 2 7 2" xfId="13117" xr:uid="{DCDF26B6-7F33-4E76-8F1B-0F61DF299B8D}"/>
    <cellStyle name="Normal 2 4 2 3 2 2 2 8" xfId="8899" xr:uid="{70B05AE5-6D62-4A02-8AF7-C949F0BE8A4C}"/>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2 2 2" xfId="15675" xr:uid="{7B325C47-AB38-458A-9343-4FBC2FF3B9A0}"/>
    <cellStyle name="Normal 2 4 2 3 2 2 3 2 3" xfId="11457" xr:uid="{A857C5CF-3948-40F4-9EDF-170596E86266}"/>
    <cellStyle name="Normal 2 4 2 3 2 2 3 3" xfId="5091" xr:uid="{00000000-0005-0000-0000-0000B10E0000}"/>
    <cellStyle name="Normal 2 4 2 3 2 2 3 3 2" xfId="13530" xr:uid="{A96AB4F0-1B3D-4275-9BF7-D5BCA904C92F}"/>
    <cellStyle name="Normal 2 4 2 3 2 2 3 4" xfId="9312" xr:uid="{BFE71D33-CC77-44A8-B89C-DDCF9410A68E}"/>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2 2 2" xfId="16088" xr:uid="{A1A41FE5-18B1-4837-8013-25A6C8E7A6F8}"/>
    <cellStyle name="Normal 2 4 2 3 2 2 4 2 3" xfId="11870" xr:uid="{EDB97F23-D334-400C-9F07-15F7CE41CFE4}"/>
    <cellStyle name="Normal 2 4 2 3 2 2 4 3" xfId="5504" xr:uid="{00000000-0005-0000-0000-0000B50E0000}"/>
    <cellStyle name="Normal 2 4 2 3 2 2 4 3 2" xfId="13943" xr:uid="{B3A4D353-8EC0-45C3-951D-728837BBF915}"/>
    <cellStyle name="Normal 2 4 2 3 2 2 4 4" xfId="9725" xr:uid="{ECAF174A-C337-45CD-9DCD-DC178A1E38FD}"/>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2 2 2" xfId="16501" xr:uid="{E72E9E10-D753-4011-A7C9-2BEBD078C87C}"/>
    <cellStyle name="Normal 2 4 2 3 2 2 5 2 3" xfId="12283" xr:uid="{907C78CF-62E7-442F-BD0F-A10D8251BB4F}"/>
    <cellStyle name="Normal 2 4 2 3 2 2 5 3" xfId="5917" xr:uid="{00000000-0005-0000-0000-0000B90E0000}"/>
    <cellStyle name="Normal 2 4 2 3 2 2 5 3 2" xfId="14356" xr:uid="{B8FB361C-9D21-4A4B-A2D4-5A2254D95EE1}"/>
    <cellStyle name="Normal 2 4 2 3 2 2 5 4" xfId="10138" xr:uid="{1582A460-3C3A-4ABF-9228-0402273B4C61}"/>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2 2 2" xfId="16914" xr:uid="{452B5389-6BDD-4A3E-975B-87D4511FF5ED}"/>
    <cellStyle name="Normal 2 4 2 3 2 2 6 2 3" xfId="12696" xr:uid="{8377AAC7-95EB-405F-AAA4-6D0736C5653C}"/>
    <cellStyle name="Normal 2 4 2 3 2 2 6 3" xfId="6330" xr:uid="{00000000-0005-0000-0000-0000BD0E0000}"/>
    <cellStyle name="Normal 2 4 2 3 2 2 6 3 2" xfId="14769" xr:uid="{22D79520-B0CD-42DE-8636-0F461F8E1CC1}"/>
    <cellStyle name="Normal 2 4 2 3 2 2 6 4" xfId="10551" xr:uid="{CBA30388-C41A-40EC-9127-9E85CE4C7877}"/>
    <cellStyle name="Normal 2 4 2 3 2 2 7" xfId="2459" xr:uid="{00000000-0005-0000-0000-0000BE0E0000}"/>
    <cellStyle name="Normal 2 4 2 3 2 2 7 2" xfId="6743" xr:uid="{00000000-0005-0000-0000-0000BF0E0000}"/>
    <cellStyle name="Normal 2 4 2 3 2 2 7 2 2" xfId="15182" xr:uid="{771BA088-D5D1-4E85-83DB-B870043E68E9}"/>
    <cellStyle name="Normal 2 4 2 3 2 2 7 3" xfId="10964" xr:uid="{6119F663-9FEE-438F-A34D-2D8472360B58}"/>
    <cellStyle name="Normal 2 4 2 3 2 2 8" xfId="4677" xr:uid="{00000000-0005-0000-0000-0000C00E0000}"/>
    <cellStyle name="Normal 2 4 2 3 2 2 8 2" xfId="13116" xr:uid="{0C7EE53C-8C34-4D63-83F6-E9361F0CEDDD}"/>
    <cellStyle name="Normal 2 4 2 3 2 2 9" xfId="8898" xr:uid="{4B31C891-0C9B-4F2C-BD7D-B2C12AC3CB63}"/>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2 2 2" xfId="15677" xr:uid="{D0D3E1C1-E78C-48D5-9C62-1584FDE31794}"/>
    <cellStyle name="Normal 2 4 2 3 2 3 2 2 3" xfId="11459" xr:uid="{3FE32F62-5776-4FD9-9DC0-AD8F9ABD787D}"/>
    <cellStyle name="Normal 2 4 2 3 2 3 2 3" xfId="5093" xr:uid="{00000000-0005-0000-0000-0000C50E0000}"/>
    <cellStyle name="Normal 2 4 2 3 2 3 2 3 2" xfId="13532" xr:uid="{EF58FA3D-95F2-4CE7-8919-0A829E5D4E60}"/>
    <cellStyle name="Normal 2 4 2 3 2 3 2 4" xfId="9314" xr:uid="{FA8AFCBE-6016-49E3-ABBB-6454185047CB}"/>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2 2 2" xfId="16090" xr:uid="{2F336F4C-303C-43B7-A51D-1FC63E3B74CC}"/>
    <cellStyle name="Normal 2 4 2 3 2 3 3 2 3" xfId="11872" xr:uid="{1FF328C0-8EE8-4066-A9E9-EC782D764E5B}"/>
    <cellStyle name="Normal 2 4 2 3 2 3 3 3" xfId="5506" xr:uid="{00000000-0005-0000-0000-0000C90E0000}"/>
    <cellStyle name="Normal 2 4 2 3 2 3 3 3 2" xfId="13945" xr:uid="{94DCB71E-37E4-4D75-B2D3-0BB2B79D0292}"/>
    <cellStyle name="Normal 2 4 2 3 2 3 3 4" xfId="9727" xr:uid="{ACCBC924-0E05-4E9C-8B72-E6B152344A06}"/>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2 2 2" xfId="16503" xr:uid="{6A61923B-4B93-40BE-9875-34F337442724}"/>
    <cellStyle name="Normal 2 4 2 3 2 3 4 2 3" xfId="12285" xr:uid="{C3F4540B-2CF2-4075-9098-CC426A7934A8}"/>
    <cellStyle name="Normal 2 4 2 3 2 3 4 3" xfId="5919" xr:uid="{00000000-0005-0000-0000-0000CD0E0000}"/>
    <cellStyle name="Normal 2 4 2 3 2 3 4 3 2" xfId="14358" xr:uid="{2782F8AB-A6ED-4907-B0CA-D00EFAAC749C}"/>
    <cellStyle name="Normal 2 4 2 3 2 3 4 4" xfId="10140" xr:uid="{0EFD28B8-33E4-4FA9-9BB3-02886B98CC4B}"/>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2 2 2" xfId="16916" xr:uid="{17C40C77-6F47-4294-BB64-2F49F4194B67}"/>
    <cellStyle name="Normal 2 4 2 3 2 3 5 2 3" xfId="12698" xr:uid="{1435A58F-C9B5-44E1-B9AC-5B816EC039B3}"/>
    <cellStyle name="Normal 2 4 2 3 2 3 5 3" xfId="6332" xr:uid="{00000000-0005-0000-0000-0000D10E0000}"/>
    <cellStyle name="Normal 2 4 2 3 2 3 5 3 2" xfId="14771" xr:uid="{0EA7EBDC-59D9-43C4-9907-430ACF9644EA}"/>
    <cellStyle name="Normal 2 4 2 3 2 3 5 4" xfId="10553" xr:uid="{C3F31174-84CE-47E8-9BA9-1D655122B1FE}"/>
    <cellStyle name="Normal 2 4 2 3 2 3 6" xfId="2461" xr:uid="{00000000-0005-0000-0000-0000D20E0000}"/>
    <cellStyle name="Normal 2 4 2 3 2 3 6 2" xfId="6745" xr:uid="{00000000-0005-0000-0000-0000D30E0000}"/>
    <cellStyle name="Normal 2 4 2 3 2 3 6 2 2" xfId="15184" xr:uid="{6679833C-7DE8-497F-B235-63EDC1E97E6D}"/>
    <cellStyle name="Normal 2 4 2 3 2 3 6 3" xfId="10966" xr:uid="{C3C312FC-730F-487F-91D2-9047FA7B4CFB}"/>
    <cellStyle name="Normal 2 4 2 3 2 3 7" xfId="4679" xr:uid="{00000000-0005-0000-0000-0000D40E0000}"/>
    <cellStyle name="Normal 2 4 2 3 2 3 7 2" xfId="13118" xr:uid="{C86CBC88-D5AA-4E36-A847-A91FC82D0550}"/>
    <cellStyle name="Normal 2 4 2 3 2 3 8" xfId="8900" xr:uid="{6CC96CA3-6A5D-4682-9A8F-D5893BC956E4}"/>
    <cellStyle name="Normal 2 4 2 3 2 4" xfId="773" xr:uid="{00000000-0005-0000-0000-0000D50E0000}"/>
    <cellStyle name="Normal 2 4 2 3 2 4 2" xfId="3012" xr:uid="{00000000-0005-0000-0000-0000D60E0000}"/>
    <cellStyle name="Normal 2 4 2 3 2 4 2 2" xfId="7235" xr:uid="{00000000-0005-0000-0000-0000D70E0000}"/>
    <cellStyle name="Normal 2 4 2 3 2 4 2 2 2" xfId="15674" xr:uid="{EFBC1A6E-6782-461B-A7CE-74A3AD3B67D3}"/>
    <cellStyle name="Normal 2 4 2 3 2 4 2 3" xfId="11456" xr:uid="{2607CD6F-2BB3-47EA-BE17-30CCEC69BABB}"/>
    <cellStyle name="Normal 2 4 2 3 2 4 3" xfId="5090" xr:uid="{00000000-0005-0000-0000-0000D80E0000}"/>
    <cellStyle name="Normal 2 4 2 3 2 4 3 2" xfId="13529" xr:uid="{3200DD91-436C-434F-A65A-18B5CE97F540}"/>
    <cellStyle name="Normal 2 4 2 3 2 4 4" xfId="9311" xr:uid="{0E4CE159-3D9C-4B9C-9AB8-63D0AFD3F9F5}"/>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2 2 2" xfId="16087" xr:uid="{A96147E3-E806-4DAA-BBD5-89C66F911854}"/>
    <cellStyle name="Normal 2 4 2 3 2 5 2 3" xfId="11869" xr:uid="{D93A1B65-3A2B-499C-B8EA-5A8F454B7EAA}"/>
    <cellStyle name="Normal 2 4 2 3 2 5 3" xfId="5503" xr:uid="{00000000-0005-0000-0000-0000DC0E0000}"/>
    <cellStyle name="Normal 2 4 2 3 2 5 3 2" xfId="13942" xr:uid="{D2667F11-C883-49C9-9CB4-BA1DF7D971A8}"/>
    <cellStyle name="Normal 2 4 2 3 2 5 4" xfId="9724" xr:uid="{898AAC73-93B8-411C-BEEE-F44294F5EF8C}"/>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2 2 2" xfId="16500" xr:uid="{BC113829-037A-423F-8B7C-DDC87844BFAE}"/>
    <cellStyle name="Normal 2 4 2 3 2 6 2 3" xfId="12282" xr:uid="{54EA9D33-8CBE-4F51-819D-7DA4B3C0125B}"/>
    <cellStyle name="Normal 2 4 2 3 2 6 3" xfId="5916" xr:uid="{00000000-0005-0000-0000-0000E00E0000}"/>
    <cellStyle name="Normal 2 4 2 3 2 6 3 2" xfId="14355" xr:uid="{05052499-F188-4C5B-8D30-58836980D5CA}"/>
    <cellStyle name="Normal 2 4 2 3 2 6 4" xfId="10137" xr:uid="{EDBA9F3D-DE94-4C29-BA4D-4E08A803FF32}"/>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2 2 2" xfId="16913" xr:uid="{669C0C5D-58AD-475D-B01D-FC122588DA0E}"/>
    <cellStyle name="Normal 2 4 2 3 2 7 2 3" xfId="12695" xr:uid="{0FE94453-500D-43BD-8ABC-002CF5A4AD7E}"/>
    <cellStyle name="Normal 2 4 2 3 2 7 3" xfId="6329" xr:uid="{00000000-0005-0000-0000-0000E40E0000}"/>
    <cellStyle name="Normal 2 4 2 3 2 7 3 2" xfId="14768" xr:uid="{D986050B-491C-4C87-8E82-A9FE87644E2E}"/>
    <cellStyle name="Normal 2 4 2 3 2 7 4" xfId="10550" xr:uid="{660630FF-D3EC-4FC7-AEC1-3275682AA4AA}"/>
    <cellStyle name="Normal 2 4 2 3 2 8" xfId="2458" xr:uid="{00000000-0005-0000-0000-0000E50E0000}"/>
    <cellStyle name="Normal 2 4 2 3 2 8 2" xfId="6742" xr:uid="{00000000-0005-0000-0000-0000E60E0000}"/>
    <cellStyle name="Normal 2 4 2 3 2 8 2 2" xfId="15181" xr:uid="{B2335F82-0F69-4120-826D-5A6B267CFC8A}"/>
    <cellStyle name="Normal 2 4 2 3 2 8 3" xfId="10963" xr:uid="{98AB932A-532E-491E-A4B5-56E52C4B50B2}"/>
    <cellStyle name="Normal 2 4 2 3 2 9" xfId="4676" xr:uid="{00000000-0005-0000-0000-0000E70E0000}"/>
    <cellStyle name="Normal 2 4 2 3 2 9 2" xfId="13115" xr:uid="{543308FD-E03D-4496-A4E8-3946B4F0D4A8}"/>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2 2 2" xfId="15679" xr:uid="{5F2BE4D2-079B-4ED7-8D06-30CF44F4852D}"/>
    <cellStyle name="Normal 2 4 2 3 3 2 2 2 3" xfId="11461" xr:uid="{129E1B03-7ED0-4355-8707-F6E5BD92C527}"/>
    <cellStyle name="Normal 2 4 2 3 3 2 2 3" xfId="5095" xr:uid="{00000000-0005-0000-0000-0000ED0E0000}"/>
    <cellStyle name="Normal 2 4 2 3 3 2 2 3 2" xfId="13534" xr:uid="{C417CB84-58B2-4AC4-B5CC-DEC75B0CCFAE}"/>
    <cellStyle name="Normal 2 4 2 3 3 2 2 4" xfId="9316" xr:uid="{B6DF7FEF-D5F4-43A9-8191-87E991BBC32A}"/>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2 2 2" xfId="16092" xr:uid="{6AFBBE0D-0F5D-4888-8819-5CA37A8EBEAB}"/>
    <cellStyle name="Normal 2 4 2 3 3 2 3 2 3" xfId="11874" xr:uid="{19C8C8BC-45DA-4D45-AB37-30588FA66CF1}"/>
    <cellStyle name="Normal 2 4 2 3 3 2 3 3" xfId="5508" xr:uid="{00000000-0005-0000-0000-0000F10E0000}"/>
    <cellStyle name="Normal 2 4 2 3 3 2 3 3 2" xfId="13947" xr:uid="{75D7D354-6745-4A19-BA3A-40D81A6D109A}"/>
    <cellStyle name="Normal 2 4 2 3 3 2 3 4" xfId="9729" xr:uid="{48EA4E83-4531-4343-AD5A-72393002D40C}"/>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2 2 2" xfId="16505" xr:uid="{83F27382-38E0-4E06-8E56-6ED243A244BB}"/>
    <cellStyle name="Normal 2 4 2 3 3 2 4 2 3" xfId="12287" xr:uid="{69FADF87-0DB1-484F-8F3F-6DB4A8F4DCD5}"/>
    <cellStyle name="Normal 2 4 2 3 3 2 4 3" xfId="5921" xr:uid="{00000000-0005-0000-0000-0000F50E0000}"/>
    <cellStyle name="Normal 2 4 2 3 3 2 4 3 2" xfId="14360" xr:uid="{9691DEC8-C136-4BDC-9F41-7DBBCEDD13E7}"/>
    <cellStyle name="Normal 2 4 2 3 3 2 4 4" xfId="10142" xr:uid="{E7AF5224-ED6F-488B-BE98-18AED8AAEDDB}"/>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2 2 2" xfId="16918" xr:uid="{8FF60503-CD32-42B4-B168-2BCD03D87B58}"/>
    <cellStyle name="Normal 2 4 2 3 3 2 5 2 3" xfId="12700" xr:uid="{899BDE3D-AD01-4D5E-917A-9A336A81832B}"/>
    <cellStyle name="Normal 2 4 2 3 3 2 5 3" xfId="6334" xr:uid="{00000000-0005-0000-0000-0000F90E0000}"/>
    <cellStyle name="Normal 2 4 2 3 3 2 5 3 2" xfId="14773" xr:uid="{22E5E47B-D3E6-4C13-BC40-E3C3C5C92DD2}"/>
    <cellStyle name="Normal 2 4 2 3 3 2 5 4" xfId="10555" xr:uid="{223C5320-8A7A-4AA6-BED5-130CC38ABCC9}"/>
    <cellStyle name="Normal 2 4 2 3 3 2 6" xfId="2463" xr:uid="{00000000-0005-0000-0000-0000FA0E0000}"/>
    <cellStyle name="Normal 2 4 2 3 3 2 6 2" xfId="6747" xr:uid="{00000000-0005-0000-0000-0000FB0E0000}"/>
    <cellStyle name="Normal 2 4 2 3 3 2 6 2 2" xfId="15186" xr:uid="{66479CE3-2C9E-490B-8AC4-0A5CBCE42BEE}"/>
    <cellStyle name="Normal 2 4 2 3 3 2 6 3" xfId="10968" xr:uid="{DEA3AEFE-C06F-49AD-A6E6-42F8C2C9F3E0}"/>
    <cellStyle name="Normal 2 4 2 3 3 2 7" xfId="4681" xr:uid="{00000000-0005-0000-0000-0000FC0E0000}"/>
    <cellStyle name="Normal 2 4 2 3 3 2 7 2" xfId="13120" xr:uid="{703477A0-A041-4C97-B083-7DCBFF16CA64}"/>
    <cellStyle name="Normal 2 4 2 3 3 2 8" xfId="8902" xr:uid="{0F60B595-4DC4-4786-8CE8-0A63CCCAD0C3}"/>
    <cellStyle name="Normal 2 4 2 3 3 3" xfId="777" xr:uid="{00000000-0005-0000-0000-0000FD0E0000}"/>
    <cellStyle name="Normal 2 4 2 3 3 3 2" xfId="3016" xr:uid="{00000000-0005-0000-0000-0000FE0E0000}"/>
    <cellStyle name="Normal 2 4 2 3 3 3 2 2" xfId="7239" xr:uid="{00000000-0005-0000-0000-0000FF0E0000}"/>
    <cellStyle name="Normal 2 4 2 3 3 3 2 2 2" xfId="15678" xr:uid="{1ADAECA9-A1C4-401A-A86D-F014819AD068}"/>
    <cellStyle name="Normal 2 4 2 3 3 3 2 3" xfId="11460" xr:uid="{6904403E-6A89-48A8-8B91-0935A3218CB6}"/>
    <cellStyle name="Normal 2 4 2 3 3 3 3" xfId="5094" xr:uid="{00000000-0005-0000-0000-0000000F0000}"/>
    <cellStyle name="Normal 2 4 2 3 3 3 3 2" xfId="13533" xr:uid="{BA320E1F-602F-498C-81C8-05333A64A0C7}"/>
    <cellStyle name="Normal 2 4 2 3 3 3 4" xfId="9315" xr:uid="{C748C7C5-649A-4041-9622-7FE7E71D21FC}"/>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2 2 2" xfId="16091" xr:uid="{6B5FCE4B-7036-4A39-9464-FAF8DC29D791}"/>
    <cellStyle name="Normal 2 4 2 3 3 4 2 3" xfId="11873" xr:uid="{8393A34E-8179-49CE-9145-0538412366E1}"/>
    <cellStyle name="Normal 2 4 2 3 3 4 3" xfId="5507" xr:uid="{00000000-0005-0000-0000-0000040F0000}"/>
    <cellStyle name="Normal 2 4 2 3 3 4 3 2" xfId="13946" xr:uid="{7D210F76-8546-49DC-A4A3-CE5BCDF5DD30}"/>
    <cellStyle name="Normal 2 4 2 3 3 4 4" xfId="9728" xr:uid="{37A55E8A-A7C6-4CE3-B973-A0FA968A5CFE}"/>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2 2 2" xfId="16504" xr:uid="{DD88D43A-6D85-4096-8B22-A4EF8DFBC0CB}"/>
    <cellStyle name="Normal 2 4 2 3 3 5 2 3" xfId="12286" xr:uid="{3DFF00BE-10B2-4627-810E-50502D8DA224}"/>
    <cellStyle name="Normal 2 4 2 3 3 5 3" xfId="5920" xr:uid="{00000000-0005-0000-0000-0000080F0000}"/>
    <cellStyle name="Normal 2 4 2 3 3 5 3 2" xfId="14359" xr:uid="{DAD4709E-454A-4C82-8F6B-1CF33034E455}"/>
    <cellStyle name="Normal 2 4 2 3 3 5 4" xfId="10141" xr:uid="{3B76E527-FFFC-44AE-9FF6-4316E6C92EB8}"/>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2 2 2" xfId="16917" xr:uid="{562EF573-7C00-47AE-92A8-DBB7CDB3D0A1}"/>
    <cellStyle name="Normal 2 4 2 3 3 6 2 3" xfId="12699" xr:uid="{B96EEA40-335F-4F98-B6AB-0F3E90C49FE5}"/>
    <cellStyle name="Normal 2 4 2 3 3 6 3" xfId="6333" xr:uid="{00000000-0005-0000-0000-00000C0F0000}"/>
    <cellStyle name="Normal 2 4 2 3 3 6 3 2" xfId="14772" xr:uid="{77E72F39-B986-4077-8AF8-865F35061C25}"/>
    <cellStyle name="Normal 2 4 2 3 3 6 4" xfId="10554" xr:uid="{9240DA8D-0E8F-4106-BAAB-C11154A2DAC2}"/>
    <cellStyle name="Normal 2 4 2 3 3 7" xfId="2462" xr:uid="{00000000-0005-0000-0000-00000D0F0000}"/>
    <cellStyle name="Normal 2 4 2 3 3 7 2" xfId="6746" xr:uid="{00000000-0005-0000-0000-00000E0F0000}"/>
    <cellStyle name="Normal 2 4 2 3 3 7 2 2" xfId="15185" xr:uid="{58A7C5C7-FDE3-4930-A6A9-0DA5F7E65197}"/>
    <cellStyle name="Normal 2 4 2 3 3 7 3" xfId="10967" xr:uid="{D64C71FC-9F8B-4E34-9A01-9E62B890B897}"/>
    <cellStyle name="Normal 2 4 2 3 3 8" xfId="4680" xr:uid="{00000000-0005-0000-0000-00000F0F0000}"/>
    <cellStyle name="Normal 2 4 2 3 3 8 2" xfId="13119" xr:uid="{D7A23FF0-E5AD-4B9F-A1ED-3332FF5182E7}"/>
    <cellStyle name="Normal 2 4 2 3 3 9" xfId="8901" xr:uid="{DB9D11CD-39EE-4698-8673-55F8DD6CE03C}"/>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2 2 2" xfId="15680" xr:uid="{3F2FB3BF-92AA-494E-BBFD-E284F2CD6602}"/>
    <cellStyle name="Normal 2 4 2 3 4 2 2 3" xfId="11462" xr:uid="{46F78982-C551-4B0B-940D-528C1ABDBA8A}"/>
    <cellStyle name="Normal 2 4 2 3 4 2 3" xfId="5096" xr:uid="{00000000-0005-0000-0000-0000140F0000}"/>
    <cellStyle name="Normal 2 4 2 3 4 2 3 2" xfId="13535" xr:uid="{6C3787B1-174C-4399-A775-B7A7AF95BF3F}"/>
    <cellStyle name="Normal 2 4 2 3 4 2 4" xfId="9317" xr:uid="{95BF612C-9E0E-410E-8D75-D1F487081AD8}"/>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2 2 2" xfId="16093" xr:uid="{3DF28060-AECB-4AB2-86CF-23F58E7EFACD}"/>
    <cellStyle name="Normal 2 4 2 3 4 3 2 3" xfId="11875" xr:uid="{AA532020-C55D-4895-AE88-59AD779517C5}"/>
    <cellStyle name="Normal 2 4 2 3 4 3 3" xfId="5509" xr:uid="{00000000-0005-0000-0000-0000180F0000}"/>
    <cellStyle name="Normal 2 4 2 3 4 3 3 2" xfId="13948" xr:uid="{4A7E0511-3ED1-4E13-B202-2FCCD274E8EE}"/>
    <cellStyle name="Normal 2 4 2 3 4 3 4" xfId="9730" xr:uid="{131DC404-A0ED-48EB-9431-BF1F0B287282}"/>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2 2 2" xfId="16506" xr:uid="{8E084A14-DACA-44DE-828E-90F7B16FACEB}"/>
    <cellStyle name="Normal 2 4 2 3 4 4 2 3" xfId="12288" xr:uid="{D9FC7860-F774-414A-AAF7-83BBDD9A2573}"/>
    <cellStyle name="Normal 2 4 2 3 4 4 3" xfId="5922" xr:uid="{00000000-0005-0000-0000-00001C0F0000}"/>
    <cellStyle name="Normal 2 4 2 3 4 4 3 2" xfId="14361" xr:uid="{2336EEB2-47E6-4F2B-AE6F-68B874965DCD}"/>
    <cellStyle name="Normal 2 4 2 3 4 4 4" xfId="10143" xr:uid="{AAFA461F-539F-4ACC-8690-C568A843CE98}"/>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2 2 2" xfId="16919" xr:uid="{BA22543C-DDC1-4681-A683-1F9067254156}"/>
    <cellStyle name="Normal 2 4 2 3 4 5 2 3" xfId="12701" xr:uid="{B9CD531B-DE7B-45CC-B443-150C68A5BA36}"/>
    <cellStyle name="Normal 2 4 2 3 4 5 3" xfId="6335" xr:uid="{00000000-0005-0000-0000-0000200F0000}"/>
    <cellStyle name="Normal 2 4 2 3 4 5 3 2" xfId="14774" xr:uid="{B951415E-4CD5-461B-B057-33E5C2B4C217}"/>
    <cellStyle name="Normal 2 4 2 3 4 5 4" xfId="10556" xr:uid="{EF455A69-744B-4A34-BB45-66A689BFA8E9}"/>
    <cellStyle name="Normal 2 4 2 3 4 6" xfId="2464" xr:uid="{00000000-0005-0000-0000-0000210F0000}"/>
    <cellStyle name="Normal 2 4 2 3 4 6 2" xfId="6748" xr:uid="{00000000-0005-0000-0000-0000220F0000}"/>
    <cellStyle name="Normal 2 4 2 3 4 6 2 2" xfId="15187" xr:uid="{FA7C0C0B-9315-4191-A157-415B7317CB65}"/>
    <cellStyle name="Normal 2 4 2 3 4 6 3" xfId="10969" xr:uid="{B95BBCC3-246A-4C67-92AF-1B95AE599A44}"/>
    <cellStyle name="Normal 2 4 2 3 4 7" xfId="4682" xr:uid="{00000000-0005-0000-0000-0000230F0000}"/>
    <cellStyle name="Normal 2 4 2 3 4 7 2" xfId="13121" xr:uid="{C887221B-CC44-460C-8B75-781B73CCA2D8}"/>
    <cellStyle name="Normal 2 4 2 3 4 8" xfId="8903" xr:uid="{A07B55AA-F455-4D66-A6C3-B3CCF8B1D63B}"/>
    <cellStyle name="Normal 2 4 2 3 5" xfId="772" xr:uid="{00000000-0005-0000-0000-0000240F0000}"/>
    <cellStyle name="Normal 2 4 2 3 5 2" xfId="3011" xr:uid="{00000000-0005-0000-0000-0000250F0000}"/>
    <cellStyle name="Normal 2 4 2 3 5 2 2" xfId="7234" xr:uid="{00000000-0005-0000-0000-0000260F0000}"/>
    <cellStyle name="Normal 2 4 2 3 5 2 2 2" xfId="15673" xr:uid="{96A7A769-5593-4066-B282-F1F594BD140A}"/>
    <cellStyle name="Normal 2 4 2 3 5 2 3" xfId="11455" xr:uid="{BC0726B3-9726-4C72-9206-5B601C4408C4}"/>
    <cellStyle name="Normal 2 4 2 3 5 3" xfId="5089" xr:uid="{00000000-0005-0000-0000-0000270F0000}"/>
    <cellStyle name="Normal 2 4 2 3 5 3 2" xfId="13528" xr:uid="{5ECDF395-BDAE-4861-B527-6668AC38395D}"/>
    <cellStyle name="Normal 2 4 2 3 5 4" xfId="9310" xr:uid="{AB3C978F-B692-4610-BF2B-0191C1310EFB}"/>
    <cellStyle name="Normal 2 4 2 3 6" xfId="1194" xr:uid="{00000000-0005-0000-0000-0000280F0000}"/>
    <cellStyle name="Normal 2 4 2 3 6 2" xfId="3424" xr:uid="{00000000-0005-0000-0000-0000290F0000}"/>
    <cellStyle name="Normal 2 4 2 3 6 2 2" xfId="7647" xr:uid="{00000000-0005-0000-0000-00002A0F0000}"/>
    <cellStyle name="Normal 2 4 2 3 6 2 2 2" xfId="16086" xr:uid="{D7E25B17-510F-4665-A926-63A5DF3D25E8}"/>
    <cellStyle name="Normal 2 4 2 3 6 2 3" xfId="11868" xr:uid="{B253E773-DEA7-40CB-91CE-2A1F467DEA0D}"/>
    <cellStyle name="Normal 2 4 2 3 6 3" xfId="5502" xr:uid="{00000000-0005-0000-0000-00002B0F0000}"/>
    <cellStyle name="Normal 2 4 2 3 6 3 2" xfId="13941" xr:uid="{454888D4-CA0C-41B2-A705-1D4DEBAC10A2}"/>
    <cellStyle name="Normal 2 4 2 3 6 4" xfId="9723" xr:uid="{2EFE5D35-1AA0-45A0-813C-205BC2116639}"/>
    <cellStyle name="Normal 2 4 2 3 7" xfId="1607" xr:uid="{00000000-0005-0000-0000-00002C0F0000}"/>
    <cellStyle name="Normal 2 4 2 3 7 2" xfId="3837" xr:uid="{00000000-0005-0000-0000-00002D0F0000}"/>
    <cellStyle name="Normal 2 4 2 3 7 2 2" xfId="8060" xr:uid="{00000000-0005-0000-0000-00002E0F0000}"/>
    <cellStyle name="Normal 2 4 2 3 7 2 2 2" xfId="16499" xr:uid="{DD1A5D3D-393A-4D85-9210-16E23BF7AD9F}"/>
    <cellStyle name="Normal 2 4 2 3 7 2 3" xfId="12281" xr:uid="{FE313673-2D99-4218-93CB-12174B8A5D8C}"/>
    <cellStyle name="Normal 2 4 2 3 7 3" xfId="5915" xr:uid="{00000000-0005-0000-0000-00002F0F0000}"/>
    <cellStyle name="Normal 2 4 2 3 7 3 2" xfId="14354" xr:uid="{4283A103-5B95-42B9-A3E3-849AE8D421A6}"/>
    <cellStyle name="Normal 2 4 2 3 7 4" xfId="10136" xr:uid="{52A2A4B0-E4CC-4BAA-A9C9-2B071CD89BBD}"/>
    <cellStyle name="Normal 2 4 2 3 8" xfId="2021" xr:uid="{00000000-0005-0000-0000-0000300F0000}"/>
    <cellStyle name="Normal 2 4 2 3 8 2" xfId="4250" xr:uid="{00000000-0005-0000-0000-0000310F0000}"/>
    <cellStyle name="Normal 2 4 2 3 8 2 2" xfId="8473" xr:uid="{00000000-0005-0000-0000-0000320F0000}"/>
    <cellStyle name="Normal 2 4 2 3 8 2 2 2" xfId="16912" xr:uid="{D0964FC3-D179-41B5-8041-7FB27CD2C34B}"/>
    <cellStyle name="Normal 2 4 2 3 8 2 3" xfId="12694" xr:uid="{AE591104-143A-41AB-9330-59B77252AF77}"/>
    <cellStyle name="Normal 2 4 2 3 8 3" xfId="6328" xr:uid="{00000000-0005-0000-0000-0000330F0000}"/>
    <cellStyle name="Normal 2 4 2 3 8 3 2" xfId="14767" xr:uid="{79C7B497-5208-459C-9D02-7AFF9C736998}"/>
    <cellStyle name="Normal 2 4 2 3 8 4" xfId="10549" xr:uid="{B4DB0E03-498E-4BF0-A6E0-4A6B6C36593E}"/>
    <cellStyle name="Normal 2 4 2 3 9" xfId="2457" xr:uid="{00000000-0005-0000-0000-0000340F0000}"/>
    <cellStyle name="Normal 2 4 2 3 9 2" xfId="6741" xr:uid="{00000000-0005-0000-0000-0000350F0000}"/>
    <cellStyle name="Normal 2 4 2 3 9 2 2" xfId="15180" xr:uid="{F305E1ED-9F87-4040-9639-3C12647AD636}"/>
    <cellStyle name="Normal 2 4 2 3 9 3" xfId="10962" xr:uid="{7EDD4193-B032-4A4F-942E-9EEDAF70F186}"/>
    <cellStyle name="Normal 2 4 2 4" xfId="289" xr:uid="{00000000-0005-0000-0000-0000360F0000}"/>
    <cellStyle name="Normal 2 4 2 4 10" xfId="8904" xr:uid="{466297B9-3927-453D-AF83-710928529C2A}"/>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2 2 2" xfId="15683" xr:uid="{3522B5B0-0E11-4842-8FF3-400D73947D98}"/>
    <cellStyle name="Normal 2 4 2 4 2 2 2 2 3" xfId="11465" xr:uid="{9D2AFCC1-F270-4A4E-9B87-427C68C6B858}"/>
    <cellStyle name="Normal 2 4 2 4 2 2 2 3" xfId="5099" xr:uid="{00000000-0005-0000-0000-00003C0F0000}"/>
    <cellStyle name="Normal 2 4 2 4 2 2 2 3 2" xfId="13538" xr:uid="{F8EF4AA2-6049-4822-858E-75AA77645129}"/>
    <cellStyle name="Normal 2 4 2 4 2 2 2 4" xfId="9320" xr:uid="{85015395-38BC-4A01-B229-6FD7506BEBD4}"/>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2 2 2" xfId="16096" xr:uid="{B29020CC-FC90-4AF2-BCB1-CBC7D4D48894}"/>
    <cellStyle name="Normal 2 4 2 4 2 2 3 2 3" xfId="11878" xr:uid="{886FC17D-BEE6-47D4-9E5A-0D9B269F6D76}"/>
    <cellStyle name="Normal 2 4 2 4 2 2 3 3" xfId="5512" xr:uid="{00000000-0005-0000-0000-0000400F0000}"/>
    <cellStyle name="Normal 2 4 2 4 2 2 3 3 2" xfId="13951" xr:uid="{BF312CB6-CD2A-43C7-A9AD-D6D02789246A}"/>
    <cellStyle name="Normal 2 4 2 4 2 2 3 4" xfId="9733" xr:uid="{859713E9-C040-447D-9C92-D8D7850B3E81}"/>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2 2 2" xfId="16509" xr:uid="{C110E646-2D40-464B-93C5-1219F445DA77}"/>
    <cellStyle name="Normal 2 4 2 4 2 2 4 2 3" xfId="12291" xr:uid="{9BAAC3E3-4014-4E13-80A3-9C61A7ED4967}"/>
    <cellStyle name="Normal 2 4 2 4 2 2 4 3" xfId="5925" xr:uid="{00000000-0005-0000-0000-0000440F0000}"/>
    <cellStyle name="Normal 2 4 2 4 2 2 4 3 2" xfId="14364" xr:uid="{7761F272-14CA-43B0-B6F7-171F03841D30}"/>
    <cellStyle name="Normal 2 4 2 4 2 2 4 4" xfId="10146" xr:uid="{FA3BC970-0360-4347-B27A-050D9BF17672}"/>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2 2 2" xfId="16922" xr:uid="{9B25BFA4-7A0A-4F87-B8F0-FE7F6A05C172}"/>
    <cellStyle name="Normal 2 4 2 4 2 2 5 2 3" xfId="12704" xr:uid="{9487D429-B78C-4882-8D95-CC1468436877}"/>
    <cellStyle name="Normal 2 4 2 4 2 2 5 3" xfId="6338" xr:uid="{00000000-0005-0000-0000-0000480F0000}"/>
    <cellStyle name="Normal 2 4 2 4 2 2 5 3 2" xfId="14777" xr:uid="{5388B3BD-1181-4BAB-BAAB-07DB8D88749D}"/>
    <cellStyle name="Normal 2 4 2 4 2 2 5 4" xfId="10559" xr:uid="{DC8D4A64-6F8B-4712-9932-291B7F48CC88}"/>
    <cellStyle name="Normal 2 4 2 4 2 2 6" xfId="2467" xr:uid="{00000000-0005-0000-0000-0000490F0000}"/>
    <cellStyle name="Normal 2 4 2 4 2 2 6 2" xfId="6751" xr:uid="{00000000-0005-0000-0000-00004A0F0000}"/>
    <cellStyle name="Normal 2 4 2 4 2 2 6 2 2" xfId="15190" xr:uid="{93D13194-ECB5-49B0-8F47-C20E4789E152}"/>
    <cellStyle name="Normal 2 4 2 4 2 2 6 3" xfId="10972" xr:uid="{44C0340B-7EC8-4A79-BF20-27E04C233E98}"/>
    <cellStyle name="Normal 2 4 2 4 2 2 7" xfId="4685" xr:uid="{00000000-0005-0000-0000-00004B0F0000}"/>
    <cellStyle name="Normal 2 4 2 4 2 2 7 2" xfId="13124" xr:uid="{C318842A-2D7B-4A25-9E9B-89BAF9AD983E}"/>
    <cellStyle name="Normal 2 4 2 4 2 2 8" xfId="8906" xr:uid="{46ECEFBF-93AA-4377-BD5D-F11876E83645}"/>
    <cellStyle name="Normal 2 4 2 4 2 3" xfId="781" xr:uid="{00000000-0005-0000-0000-00004C0F0000}"/>
    <cellStyle name="Normal 2 4 2 4 2 3 2" xfId="3020" xr:uid="{00000000-0005-0000-0000-00004D0F0000}"/>
    <cellStyle name="Normal 2 4 2 4 2 3 2 2" xfId="7243" xr:uid="{00000000-0005-0000-0000-00004E0F0000}"/>
    <cellStyle name="Normal 2 4 2 4 2 3 2 2 2" xfId="15682" xr:uid="{BF55C768-3ED3-4A2E-97F4-58FAF974075E}"/>
    <cellStyle name="Normal 2 4 2 4 2 3 2 3" xfId="11464" xr:uid="{E140D947-FF2B-40AD-AC73-AFAA60FCD322}"/>
    <cellStyle name="Normal 2 4 2 4 2 3 3" xfId="5098" xr:uid="{00000000-0005-0000-0000-00004F0F0000}"/>
    <cellStyle name="Normal 2 4 2 4 2 3 3 2" xfId="13537" xr:uid="{8F9F2638-21ED-4770-8A1E-245D3F99F913}"/>
    <cellStyle name="Normal 2 4 2 4 2 3 4" xfId="9319" xr:uid="{2E8AE68F-F18F-4651-8220-B22D8FC4DBD9}"/>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2 2 2" xfId="16095" xr:uid="{7F620EBA-E425-4FBB-A014-D52183F6EA09}"/>
    <cellStyle name="Normal 2 4 2 4 2 4 2 3" xfId="11877" xr:uid="{11135EA1-A598-4BF6-800F-7C1A265AD1AC}"/>
    <cellStyle name="Normal 2 4 2 4 2 4 3" xfId="5511" xr:uid="{00000000-0005-0000-0000-0000530F0000}"/>
    <cellStyle name="Normal 2 4 2 4 2 4 3 2" xfId="13950" xr:uid="{0FB307A8-2A1B-4476-8AF4-3472F3C23AB3}"/>
    <cellStyle name="Normal 2 4 2 4 2 4 4" xfId="9732" xr:uid="{48230670-6F83-45CD-B6EE-B857D1D0CA73}"/>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2 2 2" xfId="16508" xr:uid="{EC5FD99E-8FAE-446E-A7B0-A53652248E81}"/>
    <cellStyle name="Normal 2 4 2 4 2 5 2 3" xfId="12290" xr:uid="{DD609841-1551-4768-AD8E-E469F59AFA7F}"/>
    <cellStyle name="Normal 2 4 2 4 2 5 3" xfId="5924" xr:uid="{00000000-0005-0000-0000-0000570F0000}"/>
    <cellStyle name="Normal 2 4 2 4 2 5 3 2" xfId="14363" xr:uid="{5F4DDE63-33CC-48AC-86E9-A104C5A2D4CC}"/>
    <cellStyle name="Normal 2 4 2 4 2 5 4" xfId="10145" xr:uid="{B059DA33-BE1D-4DF2-80AC-78FC22BAE3E2}"/>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2 2 2" xfId="16921" xr:uid="{7D396CFB-68FE-4FF3-9161-BE293007BD78}"/>
    <cellStyle name="Normal 2 4 2 4 2 6 2 3" xfId="12703" xr:uid="{DC7BA138-8E7C-410B-9358-537AED74CB5F}"/>
    <cellStyle name="Normal 2 4 2 4 2 6 3" xfId="6337" xr:uid="{00000000-0005-0000-0000-00005B0F0000}"/>
    <cellStyle name="Normal 2 4 2 4 2 6 3 2" xfId="14776" xr:uid="{9EB838DE-F7BA-4075-8766-64D0C4E7C3D3}"/>
    <cellStyle name="Normal 2 4 2 4 2 6 4" xfId="10558" xr:uid="{9267FA25-9731-46FF-9A24-0334770BEB9E}"/>
    <cellStyle name="Normal 2 4 2 4 2 7" xfId="2466" xr:uid="{00000000-0005-0000-0000-00005C0F0000}"/>
    <cellStyle name="Normal 2 4 2 4 2 7 2" xfId="6750" xr:uid="{00000000-0005-0000-0000-00005D0F0000}"/>
    <cellStyle name="Normal 2 4 2 4 2 7 2 2" xfId="15189" xr:uid="{620AFD9B-2AF0-45FA-AAF3-1F02521C3382}"/>
    <cellStyle name="Normal 2 4 2 4 2 7 3" xfId="10971" xr:uid="{94AF1D22-D0B1-4A17-B309-0C7DF7087381}"/>
    <cellStyle name="Normal 2 4 2 4 2 8" xfId="4684" xr:uid="{00000000-0005-0000-0000-00005E0F0000}"/>
    <cellStyle name="Normal 2 4 2 4 2 8 2" xfId="13123" xr:uid="{078F700D-3F44-4550-81D7-3C8CA2A82632}"/>
    <cellStyle name="Normal 2 4 2 4 2 9" xfId="8905" xr:uid="{84EA0F39-DA17-48B2-AB04-3F95DA79B63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2 2 2" xfId="15684" xr:uid="{37E38C58-D57E-4BE0-9257-07E520C00FFF}"/>
    <cellStyle name="Normal 2 4 2 4 3 2 2 3" xfId="11466" xr:uid="{0E006B7F-C01E-4601-817E-5C3C6127E238}"/>
    <cellStyle name="Normal 2 4 2 4 3 2 3" xfId="5100" xr:uid="{00000000-0005-0000-0000-0000630F0000}"/>
    <cellStyle name="Normal 2 4 2 4 3 2 3 2" xfId="13539" xr:uid="{B4B53967-89C3-452B-8CC1-1FF8EA5640A6}"/>
    <cellStyle name="Normal 2 4 2 4 3 2 4" xfId="9321" xr:uid="{E9A48442-AB8A-4975-AF19-7434AFE29A81}"/>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2 2 2" xfId="16097" xr:uid="{230BABFA-B301-4AC1-A42B-D9EBA0995543}"/>
    <cellStyle name="Normal 2 4 2 4 3 3 2 3" xfId="11879" xr:uid="{B4F01752-8338-47A4-86C9-7F2EC65AF472}"/>
    <cellStyle name="Normal 2 4 2 4 3 3 3" xfId="5513" xr:uid="{00000000-0005-0000-0000-0000670F0000}"/>
    <cellStyle name="Normal 2 4 2 4 3 3 3 2" xfId="13952" xr:uid="{434A26C1-755E-4C1C-86ED-E8F758CAA638}"/>
    <cellStyle name="Normal 2 4 2 4 3 3 4" xfId="9734" xr:uid="{B07A38E1-9428-4D3D-AF9A-089A220C518F}"/>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2 2 2" xfId="16510" xr:uid="{7766BB21-2045-4727-8CE8-3D71F6B11E9D}"/>
    <cellStyle name="Normal 2 4 2 4 3 4 2 3" xfId="12292" xr:uid="{41E94CF7-6AD9-4149-BD7A-EDE22C13F557}"/>
    <cellStyle name="Normal 2 4 2 4 3 4 3" xfId="5926" xr:uid="{00000000-0005-0000-0000-00006B0F0000}"/>
    <cellStyle name="Normal 2 4 2 4 3 4 3 2" xfId="14365" xr:uid="{4813B9C6-8BEA-46EF-8ECE-30302480CE36}"/>
    <cellStyle name="Normal 2 4 2 4 3 4 4" xfId="10147" xr:uid="{9E14D523-7A5A-477B-87BA-3904B103C717}"/>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2 2 2" xfId="16923" xr:uid="{56E597B9-CCAF-4AD4-892C-F5F5F917B4CB}"/>
    <cellStyle name="Normal 2 4 2 4 3 5 2 3" xfId="12705" xr:uid="{3AF29C7D-B995-4F88-8E5C-985F3A1EA775}"/>
    <cellStyle name="Normal 2 4 2 4 3 5 3" xfId="6339" xr:uid="{00000000-0005-0000-0000-00006F0F0000}"/>
    <cellStyle name="Normal 2 4 2 4 3 5 3 2" xfId="14778" xr:uid="{15ED5E58-8C73-429D-809E-8F490D046F8C}"/>
    <cellStyle name="Normal 2 4 2 4 3 5 4" xfId="10560" xr:uid="{E9B05773-5FE7-4ABA-94CF-52C48798A9E6}"/>
    <cellStyle name="Normal 2 4 2 4 3 6" xfId="2468" xr:uid="{00000000-0005-0000-0000-0000700F0000}"/>
    <cellStyle name="Normal 2 4 2 4 3 6 2" xfId="6752" xr:uid="{00000000-0005-0000-0000-0000710F0000}"/>
    <cellStyle name="Normal 2 4 2 4 3 6 2 2" xfId="15191" xr:uid="{90BB7E96-23E5-4E4F-A991-07E4723344B7}"/>
    <cellStyle name="Normal 2 4 2 4 3 6 3" xfId="10973" xr:uid="{34F2DBE1-7DBE-41DD-BE06-6F77DEC849F8}"/>
    <cellStyle name="Normal 2 4 2 4 3 7" xfId="4686" xr:uid="{00000000-0005-0000-0000-0000720F0000}"/>
    <cellStyle name="Normal 2 4 2 4 3 7 2" xfId="13125" xr:uid="{C8216281-0077-4763-8406-032F58BED824}"/>
    <cellStyle name="Normal 2 4 2 4 3 8" xfId="8907" xr:uid="{4292CAA3-9CAB-4191-B0FA-788DF50CDDFB}"/>
    <cellStyle name="Normal 2 4 2 4 4" xfId="780" xr:uid="{00000000-0005-0000-0000-0000730F0000}"/>
    <cellStyle name="Normal 2 4 2 4 4 2" xfId="3019" xr:uid="{00000000-0005-0000-0000-0000740F0000}"/>
    <cellStyle name="Normal 2 4 2 4 4 2 2" xfId="7242" xr:uid="{00000000-0005-0000-0000-0000750F0000}"/>
    <cellStyle name="Normal 2 4 2 4 4 2 2 2" xfId="15681" xr:uid="{0F1222CC-7EF6-421A-8FE3-73A3D76ADBA9}"/>
    <cellStyle name="Normal 2 4 2 4 4 2 3" xfId="11463" xr:uid="{11E67619-D566-44FB-8530-6218C0C03D5C}"/>
    <cellStyle name="Normal 2 4 2 4 4 3" xfId="5097" xr:uid="{00000000-0005-0000-0000-0000760F0000}"/>
    <cellStyle name="Normal 2 4 2 4 4 3 2" xfId="13536" xr:uid="{90C8881F-806C-4FC5-BCA0-E57237E98E1D}"/>
    <cellStyle name="Normal 2 4 2 4 4 4" xfId="9318" xr:uid="{7145D2E2-C0EE-4E0B-B22F-DDD78307FB32}"/>
    <cellStyle name="Normal 2 4 2 4 5" xfId="1202" xr:uid="{00000000-0005-0000-0000-0000770F0000}"/>
    <cellStyle name="Normal 2 4 2 4 5 2" xfId="3432" xr:uid="{00000000-0005-0000-0000-0000780F0000}"/>
    <cellStyle name="Normal 2 4 2 4 5 2 2" xfId="7655" xr:uid="{00000000-0005-0000-0000-0000790F0000}"/>
    <cellStyle name="Normal 2 4 2 4 5 2 2 2" xfId="16094" xr:uid="{7BCDB357-AD17-44BA-BD01-CE80999BD488}"/>
    <cellStyle name="Normal 2 4 2 4 5 2 3" xfId="11876" xr:uid="{E32DAA55-5672-42AC-9EDF-CBFC3AB7AE61}"/>
    <cellStyle name="Normal 2 4 2 4 5 3" xfId="5510" xr:uid="{00000000-0005-0000-0000-00007A0F0000}"/>
    <cellStyle name="Normal 2 4 2 4 5 3 2" xfId="13949" xr:uid="{2C221E4A-ED44-40F6-AAC2-FF79F043764C}"/>
    <cellStyle name="Normal 2 4 2 4 5 4" xfId="9731" xr:uid="{0C3F1392-942D-49F5-9A63-D37A50F11E72}"/>
    <cellStyle name="Normal 2 4 2 4 6" xfId="1615" xr:uid="{00000000-0005-0000-0000-00007B0F0000}"/>
    <cellStyle name="Normal 2 4 2 4 6 2" xfId="3845" xr:uid="{00000000-0005-0000-0000-00007C0F0000}"/>
    <cellStyle name="Normal 2 4 2 4 6 2 2" xfId="8068" xr:uid="{00000000-0005-0000-0000-00007D0F0000}"/>
    <cellStyle name="Normal 2 4 2 4 6 2 2 2" xfId="16507" xr:uid="{767FB893-967C-4FF0-8E0B-7A09875B1B26}"/>
    <cellStyle name="Normal 2 4 2 4 6 2 3" xfId="12289" xr:uid="{A79089B6-7D6D-44E2-8760-D194A346E960}"/>
    <cellStyle name="Normal 2 4 2 4 6 3" xfId="5923" xr:uid="{00000000-0005-0000-0000-00007E0F0000}"/>
    <cellStyle name="Normal 2 4 2 4 6 3 2" xfId="14362" xr:uid="{F9EDE142-A907-42D1-B90B-C2FB7CF41775}"/>
    <cellStyle name="Normal 2 4 2 4 6 4" xfId="10144" xr:uid="{797F013F-F0A1-4E6B-AB3D-A5F8FADCF418}"/>
    <cellStyle name="Normal 2 4 2 4 7" xfId="2029" xr:uid="{00000000-0005-0000-0000-00007F0F0000}"/>
    <cellStyle name="Normal 2 4 2 4 7 2" xfId="4258" xr:uid="{00000000-0005-0000-0000-0000800F0000}"/>
    <cellStyle name="Normal 2 4 2 4 7 2 2" xfId="8481" xr:uid="{00000000-0005-0000-0000-0000810F0000}"/>
    <cellStyle name="Normal 2 4 2 4 7 2 2 2" xfId="16920" xr:uid="{305DE7A4-65AD-4300-8B82-D77A275F57B5}"/>
    <cellStyle name="Normal 2 4 2 4 7 2 3" xfId="12702" xr:uid="{37AFC510-276F-46EE-9340-96134C97F192}"/>
    <cellStyle name="Normal 2 4 2 4 7 3" xfId="6336" xr:uid="{00000000-0005-0000-0000-0000820F0000}"/>
    <cellStyle name="Normal 2 4 2 4 7 3 2" xfId="14775" xr:uid="{58957091-1C74-4C9F-8D3D-1552667DEBE5}"/>
    <cellStyle name="Normal 2 4 2 4 7 4" xfId="10557" xr:uid="{8F53CE94-00A7-4C04-8F52-9EC06D6BCCC3}"/>
    <cellStyle name="Normal 2 4 2 4 8" xfId="2465" xr:uid="{00000000-0005-0000-0000-0000830F0000}"/>
    <cellStyle name="Normal 2 4 2 4 8 2" xfId="6749" xr:uid="{00000000-0005-0000-0000-0000840F0000}"/>
    <cellStyle name="Normal 2 4 2 4 8 2 2" xfId="15188" xr:uid="{8B8D4AE0-824E-40BC-89B1-3F55414702B9}"/>
    <cellStyle name="Normal 2 4 2 4 8 3" xfId="10970" xr:uid="{C8D30A73-E99A-455A-9CF2-894537EBB0E3}"/>
    <cellStyle name="Normal 2 4 2 4 9" xfId="4683" xr:uid="{00000000-0005-0000-0000-0000850F0000}"/>
    <cellStyle name="Normal 2 4 2 4 9 2" xfId="13122" xr:uid="{CEB18955-3C66-4F6D-BAB6-BE1C164E228E}"/>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2 2 2" xfId="15686" xr:uid="{30F4EC25-79D3-4BB5-896E-0A946E1047A1}"/>
    <cellStyle name="Normal 2 4 2 5 2 2 2 3" xfId="11468" xr:uid="{F21E66BF-8343-4F6F-9A3B-787C89FE267C}"/>
    <cellStyle name="Normal 2 4 2 5 2 2 3" xfId="5102" xr:uid="{00000000-0005-0000-0000-00008B0F0000}"/>
    <cellStyle name="Normal 2 4 2 5 2 2 3 2" xfId="13541" xr:uid="{D419FCEB-D3D3-4265-B40E-AF6A4D98A065}"/>
    <cellStyle name="Normal 2 4 2 5 2 2 4" xfId="9323" xr:uid="{D08A697F-6669-4D3B-B780-EC7E1E679E62}"/>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2 2 2" xfId="16099" xr:uid="{2DA77867-A7A9-4662-A54B-12B4D9E32ED6}"/>
    <cellStyle name="Normal 2 4 2 5 2 3 2 3" xfId="11881" xr:uid="{7BC624D9-93C4-4DF1-92E3-7FE372ACDF8C}"/>
    <cellStyle name="Normal 2 4 2 5 2 3 3" xfId="5515" xr:uid="{00000000-0005-0000-0000-00008F0F0000}"/>
    <cellStyle name="Normal 2 4 2 5 2 3 3 2" xfId="13954" xr:uid="{8EA52598-210C-4826-8282-588B120E7F77}"/>
    <cellStyle name="Normal 2 4 2 5 2 3 4" xfId="9736" xr:uid="{FF73C7F5-7408-49AD-9210-D3725CB33BC6}"/>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2 2 2" xfId="16512" xr:uid="{8C34339C-1CF6-45AB-9E47-FB103F233C54}"/>
    <cellStyle name="Normal 2 4 2 5 2 4 2 3" xfId="12294" xr:uid="{BBD469AA-FB7A-4A8B-9387-8BFD0EEB3793}"/>
    <cellStyle name="Normal 2 4 2 5 2 4 3" xfId="5928" xr:uid="{00000000-0005-0000-0000-0000930F0000}"/>
    <cellStyle name="Normal 2 4 2 5 2 4 3 2" xfId="14367" xr:uid="{16F25328-0C4C-4131-8E1E-51488B19D8D6}"/>
    <cellStyle name="Normal 2 4 2 5 2 4 4" xfId="10149" xr:uid="{A0CA24E6-6239-4879-A406-DFB41E03C405}"/>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2 2 2" xfId="16925" xr:uid="{580328B2-6DBD-44D0-AFE2-9CBD267A088D}"/>
    <cellStyle name="Normal 2 4 2 5 2 5 2 3" xfId="12707" xr:uid="{BDB0C4FF-E3A6-49C6-A7ED-D8E878B6A73A}"/>
    <cellStyle name="Normal 2 4 2 5 2 5 3" xfId="6341" xr:uid="{00000000-0005-0000-0000-0000970F0000}"/>
    <cellStyle name="Normal 2 4 2 5 2 5 3 2" xfId="14780" xr:uid="{2D88FE13-E910-4F98-967C-2D03BAAD93FB}"/>
    <cellStyle name="Normal 2 4 2 5 2 5 4" xfId="10562" xr:uid="{7EF8501B-8734-4A71-8202-010AD4410B38}"/>
    <cellStyle name="Normal 2 4 2 5 2 6" xfId="2470" xr:uid="{00000000-0005-0000-0000-0000980F0000}"/>
    <cellStyle name="Normal 2 4 2 5 2 6 2" xfId="6754" xr:uid="{00000000-0005-0000-0000-0000990F0000}"/>
    <cellStyle name="Normal 2 4 2 5 2 6 2 2" xfId="15193" xr:uid="{E1403BAF-EED1-4205-B62C-1E70389CD55F}"/>
    <cellStyle name="Normal 2 4 2 5 2 6 3" xfId="10975" xr:uid="{9CC268CB-8DA7-4950-90F3-C7503CB87D5A}"/>
    <cellStyle name="Normal 2 4 2 5 2 7" xfId="4688" xr:uid="{00000000-0005-0000-0000-00009A0F0000}"/>
    <cellStyle name="Normal 2 4 2 5 2 7 2" xfId="13127" xr:uid="{54E265CC-250E-412B-8482-3B15CA682C0A}"/>
    <cellStyle name="Normal 2 4 2 5 2 8" xfId="8909" xr:uid="{72CA62D5-8D9C-4EE9-9F3B-74FFAE346597}"/>
    <cellStyle name="Normal 2 4 2 5 3" xfId="784" xr:uid="{00000000-0005-0000-0000-00009B0F0000}"/>
    <cellStyle name="Normal 2 4 2 5 3 2" xfId="3023" xr:uid="{00000000-0005-0000-0000-00009C0F0000}"/>
    <cellStyle name="Normal 2 4 2 5 3 2 2" xfId="7246" xr:uid="{00000000-0005-0000-0000-00009D0F0000}"/>
    <cellStyle name="Normal 2 4 2 5 3 2 2 2" xfId="15685" xr:uid="{499122DB-ABF2-4573-A1F4-462EBD7DB90F}"/>
    <cellStyle name="Normal 2 4 2 5 3 2 3" xfId="11467" xr:uid="{CE15D82C-82E5-460A-A703-EA0FF2249ACC}"/>
    <cellStyle name="Normal 2 4 2 5 3 3" xfId="5101" xr:uid="{00000000-0005-0000-0000-00009E0F0000}"/>
    <cellStyle name="Normal 2 4 2 5 3 3 2" xfId="13540" xr:uid="{B2EA21C8-5AE4-42DA-A64F-C4A054DDADA8}"/>
    <cellStyle name="Normal 2 4 2 5 3 4" xfId="9322" xr:uid="{A099BF40-DA03-4FA1-A6DB-A35C92914478}"/>
    <cellStyle name="Normal 2 4 2 5 4" xfId="1206" xr:uid="{00000000-0005-0000-0000-00009F0F0000}"/>
    <cellStyle name="Normal 2 4 2 5 4 2" xfId="3436" xr:uid="{00000000-0005-0000-0000-0000A00F0000}"/>
    <cellStyle name="Normal 2 4 2 5 4 2 2" xfId="7659" xr:uid="{00000000-0005-0000-0000-0000A10F0000}"/>
    <cellStyle name="Normal 2 4 2 5 4 2 2 2" xfId="16098" xr:uid="{0A54BCA5-99CD-4D5C-8A40-32C47DE87269}"/>
    <cellStyle name="Normal 2 4 2 5 4 2 3" xfId="11880" xr:uid="{F23E1523-31D1-498C-9BA1-A267219CBBB1}"/>
    <cellStyle name="Normal 2 4 2 5 4 3" xfId="5514" xr:uid="{00000000-0005-0000-0000-0000A20F0000}"/>
    <cellStyle name="Normal 2 4 2 5 4 3 2" xfId="13953" xr:uid="{46B15E5D-1494-4636-9808-D6E1370B95BE}"/>
    <cellStyle name="Normal 2 4 2 5 4 4" xfId="9735" xr:uid="{D595BAB9-53B0-4B89-B6AA-A2E90DEC6AB6}"/>
    <cellStyle name="Normal 2 4 2 5 5" xfId="1619" xr:uid="{00000000-0005-0000-0000-0000A30F0000}"/>
    <cellStyle name="Normal 2 4 2 5 5 2" xfId="3849" xr:uid="{00000000-0005-0000-0000-0000A40F0000}"/>
    <cellStyle name="Normal 2 4 2 5 5 2 2" xfId="8072" xr:uid="{00000000-0005-0000-0000-0000A50F0000}"/>
    <cellStyle name="Normal 2 4 2 5 5 2 2 2" xfId="16511" xr:uid="{66F19D07-7D24-463F-A9FC-F33230F0974B}"/>
    <cellStyle name="Normal 2 4 2 5 5 2 3" xfId="12293" xr:uid="{7B46EAF7-CA5B-4AC1-86BC-DBEB6324EA7B}"/>
    <cellStyle name="Normal 2 4 2 5 5 3" xfId="5927" xr:uid="{00000000-0005-0000-0000-0000A60F0000}"/>
    <cellStyle name="Normal 2 4 2 5 5 3 2" xfId="14366" xr:uid="{1D4A7F64-FAF7-40B3-9E7F-303E8EBAF8D3}"/>
    <cellStyle name="Normal 2 4 2 5 5 4" xfId="10148" xr:uid="{4B066EAD-1D15-4A06-966E-512A4AF08F31}"/>
    <cellStyle name="Normal 2 4 2 5 6" xfId="2033" xr:uid="{00000000-0005-0000-0000-0000A70F0000}"/>
    <cellStyle name="Normal 2 4 2 5 6 2" xfId="4262" xr:uid="{00000000-0005-0000-0000-0000A80F0000}"/>
    <cellStyle name="Normal 2 4 2 5 6 2 2" xfId="8485" xr:uid="{00000000-0005-0000-0000-0000A90F0000}"/>
    <cellStyle name="Normal 2 4 2 5 6 2 2 2" xfId="16924" xr:uid="{92B095BB-CE8F-4597-92B1-240A600EF2FF}"/>
    <cellStyle name="Normal 2 4 2 5 6 2 3" xfId="12706" xr:uid="{F89FEB53-5C38-4B64-87ED-777D2337A6E6}"/>
    <cellStyle name="Normal 2 4 2 5 6 3" xfId="6340" xr:uid="{00000000-0005-0000-0000-0000AA0F0000}"/>
    <cellStyle name="Normal 2 4 2 5 6 3 2" xfId="14779" xr:uid="{192FC1BA-727C-4ECB-AD34-F407E7E36D52}"/>
    <cellStyle name="Normal 2 4 2 5 6 4" xfId="10561" xr:uid="{C1A2199B-578F-4587-A1A6-388CCFEFEB60}"/>
    <cellStyle name="Normal 2 4 2 5 7" xfId="2469" xr:uid="{00000000-0005-0000-0000-0000AB0F0000}"/>
    <cellStyle name="Normal 2 4 2 5 7 2" xfId="6753" xr:uid="{00000000-0005-0000-0000-0000AC0F0000}"/>
    <cellStyle name="Normal 2 4 2 5 7 2 2" xfId="15192" xr:uid="{EC880A35-051F-405E-B079-7A0BFF37F1BE}"/>
    <cellStyle name="Normal 2 4 2 5 7 3" xfId="10974" xr:uid="{E723C998-ADB3-4EB2-8305-65106B08D857}"/>
    <cellStyle name="Normal 2 4 2 5 8" xfId="4687" xr:uid="{00000000-0005-0000-0000-0000AD0F0000}"/>
    <cellStyle name="Normal 2 4 2 5 8 2" xfId="13126" xr:uid="{856AEE3A-DE3C-46CB-B44C-0ED3E705FF58}"/>
    <cellStyle name="Normal 2 4 2 5 9" xfId="8908" xr:uid="{5CFB42F7-7D77-4BA9-AEF9-2F523B25176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2 2 2" xfId="15687" xr:uid="{BCA69144-455E-4A54-9D83-6EE640C76223}"/>
    <cellStyle name="Normal 2 4 2 6 2 2 3" xfId="11469" xr:uid="{447BEB49-4465-4D23-908E-28B6A27BD633}"/>
    <cellStyle name="Normal 2 4 2 6 2 3" xfId="5103" xr:uid="{00000000-0005-0000-0000-0000B20F0000}"/>
    <cellStyle name="Normal 2 4 2 6 2 3 2" xfId="13542" xr:uid="{9D8FA6D8-5B80-4EBB-8B23-4D4F65375A47}"/>
    <cellStyle name="Normal 2 4 2 6 2 4" xfId="9324" xr:uid="{B6A13138-1945-4CFF-9A3A-7CF1F838364E}"/>
    <cellStyle name="Normal 2 4 2 6 3" xfId="1208" xr:uid="{00000000-0005-0000-0000-0000B30F0000}"/>
    <cellStyle name="Normal 2 4 2 6 3 2" xfId="3438" xr:uid="{00000000-0005-0000-0000-0000B40F0000}"/>
    <cellStyle name="Normal 2 4 2 6 3 2 2" xfId="7661" xr:uid="{00000000-0005-0000-0000-0000B50F0000}"/>
    <cellStyle name="Normal 2 4 2 6 3 2 2 2" xfId="16100" xr:uid="{48157EDE-652D-43F1-A048-2365B2D2EBFB}"/>
    <cellStyle name="Normal 2 4 2 6 3 2 3" xfId="11882" xr:uid="{E1F3BB61-BB65-49E1-9AB3-705C75E870C4}"/>
    <cellStyle name="Normal 2 4 2 6 3 3" xfId="5516" xr:uid="{00000000-0005-0000-0000-0000B60F0000}"/>
    <cellStyle name="Normal 2 4 2 6 3 3 2" xfId="13955" xr:uid="{8AFFEA84-3383-4C3E-871C-072528B7006E}"/>
    <cellStyle name="Normal 2 4 2 6 3 4" xfId="9737" xr:uid="{42D8479A-F188-4898-86ED-3DB19564DBF4}"/>
    <cellStyle name="Normal 2 4 2 6 4" xfId="1621" xr:uid="{00000000-0005-0000-0000-0000B70F0000}"/>
    <cellStyle name="Normal 2 4 2 6 4 2" xfId="3851" xr:uid="{00000000-0005-0000-0000-0000B80F0000}"/>
    <cellStyle name="Normal 2 4 2 6 4 2 2" xfId="8074" xr:uid="{00000000-0005-0000-0000-0000B90F0000}"/>
    <cellStyle name="Normal 2 4 2 6 4 2 2 2" xfId="16513" xr:uid="{72902B65-3802-447C-AED5-7274DC7C2255}"/>
    <cellStyle name="Normal 2 4 2 6 4 2 3" xfId="12295" xr:uid="{D4951079-3FFA-4857-B66F-FC55DF0B43FB}"/>
    <cellStyle name="Normal 2 4 2 6 4 3" xfId="5929" xr:uid="{00000000-0005-0000-0000-0000BA0F0000}"/>
    <cellStyle name="Normal 2 4 2 6 4 3 2" xfId="14368" xr:uid="{F7025271-0FDC-4E2A-80AE-9EA57612D97C}"/>
    <cellStyle name="Normal 2 4 2 6 4 4" xfId="10150" xr:uid="{1E294179-7A70-4C4B-AE15-90A4352DBC19}"/>
    <cellStyle name="Normal 2 4 2 6 5" xfId="2035" xr:uid="{00000000-0005-0000-0000-0000BB0F0000}"/>
    <cellStyle name="Normal 2 4 2 6 5 2" xfId="4264" xr:uid="{00000000-0005-0000-0000-0000BC0F0000}"/>
    <cellStyle name="Normal 2 4 2 6 5 2 2" xfId="8487" xr:uid="{00000000-0005-0000-0000-0000BD0F0000}"/>
    <cellStyle name="Normal 2 4 2 6 5 2 2 2" xfId="16926" xr:uid="{57FF30A4-7661-4A8E-8E2C-DB5DE5336B98}"/>
    <cellStyle name="Normal 2 4 2 6 5 2 3" xfId="12708" xr:uid="{214AB3A5-9476-437E-A91F-18B204DD9EA8}"/>
    <cellStyle name="Normal 2 4 2 6 5 3" xfId="6342" xr:uid="{00000000-0005-0000-0000-0000BE0F0000}"/>
    <cellStyle name="Normal 2 4 2 6 5 3 2" xfId="14781" xr:uid="{FB235961-E3C6-44DF-A088-878F85D13A04}"/>
    <cellStyle name="Normal 2 4 2 6 5 4" xfId="10563" xr:uid="{3401CCB5-FEFF-4C40-B979-2F338DA39F62}"/>
    <cellStyle name="Normal 2 4 2 6 6" xfId="2471" xr:uid="{00000000-0005-0000-0000-0000BF0F0000}"/>
    <cellStyle name="Normal 2 4 2 6 6 2" xfId="6755" xr:uid="{00000000-0005-0000-0000-0000C00F0000}"/>
    <cellStyle name="Normal 2 4 2 6 6 2 2" xfId="15194" xr:uid="{23EDDAF2-34D5-47F9-9133-92C952657CE8}"/>
    <cellStyle name="Normal 2 4 2 6 6 3" xfId="10976" xr:uid="{E8BEFE79-BF46-425D-BE15-01826E606B05}"/>
    <cellStyle name="Normal 2 4 2 6 7" xfId="4689" xr:uid="{00000000-0005-0000-0000-0000C10F0000}"/>
    <cellStyle name="Normal 2 4 2 6 7 2" xfId="13128" xr:uid="{9011A4E1-DECD-47F9-B2F0-901E29D9C193}"/>
    <cellStyle name="Normal 2 4 2 6 8" xfId="8910" xr:uid="{0C7191EF-6A16-4263-9AF1-23BE824A83DC}"/>
    <cellStyle name="Normal 2 4 2 7" xfId="771" xr:uid="{00000000-0005-0000-0000-0000C20F0000}"/>
    <cellStyle name="Normal 2 4 2 7 2" xfId="3010" xr:uid="{00000000-0005-0000-0000-0000C30F0000}"/>
    <cellStyle name="Normal 2 4 2 7 2 2" xfId="7233" xr:uid="{00000000-0005-0000-0000-0000C40F0000}"/>
    <cellStyle name="Normal 2 4 2 7 2 2 2" xfId="15672" xr:uid="{E180F3EF-9409-4BEC-A193-5ED06B960A77}"/>
    <cellStyle name="Normal 2 4 2 7 2 3" xfId="11454" xr:uid="{E6025A44-33D2-4F4D-8722-A35DDBB7D106}"/>
    <cellStyle name="Normal 2 4 2 7 3" xfId="5088" xr:uid="{00000000-0005-0000-0000-0000C50F0000}"/>
    <cellStyle name="Normal 2 4 2 7 3 2" xfId="13527" xr:uid="{DFC4A464-BA39-45C7-A1C9-0294A0479D9C}"/>
    <cellStyle name="Normal 2 4 2 7 4" xfId="9309" xr:uid="{87646D75-76F8-41B3-8BFF-D09BA44D7ACE}"/>
    <cellStyle name="Normal 2 4 2 8" xfId="1193" xr:uid="{00000000-0005-0000-0000-0000C60F0000}"/>
    <cellStyle name="Normal 2 4 2 8 2" xfId="3423" xr:uid="{00000000-0005-0000-0000-0000C70F0000}"/>
    <cellStyle name="Normal 2 4 2 8 2 2" xfId="7646" xr:uid="{00000000-0005-0000-0000-0000C80F0000}"/>
    <cellStyle name="Normal 2 4 2 8 2 2 2" xfId="16085" xr:uid="{1F4CC550-0EA4-40EB-89E8-5AC1F94D6D18}"/>
    <cellStyle name="Normal 2 4 2 8 2 3" xfId="11867" xr:uid="{DE3DC4A1-FC78-40FE-9CE3-630C62038EFA}"/>
    <cellStyle name="Normal 2 4 2 8 3" xfId="5501" xr:uid="{00000000-0005-0000-0000-0000C90F0000}"/>
    <cellStyle name="Normal 2 4 2 8 3 2" xfId="13940" xr:uid="{868270A2-D759-41DD-B3A3-9C743D9C21DB}"/>
    <cellStyle name="Normal 2 4 2 8 4" xfId="9722" xr:uid="{B55CE004-A833-4116-9301-8379E7549711}"/>
    <cellStyle name="Normal 2 4 2 9" xfId="1606" xr:uid="{00000000-0005-0000-0000-0000CA0F0000}"/>
    <cellStyle name="Normal 2 4 2 9 2" xfId="3836" xr:uid="{00000000-0005-0000-0000-0000CB0F0000}"/>
    <cellStyle name="Normal 2 4 2 9 2 2" xfId="8059" xr:uid="{00000000-0005-0000-0000-0000CC0F0000}"/>
    <cellStyle name="Normal 2 4 2 9 2 2 2" xfId="16498" xr:uid="{FE84A419-4453-4FA5-8D55-FDE985102034}"/>
    <cellStyle name="Normal 2 4 2 9 2 3" xfId="12280" xr:uid="{5253E9A6-C9B4-4C21-A38D-545D2E71B81B}"/>
    <cellStyle name="Normal 2 4 2 9 3" xfId="5914" xr:uid="{00000000-0005-0000-0000-0000CD0F0000}"/>
    <cellStyle name="Normal 2 4 2 9 3 2" xfId="14353" xr:uid="{366DAF33-76CB-471A-AF37-DEC84398FD3C}"/>
    <cellStyle name="Normal 2 4 2 9 4" xfId="10135" xr:uid="{B818E0C1-AC58-4676-9A1B-0D1195B9FCC4}"/>
    <cellStyle name="Normal 2 4 3" xfId="296" xr:uid="{00000000-0005-0000-0000-0000CE0F0000}"/>
    <cellStyle name="Normal 2 4 3 10" xfId="8911" xr:uid="{6DE59861-BECC-41E1-AD83-882DE5325F88}"/>
    <cellStyle name="Normal 2 4 3 2" xfId="297" xr:uid="{00000000-0005-0000-0000-0000CF0F0000}"/>
    <cellStyle name="Normal 2 4 3 3" xfId="298" xr:uid="{00000000-0005-0000-0000-0000D00F0000}"/>
    <cellStyle name="Normal 2 4 3 3 10" xfId="8912" xr:uid="{56D99166-95C6-4037-A423-C04C92DB8D9E}"/>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2 2 2" xfId="15691" xr:uid="{61340E66-57FD-4D9E-8315-1E44EE86AA54}"/>
    <cellStyle name="Normal 2 4 3 3 2 2 2 2 3" xfId="11473" xr:uid="{052238F0-D9DF-46C2-965C-941B636FB2FE}"/>
    <cellStyle name="Normal 2 4 3 3 2 2 2 3" xfId="5107" xr:uid="{00000000-0005-0000-0000-0000D60F0000}"/>
    <cellStyle name="Normal 2 4 3 3 2 2 2 3 2" xfId="13546" xr:uid="{1741AB37-059E-489F-83DC-15A0C28BB5BE}"/>
    <cellStyle name="Normal 2 4 3 3 2 2 2 4" xfId="9328" xr:uid="{87A8B077-4D9E-43F7-8BD1-9105F37CA7D8}"/>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2 2 2" xfId="16104" xr:uid="{17B7ED18-18ED-43B5-A114-779C3A5A7F34}"/>
    <cellStyle name="Normal 2 4 3 3 2 2 3 2 3" xfId="11886" xr:uid="{63B7A5C9-DE57-4499-968A-6FA41D22D9B5}"/>
    <cellStyle name="Normal 2 4 3 3 2 2 3 3" xfId="5520" xr:uid="{00000000-0005-0000-0000-0000DA0F0000}"/>
    <cellStyle name="Normal 2 4 3 3 2 2 3 3 2" xfId="13959" xr:uid="{E379A712-DCA1-4558-83FF-1961846D3535}"/>
    <cellStyle name="Normal 2 4 3 3 2 2 3 4" xfId="9741" xr:uid="{57248D27-8267-4DAC-9467-266127312243}"/>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2 2 2" xfId="16517" xr:uid="{41EBD9EB-B4D1-4647-B72B-102596E5420A}"/>
    <cellStyle name="Normal 2 4 3 3 2 2 4 2 3" xfId="12299" xr:uid="{00ADA6C6-2B44-4EFD-AE28-AD2FC4CCB568}"/>
    <cellStyle name="Normal 2 4 3 3 2 2 4 3" xfId="5933" xr:uid="{00000000-0005-0000-0000-0000DE0F0000}"/>
    <cellStyle name="Normal 2 4 3 3 2 2 4 3 2" xfId="14372" xr:uid="{DE902EA6-2582-4CF9-932E-8A52BE0C6278}"/>
    <cellStyle name="Normal 2 4 3 3 2 2 4 4" xfId="10154" xr:uid="{E30F3F9F-809C-41A5-BC87-5092C07653FE}"/>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2 2 2" xfId="16930" xr:uid="{A430FEB3-A76C-4326-8A2C-8B2FA966B25C}"/>
    <cellStyle name="Normal 2 4 3 3 2 2 5 2 3" xfId="12712" xr:uid="{B1D346D7-DBC8-4A88-B1AA-BF10168862AF}"/>
    <cellStyle name="Normal 2 4 3 3 2 2 5 3" xfId="6346" xr:uid="{00000000-0005-0000-0000-0000E20F0000}"/>
    <cellStyle name="Normal 2 4 3 3 2 2 5 3 2" xfId="14785" xr:uid="{5C9E41AB-9025-43A7-9DC5-ADAB8464A488}"/>
    <cellStyle name="Normal 2 4 3 3 2 2 5 4" xfId="10567" xr:uid="{9E8CFB13-D63D-449D-908A-E2A601F1189F}"/>
    <cellStyle name="Normal 2 4 3 3 2 2 6" xfId="2475" xr:uid="{00000000-0005-0000-0000-0000E30F0000}"/>
    <cellStyle name="Normal 2 4 3 3 2 2 6 2" xfId="6759" xr:uid="{00000000-0005-0000-0000-0000E40F0000}"/>
    <cellStyle name="Normal 2 4 3 3 2 2 6 2 2" xfId="15198" xr:uid="{9EE4BD66-661C-4157-8D71-783BC7526490}"/>
    <cellStyle name="Normal 2 4 3 3 2 2 6 3" xfId="10980" xr:uid="{AB71C585-D1B0-42C3-AD15-B5B32852749F}"/>
    <cellStyle name="Normal 2 4 3 3 2 2 7" xfId="4693" xr:uid="{00000000-0005-0000-0000-0000E50F0000}"/>
    <cellStyle name="Normal 2 4 3 3 2 2 7 2" xfId="13132" xr:uid="{CEFA3D5A-EC43-4363-AB65-7241BEDBBEA7}"/>
    <cellStyle name="Normal 2 4 3 3 2 2 8" xfId="8914" xr:uid="{8DCEDB55-E9FC-493A-B2AF-A4CED32A9097}"/>
    <cellStyle name="Normal 2 4 3 3 2 3" xfId="789" xr:uid="{00000000-0005-0000-0000-0000E60F0000}"/>
    <cellStyle name="Normal 2 4 3 3 2 3 2" xfId="3028" xr:uid="{00000000-0005-0000-0000-0000E70F0000}"/>
    <cellStyle name="Normal 2 4 3 3 2 3 2 2" xfId="7251" xr:uid="{00000000-0005-0000-0000-0000E80F0000}"/>
    <cellStyle name="Normal 2 4 3 3 2 3 2 2 2" xfId="15690" xr:uid="{2EDF0AC5-164E-4D52-9345-6DA4DF4BF1B6}"/>
    <cellStyle name="Normal 2 4 3 3 2 3 2 3" xfId="11472" xr:uid="{FC2FBEBD-6674-40FB-8178-8F0F00A34817}"/>
    <cellStyle name="Normal 2 4 3 3 2 3 3" xfId="5106" xr:uid="{00000000-0005-0000-0000-0000E90F0000}"/>
    <cellStyle name="Normal 2 4 3 3 2 3 3 2" xfId="13545" xr:uid="{7C60CE6C-E979-42E0-ACCA-E8B7A520DB6B}"/>
    <cellStyle name="Normal 2 4 3 3 2 3 4" xfId="9327" xr:uid="{041DBB5C-30C0-4327-A2D8-A9A624DE7EEA}"/>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2 2 2" xfId="16103" xr:uid="{87548CA8-C9F3-45E0-85D2-BD9793A44776}"/>
    <cellStyle name="Normal 2 4 3 3 2 4 2 3" xfId="11885" xr:uid="{E9A4F913-1BC6-4800-A9F9-751EAE006D7C}"/>
    <cellStyle name="Normal 2 4 3 3 2 4 3" xfId="5519" xr:uid="{00000000-0005-0000-0000-0000ED0F0000}"/>
    <cellStyle name="Normal 2 4 3 3 2 4 3 2" xfId="13958" xr:uid="{62C7E1DD-88E6-4636-B5BC-093D3995223C}"/>
    <cellStyle name="Normal 2 4 3 3 2 4 4" xfId="9740" xr:uid="{A7F75DCA-1C43-4817-8EC9-E501FB095813}"/>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2 2 2" xfId="16516" xr:uid="{3C3E383B-A14F-4E1C-80BB-479571A8777A}"/>
    <cellStyle name="Normal 2 4 3 3 2 5 2 3" xfId="12298" xr:uid="{8A9AC203-5B6E-4FCE-899B-3C9E95988123}"/>
    <cellStyle name="Normal 2 4 3 3 2 5 3" xfId="5932" xr:uid="{00000000-0005-0000-0000-0000F10F0000}"/>
    <cellStyle name="Normal 2 4 3 3 2 5 3 2" xfId="14371" xr:uid="{2BA2C818-43E8-4E19-8A89-0A8C5B6FEB4C}"/>
    <cellStyle name="Normal 2 4 3 3 2 5 4" xfId="10153" xr:uid="{3D03A335-2875-45EB-8EA5-2282BAEBC874}"/>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2 2 2" xfId="16929" xr:uid="{5B66A5EB-909E-4F7A-93FC-5780706FA1AA}"/>
    <cellStyle name="Normal 2 4 3 3 2 6 2 3" xfId="12711" xr:uid="{C101DCC8-3B1B-454A-A52D-E350C71F9C63}"/>
    <cellStyle name="Normal 2 4 3 3 2 6 3" xfId="6345" xr:uid="{00000000-0005-0000-0000-0000F50F0000}"/>
    <cellStyle name="Normal 2 4 3 3 2 6 3 2" xfId="14784" xr:uid="{075D1D10-5A5D-4C8A-BC06-B830A59985AC}"/>
    <cellStyle name="Normal 2 4 3 3 2 6 4" xfId="10566" xr:uid="{1A519A2F-62AA-4A24-9B10-65E5CF51F54F}"/>
    <cellStyle name="Normal 2 4 3 3 2 7" xfId="2474" xr:uid="{00000000-0005-0000-0000-0000F60F0000}"/>
    <cellStyle name="Normal 2 4 3 3 2 7 2" xfId="6758" xr:uid="{00000000-0005-0000-0000-0000F70F0000}"/>
    <cellStyle name="Normal 2 4 3 3 2 7 2 2" xfId="15197" xr:uid="{F5F6FADE-1D0C-4D8E-8DE0-B9E25D8B0911}"/>
    <cellStyle name="Normal 2 4 3 3 2 7 3" xfId="10979" xr:uid="{21AB77E7-240C-441B-976E-19F7554B8C95}"/>
    <cellStyle name="Normal 2 4 3 3 2 8" xfId="4692" xr:uid="{00000000-0005-0000-0000-0000F80F0000}"/>
    <cellStyle name="Normal 2 4 3 3 2 8 2" xfId="13131" xr:uid="{B9BC3DAA-9151-442B-A3BC-B03B08416E72}"/>
    <cellStyle name="Normal 2 4 3 3 2 9" xfId="8913" xr:uid="{22978205-224B-4804-A8DB-A1BADC4DD5F7}"/>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2 2 2" xfId="15692" xr:uid="{BF6F0B4C-A721-418E-B897-5DD366E34561}"/>
    <cellStyle name="Normal 2 4 3 3 3 2 2 3" xfId="11474" xr:uid="{51E4751B-2E6F-4896-840C-1677953D9F82}"/>
    <cellStyle name="Normal 2 4 3 3 3 2 3" xfId="5108" xr:uid="{00000000-0005-0000-0000-0000FD0F0000}"/>
    <cellStyle name="Normal 2 4 3 3 3 2 3 2" xfId="13547" xr:uid="{79D31052-D8B4-4D33-80A4-F5437B14A48A}"/>
    <cellStyle name="Normal 2 4 3 3 3 2 4" xfId="9329" xr:uid="{C1921069-B926-4D3A-A231-B7234DB06977}"/>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2 2 2" xfId="16105" xr:uid="{F279FE4A-A10C-49FA-B10F-D84714C9ECBB}"/>
    <cellStyle name="Normal 2 4 3 3 3 3 2 3" xfId="11887" xr:uid="{CEAA9E23-B278-4FA4-9E38-A8FD58C05B81}"/>
    <cellStyle name="Normal 2 4 3 3 3 3 3" xfId="5521" xr:uid="{00000000-0005-0000-0000-000001100000}"/>
    <cellStyle name="Normal 2 4 3 3 3 3 3 2" xfId="13960" xr:uid="{C3625962-87CC-4BCD-9C26-B5D00B3B5D3C}"/>
    <cellStyle name="Normal 2 4 3 3 3 3 4" xfId="9742" xr:uid="{23780048-9324-470F-954A-D6097B55DEDF}"/>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2 2 2" xfId="16518" xr:uid="{28197E25-F42E-4285-A748-F33F5A9C38AA}"/>
    <cellStyle name="Normal 2 4 3 3 3 4 2 3" xfId="12300" xr:uid="{8C10D328-1759-4F21-A4DE-3FA69F7828BB}"/>
    <cellStyle name="Normal 2 4 3 3 3 4 3" xfId="5934" xr:uid="{00000000-0005-0000-0000-000005100000}"/>
    <cellStyle name="Normal 2 4 3 3 3 4 3 2" xfId="14373" xr:uid="{154CDD7F-E578-458C-8D80-0BD8E82CDB19}"/>
    <cellStyle name="Normal 2 4 3 3 3 4 4" xfId="10155" xr:uid="{23A17768-2BCA-4595-B04D-2E1A89FA0D77}"/>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2 2 2" xfId="16931" xr:uid="{67B0D586-888D-4B81-A9E9-F135CFB01D49}"/>
    <cellStyle name="Normal 2 4 3 3 3 5 2 3" xfId="12713" xr:uid="{FD348737-E81D-4059-B8CC-93C51985890E}"/>
    <cellStyle name="Normal 2 4 3 3 3 5 3" xfId="6347" xr:uid="{00000000-0005-0000-0000-000009100000}"/>
    <cellStyle name="Normal 2 4 3 3 3 5 3 2" xfId="14786" xr:uid="{B977B566-2FC2-4730-A446-1676B78F147B}"/>
    <cellStyle name="Normal 2 4 3 3 3 5 4" xfId="10568" xr:uid="{4014D26F-B9DD-46AE-B548-D8F4DDA28AA5}"/>
    <cellStyle name="Normal 2 4 3 3 3 6" xfId="2476" xr:uid="{00000000-0005-0000-0000-00000A100000}"/>
    <cellStyle name="Normal 2 4 3 3 3 6 2" xfId="6760" xr:uid="{00000000-0005-0000-0000-00000B100000}"/>
    <cellStyle name="Normal 2 4 3 3 3 6 2 2" xfId="15199" xr:uid="{EEEFF977-363F-4327-BA84-C269D8CAA994}"/>
    <cellStyle name="Normal 2 4 3 3 3 6 3" xfId="10981" xr:uid="{C17D2647-B89E-40EF-A092-6EA23637AB34}"/>
    <cellStyle name="Normal 2 4 3 3 3 7" xfId="4694" xr:uid="{00000000-0005-0000-0000-00000C100000}"/>
    <cellStyle name="Normal 2 4 3 3 3 7 2" xfId="13133" xr:uid="{DBA11954-CA6B-4BE4-B219-F4F00E58A87B}"/>
    <cellStyle name="Normal 2 4 3 3 3 8" xfId="8915" xr:uid="{AC7B5E44-0B91-4C8F-8BAA-E58ADD02F83E}"/>
    <cellStyle name="Normal 2 4 3 3 4" xfId="788" xr:uid="{00000000-0005-0000-0000-00000D100000}"/>
    <cellStyle name="Normal 2 4 3 3 4 2" xfId="3027" xr:uid="{00000000-0005-0000-0000-00000E100000}"/>
    <cellStyle name="Normal 2 4 3 3 4 2 2" xfId="7250" xr:uid="{00000000-0005-0000-0000-00000F100000}"/>
    <cellStyle name="Normal 2 4 3 3 4 2 2 2" xfId="15689" xr:uid="{36D29382-EEFE-4222-88EF-103906625B4D}"/>
    <cellStyle name="Normal 2 4 3 3 4 2 3" xfId="11471" xr:uid="{1780781C-25AC-4E3A-833B-54B2CD01F30D}"/>
    <cellStyle name="Normal 2 4 3 3 4 3" xfId="5105" xr:uid="{00000000-0005-0000-0000-000010100000}"/>
    <cellStyle name="Normal 2 4 3 3 4 3 2" xfId="13544" xr:uid="{E7CC2B1A-98BF-4ED1-89EE-52D21AA0DA9D}"/>
    <cellStyle name="Normal 2 4 3 3 4 4" xfId="9326" xr:uid="{E29F3D90-7801-479D-8189-3E41A73A6BC4}"/>
    <cellStyle name="Normal 2 4 3 3 5" xfId="1210" xr:uid="{00000000-0005-0000-0000-000011100000}"/>
    <cellStyle name="Normal 2 4 3 3 5 2" xfId="3440" xr:uid="{00000000-0005-0000-0000-000012100000}"/>
    <cellStyle name="Normal 2 4 3 3 5 2 2" xfId="7663" xr:uid="{00000000-0005-0000-0000-000013100000}"/>
    <cellStyle name="Normal 2 4 3 3 5 2 2 2" xfId="16102" xr:uid="{F6DEA160-0129-4350-8930-B6B694AC51EF}"/>
    <cellStyle name="Normal 2 4 3 3 5 2 3" xfId="11884" xr:uid="{5B3D6D77-9B01-4BD6-9BCE-1E45ECC2E0B8}"/>
    <cellStyle name="Normal 2 4 3 3 5 3" xfId="5518" xr:uid="{00000000-0005-0000-0000-000014100000}"/>
    <cellStyle name="Normal 2 4 3 3 5 3 2" xfId="13957" xr:uid="{891552CE-FD86-4B76-B910-E649FFFA6444}"/>
    <cellStyle name="Normal 2 4 3 3 5 4" xfId="9739" xr:uid="{57DDBCD2-F54E-4845-95EF-0BAA5D9BD5AD}"/>
    <cellStyle name="Normal 2 4 3 3 6" xfId="1623" xr:uid="{00000000-0005-0000-0000-000015100000}"/>
    <cellStyle name="Normal 2 4 3 3 6 2" xfId="3853" xr:uid="{00000000-0005-0000-0000-000016100000}"/>
    <cellStyle name="Normal 2 4 3 3 6 2 2" xfId="8076" xr:uid="{00000000-0005-0000-0000-000017100000}"/>
    <cellStyle name="Normal 2 4 3 3 6 2 2 2" xfId="16515" xr:uid="{1C23FFE4-D016-493D-BA49-02906E5F351A}"/>
    <cellStyle name="Normal 2 4 3 3 6 2 3" xfId="12297" xr:uid="{FD361D51-E37E-4D51-995E-415F070D63A0}"/>
    <cellStyle name="Normal 2 4 3 3 6 3" xfId="5931" xr:uid="{00000000-0005-0000-0000-000018100000}"/>
    <cellStyle name="Normal 2 4 3 3 6 3 2" xfId="14370" xr:uid="{6465B8DB-22E3-491D-9774-74602E2E5A45}"/>
    <cellStyle name="Normal 2 4 3 3 6 4" xfId="10152" xr:uid="{0064B490-363C-4E5A-A85E-42C5A030F6AD}"/>
    <cellStyle name="Normal 2 4 3 3 7" xfId="2037" xr:uid="{00000000-0005-0000-0000-000019100000}"/>
    <cellStyle name="Normal 2 4 3 3 7 2" xfId="4266" xr:uid="{00000000-0005-0000-0000-00001A100000}"/>
    <cellStyle name="Normal 2 4 3 3 7 2 2" xfId="8489" xr:uid="{00000000-0005-0000-0000-00001B100000}"/>
    <cellStyle name="Normal 2 4 3 3 7 2 2 2" xfId="16928" xr:uid="{3973E419-015E-4668-A5E0-7AA412682E8C}"/>
    <cellStyle name="Normal 2 4 3 3 7 2 3" xfId="12710" xr:uid="{8BC6D006-EE4C-4052-AB14-7221D8970508}"/>
    <cellStyle name="Normal 2 4 3 3 7 3" xfId="6344" xr:uid="{00000000-0005-0000-0000-00001C100000}"/>
    <cellStyle name="Normal 2 4 3 3 7 3 2" xfId="14783" xr:uid="{94259F92-BD48-4E06-88DD-7FB84B46BDAC}"/>
    <cellStyle name="Normal 2 4 3 3 7 4" xfId="10565" xr:uid="{EEF84C22-AC3A-42EE-91A6-50AF19FC2F89}"/>
    <cellStyle name="Normal 2 4 3 3 8" xfId="2473" xr:uid="{00000000-0005-0000-0000-00001D100000}"/>
    <cellStyle name="Normal 2 4 3 3 8 2" xfId="6757" xr:uid="{00000000-0005-0000-0000-00001E100000}"/>
    <cellStyle name="Normal 2 4 3 3 8 2 2" xfId="15196" xr:uid="{FB3885CB-C9A8-451B-B4A9-ACBF2C7E554E}"/>
    <cellStyle name="Normal 2 4 3 3 8 3" xfId="10978" xr:uid="{B092C856-E308-49AB-9C25-8E1495321D9E}"/>
    <cellStyle name="Normal 2 4 3 3 9" xfId="4691" xr:uid="{00000000-0005-0000-0000-00001F100000}"/>
    <cellStyle name="Normal 2 4 3 3 9 2" xfId="13130" xr:uid="{1A40BE5F-6E20-48F7-B3D5-D38EDF9F7D7C}"/>
    <cellStyle name="Normal 2 4 3 4" xfId="787" xr:uid="{00000000-0005-0000-0000-000020100000}"/>
    <cellStyle name="Normal 2 4 3 4 2" xfId="3026" xr:uid="{00000000-0005-0000-0000-000021100000}"/>
    <cellStyle name="Normal 2 4 3 4 2 2" xfId="7249" xr:uid="{00000000-0005-0000-0000-000022100000}"/>
    <cellStyle name="Normal 2 4 3 4 2 2 2" xfId="15688" xr:uid="{717A280D-3DC7-4249-91F8-80186906916E}"/>
    <cellStyle name="Normal 2 4 3 4 2 3" xfId="11470" xr:uid="{45B4450E-C37D-4F11-A569-8A29957B1A04}"/>
    <cellStyle name="Normal 2 4 3 4 3" xfId="5104" xr:uid="{00000000-0005-0000-0000-000023100000}"/>
    <cellStyle name="Normal 2 4 3 4 3 2" xfId="13543" xr:uid="{A606C4D8-CD6E-4A83-9171-F88395D7EEB0}"/>
    <cellStyle name="Normal 2 4 3 4 4" xfId="9325" xr:uid="{C1DC168A-95EF-4220-8F97-485E2A237F45}"/>
    <cellStyle name="Normal 2 4 3 5" xfId="1209" xr:uid="{00000000-0005-0000-0000-000024100000}"/>
    <cellStyle name="Normal 2 4 3 5 2" xfId="3439" xr:uid="{00000000-0005-0000-0000-000025100000}"/>
    <cellStyle name="Normal 2 4 3 5 2 2" xfId="7662" xr:uid="{00000000-0005-0000-0000-000026100000}"/>
    <cellStyle name="Normal 2 4 3 5 2 2 2" xfId="16101" xr:uid="{23A3CEDF-3B0B-4236-9DBD-D54FFBDC2105}"/>
    <cellStyle name="Normal 2 4 3 5 2 3" xfId="11883" xr:uid="{1E52A370-AB22-47E1-9A2A-019EB6D38A4B}"/>
    <cellStyle name="Normal 2 4 3 5 3" xfId="5517" xr:uid="{00000000-0005-0000-0000-000027100000}"/>
    <cellStyle name="Normal 2 4 3 5 3 2" xfId="13956" xr:uid="{BF301FFE-8E08-4D3B-8401-703FCF88CB10}"/>
    <cellStyle name="Normal 2 4 3 5 4" xfId="9738" xr:uid="{D921E146-C238-4A4A-BD7D-718D1739D702}"/>
    <cellStyle name="Normal 2 4 3 6" xfId="1622" xr:uid="{00000000-0005-0000-0000-000028100000}"/>
    <cellStyle name="Normal 2 4 3 6 2" xfId="3852" xr:uid="{00000000-0005-0000-0000-000029100000}"/>
    <cellStyle name="Normal 2 4 3 6 2 2" xfId="8075" xr:uid="{00000000-0005-0000-0000-00002A100000}"/>
    <cellStyle name="Normal 2 4 3 6 2 2 2" xfId="16514" xr:uid="{8684D9E3-A320-4FA0-AFBA-EBF9930AAFF4}"/>
    <cellStyle name="Normal 2 4 3 6 2 3" xfId="12296" xr:uid="{CABF4793-73DA-4978-8B9F-F3B6864D9D6C}"/>
    <cellStyle name="Normal 2 4 3 6 3" xfId="5930" xr:uid="{00000000-0005-0000-0000-00002B100000}"/>
    <cellStyle name="Normal 2 4 3 6 3 2" xfId="14369" xr:uid="{CD3CCCAF-7C69-4BA0-AB3F-321B1231BED8}"/>
    <cellStyle name="Normal 2 4 3 6 4" xfId="10151" xr:uid="{590494D4-C07F-4D38-B14A-C519E1C2D075}"/>
    <cellStyle name="Normal 2 4 3 7" xfId="2036" xr:uid="{00000000-0005-0000-0000-00002C100000}"/>
    <cellStyle name="Normal 2 4 3 7 2" xfId="4265" xr:uid="{00000000-0005-0000-0000-00002D100000}"/>
    <cellStyle name="Normal 2 4 3 7 2 2" xfId="8488" xr:uid="{00000000-0005-0000-0000-00002E100000}"/>
    <cellStyle name="Normal 2 4 3 7 2 2 2" xfId="16927" xr:uid="{E3A50BDF-100C-4B2E-A0F0-6BD2DD851D1E}"/>
    <cellStyle name="Normal 2 4 3 7 2 3" xfId="12709" xr:uid="{25933055-55F4-42F9-93C0-26B76CDB12E1}"/>
    <cellStyle name="Normal 2 4 3 7 3" xfId="6343" xr:uid="{00000000-0005-0000-0000-00002F100000}"/>
    <cellStyle name="Normal 2 4 3 7 3 2" xfId="14782" xr:uid="{B7A694AF-3B39-40B8-A6A2-7AC9E9B2FAB9}"/>
    <cellStyle name="Normal 2 4 3 7 4" xfId="10564" xr:uid="{0A8A5915-D655-4988-A64A-2FB73149002F}"/>
    <cellStyle name="Normal 2 4 3 8" xfId="2472" xr:uid="{00000000-0005-0000-0000-000030100000}"/>
    <cellStyle name="Normal 2 4 3 8 2" xfId="6756" xr:uid="{00000000-0005-0000-0000-000031100000}"/>
    <cellStyle name="Normal 2 4 3 8 2 2" xfId="15195" xr:uid="{373CEED8-DF48-4CBB-B590-A2359C4AB3FB}"/>
    <cellStyle name="Normal 2 4 3 8 3" xfId="10977" xr:uid="{D9D9EE60-1F1A-4DA5-A920-4510D8ED9F3F}"/>
    <cellStyle name="Normal 2 4 3 9" xfId="4690" xr:uid="{00000000-0005-0000-0000-000032100000}"/>
    <cellStyle name="Normal 2 4 3 9 2" xfId="13129" xr:uid="{F7590ADB-13A7-467D-B5EE-6382CE08A6D2}"/>
    <cellStyle name="Normal 2 4 4" xfId="302" xr:uid="{00000000-0005-0000-0000-000033100000}"/>
    <cellStyle name="Normal 2 4 5" xfId="303" xr:uid="{00000000-0005-0000-0000-000034100000}"/>
    <cellStyle name="Normal 2 4 5 10" xfId="4695" xr:uid="{00000000-0005-0000-0000-000035100000}"/>
    <cellStyle name="Normal 2 4 5 10 2" xfId="13134" xr:uid="{20041AE0-0D9C-4988-8276-4004F5264124}"/>
    <cellStyle name="Normal 2 4 5 11" xfId="8916" xr:uid="{6231441B-04FA-4E0C-9E95-C7A46F5514A1}"/>
    <cellStyle name="Normal 2 4 5 2" xfId="304" xr:uid="{00000000-0005-0000-0000-000036100000}"/>
    <cellStyle name="Normal 2 4 5 2 10" xfId="8917" xr:uid="{5BC3CA4C-0C55-41B7-8026-777BF86E4102}"/>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2 2 2" xfId="15696" xr:uid="{E0469231-1C2E-4671-B821-127DFF1F2B0F}"/>
    <cellStyle name="Normal 2 4 5 2 2 2 2 2 3" xfId="11478" xr:uid="{125858E0-4A44-425F-8F14-FB76EBE092FC}"/>
    <cellStyle name="Normal 2 4 5 2 2 2 2 3" xfId="5112" xr:uid="{00000000-0005-0000-0000-00003C100000}"/>
    <cellStyle name="Normal 2 4 5 2 2 2 2 3 2" xfId="13551" xr:uid="{7CE55FA1-6A86-44AB-9663-50F0BD852E83}"/>
    <cellStyle name="Normal 2 4 5 2 2 2 2 4" xfId="9333" xr:uid="{BF7D3F05-CCF5-478F-AAA9-07441B28558A}"/>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2 2 2" xfId="16109" xr:uid="{A75B25CB-FFD2-48B4-9224-E97BD01B5042}"/>
    <cellStyle name="Normal 2 4 5 2 2 2 3 2 3" xfId="11891" xr:uid="{375C1125-DC66-48CE-B4ED-80F5FB9F01BF}"/>
    <cellStyle name="Normal 2 4 5 2 2 2 3 3" xfId="5525" xr:uid="{00000000-0005-0000-0000-000040100000}"/>
    <cellStyle name="Normal 2 4 5 2 2 2 3 3 2" xfId="13964" xr:uid="{D5351CD0-0392-41A4-A70F-80B3CFBB22B8}"/>
    <cellStyle name="Normal 2 4 5 2 2 2 3 4" xfId="9746" xr:uid="{9B18514C-009C-4385-A81A-2FB3EADA98AA}"/>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2 2 2" xfId="16522" xr:uid="{DBE0E52F-211B-433B-8620-A60B27DE42B2}"/>
    <cellStyle name="Normal 2 4 5 2 2 2 4 2 3" xfId="12304" xr:uid="{173586A3-EE79-4C3B-9CD4-55603A16F29C}"/>
    <cellStyle name="Normal 2 4 5 2 2 2 4 3" xfId="5938" xr:uid="{00000000-0005-0000-0000-000044100000}"/>
    <cellStyle name="Normal 2 4 5 2 2 2 4 3 2" xfId="14377" xr:uid="{28C80687-1B24-4C0B-8AC7-3FDA2E693D11}"/>
    <cellStyle name="Normal 2 4 5 2 2 2 4 4" xfId="10159" xr:uid="{358DE500-03A8-4E26-904E-1470B73BA156}"/>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2 2 2" xfId="16935" xr:uid="{78984BB4-B43F-470E-A62D-C67F260FAA1D}"/>
    <cellStyle name="Normal 2 4 5 2 2 2 5 2 3" xfId="12717" xr:uid="{D9A94356-8E17-4037-94FE-F66DAFD52316}"/>
    <cellStyle name="Normal 2 4 5 2 2 2 5 3" xfId="6351" xr:uid="{00000000-0005-0000-0000-000048100000}"/>
    <cellStyle name="Normal 2 4 5 2 2 2 5 3 2" xfId="14790" xr:uid="{CB093D6A-9972-4FE8-A361-923CEBF9CC6C}"/>
    <cellStyle name="Normal 2 4 5 2 2 2 5 4" xfId="10572" xr:uid="{A7F24FC7-4C9B-43D9-8A35-2E796EB65D16}"/>
    <cellStyle name="Normal 2 4 5 2 2 2 6" xfId="2480" xr:uid="{00000000-0005-0000-0000-000049100000}"/>
    <cellStyle name="Normal 2 4 5 2 2 2 6 2" xfId="6764" xr:uid="{00000000-0005-0000-0000-00004A100000}"/>
    <cellStyle name="Normal 2 4 5 2 2 2 6 2 2" xfId="15203" xr:uid="{1C6832F0-BAA7-4A16-A30A-48D506D03A48}"/>
    <cellStyle name="Normal 2 4 5 2 2 2 6 3" xfId="10985" xr:uid="{90AEAC7D-357B-43D6-864C-4F4E4CF81D4A}"/>
    <cellStyle name="Normal 2 4 5 2 2 2 7" xfId="4698" xr:uid="{00000000-0005-0000-0000-00004B100000}"/>
    <cellStyle name="Normal 2 4 5 2 2 2 7 2" xfId="13137" xr:uid="{ACB89F03-A435-42CD-BB41-DEA9A20562A5}"/>
    <cellStyle name="Normal 2 4 5 2 2 2 8" xfId="8919" xr:uid="{C85E0BCA-BEF5-47C7-B554-12145C75F365}"/>
    <cellStyle name="Normal 2 4 5 2 2 3" xfId="794" xr:uid="{00000000-0005-0000-0000-00004C100000}"/>
    <cellStyle name="Normal 2 4 5 2 2 3 2" xfId="3033" xr:uid="{00000000-0005-0000-0000-00004D100000}"/>
    <cellStyle name="Normal 2 4 5 2 2 3 2 2" xfId="7256" xr:uid="{00000000-0005-0000-0000-00004E100000}"/>
    <cellStyle name="Normal 2 4 5 2 2 3 2 2 2" xfId="15695" xr:uid="{77DD2C84-0A1A-4E06-90A5-70A2E23D55E9}"/>
    <cellStyle name="Normal 2 4 5 2 2 3 2 3" xfId="11477" xr:uid="{921D08B6-A3C8-49AC-A366-B4EFFEA911A2}"/>
    <cellStyle name="Normal 2 4 5 2 2 3 3" xfId="5111" xr:uid="{00000000-0005-0000-0000-00004F100000}"/>
    <cellStyle name="Normal 2 4 5 2 2 3 3 2" xfId="13550" xr:uid="{7FAEEF97-C09D-453A-B729-88BCA58DCA38}"/>
    <cellStyle name="Normal 2 4 5 2 2 3 4" xfId="9332" xr:uid="{F4E8B8C7-B43F-4B8A-B5DB-B0EF5A725ECD}"/>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2 2 2" xfId="16108" xr:uid="{2E2BE544-B65D-4E60-BC9B-11B2237054C3}"/>
    <cellStyle name="Normal 2 4 5 2 2 4 2 3" xfId="11890" xr:uid="{C8A263E2-8F75-4C47-9727-96292BEE17A4}"/>
    <cellStyle name="Normal 2 4 5 2 2 4 3" xfId="5524" xr:uid="{00000000-0005-0000-0000-000053100000}"/>
    <cellStyle name="Normal 2 4 5 2 2 4 3 2" xfId="13963" xr:uid="{17B7ED69-50A3-47CD-AC25-6E7DDEF5EFC1}"/>
    <cellStyle name="Normal 2 4 5 2 2 4 4" xfId="9745" xr:uid="{11D682BC-FC10-4500-85EF-73FD12860B01}"/>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2 2 2" xfId="16521" xr:uid="{71B49F6F-3A9C-4581-8F54-32744D82578D}"/>
    <cellStyle name="Normal 2 4 5 2 2 5 2 3" xfId="12303" xr:uid="{DF727F1B-3DF0-4C1C-AC14-8C73EED74666}"/>
    <cellStyle name="Normal 2 4 5 2 2 5 3" xfId="5937" xr:uid="{00000000-0005-0000-0000-000057100000}"/>
    <cellStyle name="Normal 2 4 5 2 2 5 3 2" xfId="14376" xr:uid="{19F428DE-12D2-43FE-BEE6-46943C977512}"/>
    <cellStyle name="Normal 2 4 5 2 2 5 4" xfId="10158" xr:uid="{3C46009D-290D-49D9-ABF9-3CCC4F01CB69}"/>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2 2 2" xfId="16934" xr:uid="{74F4928E-18B0-4E34-8074-E6C27C3A0ACF}"/>
    <cellStyle name="Normal 2 4 5 2 2 6 2 3" xfId="12716" xr:uid="{14626935-F5EC-4E33-ACE5-BD30705459F2}"/>
    <cellStyle name="Normal 2 4 5 2 2 6 3" xfId="6350" xr:uid="{00000000-0005-0000-0000-00005B100000}"/>
    <cellStyle name="Normal 2 4 5 2 2 6 3 2" xfId="14789" xr:uid="{9D9D9595-0CAE-45F9-9A06-2BC29A08BE68}"/>
    <cellStyle name="Normal 2 4 5 2 2 6 4" xfId="10571" xr:uid="{24B1C2A1-76AE-4F58-8DB2-F555E5DD1BAC}"/>
    <cellStyle name="Normal 2 4 5 2 2 7" xfId="2479" xr:uid="{00000000-0005-0000-0000-00005C100000}"/>
    <cellStyle name="Normal 2 4 5 2 2 7 2" xfId="6763" xr:uid="{00000000-0005-0000-0000-00005D100000}"/>
    <cellStyle name="Normal 2 4 5 2 2 7 2 2" xfId="15202" xr:uid="{1920085A-6CE1-49B8-A1C8-6938DAB59E6E}"/>
    <cellStyle name="Normal 2 4 5 2 2 7 3" xfId="10984" xr:uid="{F7074395-E959-4ABA-B0F9-5C2A947956A3}"/>
    <cellStyle name="Normal 2 4 5 2 2 8" xfId="4697" xr:uid="{00000000-0005-0000-0000-00005E100000}"/>
    <cellStyle name="Normal 2 4 5 2 2 8 2" xfId="13136" xr:uid="{8E3F81A1-0C51-470A-9ECB-3E900946D2A0}"/>
    <cellStyle name="Normal 2 4 5 2 2 9" xfId="8918" xr:uid="{65F0DFA6-67A7-4A5A-8EDE-8A3493239826}"/>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2 2 2" xfId="15697" xr:uid="{180C9282-28AF-49D1-A55C-6D1ED0484F6D}"/>
    <cellStyle name="Normal 2 4 5 2 3 2 2 3" xfId="11479" xr:uid="{D2124818-B74F-46B9-AE82-7098F754D5BD}"/>
    <cellStyle name="Normal 2 4 5 2 3 2 3" xfId="5113" xr:uid="{00000000-0005-0000-0000-000063100000}"/>
    <cellStyle name="Normal 2 4 5 2 3 2 3 2" xfId="13552" xr:uid="{B9412E80-0392-4E30-BBDB-961E59635B9A}"/>
    <cellStyle name="Normal 2 4 5 2 3 2 4" xfId="9334" xr:uid="{84B38739-3C6B-4950-8FC1-E38AA7970CE4}"/>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2 2 2" xfId="16110" xr:uid="{9676642A-EB8B-4F73-9DCB-A40B2F395E55}"/>
    <cellStyle name="Normal 2 4 5 2 3 3 2 3" xfId="11892" xr:uid="{C3F816D8-2C43-4AB6-81D9-20BFF5EB7B38}"/>
    <cellStyle name="Normal 2 4 5 2 3 3 3" xfId="5526" xr:uid="{00000000-0005-0000-0000-000067100000}"/>
    <cellStyle name="Normal 2 4 5 2 3 3 3 2" xfId="13965" xr:uid="{3BBBC1B7-23E7-47E9-BB5F-9C1FB8D4FD4B}"/>
    <cellStyle name="Normal 2 4 5 2 3 3 4" xfId="9747" xr:uid="{20CA5641-664D-41B4-9026-C87E9AF97EED}"/>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2 2 2" xfId="16523" xr:uid="{0A768565-CEA7-4DF6-9B1F-989ABE4B7F3C}"/>
    <cellStyle name="Normal 2 4 5 2 3 4 2 3" xfId="12305" xr:uid="{272C89FA-AB8A-4E34-9FDE-D5A0BCFF8EB4}"/>
    <cellStyle name="Normal 2 4 5 2 3 4 3" xfId="5939" xr:uid="{00000000-0005-0000-0000-00006B100000}"/>
    <cellStyle name="Normal 2 4 5 2 3 4 3 2" xfId="14378" xr:uid="{65C1A230-8B38-4AD7-93FE-F5121C1A425D}"/>
    <cellStyle name="Normal 2 4 5 2 3 4 4" xfId="10160" xr:uid="{716F1BBA-0391-4DF3-A407-947F8882F9E1}"/>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2 2 2" xfId="16936" xr:uid="{E5CC3A20-AC86-429D-927E-8E9833C70D33}"/>
    <cellStyle name="Normal 2 4 5 2 3 5 2 3" xfId="12718" xr:uid="{9F79D9B7-A81C-4B4C-ACA0-02FBB3E476E7}"/>
    <cellStyle name="Normal 2 4 5 2 3 5 3" xfId="6352" xr:uid="{00000000-0005-0000-0000-00006F100000}"/>
    <cellStyle name="Normal 2 4 5 2 3 5 3 2" xfId="14791" xr:uid="{738948EB-2A8F-461A-828A-D62F7C477337}"/>
    <cellStyle name="Normal 2 4 5 2 3 5 4" xfId="10573" xr:uid="{47328823-55A9-4459-A825-59DED7952775}"/>
    <cellStyle name="Normal 2 4 5 2 3 6" xfId="2481" xr:uid="{00000000-0005-0000-0000-000070100000}"/>
    <cellStyle name="Normal 2 4 5 2 3 6 2" xfId="6765" xr:uid="{00000000-0005-0000-0000-000071100000}"/>
    <cellStyle name="Normal 2 4 5 2 3 6 2 2" xfId="15204" xr:uid="{004D035C-0D30-4D41-8060-6990BCE9EEAB}"/>
    <cellStyle name="Normal 2 4 5 2 3 6 3" xfId="10986" xr:uid="{60788E5A-341E-4F6B-9B76-7EC6C2CC7B1A}"/>
    <cellStyle name="Normal 2 4 5 2 3 7" xfId="4699" xr:uid="{00000000-0005-0000-0000-000072100000}"/>
    <cellStyle name="Normal 2 4 5 2 3 7 2" xfId="13138" xr:uid="{B9AD0B2A-6AF8-4845-B488-D57835318686}"/>
    <cellStyle name="Normal 2 4 5 2 3 8" xfId="8920" xr:uid="{89891D29-BA10-4258-8510-7FFA7E42E455}"/>
    <cellStyle name="Normal 2 4 5 2 4" xfId="793" xr:uid="{00000000-0005-0000-0000-000073100000}"/>
    <cellStyle name="Normal 2 4 5 2 4 2" xfId="3032" xr:uid="{00000000-0005-0000-0000-000074100000}"/>
    <cellStyle name="Normal 2 4 5 2 4 2 2" xfId="7255" xr:uid="{00000000-0005-0000-0000-000075100000}"/>
    <cellStyle name="Normal 2 4 5 2 4 2 2 2" xfId="15694" xr:uid="{DAB57F17-CE67-4A77-A961-BC34B06FC8E2}"/>
    <cellStyle name="Normal 2 4 5 2 4 2 3" xfId="11476" xr:uid="{756258D3-7EB9-4482-8D4E-6B3031FFDC43}"/>
    <cellStyle name="Normal 2 4 5 2 4 3" xfId="5110" xr:uid="{00000000-0005-0000-0000-000076100000}"/>
    <cellStyle name="Normal 2 4 5 2 4 3 2" xfId="13549" xr:uid="{E5E95257-FF56-40AB-866A-72F5F187C6AB}"/>
    <cellStyle name="Normal 2 4 5 2 4 4" xfId="9331" xr:uid="{C9A49A50-E47A-421B-BA99-8602AFD8FD11}"/>
    <cellStyle name="Normal 2 4 5 2 5" xfId="1215" xr:uid="{00000000-0005-0000-0000-000077100000}"/>
    <cellStyle name="Normal 2 4 5 2 5 2" xfId="3445" xr:uid="{00000000-0005-0000-0000-000078100000}"/>
    <cellStyle name="Normal 2 4 5 2 5 2 2" xfId="7668" xr:uid="{00000000-0005-0000-0000-000079100000}"/>
    <cellStyle name="Normal 2 4 5 2 5 2 2 2" xfId="16107" xr:uid="{371B60A2-5AFE-49C9-AB11-B4DC33ECD145}"/>
    <cellStyle name="Normal 2 4 5 2 5 2 3" xfId="11889" xr:uid="{C7350639-5DC0-48CA-9E0D-3FCAD70124C8}"/>
    <cellStyle name="Normal 2 4 5 2 5 3" xfId="5523" xr:uid="{00000000-0005-0000-0000-00007A100000}"/>
    <cellStyle name="Normal 2 4 5 2 5 3 2" xfId="13962" xr:uid="{88EA271F-00D2-41B4-B0F6-3D4043014FB6}"/>
    <cellStyle name="Normal 2 4 5 2 5 4" xfId="9744" xr:uid="{7527ACCA-7DEE-4C28-B935-D2C90CAFBAAD}"/>
    <cellStyle name="Normal 2 4 5 2 6" xfId="1628" xr:uid="{00000000-0005-0000-0000-00007B100000}"/>
    <cellStyle name="Normal 2 4 5 2 6 2" xfId="3858" xr:uid="{00000000-0005-0000-0000-00007C100000}"/>
    <cellStyle name="Normal 2 4 5 2 6 2 2" xfId="8081" xr:uid="{00000000-0005-0000-0000-00007D100000}"/>
    <cellStyle name="Normal 2 4 5 2 6 2 2 2" xfId="16520" xr:uid="{8816B78B-B0E1-44A2-ADF2-DB108513E669}"/>
    <cellStyle name="Normal 2 4 5 2 6 2 3" xfId="12302" xr:uid="{CBEABA46-E0A6-48EB-A0CC-58A449911C4C}"/>
    <cellStyle name="Normal 2 4 5 2 6 3" xfId="5936" xr:uid="{00000000-0005-0000-0000-00007E100000}"/>
    <cellStyle name="Normal 2 4 5 2 6 3 2" xfId="14375" xr:uid="{DBE3BC16-3EC9-41E7-A01D-CF345C5A5B22}"/>
    <cellStyle name="Normal 2 4 5 2 6 4" xfId="10157" xr:uid="{93E227E3-8E14-456A-B727-214711EDBF11}"/>
    <cellStyle name="Normal 2 4 5 2 7" xfId="2042" xr:uid="{00000000-0005-0000-0000-00007F100000}"/>
    <cellStyle name="Normal 2 4 5 2 7 2" xfId="4271" xr:uid="{00000000-0005-0000-0000-000080100000}"/>
    <cellStyle name="Normal 2 4 5 2 7 2 2" xfId="8494" xr:uid="{00000000-0005-0000-0000-000081100000}"/>
    <cellStyle name="Normal 2 4 5 2 7 2 2 2" xfId="16933" xr:uid="{337E547F-A15F-4CE0-B347-B494E15C6419}"/>
    <cellStyle name="Normal 2 4 5 2 7 2 3" xfId="12715" xr:uid="{A9963073-48E5-457D-8E6E-FD6429D61020}"/>
    <cellStyle name="Normal 2 4 5 2 7 3" xfId="6349" xr:uid="{00000000-0005-0000-0000-000082100000}"/>
    <cellStyle name="Normal 2 4 5 2 7 3 2" xfId="14788" xr:uid="{85573447-5BA1-41BA-A8ED-03E6B978401C}"/>
    <cellStyle name="Normal 2 4 5 2 7 4" xfId="10570" xr:uid="{309EDA3F-F5D0-426E-A269-81087CF480BC}"/>
    <cellStyle name="Normal 2 4 5 2 8" xfId="2478" xr:uid="{00000000-0005-0000-0000-000083100000}"/>
    <cellStyle name="Normal 2 4 5 2 8 2" xfId="6762" xr:uid="{00000000-0005-0000-0000-000084100000}"/>
    <cellStyle name="Normal 2 4 5 2 8 2 2" xfId="15201" xr:uid="{8580FC9C-4452-4B7C-B05D-589055EE48A4}"/>
    <cellStyle name="Normal 2 4 5 2 8 3" xfId="10983" xr:uid="{5DA734A0-5E40-48AA-BC10-0F51EC71DE70}"/>
    <cellStyle name="Normal 2 4 5 2 9" xfId="4696" xr:uid="{00000000-0005-0000-0000-000085100000}"/>
    <cellStyle name="Normal 2 4 5 2 9 2" xfId="13135" xr:uid="{DBB7783B-56F1-46D0-8475-3D247A3E18DA}"/>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2 2 2" xfId="15699" xr:uid="{64FBE923-1F32-4A51-AE78-41FCB7CA0B6D}"/>
    <cellStyle name="Normal 2 4 5 3 2 2 2 3" xfId="11481" xr:uid="{A74F6409-9C75-43E9-9E1D-98215D3DA359}"/>
    <cellStyle name="Normal 2 4 5 3 2 2 3" xfId="5115" xr:uid="{00000000-0005-0000-0000-00008B100000}"/>
    <cellStyle name="Normal 2 4 5 3 2 2 3 2" xfId="13554" xr:uid="{BA953840-3A84-4D40-8BF3-8AD6EA9D1C22}"/>
    <cellStyle name="Normal 2 4 5 3 2 2 4" xfId="9336" xr:uid="{28878DDD-81C9-4214-B90E-643DBBD6E303}"/>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2 2 2" xfId="16112" xr:uid="{D85F77ED-6F31-42FB-AD3F-3B967B59B959}"/>
    <cellStyle name="Normal 2 4 5 3 2 3 2 3" xfId="11894" xr:uid="{FE367C21-1074-42FD-A522-2F8016437DE9}"/>
    <cellStyle name="Normal 2 4 5 3 2 3 3" xfId="5528" xr:uid="{00000000-0005-0000-0000-00008F100000}"/>
    <cellStyle name="Normal 2 4 5 3 2 3 3 2" xfId="13967" xr:uid="{9C7059E3-2133-4AA8-8FDB-F1C714DDFFE1}"/>
    <cellStyle name="Normal 2 4 5 3 2 3 4" xfId="9749" xr:uid="{B0BE02F4-827D-4D48-B1BB-DD7C2F1A3C4A}"/>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2 2 2" xfId="16525" xr:uid="{3B0250E3-3BD0-4B32-890F-3E7C8E595CD6}"/>
    <cellStyle name="Normal 2 4 5 3 2 4 2 3" xfId="12307" xr:uid="{995AB2A5-54AE-49FE-97B3-72CC5E2BA325}"/>
    <cellStyle name="Normal 2 4 5 3 2 4 3" xfId="5941" xr:uid="{00000000-0005-0000-0000-000093100000}"/>
    <cellStyle name="Normal 2 4 5 3 2 4 3 2" xfId="14380" xr:uid="{9D762DA8-3342-4368-BF87-A3ED7B1AFEF5}"/>
    <cellStyle name="Normal 2 4 5 3 2 4 4" xfId="10162" xr:uid="{900642BB-5B86-4A10-B7B8-26F3EBC049CB}"/>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2 2 2" xfId="16938" xr:uid="{4152D56E-ED96-43B4-96EF-389A89206F08}"/>
    <cellStyle name="Normal 2 4 5 3 2 5 2 3" xfId="12720" xr:uid="{7D909C95-3B8B-4911-870C-42848ED6EF74}"/>
    <cellStyle name="Normal 2 4 5 3 2 5 3" xfId="6354" xr:uid="{00000000-0005-0000-0000-000097100000}"/>
    <cellStyle name="Normal 2 4 5 3 2 5 3 2" xfId="14793" xr:uid="{F022D1B1-2896-44FE-8173-8322A4095B0D}"/>
    <cellStyle name="Normal 2 4 5 3 2 5 4" xfId="10575" xr:uid="{62796C7D-EA8C-4265-BAB0-39F636F926B8}"/>
    <cellStyle name="Normal 2 4 5 3 2 6" xfId="2483" xr:uid="{00000000-0005-0000-0000-000098100000}"/>
    <cellStyle name="Normal 2 4 5 3 2 6 2" xfId="6767" xr:uid="{00000000-0005-0000-0000-000099100000}"/>
    <cellStyle name="Normal 2 4 5 3 2 6 2 2" xfId="15206" xr:uid="{9891D036-6B9C-4AA1-8F53-6DC62EDB2451}"/>
    <cellStyle name="Normal 2 4 5 3 2 6 3" xfId="10988" xr:uid="{23BFF9BC-624E-43F1-87C6-83C1B1507F23}"/>
    <cellStyle name="Normal 2 4 5 3 2 7" xfId="4701" xr:uid="{00000000-0005-0000-0000-00009A100000}"/>
    <cellStyle name="Normal 2 4 5 3 2 7 2" xfId="13140" xr:uid="{EAE48FFE-E4DA-49BE-ADBC-C8B4D90F34B4}"/>
    <cellStyle name="Normal 2 4 5 3 2 8" xfId="8922" xr:uid="{8EB85F1B-DB48-4F36-8FD1-CB904B7A4AA1}"/>
    <cellStyle name="Normal 2 4 5 3 3" xfId="797" xr:uid="{00000000-0005-0000-0000-00009B100000}"/>
    <cellStyle name="Normal 2 4 5 3 3 2" xfId="3036" xr:uid="{00000000-0005-0000-0000-00009C100000}"/>
    <cellStyle name="Normal 2 4 5 3 3 2 2" xfId="7259" xr:uid="{00000000-0005-0000-0000-00009D100000}"/>
    <cellStyle name="Normal 2 4 5 3 3 2 2 2" xfId="15698" xr:uid="{2C55DFFA-C1C0-47ED-9EA4-43CA02810408}"/>
    <cellStyle name="Normal 2 4 5 3 3 2 3" xfId="11480" xr:uid="{138D9BFD-C213-40D9-A12A-B7C2D87096A5}"/>
    <cellStyle name="Normal 2 4 5 3 3 3" xfId="5114" xr:uid="{00000000-0005-0000-0000-00009E100000}"/>
    <cellStyle name="Normal 2 4 5 3 3 3 2" xfId="13553" xr:uid="{D8F7E7B6-470C-4E4B-9195-D90053A8205F}"/>
    <cellStyle name="Normal 2 4 5 3 3 4" xfId="9335" xr:uid="{72D8F880-B38A-4023-9096-7E761F81BA78}"/>
    <cellStyle name="Normal 2 4 5 3 4" xfId="1219" xr:uid="{00000000-0005-0000-0000-00009F100000}"/>
    <cellStyle name="Normal 2 4 5 3 4 2" xfId="3449" xr:uid="{00000000-0005-0000-0000-0000A0100000}"/>
    <cellStyle name="Normal 2 4 5 3 4 2 2" xfId="7672" xr:uid="{00000000-0005-0000-0000-0000A1100000}"/>
    <cellStyle name="Normal 2 4 5 3 4 2 2 2" xfId="16111" xr:uid="{A7BD2D3C-65EB-4CA5-B716-F4B4512B0051}"/>
    <cellStyle name="Normal 2 4 5 3 4 2 3" xfId="11893" xr:uid="{8AB9A49F-1FE8-434B-9B43-87CF1FE20EED}"/>
    <cellStyle name="Normal 2 4 5 3 4 3" xfId="5527" xr:uid="{00000000-0005-0000-0000-0000A2100000}"/>
    <cellStyle name="Normal 2 4 5 3 4 3 2" xfId="13966" xr:uid="{4527AE59-AC3A-4D43-ADB0-61F07A4EC623}"/>
    <cellStyle name="Normal 2 4 5 3 4 4" xfId="9748" xr:uid="{CE4F6572-82E2-498D-BA4A-434282539633}"/>
    <cellStyle name="Normal 2 4 5 3 5" xfId="1632" xr:uid="{00000000-0005-0000-0000-0000A3100000}"/>
    <cellStyle name="Normal 2 4 5 3 5 2" xfId="3862" xr:uid="{00000000-0005-0000-0000-0000A4100000}"/>
    <cellStyle name="Normal 2 4 5 3 5 2 2" xfId="8085" xr:uid="{00000000-0005-0000-0000-0000A5100000}"/>
    <cellStyle name="Normal 2 4 5 3 5 2 2 2" xfId="16524" xr:uid="{5F057E4E-732B-4371-8892-C926912B1459}"/>
    <cellStyle name="Normal 2 4 5 3 5 2 3" xfId="12306" xr:uid="{F068A00F-E7AA-4619-BD9E-D49E4A6BD86F}"/>
    <cellStyle name="Normal 2 4 5 3 5 3" xfId="5940" xr:uid="{00000000-0005-0000-0000-0000A6100000}"/>
    <cellStyle name="Normal 2 4 5 3 5 3 2" xfId="14379" xr:uid="{FC14956A-94B1-4643-8848-A2B1C0D8A3E7}"/>
    <cellStyle name="Normal 2 4 5 3 5 4" xfId="10161" xr:uid="{AD33A699-E9B7-486E-AEDD-36367CA14940}"/>
    <cellStyle name="Normal 2 4 5 3 6" xfId="2046" xr:uid="{00000000-0005-0000-0000-0000A7100000}"/>
    <cellStyle name="Normal 2 4 5 3 6 2" xfId="4275" xr:uid="{00000000-0005-0000-0000-0000A8100000}"/>
    <cellStyle name="Normal 2 4 5 3 6 2 2" xfId="8498" xr:uid="{00000000-0005-0000-0000-0000A9100000}"/>
    <cellStyle name="Normal 2 4 5 3 6 2 2 2" xfId="16937" xr:uid="{DB469BE0-26F8-426C-9891-1A47332C5258}"/>
    <cellStyle name="Normal 2 4 5 3 6 2 3" xfId="12719" xr:uid="{95E87446-7367-45AA-AC3B-63D20CE34C03}"/>
    <cellStyle name="Normal 2 4 5 3 6 3" xfId="6353" xr:uid="{00000000-0005-0000-0000-0000AA100000}"/>
    <cellStyle name="Normal 2 4 5 3 6 3 2" xfId="14792" xr:uid="{20D359A4-8110-4141-ACAE-54172BF206B0}"/>
    <cellStyle name="Normal 2 4 5 3 6 4" xfId="10574" xr:uid="{1345AF90-09E2-4C01-8D84-1199A6630F89}"/>
    <cellStyle name="Normal 2 4 5 3 7" xfId="2482" xr:uid="{00000000-0005-0000-0000-0000AB100000}"/>
    <cellStyle name="Normal 2 4 5 3 7 2" xfId="6766" xr:uid="{00000000-0005-0000-0000-0000AC100000}"/>
    <cellStyle name="Normal 2 4 5 3 7 2 2" xfId="15205" xr:uid="{5A6D870F-7B40-40F8-809B-FA3A632D2653}"/>
    <cellStyle name="Normal 2 4 5 3 7 3" xfId="10987" xr:uid="{B70E7C2B-E46F-4174-916F-06585FE274D9}"/>
    <cellStyle name="Normal 2 4 5 3 8" xfId="4700" xr:uid="{00000000-0005-0000-0000-0000AD100000}"/>
    <cellStyle name="Normal 2 4 5 3 8 2" xfId="13139" xr:uid="{663F9179-9A89-4662-9664-F6D4328335CE}"/>
    <cellStyle name="Normal 2 4 5 3 9" xfId="8921" xr:uid="{A80F83BB-4BE6-4418-9A09-18FE8CB037FF}"/>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2 2 2" xfId="15700" xr:uid="{F986D5D1-3643-45B1-9393-1B88981E7ED8}"/>
    <cellStyle name="Normal 2 4 5 4 2 2 3" xfId="11482" xr:uid="{302E324C-8D0E-470D-AA17-1CF0AB386621}"/>
    <cellStyle name="Normal 2 4 5 4 2 3" xfId="5116" xr:uid="{00000000-0005-0000-0000-0000B2100000}"/>
    <cellStyle name="Normal 2 4 5 4 2 3 2" xfId="13555" xr:uid="{EA2F0479-9B5B-46FA-B6A5-5E7B9EA14CE0}"/>
    <cellStyle name="Normal 2 4 5 4 2 4" xfId="9337" xr:uid="{89371F33-0101-498A-BF64-6358C9966BF5}"/>
    <cellStyle name="Normal 2 4 5 4 3" xfId="1221" xr:uid="{00000000-0005-0000-0000-0000B3100000}"/>
    <cellStyle name="Normal 2 4 5 4 3 2" xfId="3451" xr:uid="{00000000-0005-0000-0000-0000B4100000}"/>
    <cellStyle name="Normal 2 4 5 4 3 2 2" xfId="7674" xr:uid="{00000000-0005-0000-0000-0000B5100000}"/>
    <cellStyle name="Normal 2 4 5 4 3 2 2 2" xfId="16113" xr:uid="{075D10D5-28BE-4E57-9383-AEDAC2F94038}"/>
    <cellStyle name="Normal 2 4 5 4 3 2 3" xfId="11895" xr:uid="{54B67588-E4B4-48AD-A466-CE9ED08B9A94}"/>
    <cellStyle name="Normal 2 4 5 4 3 3" xfId="5529" xr:uid="{00000000-0005-0000-0000-0000B6100000}"/>
    <cellStyle name="Normal 2 4 5 4 3 3 2" xfId="13968" xr:uid="{95A5BE6A-D8FC-42D9-A330-5022484D508C}"/>
    <cellStyle name="Normal 2 4 5 4 3 4" xfId="9750" xr:uid="{E90B15B3-5A35-48DF-B705-35F0B33057F3}"/>
    <cellStyle name="Normal 2 4 5 4 4" xfId="1634" xr:uid="{00000000-0005-0000-0000-0000B7100000}"/>
    <cellStyle name="Normal 2 4 5 4 4 2" xfId="3864" xr:uid="{00000000-0005-0000-0000-0000B8100000}"/>
    <cellStyle name="Normal 2 4 5 4 4 2 2" xfId="8087" xr:uid="{00000000-0005-0000-0000-0000B9100000}"/>
    <cellStyle name="Normal 2 4 5 4 4 2 2 2" xfId="16526" xr:uid="{B508221D-27CC-459E-AB79-9B4ED348A227}"/>
    <cellStyle name="Normal 2 4 5 4 4 2 3" xfId="12308" xr:uid="{9BFD88E1-D6CF-4F3C-949A-DC9DE30393B8}"/>
    <cellStyle name="Normal 2 4 5 4 4 3" xfId="5942" xr:uid="{00000000-0005-0000-0000-0000BA100000}"/>
    <cellStyle name="Normal 2 4 5 4 4 3 2" xfId="14381" xr:uid="{DE2F3F42-2671-4C2E-BAEF-213CBB45D563}"/>
    <cellStyle name="Normal 2 4 5 4 4 4" xfId="10163" xr:uid="{40187495-B334-4F45-AEB4-1FF42CC92FCD}"/>
    <cellStyle name="Normal 2 4 5 4 5" xfId="2048" xr:uid="{00000000-0005-0000-0000-0000BB100000}"/>
    <cellStyle name="Normal 2 4 5 4 5 2" xfId="4277" xr:uid="{00000000-0005-0000-0000-0000BC100000}"/>
    <cellStyle name="Normal 2 4 5 4 5 2 2" xfId="8500" xr:uid="{00000000-0005-0000-0000-0000BD100000}"/>
    <cellStyle name="Normal 2 4 5 4 5 2 2 2" xfId="16939" xr:uid="{FA147448-1218-43E6-AA17-EFD09440BC2B}"/>
    <cellStyle name="Normal 2 4 5 4 5 2 3" xfId="12721" xr:uid="{8C7E977F-0948-415A-8F0E-97EBBEA74F10}"/>
    <cellStyle name="Normal 2 4 5 4 5 3" xfId="6355" xr:uid="{00000000-0005-0000-0000-0000BE100000}"/>
    <cellStyle name="Normal 2 4 5 4 5 3 2" xfId="14794" xr:uid="{CEAC6ABF-7B5E-483F-B0D8-B06B3E710104}"/>
    <cellStyle name="Normal 2 4 5 4 5 4" xfId="10576" xr:uid="{33071119-A1ED-4728-8F2A-312328B9D1BA}"/>
    <cellStyle name="Normal 2 4 5 4 6" xfId="2484" xr:uid="{00000000-0005-0000-0000-0000BF100000}"/>
    <cellStyle name="Normal 2 4 5 4 6 2" xfId="6768" xr:uid="{00000000-0005-0000-0000-0000C0100000}"/>
    <cellStyle name="Normal 2 4 5 4 6 2 2" xfId="15207" xr:uid="{8A3BCD05-4AE2-45CA-8D69-BCBE5896D14A}"/>
    <cellStyle name="Normal 2 4 5 4 6 3" xfId="10989" xr:uid="{4A4402C9-DC72-484B-B3B9-CE2A7A73E7A1}"/>
    <cellStyle name="Normal 2 4 5 4 7" xfId="4702" xr:uid="{00000000-0005-0000-0000-0000C1100000}"/>
    <cellStyle name="Normal 2 4 5 4 7 2" xfId="13141" xr:uid="{F2E4E3A5-8860-428C-8F01-C7739472C88C}"/>
    <cellStyle name="Normal 2 4 5 4 8" xfId="8923" xr:uid="{EADD079C-F2B5-43C1-A501-2AECE2F0F1F0}"/>
    <cellStyle name="Normal 2 4 5 5" xfId="792" xr:uid="{00000000-0005-0000-0000-0000C2100000}"/>
    <cellStyle name="Normal 2 4 5 5 2" xfId="3031" xr:uid="{00000000-0005-0000-0000-0000C3100000}"/>
    <cellStyle name="Normal 2 4 5 5 2 2" xfId="7254" xr:uid="{00000000-0005-0000-0000-0000C4100000}"/>
    <cellStyle name="Normal 2 4 5 5 2 2 2" xfId="15693" xr:uid="{0C76CDC2-A7BF-414E-BD31-8A20B4ECDA71}"/>
    <cellStyle name="Normal 2 4 5 5 2 3" xfId="11475" xr:uid="{2858BEC3-BD07-4CD9-891C-43B1349191B1}"/>
    <cellStyle name="Normal 2 4 5 5 3" xfId="5109" xr:uid="{00000000-0005-0000-0000-0000C5100000}"/>
    <cellStyle name="Normal 2 4 5 5 3 2" xfId="13548" xr:uid="{7BF65F89-5CC8-43C5-BAD6-28B7C7A3FE23}"/>
    <cellStyle name="Normal 2 4 5 5 4" xfId="9330" xr:uid="{83D97F5E-9713-479F-96B9-79DAE1484FB0}"/>
    <cellStyle name="Normal 2 4 5 6" xfId="1214" xr:uid="{00000000-0005-0000-0000-0000C6100000}"/>
    <cellStyle name="Normal 2 4 5 6 2" xfId="3444" xr:uid="{00000000-0005-0000-0000-0000C7100000}"/>
    <cellStyle name="Normal 2 4 5 6 2 2" xfId="7667" xr:uid="{00000000-0005-0000-0000-0000C8100000}"/>
    <cellStyle name="Normal 2 4 5 6 2 2 2" xfId="16106" xr:uid="{DDFA0C4F-AA4D-4936-A2C8-D02A3F463815}"/>
    <cellStyle name="Normal 2 4 5 6 2 3" xfId="11888" xr:uid="{F890CE54-9953-46C2-9878-E8211152683C}"/>
    <cellStyle name="Normal 2 4 5 6 3" xfId="5522" xr:uid="{00000000-0005-0000-0000-0000C9100000}"/>
    <cellStyle name="Normal 2 4 5 6 3 2" xfId="13961" xr:uid="{FC013DD2-AEBD-45A4-B626-FE234DE90274}"/>
    <cellStyle name="Normal 2 4 5 6 4" xfId="9743" xr:uid="{7F54B70C-12CB-428F-BF99-D4BB0923F33B}"/>
    <cellStyle name="Normal 2 4 5 7" xfId="1627" xr:uid="{00000000-0005-0000-0000-0000CA100000}"/>
    <cellStyle name="Normal 2 4 5 7 2" xfId="3857" xr:uid="{00000000-0005-0000-0000-0000CB100000}"/>
    <cellStyle name="Normal 2 4 5 7 2 2" xfId="8080" xr:uid="{00000000-0005-0000-0000-0000CC100000}"/>
    <cellStyle name="Normal 2 4 5 7 2 2 2" xfId="16519" xr:uid="{6B70B65B-3B94-4BD6-AA6C-5684DEE5C8CE}"/>
    <cellStyle name="Normal 2 4 5 7 2 3" xfId="12301" xr:uid="{7F0A1230-CC36-43B9-B98A-B8467C82EEA4}"/>
    <cellStyle name="Normal 2 4 5 7 3" xfId="5935" xr:uid="{00000000-0005-0000-0000-0000CD100000}"/>
    <cellStyle name="Normal 2 4 5 7 3 2" xfId="14374" xr:uid="{AA0898C8-D338-4AFB-8BC0-D6C03ABD80F2}"/>
    <cellStyle name="Normal 2 4 5 7 4" xfId="10156" xr:uid="{1EF38C7E-9CD0-463D-A738-1E87AB539DD3}"/>
    <cellStyle name="Normal 2 4 5 8" xfId="2041" xr:uid="{00000000-0005-0000-0000-0000CE100000}"/>
    <cellStyle name="Normal 2 4 5 8 2" xfId="4270" xr:uid="{00000000-0005-0000-0000-0000CF100000}"/>
    <cellStyle name="Normal 2 4 5 8 2 2" xfId="8493" xr:uid="{00000000-0005-0000-0000-0000D0100000}"/>
    <cellStyle name="Normal 2 4 5 8 2 2 2" xfId="16932" xr:uid="{F5CBFA7E-DF50-4BCA-91BD-9CB74A5C3E35}"/>
    <cellStyle name="Normal 2 4 5 8 2 3" xfId="12714" xr:uid="{9F96C7D7-5359-40F6-B90C-4242FDDFB9D6}"/>
    <cellStyle name="Normal 2 4 5 8 3" xfId="6348" xr:uid="{00000000-0005-0000-0000-0000D1100000}"/>
    <cellStyle name="Normal 2 4 5 8 3 2" xfId="14787" xr:uid="{7B73BD63-F209-4E13-9418-4A92B81E5E5F}"/>
    <cellStyle name="Normal 2 4 5 8 4" xfId="10569" xr:uid="{F292F4DD-C421-4D30-AF43-4AB82FFB11FE}"/>
    <cellStyle name="Normal 2 4 5 9" xfId="2477" xr:uid="{00000000-0005-0000-0000-0000D2100000}"/>
    <cellStyle name="Normal 2 4 5 9 2" xfId="6761" xr:uid="{00000000-0005-0000-0000-0000D3100000}"/>
    <cellStyle name="Normal 2 4 5 9 2 2" xfId="15200" xr:uid="{FFDDBD95-1E14-40E4-BDA3-A36B239C88F3}"/>
    <cellStyle name="Normal 2 4 5 9 3" xfId="10982" xr:uid="{A7D7E2EB-BA1A-451D-95AB-46C2AE4652F1}"/>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2 2 2" xfId="15702" xr:uid="{B6203551-0C15-4D8B-9195-E35A8F0C67A4}"/>
    <cellStyle name="Normal 2 4 7 2 2 2 3" xfId="11484" xr:uid="{DF0DB8F5-37E0-4D86-95F7-BBFCB5171FBB}"/>
    <cellStyle name="Normal 2 4 7 2 2 3" xfId="5118" xr:uid="{00000000-0005-0000-0000-0000DA100000}"/>
    <cellStyle name="Normal 2 4 7 2 2 3 2" xfId="13557" xr:uid="{C82F8DA7-BFF2-4657-AA7F-83595DA8B029}"/>
    <cellStyle name="Normal 2 4 7 2 2 4" xfId="9339" xr:uid="{38913A40-4FD7-4D2A-A8CD-C20CDE0C683F}"/>
    <cellStyle name="Normal 2 4 7 2 3" xfId="1223" xr:uid="{00000000-0005-0000-0000-0000DB100000}"/>
    <cellStyle name="Normal 2 4 7 2 3 2" xfId="3453" xr:uid="{00000000-0005-0000-0000-0000DC100000}"/>
    <cellStyle name="Normal 2 4 7 2 3 2 2" xfId="7676" xr:uid="{00000000-0005-0000-0000-0000DD100000}"/>
    <cellStyle name="Normal 2 4 7 2 3 2 2 2" xfId="16115" xr:uid="{A61529D1-2B3A-4F93-AC40-2C13A824CD1B}"/>
    <cellStyle name="Normal 2 4 7 2 3 2 3" xfId="11897" xr:uid="{1895F873-30CC-4F5C-9B91-5B0252331521}"/>
    <cellStyle name="Normal 2 4 7 2 3 3" xfId="5531" xr:uid="{00000000-0005-0000-0000-0000DE100000}"/>
    <cellStyle name="Normal 2 4 7 2 3 3 2" xfId="13970" xr:uid="{C3C344AF-3D86-4DE2-93A7-EA01D5E8D177}"/>
    <cellStyle name="Normal 2 4 7 2 3 4" xfId="9752" xr:uid="{4D971A55-C366-447D-A545-54F2E520D54F}"/>
    <cellStyle name="Normal 2 4 7 2 4" xfId="1636" xr:uid="{00000000-0005-0000-0000-0000DF100000}"/>
    <cellStyle name="Normal 2 4 7 2 4 2" xfId="3866" xr:uid="{00000000-0005-0000-0000-0000E0100000}"/>
    <cellStyle name="Normal 2 4 7 2 4 2 2" xfId="8089" xr:uid="{00000000-0005-0000-0000-0000E1100000}"/>
    <cellStyle name="Normal 2 4 7 2 4 2 2 2" xfId="16528" xr:uid="{B26B9E8D-6B2B-41DA-8EE8-67009B031A76}"/>
    <cellStyle name="Normal 2 4 7 2 4 2 3" xfId="12310" xr:uid="{A3B5C217-EA0B-4CB9-8C49-2D56123958F7}"/>
    <cellStyle name="Normal 2 4 7 2 4 3" xfId="5944" xr:uid="{00000000-0005-0000-0000-0000E2100000}"/>
    <cellStyle name="Normal 2 4 7 2 4 3 2" xfId="14383" xr:uid="{CABEB022-4F98-406F-99DC-CA8481254BA4}"/>
    <cellStyle name="Normal 2 4 7 2 4 4" xfId="10165" xr:uid="{B884CE63-BE06-4875-A5BE-30B286FCCEEC}"/>
    <cellStyle name="Normal 2 4 7 2 5" xfId="2050" xr:uid="{00000000-0005-0000-0000-0000E3100000}"/>
    <cellStyle name="Normal 2 4 7 2 5 2" xfId="4279" xr:uid="{00000000-0005-0000-0000-0000E4100000}"/>
    <cellStyle name="Normal 2 4 7 2 5 2 2" xfId="8502" xr:uid="{00000000-0005-0000-0000-0000E5100000}"/>
    <cellStyle name="Normal 2 4 7 2 5 2 2 2" xfId="16941" xr:uid="{49DFDF4C-B4C6-4346-BDAE-3DDC234A8590}"/>
    <cellStyle name="Normal 2 4 7 2 5 2 3" xfId="12723" xr:uid="{84E848BA-7DD9-4F83-A989-7BB77301F4AB}"/>
    <cellStyle name="Normal 2 4 7 2 5 3" xfId="6357" xr:uid="{00000000-0005-0000-0000-0000E6100000}"/>
    <cellStyle name="Normal 2 4 7 2 5 3 2" xfId="14796" xr:uid="{3F98379C-E1D3-4760-BAD3-439C696BB884}"/>
    <cellStyle name="Normal 2 4 7 2 5 4" xfId="10578" xr:uid="{828F48E7-5676-456B-B292-E29DA5CA9D9A}"/>
    <cellStyle name="Normal 2 4 7 2 6" xfId="2486" xr:uid="{00000000-0005-0000-0000-0000E7100000}"/>
    <cellStyle name="Normal 2 4 7 2 6 2" xfId="6770" xr:uid="{00000000-0005-0000-0000-0000E8100000}"/>
    <cellStyle name="Normal 2 4 7 2 6 2 2" xfId="15209" xr:uid="{32E14C00-C8FA-475D-A961-644039998776}"/>
    <cellStyle name="Normal 2 4 7 2 6 3" xfId="10991" xr:uid="{8450A5A6-71FD-49F6-BAE5-6FE39CDB939D}"/>
    <cellStyle name="Normal 2 4 7 2 7" xfId="4704" xr:uid="{00000000-0005-0000-0000-0000E9100000}"/>
    <cellStyle name="Normal 2 4 7 2 7 2" xfId="13143" xr:uid="{43D36F43-7686-4E92-BF07-757B33F3F9AA}"/>
    <cellStyle name="Normal 2 4 7 2 8" xfId="8925" xr:uid="{F29BB639-CD2A-43A5-BBB9-C9FA09F27127}"/>
    <cellStyle name="Normal 2 4 7 3" xfId="800" xr:uid="{00000000-0005-0000-0000-0000EA100000}"/>
    <cellStyle name="Normal 2 4 7 3 2" xfId="3039" xr:uid="{00000000-0005-0000-0000-0000EB100000}"/>
    <cellStyle name="Normal 2 4 7 3 2 2" xfId="7262" xr:uid="{00000000-0005-0000-0000-0000EC100000}"/>
    <cellStyle name="Normal 2 4 7 3 2 2 2" xfId="15701" xr:uid="{0B4A2A89-34DD-415E-A99E-3A61B095EA23}"/>
    <cellStyle name="Normal 2 4 7 3 2 3" xfId="11483" xr:uid="{EBD6CA99-2F58-42D5-90C1-85ADDE5DECA0}"/>
    <cellStyle name="Normal 2 4 7 3 3" xfId="5117" xr:uid="{00000000-0005-0000-0000-0000ED100000}"/>
    <cellStyle name="Normal 2 4 7 3 3 2" xfId="13556" xr:uid="{F325E561-74F6-4694-927D-05DEDC502C3A}"/>
    <cellStyle name="Normal 2 4 7 3 4" xfId="9338" xr:uid="{3EDE8740-8930-4826-9952-85A90AF95E86}"/>
    <cellStyle name="Normal 2 4 7 4" xfId="1222" xr:uid="{00000000-0005-0000-0000-0000EE100000}"/>
    <cellStyle name="Normal 2 4 7 4 2" xfId="3452" xr:uid="{00000000-0005-0000-0000-0000EF100000}"/>
    <cellStyle name="Normal 2 4 7 4 2 2" xfId="7675" xr:uid="{00000000-0005-0000-0000-0000F0100000}"/>
    <cellStyle name="Normal 2 4 7 4 2 2 2" xfId="16114" xr:uid="{9B644450-490B-4331-9D5A-576C1B7254AA}"/>
    <cellStyle name="Normal 2 4 7 4 2 3" xfId="11896" xr:uid="{668FA60F-591F-4D4E-8BDC-E06621D1C7CA}"/>
    <cellStyle name="Normal 2 4 7 4 3" xfId="5530" xr:uid="{00000000-0005-0000-0000-0000F1100000}"/>
    <cellStyle name="Normal 2 4 7 4 3 2" xfId="13969" xr:uid="{6CC4A161-9E7F-4B6B-9954-54EB2FEE9F3F}"/>
    <cellStyle name="Normal 2 4 7 4 4" xfId="9751" xr:uid="{0884F521-E9D7-4531-A5EE-4BACA6F09F6D}"/>
    <cellStyle name="Normal 2 4 7 5" xfId="1635" xr:uid="{00000000-0005-0000-0000-0000F2100000}"/>
    <cellStyle name="Normal 2 4 7 5 2" xfId="3865" xr:uid="{00000000-0005-0000-0000-0000F3100000}"/>
    <cellStyle name="Normal 2 4 7 5 2 2" xfId="8088" xr:uid="{00000000-0005-0000-0000-0000F4100000}"/>
    <cellStyle name="Normal 2 4 7 5 2 2 2" xfId="16527" xr:uid="{263C3F72-8C61-408F-9267-7A317FDAEFE2}"/>
    <cellStyle name="Normal 2 4 7 5 2 3" xfId="12309" xr:uid="{5D2EBC25-A594-467B-A8C8-D746AF8CBC6D}"/>
    <cellStyle name="Normal 2 4 7 5 3" xfId="5943" xr:uid="{00000000-0005-0000-0000-0000F5100000}"/>
    <cellStyle name="Normal 2 4 7 5 3 2" xfId="14382" xr:uid="{8521DB19-3367-4DE9-B228-82AA5BFE45C1}"/>
    <cellStyle name="Normal 2 4 7 5 4" xfId="10164" xr:uid="{D4FE5E35-622C-4870-9E22-6D6118D29DF8}"/>
    <cellStyle name="Normal 2 4 7 6" xfId="2049" xr:uid="{00000000-0005-0000-0000-0000F6100000}"/>
    <cellStyle name="Normal 2 4 7 6 2" xfId="4278" xr:uid="{00000000-0005-0000-0000-0000F7100000}"/>
    <cellStyle name="Normal 2 4 7 6 2 2" xfId="8501" xr:uid="{00000000-0005-0000-0000-0000F8100000}"/>
    <cellStyle name="Normal 2 4 7 6 2 2 2" xfId="16940" xr:uid="{0401F7BB-2BD9-4FFE-9E3E-2AB1FD3A2B56}"/>
    <cellStyle name="Normal 2 4 7 6 2 3" xfId="12722" xr:uid="{C4F79F54-8F21-4DF3-8496-998BF9CD80E8}"/>
    <cellStyle name="Normal 2 4 7 6 3" xfId="6356" xr:uid="{00000000-0005-0000-0000-0000F9100000}"/>
    <cellStyle name="Normal 2 4 7 6 3 2" xfId="14795" xr:uid="{C157C573-0BA2-4EB6-A859-6C546AD400BB}"/>
    <cellStyle name="Normal 2 4 7 6 4" xfId="10577" xr:uid="{DD83ACB2-DE85-4E92-9804-4A2865EC4A50}"/>
    <cellStyle name="Normal 2 4 7 7" xfId="2485" xr:uid="{00000000-0005-0000-0000-0000FA100000}"/>
    <cellStyle name="Normal 2 4 7 7 2" xfId="6769" xr:uid="{00000000-0005-0000-0000-0000FB100000}"/>
    <cellStyle name="Normal 2 4 7 7 2 2" xfId="15208" xr:uid="{AD4B3622-D4AE-403C-B91E-71EA0673E8C8}"/>
    <cellStyle name="Normal 2 4 7 7 3" xfId="10990" xr:uid="{62848AB9-B711-4556-B489-66823314AB5E}"/>
    <cellStyle name="Normal 2 4 7 8" xfId="4703" xr:uid="{00000000-0005-0000-0000-0000FC100000}"/>
    <cellStyle name="Normal 2 4 7 8 2" xfId="13142" xr:uid="{716BBC3D-F965-454D-A5C2-AFDBD2EDB866}"/>
    <cellStyle name="Normal 2 4 7 9" xfId="8924" xr:uid="{E4FC5380-5671-4773-A4AE-F5A517E7ABF3}"/>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2 2 2" xfId="15703" xr:uid="{E7C6C447-91EB-40E3-A294-9CCB38E489E2}"/>
    <cellStyle name="Normal 2 4 8 2 2 3" xfId="11485" xr:uid="{5E6F4604-DDB6-4B39-BCD7-F499B6E23CF8}"/>
    <cellStyle name="Normal 2 4 8 2 3" xfId="5119" xr:uid="{00000000-0005-0000-0000-000001110000}"/>
    <cellStyle name="Normal 2 4 8 2 3 2" xfId="13558" xr:uid="{398DC1A1-0BBA-4B9D-9C7C-28B2B8FE55CC}"/>
    <cellStyle name="Normal 2 4 8 2 4" xfId="9340" xr:uid="{AE61C065-BCC7-4E22-9F58-F1E0DE47573E}"/>
    <cellStyle name="Normal 2 4 8 3" xfId="1224" xr:uid="{00000000-0005-0000-0000-000002110000}"/>
    <cellStyle name="Normal 2 4 8 3 2" xfId="3454" xr:uid="{00000000-0005-0000-0000-000003110000}"/>
    <cellStyle name="Normal 2 4 8 3 2 2" xfId="7677" xr:uid="{00000000-0005-0000-0000-000004110000}"/>
    <cellStyle name="Normal 2 4 8 3 2 2 2" xfId="16116" xr:uid="{FE38E385-73FE-491E-A1AC-8B0EF3127FC5}"/>
    <cellStyle name="Normal 2 4 8 3 2 3" xfId="11898" xr:uid="{E404E6B8-E3CA-4942-8629-9E4122B3BFAF}"/>
    <cellStyle name="Normal 2 4 8 3 3" xfId="5532" xr:uid="{00000000-0005-0000-0000-000005110000}"/>
    <cellStyle name="Normal 2 4 8 3 3 2" xfId="13971" xr:uid="{BE61C8CC-AAB1-4826-9A1E-238C58CFA15E}"/>
    <cellStyle name="Normal 2 4 8 3 4" xfId="9753" xr:uid="{2A8B5789-36C9-4F96-88F8-BED65B6BFBBB}"/>
    <cellStyle name="Normal 2 4 8 4" xfId="1637" xr:uid="{00000000-0005-0000-0000-000006110000}"/>
    <cellStyle name="Normal 2 4 8 4 2" xfId="3867" xr:uid="{00000000-0005-0000-0000-000007110000}"/>
    <cellStyle name="Normal 2 4 8 4 2 2" xfId="8090" xr:uid="{00000000-0005-0000-0000-000008110000}"/>
    <cellStyle name="Normal 2 4 8 4 2 2 2" xfId="16529" xr:uid="{57CB6548-5F42-4DBA-885A-3B69F7344E20}"/>
    <cellStyle name="Normal 2 4 8 4 2 3" xfId="12311" xr:uid="{8C8A8704-715A-43A6-B56D-1B2340BC11D2}"/>
    <cellStyle name="Normal 2 4 8 4 3" xfId="5945" xr:uid="{00000000-0005-0000-0000-000009110000}"/>
    <cellStyle name="Normal 2 4 8 4 3 2" xfId="14384" xr:uid="{6DD22157-8C0F-4D6B-999A-81A67DE827B1}"/>
    <cellStyle name="Normal 2 4 8 4 4" xfId="10166" xr:uid="{F41C0B1F-E7B5-481D-B269-4EE19F178B28}"/>
    <cellStyle name="Normal 2 4 8 5" xfId="2051" xr:uid="{00000000-0005-0000-0000-00000A110000}"/>
    <cellStyle name="Normal 2 4 8 5 2" xfId="4280" xr:uid="{00000000-0005-0000-0000-00000B110000}"/>
    <cellStyle name="Normal 2 4 8 5 2 2" xfId="8503" xr:uid="{00000000-0005-0000-0000-00000C110000}"/>
    <cellStyle name="Normal 2 4 8 5 2 2 2" xfId="16942" xr:uid="{FCCFD2B3-517F-45D9-B5D0-063980D4A468}"/>
    <cellStyle name="Normal 2 4 8 5 2 3" xfId="12724" xr:uid="{01B2DAF0-D7DC-42DA-8ADF-87111A1B3620}"/>
    <cellStyle name="Normal 2 4 8 5 3" xfId="6358" xr:uid="{00000000-0005-0000-0000-00000D110000}"/>
    <cellStyle name="Normal 2 4 8 5 3 2" xfId="14797" xr:uid="{5CF3B4F2-0A9D-4FA9-AC1B-C87FEF82C3C7}"/>
    <cellStyle name="Normal 2 4 8 5 4" xfId="10579" xr:uid="{801CA55D-27E1-40A5-B741-A8B2F9695457}"/>
    <cellStyle name="Normal 2 4 8 6" xfId="2487" xr:uid="{00000000-0005-0000-0000-00000E110000}"/>
    <cellStyle name="Normal 2 4 8 6 2" xfId="6771" xr:uid="{00000000-0005-0000-0000-00000F110000}"/>
    <cellStyle name="Normal 2 4 8 6 2 2" xfId="15210" xr:uid="{8721D287-F102-470E-8C7E-7EE3ADB955F7}"/>
    <cellStyle name="Normal 2 4 8 6 3" xfId="10992" xr:uid="{1B380875-22EC-4923-B8C8-0BD7C14CBE07}"/>
    <cellStyle name="Normal 2 4 8 7" xfId="4705" xr:uid="{00000000-0005-0000-0000-000010110000}"/>
    <cellStyle name="Normal 2 4 8 7 2" xfId="13144" xr:uid="{E814479A-21D3-4125-A934-CF37A35DC968}"/>
    <cellStyle name="Normal 2 4 8 8" xfId="8926" xr:uid="{951CBAB8-A2A5-4183-8CE7-0C677B04B621}"/>
    <cellStyle name="Normal 2 5" xfId="315" xr:uid="{00000000-0005-0000-0000-000011110000}"/>
    <cellStyle name="Normal 2 5 10" xfId="4706" xr:uid="{00000000-0005-0000-0000-000012110000}"/>
    <cellStyle name="Normal 2 5 10 2" xfId="13145" xr:uid="{87E35928-71E4-4917-920E-F495521BDDF3}"/>
    <cellStyle name="Normal 2 5 11" xfId="8927" xr:uid="{2CBB173D-6C3E-497D-9F20-B3F3BA9E209E}"/>
    <cellStyle name="Normal 2 5 2" xfId="316" xr:uid="{00000000-0005-0000-0000-000013110000}"/>
    <cellStyle name="Normal 2 5 3" xfId="317" xr:uid="{00000000-0005-0000-0000-000014110000}"/>
    <cellStyle name="Normal 2 5 4" xfId="318" xr:uid="{00000000-0005-0000-0000-000015110000}"/>
    <cellStyle name="Normal 2 5 4 10" xfId="8928" xr:uid="{8089AC7C-300F-4822-9350-39B4D06F289B}"/>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2 2 2" xfId="15707" xr:uid="{19752B92-2CB5-4E13-AA39-7C9437682BA4}"/>
    <cellStyle name="Normal 2 5 4 2 2 2 2 3" xfId="11489" xr:uid="{0FF21378-79E4-4F75-947A-78BA61002AC1}"/>
    <cellStyle name="Normal 2 5 4 2 2 2 3" xfId="5123" xr:uid="{00000000-0005-0000-0000-00001B110000}"/>
    <cellStyle name="Normal 2 5 4 2 2 2 3 2" xfId="13562" xr:uid="{822CA0E2-620F-403E-B1B6-876B1F7C1A1F}"/>
    <cellStyle name="Normal 2 5 4 2 2 2 4" xfId="9344" xr:uid="{BF49CA87-0BD5-46AA-AF5B-ED75EC97C83B}"/>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2 2 2" xfId="16120" xr:uid="{46A67624-6C67-49DC-BD75-9EC8B16BDA03}"/>
    <cellStyle name="Normal 2 5 4 2 2 3 2 3" xfId="11902" xr:uid="{E3D5CF3D-D86E-42C9-B74D-60690F4A30F5}"/>
    <cellStyle name="Normal 2 5 4 2 2 3 3" xfId="5536" xr:uid="{00000000-0005-0000-0000-00001F110000}"/>
    <cellStyle name="Normal 2 5 4 2 2 3 3 2" xfId="13975" xr:uid="{1D60AE63-8B9D-4AD3-B534-6D962B89EF20}"/>
    <cellStyle name="Normal 2 5 4 2 2 3 4" xfId="9757" xr:uid="{D2F61E27-78CE-4802-BD9E-A4806E8BFA16}"/>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2 2 2" xfId="16533" xr:uid="{DEC36F6D-7A62-4097-8CF3-489A36254E14}"/>
    <cellStyle name="Normal 2 5 4 2 2 4 2 3" xfId="12315" xr:uid="{78D8CA3D-3298-4824-9384-65DE88818F92}"/>
    <cellStyle name="Normal 2 5 4 2 2 4 3" xfId="5949" xr:uid="{00000000-0005-0000-0000-000023110000}"/>
    <cellStyle name="Normal 2 5 4 2 2 4 3 2" xfId="14388" xr:uid="{DF3C5103-52E6-4793-9BCD-69AD7A8A37FF}"/>
    <cellStyle name="Normal 2 5 4 2 2 4 4" xfId="10170" xr:uid="{702212F0-8042-4DDC-AC83-97BFC71944BA}"/>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2 2 2" xfId="16946" xr:uid="{EA189C3A-B985-4116-A549-3A7DEB79994E}"/>
    <cellStyle name="Normal 2 5 4 2 2 5 2 3" xfId="12728" xr:uid="{AFBD4B30-CC6B-4090-B38C-D13A20480F90}"/>
    <cellStyle name="Normal 2 5 4 2 2 5 3" xfId="6362" xr:uid="{00000000-0005-0000-0000-000027110000}"/>
    <cellStyle name="Normal 2 5 4 2 2 5 3 2" xfId="14801" xr:uid="{D29BA3AE-6928-4A86-86F0-C43DCEB6B2B8}"/>
    <cellStyle name="Normal 2 5 4 2 2 5 4" xfId="10583" xr:uid="{4D5791A8-3346-47D9-B532-31B7584A691F}"/>
    <cellStyle name="Normal 2 5 4 2 2 6" xfId="2491" xr:uid="{00000000-0005-0000-0000-000028110000}"/>
    <cellStyle name="Normal 2 5 4 2 2 6 2" xfId="6775" xr:uid="{00000000-0005-0000-0000-000029110000}"/>
    <cellStyle name="Normal 2 5 4 2 2 6 2 2" xfId="15214" xr:uid="{814BBD4B-DF32-472C-A394-DE7ADBD9CEFA}"/>
    <cellStyle name="Normal 2 5 4 2 2 6 3" xfId="10996" xr:uid="{1A170623-31CB-4FA1-8CBA-8B1DEAD1A9C3}"/>
    <cellStyle name="Normal 2 5 4 2 2 7" xfId="4709" xr:uid="{00000000-0005-0000-0000-00002A110000}"/>
    <cellStyle name="Normal 2 5 4 2 2 7 2" xfId="13148" xr:uid="{42DB4E2E-12F5-4D95-A088-24AF5B3B059D}"/>
    <cellStyle name="Normal 2 5 4 2 2 8" xfId="8930" xr:uid="{F224B1F2-9D8B-44A8-8839-66203ABF8A48}"/>
    <cellStyle name="Normal 2 5 4 2 3" xfId="805" xr:uid="{00000000-0005-0000-0000-00002B110000}"/>
    <cellStyle name="Normal 2 5 4 2 3 2" xfId="3044" xr:uid="{00000000-0005-0000-0000-00002C110000}"/>
    <cellStyle name="Normal 2 5 4 2 3 2 2" xfId="7267" xr:uid="{00000000-0005-0000-0000-00002D110000}"/>
    <cellStyle name="Normal 2 5 4 2 3 2 2 2" xfId="15706" xr:uid="{DB957A01-D972-417E-B082-A6D0F833FA21}"/>
    <cellStyle name="Normal 2 5 4 2 3 2 3" xfId="11488" xr:uid="{5C099BF4-C2FC-4004-99C3-87F19E7D38D1}"/>
    <cellStyle name="Normal 2 5 4 2 3 3" xfId="5122" xr:uid="{00000000-0005-0000-0000-00002E110000}"/>
    <cellStyle name="Normal 2 5 4 2 3 3 2" xfId="13561" xr:uid="{7490849C-4C34-4D6C-9553-997FB27006CF}"/>
    <cellStyle name="Normal 2 5 4 2 3 4" xfId="9343" xr:uid="{9626718B-4663-4A29-AE50-038BEF137C7B}"/>
    <cellStyle name="Normal 2 5 4 2 4" xfId="1227" xr:uid="{00000000-0005-0000-0000-00002F110000}"/>
    <cellStyle name="Normal 2 5 4 2 4 2" xfId="3457" xr:uid="{00000000-0005-0000-0000-000030110000}"/>
    <cellStyle name="Normal 2 5 4 2 4 2 2" xfId="7680" xr:uid="{00000000-0005-0000-0000-000031110000}"/>
    <cellStyle name="Normal 2 5 4 2 4 2 2 2" xfId="16119" xr:uid="{38C33354-9FB0-41E8-A7B2-4517B8CEB405}"/>
    <cellStyle name="Normal 2 5 4 2 4 2 3" xfId="11901" xr:uid="{878774CB-0E8B-41A6-A7AE-0192B1FAC97A}"/>
    <cellStyle name="Normal 2 5 4 2 4 3" xfId="5535" xr:uid="{00000000-0005-0000-0000-000032110000}"/>
    <cellStyle name="Normal 2 5 4 2 4 3 2" xfId="13974" xr:uid="{37B005BC-3FDF-4219-975E-51E638B9DC8E}"/>
    <cellStyle name="Normal 2 5 4 2 4 4" xfId="9756" xr:uid="{B1326DED-B7B6-4C24-8AF0-A8020DD2468E}"/>
    <cellStyle name="Normal 2 5 4 2 5" xfId="1640" xr:uid="{00000000-0005-0000-0000-000033110000}"/>
    <cellStyle name="Normal 2 5 4 2 5 2" xfId="3870" xr:uid="{00000000-0005-0000-0000-000034110000}"/>
    <cellStyle name="Normal 2 5 4 2 5 2 2" xfId="8093" xr:uid="{00000000-0005-0000-0000-000035110000}"/>
    <cellStyle name="Normal 2 5 4 2 5 2 2 2" xfId="16532" xr:uid="{2446A71E-2A65-400C-A344-2ABCEB2D673D}"/>
    <cellStyle name="Normal 2 5 4 2 5 2 3" xfId="12314" xr:uid="{B68AD172-EAAE-4A77-9F1B-26021A4A8F20}"/>
    <cellStyle name="Normal 2 5 4 2 5 3" xfId="5948" xr:uid="{00000000-0005-0000-0000-000036110000}"/>
    <cellStyle name="Normal 2 5 4 2 5 3 2" xfId="14387" xr:uid="{C5E6BF4A-5ACD-437B-A2BC-8F212E972066}"/>
    <cellStyle name="Normal 2 5 4 2 5 4" xfId="10169" xr:uid="{9CA7DE8B-1692-426A-9680-AE153C17E1D4}"/>
    <cellStyle name="Normal 2 5 4 2 6" xfId="2054" xr:uid="{00000000-0005-0000-0000-000037110000}"/>
    <cellStyle name="Normal 2 5 4 2 6 2" xfId="4283" xr:uid="{00000000-0005-0000-0000-000038110000}"/>
    <cellStyle name="Normal 2 5 4 2 6 2 2" xfId="8506" xr:uid="{00000000-0005-0000-0000-000039110000}"/>
    <cellStyle name="Normal 2 5 4 2 6 2 2 2" xfId="16945" xr:uid="{CF0F5F73-71AE-4634-A660-4E85D0026EBB}"/>
    <cellStyle name="Normal 2 5 4 2 6 2 3" xfId="12727" xr:uid="{2F1DA651-527E-4A10-9178-09F6A8273C4B}"/>
    <cellStyle name="Normal 2 5 4 2 6 3" xfId="6361" xr:uid="{00000000-0005-0000-0000-00003A110000}"/>
    <cellStyle name="Normal 2 5 4 2 6 3 2" xfId="14800" xr:uid="{C1D3FEF1-7F08-44AC-BDC0-90CEFDEE259B}"/>
    <cellStyle name="Normal 2 5 4 2 6 4" xfId="10582" xr:uid="{BDCD3A9F-B9D8-479A-87B1-AEAFE77E8420}"/>
    <cellStyle name="Normal 2 5 4 2 7" xfId="2490" xr:uid="{00000000-0005-0000-0000-00003B110000}"/>
    <cellStyle name="Normal 2 5 4 2 7 2" xfId="6774" xr:uid="{00000000-0005-0000-0000-00003C110000}"/>
    <cellStyle name="Normal 2 5 4 2 7 2 2" xfId="15213" xr:uid="{06D34799-9FB6-400A-A405-4BB74CC3FADA}"/>
    <cellStyle name="Normal 2 5 4 2 7 3" xfId="10995" xr:uid="{828227E9-3176-4439-B13E-5E213337F2B4}"/>
    <cellStyle name="Normal 2 5 4 2 8" xfId="4708" xr:uid="{00000000-0005-0000-0000-00003D110000}"/>
    <cellStyle name="Normal 2 5 4 2 8 2" xfId="13147" xr:uid="{593DE107-7EDC-4446-9D74-BBA2E3AF3932}"/>
    <cellStyle name="Normal 2 5 4 2 9" xfId="8929" xr:uid="{3DAC326B-6C99-476F-B843-306F1D21CBCC}"/>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2 2 2" xfId="15708" xr:uid="{D67A496F-DB27-40A9-9F8A-8A14D41A270F}"/>
    <cellStyle name="Normal 2 5 4 3 2 2 3" xfId="11490" xr:uid="{E9184422-8842-4ADF-A4B1-92007C8A1072}"/>
    <cellStyle name="Normal 2 5 4 3 2 3" xfId="5124" xr:uid="{00000000-0005-0000-0000-000042110000}"/>
    <cellStyle name="Normal 2 5 4 3 2 3 2" xfId="13563" xr:uid="{2016D658-EEDF-49A4-A9F7-CE0872B07C12}"/>
    <cellStyle name="Normal 2 5 4 3 2 4" xfId="9345" xr:uid="{8A068B75-BE4B-4F3E-9545-EA7E81326746}"/>
    <cellStyle name="Normal 2 5 4 3 3" xfId="1229" xr:uid="{00000000-0005-0000-0000-000043110000}"/>
    <cellStyle name="Normal 2 5 4 3 3 2" xfId="3459" xr:uid="{00000000-0005-0000-0000-000044110000}"/>
    <cellStyle name="Normal 2 5 4 3 3 2 2" xfId="7682" xr:uid="{00000000-0005-0000-0000-000045110000}"/>
    <cellStyle name="Normal 2 5 4 3 3 2 2 2" xfId="16121" xr:uid="{1E534D26-89E4-4426-9759-3197E396F648}"/>
    <cellStyle name="Normal 2 5 4 3 3 2 3" xfId="11903" xr:uid="{D511DE65-D46D-49A4-8AD8-5DF4004902FB}"/>
    <cellStyle name="Normal 2 5 4 3 3 3" xfId="5537" xr:uid="{00000000-0005-0000-0000-000046110000}"/>
    <cellStyle name="Normal 2 5 4 3 3 3 2" xfId="13976" xr:uid="{033A4958-3EC5-4B93-9F7E-87EA86D53E11}"/>
    <cellStyle name="Normal 2 5 4 3 3 4" xfId="9758" xr:uid="{8563B469-C59B-4ECA-9725-695956007674}"/>
    <cellStyle name="Normal 2 5 4 3 4" xfId="1642" xr:uid="{00000000-0005-0000-0000-000047110000}"/>
    <cellStyle name="Normal 2 5 4 3 4 2" xfId="3872" xr:uid="{00000000-0005-0000-0000-000048110000}"/>
    <cellStyle name="Normal 2 5 4 3 4 2 2" xfId="8095" xr:uid="{00000000-0005-0000-0000-000049110000}"/>
    <cellStyle name="Normal 2 5 4 3 4 2 2 2" xfId="16534" xr:uid="{1EA4EB5B-D019-408C-BAA8-C912250B9398}"/>
    <cellStyle name="Normal 2 5 4 3 4 2 3" xfId="12316" xr:uid="{525B4B8A-0665-42D6-879F-5366948FEB95}"/>
    <cellStyle name="Normal 2 5 4 3 4 3" xfId="5950" xr:uid="{00000000-0005-0000-0000-00004A110000}"/>
    <cellStyle name="Normal 2 5 4 3 4 3 2" xfId="14389" xr:uid="{5BBFB501-4C55-4D43-BD4A-DF096255711B}"/>
    <cellStyle name="Normal 2 5 4 3 4 4" xfId="10171" xr:uid="{0B171B33-871D-4D30-B9DC-5E35B05EC485}"/>
    <cellStyle name="Normal 2 5 4 3 5" xfId="2056" xr:uid="{00000000-0005-0000-0000-00004B110000}"/>
    <cellStyle name="Normal 2 5 4 3 5 2" xfId="4285" xr:uid="{00000000-0005-0000-0000-00004C110000}"/>
    <cellStyle name="Normal 2 5 4 3 5 2 2" xfId="8508" xr:uid="{00000000-0005-0000-0000-00004D110000}"/>
    <cellStyle name="Normal 2 5 4 3 5 2 2 2" xfId="16947" xr:uid="{47FEA1F7-F0D4-47A9-A000-6FAC8ABA4388}"/>
    <cellStyle name="Normal 2 5 4 3 5 2 3" xfId="12729" xr:uid="{B4BD3DEC-576A-4779-88F2-A4BDE5EEB205}"/>
    <cellStyle name="Normal 2 5 4 3 5 3" xfId="6363" xr:uid="{00000000-0005-0000-0000-00004E110000}"/>
    <cellStyle name="Normal 2 5 4 3 5 3 2" xfId="14802" xr:uid="{9BFDD599-0898-45D5-B515-51088A38D7F1}"/>
    <cellStyle name="Normal 2 5 4 3 5 4" xfId="10584" xr:uid="{BAD5D689-CFF2-4B8F-82CE-130259567F02}"/>
    <cellStyle name="Normal 2 5 4 3 6" xfId="2492" xr:uid="{00000000-0005-0000-0000-00004F110000}"/>
    <cellStyle name="Normal 2 5 4 3 6 2" xfId="6776" xr:uid="{00000000-0005-0000-0000-000050110000}"/>
    <cellStyle name="Normal 2 5 4 3 6 2 2" xfId="15215" xr:uid="{BA873016-9862-4F63-9CB5-8AE8963AB5F7}"/>
    <cellStyle name="Normal 2 5 4 3 6 3" xfId="10997" xr:uid="{70910667-2617-4449-924C-2D5E776785D6}"/>
    <cellStyle name="Normal 2 5 4 3 7" xfId="4710" xr:uid="{00000000-0005-0000-0000-000051110000}"/>
    <cellStyle name="Normal 2 5 4 3 7 2" xfId="13149" xr:uid="{B86D3CDB-A3B2-4F64-B3DB-D7CDEF894907}"/>
    <cellStyle name="Normal 2 5 4 3 8" xfId="8931" xr:uid="{8174122D-AFED-4FDC-BDA3-58F73BAA3061}"/>
    <cellStyle name="Normal 2 5 4 4" xfId="804" xr:uid="{00000000-0005-0000-0000-000052110000}"/>
    <cellStyle name="Normal 2 5 4 4 2" xfId="3043" xr:uid="{00000000-0005-0000-0000-000053110000}"/>
    <cellStyle name="Normal 2 5 4 4 2 2" xfId="7266" xr:uid="{00000000-0005-0000-0000-000054110000}"/>
    <cellStyle name="Normal 2 5 4 4 2 2 2" xfId="15705" xr:uid="{66547598-E7D8-45DC-A1C2-C2C8D28313AF}"/>
    <cellStyle name="Normal 2 5 4 4 2 3" xfId="11487" xr:uid="{4D2FA933-CA10-4FE5-B411-9DB3EA14CD76}"/>
    <cellStyle name="Normal 2 5 4 4 3" xfId="5121" xr:uid="{00000000-0005-0000-0000-000055110000}"/>
    <cellStyle name="Normal 2 5 4 4 3 2" xfId="13560" xr:uid="{17B80D9E-83A7-4363-9E19-92CCBF2A6953}"/>
    <cellStyle name="Normal 2 5 4 4 4" xfId="9342" xr:uid="{4DACB082-3E9F-4AB2-8523-39FFF6350288}"/>
    <cellStyle name="Normal 2 5 4 5" xfId="1226" xr:uid="{00000000-0005-0000-0000-000056110000}"/>
    <cellStyle name="Normal 2 5 4 5 2" xfId="3456" xr:uid="{00000000-0005-0000-0000-000057110000}"/>
    <cellStyle name="Normal 2 5 4 5 2 2" xfId="7679" xr:uid="{00000000-0005-0000-0000-000058110000}"/>
    <cellStyle name="Normal 2 5 4 5 2 2 2" xfId="16118" xr:uid="{9AE1D801-16D4-4C13-A488-C555AF4EE368}"/>
    <cellStyle name="Normal 2 5 4 5 2 3" xfId="11900" xr:uid="{43EF541C-91B3-44F6-BA7C-546158B76935}"/>
    <cellStyle name="Normal 2 5 4 5 3" xfId="5534" xr:uid="{00000000-0005-0000-0000-000059110000}"/>
    <cellStyle name="Normal 2 5 4 5 3 2" xfId="13973" xr:uid="{DB5CE639-9981-40A9-BD6C-413020081AA3}"/>
    <cellStyle name="Normal 2 5 4 5 4" xfId="9755" xr:uid="{3755448D-1C49-452F-AE6B-908816F56527}"/>
    <cellStyle name="Normal 2 5 4 6" xfId="1639" xr:uid="{00000000-0005-0000-0000-00005A110000}"/>
    <cellStyle name="Normal 2 5 4 6 2" xfId="3869" xr:uid="{00000000-0005-0000-0000-00005B110000}"/>
    <cellStyle name="Normal 2 5 4 6 2 2" xfId="8092" xr:uid="{00000000-0005-0000-0000-00005C110000}"/>
    <cellStyle name="Normal 2 5 4 6 2 2 2" xfId="16531" xr:uid="{9DE10545-3178-45D9-ABF1-074B90BB43E8}"/>
    <cellStyle name="Normal 2 5 4 6 2 3" xfId="12313" xr:uid="{2CE47454-B80C-4BFB-B190-70263781204C}"/>
    <cellStyle name="Normal 2 5 4 6 3" xfId="5947" xr:uid="{00000000-0005-0000-0000-00005D110000}"/>
    <cellStyle name="Normal 2 5 4 6 3 2" xfId="14386" xr:uid="{5BFFAE9E-CC60-4CFF-A8E9-84BF863B0A6C}"/>
    <cellStyle name="Normal 2 5 4 6 4" xfId="10168" xr:uid="{1CDD21DB-8CA9-4C1D-94A3-CE868F334821}"/>
    <cellStyle name="Normal 2 5 4 7" xfId="2053" xr:uid="{00000000-0005-0000-0000-00005E110000}"/>
    <cellStyle name="Normal 2 5 4 7 2" xfId="4282" xr:uid="{00000000-0005-0000-0000-00005F110000}"/>
    <cellStyle name="Normal 2 5 4 7 2 2" xfId="8505" xr:uid="{00000000-0005-0000-0000-000060110000}"/>
    <cellStyle name="Normal 2 5 4 7 2 2 2" xfId="16944" xr:uid="{D4B2B85C-02FD-4327-8F13-3DB0B458D5B5}"/>
    <cellStyle name="Normal 2 5 4 7 2 3" xfId="12726" xr:uid="{32DB12DE-1955-41C8-8321-187D05278248}"/>
    <cellStyle name="Normal 2 5 4 7 3" xfId="6360" xr:uid="{00000000-0005-0000-0000-000061110000}"/>
    <cellStyle name="Normal 2 5 4 7 3 2" xfId="14799" xr:uid="{0CDC74F3-F39E-46B3-B79B-CCACF0048DD5}"/>
    <cellStyle name="Normal 2 5 4 7 4" xfId="10581" xr:uid="{302B9184-9B7E-4679-8C5E-72878F82A9D8}"/>
    <cellStyle name="Normal 2 5 4 8" xfId="2489" xr:uid="{00000000-0005-0000-0000-000062110000}"/>
    <cellStyle name="Normal 2 5 4 8 2" xfId="6773" xr:uid="{00000000-0005-0000-0000-000063110000}"/>
    <cellStyle name="Normal 2 5 4 8 2 2" xfId="15212" xr:uid="{3E220C1C-3137-436B-872B-46A6D81E3AFA}"/>
    <cellStyle name="Normal 2 5 4 8 3" xfId="10994" xr:uid="{396E1C2F-BD90-42CC-807D-8B3406468724}"/>
    <cellStyle name="Normal 2 5 4 9" xfId="4707" xr:uid="{00000000-0005-0000-0000-000064110000}"/>
    <cellStyle name="Normal 2 5 4 9 2" xfId="13146" xr:uid="{A726EACB-2ACD-4385-9F65-A9AC1EB7E2F3}"/>
    <cellStyle name="Normal 2 5 5" xfId="803" xr:uid="{00000000-0005-0000-0000-000065110000}"/>
    <cellStyle name="Normal 2 5 5 2" xfId="3042" xr:uid="{00000000-0005-0000-0000-000066110000}"/>
    <cellStyle name="Normal 2 5 5 2 2" xfId="7265" xr:uid="{00000000-0005-0000-0000-000067110000}"/>
    <cellStyle name="Normal 2 5 5 2 2 2" xfId="15704" xr:uid="{2216CB4B-194E-4B17-A2CB-A2C327AF2E89}"/>
    <cellStyle name="Normal 2 5 5 2 3" xfId="11486" xr:uid="{1E89180E-7FD2-4865-83EA-F2E5C867B30E}"/>
    <cellStyle name="Normal 2 5 5 3" xfId="5120" xr:uid="{00000000-0005-0000-0000-000068110000}"/>
    <cellStyle name="Normal 2 5 5 3 2" xfId="13559" xr:uid="{D6E78010-4358-4340-9E1E-83766E5339FA}"/>
    <cellStyle name="Normal 2 5 5 4" xfId="9341" xr:uid="{CDDAA2F0-5755-4A35-B40F-FE0FE0F102E5}"/>
    <cellStyle name="Normal 2 5 6" xfId="1225" xr:uid="{00000000-0005-0000-0000-000069110000}"/>
    <cellStyle name="Normal 2 5 6 2" xfId="3455" xr:uid="{00000000-0005-0000-0000-00006A110000}"/>
    <cellStyle name="Normal 2 5 6 2 2" xfId="7678" xr:uid="{00000000-0005-0000-0000-00006B110000}"/>
    <cellStyle name="Normal 2 5 6 2 2 2" xfId="16117" xr:uid="{302A3403-427F-44C3-93A1-51EE7869F123}"/>
    <cellStyle name="Normal 2 5 6 2 3" xfId="11899" xr:uid="{011DAAE6-1294-44EB-B102-E0A776A3FE07}"/>
    <cellStyle name="Normal 2 5 6 3" xfId="5533" xr:uid="{00000000-0005-0000-0000-00006C110000}"/>
    <cellStyle name="Normal 2 5 6 3 2" xfId="13972" xr:uid="{01E07614-C41F-4B8D-9708-C75F60014798}"/>
    <cellStyle name="Normal 2 5 6 4" xfId="9754" xr:uid="{7E75ED9C-6438-4437-BE16-7204380F7DE4}"/>
    <cellStyle name="Normal 2 5 7" xfId="1638" xr:uid="{00000000-0005-0000-0000-00006D110000}"/>
    <cellStyle name="Normal 2 5 7 2" xfId="3868" xr:uid="{00000000-0005-0000-0000-00006E110000}"/>
    <cellStyle name="Normal 2 5 7 2 2" xfId="8091" xr:uid="{00000000-0005-0000-0000-00006F110000}"/>
    <cellStyle name="Normal 2 5 7 2 2 2" xfId="16530" xr:uid="{33CECA9A-BD18-41E7-B4B1-5C629E086384}"/>
    <cellStyle name="Normal 2 5 7 2 3" xfId="12312" xr:uid="{C7ECAD17-A2DA-4525-A506-7649F3F55EDC}"/>
    <cellStyle name="Normal 2 5 7 3" xfId="5946" xr:uid="{00000000-0005-0000-0000-000070110000}"/>
    <cellStyle name="Normal 2 5 7 3 2" xfId="14385" xr:uid="{8637D53C-703F-4CB7-8869-5C717618CE00}"/>
    <cellStyle name="Normal 2 5 7 4" xfId="10167" xr:uid="{4E53C21A-3F68-4655-BEEF-C05DCD53F3F7}"/>
    <cellStyle name="Normal 2 5 8" xfId="2052" xr:uid="{00000000-0005-0000-0000-000071110000}"/>
    <cellStyle name="Normal 2 5 8 2" xfId="4281" xr:uid="{00000000-0005-0000-0000-000072110000}"/>
    <cellStyle name="Normal 2 5 8 2 2" xfId="8504" xr:uid="{00000000-0005-0000-0000-000073110000}"/>
    <cellStyle name="Normal 2 5 8 2 2 2" xfId="16943" xr:uid="{6A94FEC1-1522-4A43-A971-638871BE416E}"/>
    <cellStyle name="Normal 2 5 8 2 3" xfId="12725" xr:uid="{61D81392-51B7-4EED-A8EB-CEE51EBA1802}"/>
    <cellStyle name="Normal 2 5 8 3" xfId="6359" xr:uid="{00000000-0005-0000-0000-000074110000}"/>
    <cellStyle name="Normal 2 5 8 3 2" xfId="14798" xr:uid="{05E33B65-95F9-4E31-BD62-F666E1779067}"/>
    <cellStyle name="Normal 2 5 8 4" xfId="10580" xr:uid="{6D2F3F80-1D77-43BA-A9DF-9B3FB6528ACC}"/>
    <cellStyle name="Normal 2 5 9" xfId="2488" xr:uid="{00000000-0005-0000-0000-000075110000}"/>
    <cellStyle name="Normal 2 5 9 2" xfId="6772" xr:uid="{00000000-0005-0000-0000-000076110000}"/>
    <cellStyle name="Normal 2 5 9 2 2" xfId="15211" xr:uid="{80A79526-BCA1-4D42-B822-655A07895D85}"/>
    <cellStyle name="Normal 2 5 9 3" xfId="10993" xr:uid="{F89C2472-C3D4-40C3-85DB-F5C99EB8DFA4}"/>
    <cellStyle name="Normal 2 6" xfId="322" xr:uid="{00000000-0005-0000-0000-000077110000}"/>
    <cellStyle name="Normal 2 7" xfId="769" xr:uid="{00000000-0005-0000-0000-000078110000}"/>
    <cellStyle name="Normal 2 8" xfId="4495" xr:uid="{00000000-0005-0000-0000-000079110000}"/>
    <cellStyle name="Normal 2 8 2" xfId="12937" xr:uid="{6A3E06C5-C9C4-4FBA-9090-92288380611B}"/>
    <cellStyle name="Normal 3" xfId="323" xr:uid="{00000000-0005-0000-0000-00007A110000}"/>
    <cellStyle name="Normal 3 2" xfId="324" xr:uid="{00000000-0005-0000-0000-00007B110000}"/>
    <cellStyle name="Normal 3 2 10" xfId="8932" xr:uid="{7605362C-FA33-47C8-9D8F-ABBD3E47CDBD}"/>
    <cellStyle name="Normal 3 2 2" xfId="325" xr:uid="{00000000-0005-0000-0000-00007C110000}"/>
    <cellStyle name="Normal 3 2 2 2" xfId="810" xr:uid="{00000000-0005-0000-0000-00007D110000}"/>
    <cellStyle name="Normal 3 2 3" xfId="326" xr:uid="{00000000-0005-0000-0000-00007E110000}"/>
    <cellStyle name="Normal 3 2 3 10" xfId="8933" xr:uid="{CA7422C7-DFC0-423D-B802-A5DC1B41D32B}"/>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2 2 2" xfId="15712" xr:uid="{13950B75-A028-4A37-A5AD-7E0E761CF14C}"/>
    <cellStyle name="Normal 3 2 3 2 2 2 2 3" xfId="11494" xr:uid="{C7077C50-47AB-4832-B506-35FE691884DA}"/>
    <cellStyle name="Normal 3 2 3 2 2 2 3" xfId="5128" xr:uid="{00000000-0005-0000-0000-000084110000}"/>
    <cellStyle name="Normal 3 2 3 2 2 2 3 2" xfId="13567" xr:uid="{BF44256F-755C-431D-855D-9E99EDEEE8F2}"/>
    <cellStyle name="Normal 3 2 3 2 2 2 4" xfId="9349" xr:uid="{D00E4A95-9156-4CFD-AD5F-BA4A69FD45F6}"/>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2 2 2" xfId="16125" xr:uid="{D71A7998-A703-468F-9D13-305D62754DF6}"/>
    <cellStyle name="Normal 3 2 3 2 2 3 2 3" xfId="11907" xr:uid="{ED713F54-DEDC-4FEA-A4FC-51632EEF1E70}"/>
    <cellStyle name="Normal 3 2 3 2 2 3 3" xfId="5541" xr:uid="{00000000-0005-0000-0000-000088110000}"/>
    <cellStyle name="Normal 3 2 3 2 2 3 3 2" xfId="13980" xr:uid="{FC55B179-E96C-411B-B3B7-B383BDB12BDF}"/>
    <cellStyle name="Normal 3 2 3 2 2 3 4" xfId="9762" xr:uid="{DC168F99-BE6E-4548-A092-5A08E1257CB7}"/>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2 2 2" xfId="16538" xr:uid="{7C072EC4-891E-4B25-B4D7-48CF3B1A09DD}"/>
    <cellStyle name="Normal 3 2 3 2 2 4 2 3" xfId="12320" xr:uid="{3924E002-E313-415A-BB05-35D0064C1447}"/>
    <cellStyle name="Normal 3 2 3 2 2 4 3" xfId="5954" xr:uid="{00000000-0005-0000-0000-00008C110000}"/>
    <cellStyle name="Normal 3 2 3 2 2 4 3 2" xfId="14393" xr:uid="{D7A28002-83AB-46FB-8FBD-4951A89670DE}"/>
    <cellStyle name="Normal 3 2 3 2 2 4 4" xfId="10175" xr:uid="{5F0F3CFF-C754-40AF-A85A-8D2F29C262F3}"/>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2 2 2" xfId="16951" xr:uid="{5948502B-2AB2-4114-954A-A17DF73E94BD}"/>
    <cellStyle name="Normal 3 2 3 2 2 5 2 3" xfId="12733" xr:uid="{E26AD406-A3BC-4B9B-9C29-BDCA7756A67A}"/>
    <cellStyle name="Normal 3 2 3 2 2 5 3" xfId="6367" xr:uid="{00000000-0005-0000-0000-000090110000}"/>
    <cellStyle name="Normal 3 2 3 2 2 5 3 2" xfId="14806" xr:uid="{0A4D7DC4-05B0-477C-86EE-B6732A03F39E}"/>
    <cellStyle name="Normal 3 2 3 2 2 5 4" xfId="10588" xr:uid="{3D6D958D-ADEF-402D-8CEC-C08302331447}"/>
    <cellStyle name="Normal 3 2 3 2 2 6" xfId="2496" xr:uid="{00000000-0005-0000-0000-000091110000}"/>
    <cellStyle name="Normal 3 2 3 2 2 6 2" xfId="6780" xr:uid="{00000000-0005-0000-0000-000092110000}"/>
    <cellStyle name="Normal 3 2 3 2 2 6 2 2" xfId="15219" xr:uid="{516141BF-33F5-44F8-8E71-109433BB9F92}"/>
    <cellStyle name="Normal 3 2 3 2 2 6 3" xfId="11001" xr:uid="{74FD7173-2FD4-45EF-8602-1CAF2B76A83B}"/>
    <cellStyle name="Normal 3 2 3 2 2 7" xfId="4714" xr:uid="{00000000-0005-0000-0000-000093110000}"/>
    <cellStyle name="Normal 3 2 3 2 2 7 2" xfId="13153" xr:uid="{EE1872B6-E90B-471B-B2EF-C7874FE72C50}"/>
    <cellStyle name="Normal 3 2 3 2 2 8" xfId="8935" xr:uid="{40481189-6604-40D8-90E1-F4182EED17BB}"/>
    <cellStyle name="Normal 3 2 3 2 3" xfId="812" xr:uid="{00000000-0005-0000-0000-000094110000}"/>
    <cellStyle name="Normal 3 2 3 2 3 2" xfId="3049" xr:uid="{00000000-0005-0000-0000-000095110000}"/>
    <cellStyle name="Normal 3 2 3 2 3 2 2" xfId="7272" xr:uid="{00000000-0005-0000-0000-000096110000}"/>
    <cellStyle name="Normal 3 2 3 2 3 2 2 2" xfId="15711" xr:uid="{01F42A08-528F-4249-BE87-41C3ED6B3A04}"/>
    <cellStyle name="Normal 3 2 3 2 3 2 3" xfId="11493" xr:uid="{81CFB7D1-00F6-49BA-85A8-313D0E68A6E7}"/>
    <cellStyle name="Normal 3 2 3 2 3 3" xfId="5127" xr:uid="{00000000-0005-0000-0000-000097110000}"/>
    <cellStyle name="Normal 3 2 3 2 3 3 2" xfId="13566" xr:uid="{E1D4EE73-73C1-4B9B-B49F-92648A879C83}"/>
    <cellStyle name="Normal 3 2 3 2 3 4" xfId="9348" xr:uid="{FF8017BA-ECD8-4ABA-8444-0B09FC0DABFA}"/>
    <cellStyle name="Normal 3 2 3 2 4" xfId="1232" xr:uid="{00000000-0005-0000-0000-000098110000}"/>
    <cellStyle name="Normal 3 2 3 2 4 2" xfId="3462" xr:uid="{00000000-0005-0000-0000-000099110000}"/>
    <cellStyle name="Normal 3 2 3 2 4 2 2" xfId="7685" xr:uid="{00000000-0005-0000-0000-00009A110000}"/>
    <cellStyle name="Normal 3 2 3 2 4 2 2 2" xfId="16124" xr:uid="{DED32EEA-D84F-43A5-9B39-39D5B57734A5}"/>
    <cellStyle name="Normal 3 2 3 2 4 2 3" xfId="11906" xr:uid="{815CB5E4-0074-48EF-A7C4-821CA35D7ACA}"/>
    <cellStyle name="Normal 3 2 3 2 4 3" xfId="5540" xr:uid="{00000000-0005-0000-0000-00009B110000}"/>
    <cellStyle name="Normal 3 2 3 2 4 3 2" xfId="13979" xr:uid="{38004A00-524F-4E6A-980C-E29FD0A38676}"/>
    <cellStyle name="Normal 3 2 3 2 4 4" xfId="9761" xr:uid="{9FADC4A8-834D-4E27-AB2D-8B5940F85FAC}"/>
    <cellStyle name="Normal 3 2 3 2 5" xfId="1645" xr:uid="{00000000-0005-0000-0000-00009C110000}"/>
    <cellStyle name="Normal 3 2 3 2 5 2" xfId="3875" xr:uid="{00000000-0005-0000-0000-00009D110000}"/>
    <cellStyle name="Normal 3 2 3 2 5 2 2" xfId="8098" xr:uid="{00000000-0005-0000-0000-00009E110000}"/>
    <cellStyle name="Normal 3 2 3 2 5 2 2 2" xfId="16537" xr:uid="{155D35DA-F03C-4F1B-8CB4-063B336BAF25}"/>
    <cellStyle name="Normal 3 2 3 2 5 2 3" xfId="12319" xr:uid="{D6ABC8CF-C06C-476B-A988-D1E8D0F977CC}"/>
    <cellStyle name="Normal 3 2 3 2 5 3" xfId="5953" xr:uid="{00000000-0005-0000-0000-00009F110000}"/>
    <cellStyle name="Normal 3 2 3 2 5 3 2" xfId="14392" xr:uid="{E28A5E79-919E-4DF6-8568-E1DB885DF080}"/>
    <cellStyle name="Normal 3 2 3 2 5 4" xfId="10174" xr:uid="{557EB303-9EF7-4354-914C-51B0C214574D}"/>
    <cellStyle name="Normal 3 2 3 2 6" xfId="2059" xr:uid="{00000000-0005-0000-0000-0000A0110000}"/>
    <cellStyle name="Normal 3 2 3 2 6 2" xfId="4288" xr:uid="{00000000-0005-0000-0000-0000A1110000}"/>
    <cellStyle name="Normal 3 2 3 2 6 2 2" xfId="8511" xr:uid="{00000000-0005-0000-0000-0000A2110000}"/>
    <cellStyle name="Normal 3 2 3 2 6 2 2 2" xfId="16950" xr:uid="{90473D33-8057-41EA-8511-9F43716C7EAB}"/>
    <cellStyle name="Normal 3 2 3 2 6 2 3" xfId="12732" xr:uid="{638D284A-7D9C-4AC8-9F57-8F6D48B36D1A}"/>
    <cellStyle name="Normal 3 2 3 2 6 3" xfId="6366" xr:uid="{00000000-0005-0000-0000-0000A3110000}"/>
    <cellStyle name="Normal 3 2 3 2 6 3 2" xfId="14805" xr:uid="{C91F258D-BC4E-493E-97CB-63FF3F7757C5}"/>
    <cellStyle name="Normal 3 2 3 2 6 4" xfId="10587" xr:uid="{30B42F94-6210-4774-B8DE-AF6E4FC1856E}"/>
    <cellStyle name="Normal 3 2 3 2 7" xfId="2495" xr:uid="{00000000-0005-0000-0000-0000A4110000}"/>
    <cellStyle name="Normal 3 2 3 2 7 2" xfId="6779" xr:uid="{00000000-0005-0000-0000-0000A5110000}"/>
    <cellStyle name="Normal 3 2 3 2 7 2 2" xfId="15218" xr:uid="{B46AE45D-2C65-4F21-B603-421F54534B40}"/>
    <cellStyle name="Normal 3 2 3 2 7 3" xfId="11000" xr:uid="{E0BB6A03-82FE-46E0-9DC5-A6930A19D520}"/>
    <cellStyle name="Normal 3 2 3 2 8" xfId="4713" xr:uid="{00000000-0005-0000-0000-0000A6110000}"/>
    <cellStyle name="Normal 3 2 3 2 8 2" xfId="13152" xr:uid="{EE8461E3-01E8-4B7B-A8D4-5C8CBE4FED47}"/>
    <cellStyle name="Normal 3 2 3 2 9" xfId="8934" xr:uid="{88258CAC-B906-47A9-8130-0D7A6BFD45DD}"/>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2 2 2" xfId="15713" xr:uid="{C647FD34-5D28-428B-943F-77CAB5BC1473}"/>
    <cellStyle name="Normal 3 2 3 3 2 2 3" xfId="11495" xr:uid="{3EFFACFF-20D7-400B-AC7E-CA8859139EA9}"/>
    <cellStyle name="Normal 3 2 3 3 2 3" xfId="5129" xr:uid="{00000000-0005-0000-0000-0000AB110000}"/>
    <cellStyle name="Normal 3 2 3 3 2 3 2" xfId="13568" xr:uid="{CF2B7ECC-4224-43AD-9BA7-9D40CFE27D25}"/>
    <cellStyle name="Normal 3 2 3 3 2 4" xfId="9350" xr:uid="{92F6F68C-9462-457C-B8A9-653C827E264C}"/>
    <cellStyle name="Normal 3 2 3 3 3" xfId="1234" xr:uid="{00000000-0005-0000-0000-0000AC110000}"/>
    <cellStyle name="Normal 3 2 3 3 3 2" xfId="3464" xr:uid="{00000000-0005-0000-0000-0000AD110000}"/>
    <cellStyle name="Normal 3 2 3 3 3 2 2" xfId="7687" xr:uid="{00000000-0005-0000-0000-0000AE110000}"/>
    <cellStyle name="Normal 3 2 3 3 3 2 2 2" xfId="16126" xr:uid="{A9169BC0-AD76-4F3D-B2A7-9644457E4FD1}"/>
    <cellStyle name="Normal 3 2 3 3 3 2 3" xfId="11908" xr:uid="{A550B6FA-BDCA-431E-B68A-4CB60A048063}"/>
    <cellStyle name="Normal 3 2 3 3 3 3" xfId="5542" xr:uid="{00000000-0005-0000-0000-0000AF110000}"/>
    <cellStyle name="Normal 3 2 3 3 3 3 2" xfId="13981" xr:uid="{2A3687F9-9265-490F-8CCF-A7D4BCB74C05}"/>
    <cellStyle name="Normal 3 2 3 3 3 4" xfId="9763" xr:uid="{5FCE6B2F-02AB-4249-B3C2-E3DF6F9EF829}"/>
    <cellStyle name="Normal 3 2 3 3 4" xfId="1647" xr:uid="{00000000-0005-0000-0000-0000B0110000}"/>
    <cellStyle name="Normal 3 2 3 3 4 2" xfId="3877" xr:uid="{00000000-0005-0000-0000-0000B1110000}"/>
    <cellStyle name="Normal 3 2 3 3 4 2 2" xfId="8100" xr:uid="{00000000-0005-0000-0000-0000B2110000}"/>
    <cellStyle name="Normal 3 2 3 3 4 2 2 2" xfId="16539" xr:uid="{1417F0C6-9219-4EC9-BE0A-439569F3CAC5}"/>
    <cellStyle name="Normal 3 2 3 3 4 2 3" xfId="12321" xr:uid="{DE3FF283-FD4E-434C-97AC-21BFB2CA4FC9}"/>
    <cellStyle name="Normal 3 2 3 3 4 3" xfId="5955" xr:uid="{00000000-0005-0000-0000-0000B3110000}"/>
    <cellStyle name="Normal 3 2 3 3 4 3 2" xfId="14394" xr:uid="{7DC7BB4D-2290-4999-AE5F-2526541E6EB1}"/>
    <cellStyle name="Normal 3 2 3 3 4 4" xfId="10176" xr:uid="{45C91BAB-9308-493B-9957-7132387D943D}"/>
    <cellStyle name="Normal 3 2 3 3 5" xfId="2061" xr:uid="{00000000-0005-0000-0000-0000B4110000}"/>
    <cellStyle name="Normal 3 2 3 3 5 2" xfId="4290" xr:uid="{00000000-0005-0000-0000-0000B5110000}"/>
    <cellStyle name="Normal 3 2 3 3 5 2 2" xfId="8513" xr:uid="{00000000-0005-0000-0000-0000B6110000}"/>
    <cellStyle name="Normal 3 2 3 3 5 2 2 2" xfId="16952" xr:uid="{160C943D-B69A-4D92-9908-87EAD45FCC38}"/>
    <cellStyle name="Normal 3 2 3 3 5 2 3" xfId="12734" xr:uid="{6922ACC7-C70D-445F-8860-737ECC1F69B7}"/>
    <cellStyle name="Normal 3 2 3 3 5 3" xfId="6368" xr:uid="{00000000-0005-0000-0000-0000B7110000}"/>
    <cellStyle name="Normal 3 2 3 3 5 3 2" xfId="14807" xr:uid="{561DF47C-8848-48F3-B2C3-DF341FD76D27}"/>
    <cellStyle name="Normal 3 2 3 3 5 4" xfId="10589" xr:uid="{72019531-F9DA-4AB5-A93D-BEEF925A6B16}"/>
    <cellStyle name="Normal 3 2 3 3 6" xfId="2497" xr:uid="{00000000-0005-0000-0000-0000B8110000}"/>
    <cellStyle name="Normal 3 2 3 3 6 2" xfId="6781" xr:uid="{00000000-0005-0000-0000-0000B9110000}"/>
    <cellStyle name="Normal 3 2 3 3 6 2 2" xfId="15220" xr:uid="{187C25B0-C19B-4E71-AEA8-18BD1B3168A2}"/>
    <cellStyle name="Normal 3 2 3 3 6 3" xfId="11002" xr:uid="{F1F5C7CD-8245-40C9-B78C-5C99AD8668B4}"/>
    <cellStyle name="Normal 3 2 3 3 7" xfId="4715" xr:uid="{00000000-0005-0000-0000-0000BA110000}"/>
    <cellStyle name="Normal 3 2 3 3 7 2" xfId="13154" xr:uid="{03EA5F8D-855F-4133-829F-2A9C9CCDF9FE}"/>
    <cellStyle name="Normal 3 2 3 3 8" xfId="8936" xr:uid="{39E1BC4E-1061-4DAB-B01E-0327467F9540}"/>
    <cellStyle name="Normal 3 2 3 4" xfId="811" xr:uid="{00000000-0005-0000-0000-0000BB110000}"/>
    <cellStyle name="Normal 3 2 3 4 2" xfId="3048" xr:uid="{00000000-0005-0000-0000-0000BC110000}"/>
    <cellStyle name="Normal 3 2 3 4 2 2" xfId="7271" xr:uid="{00000000-0005-0000-0000-0000BD110000}"/>
    <cellStyle name="Normal 3 2 3 4 2 2 2" xfId="15710" xr:uid="{710556CB-600D-4A87-9E4E-2C222BE75E1F}"/>
    <cellStyle name="Normal 3 2 3 4 2 3" xfId="11492" xr:uid="{3F827BB8-2383-45D6-9879-C194F7A809AA}"/>
    <cellStyle name="Normal 3 2 3 4 3" xfId="5126" xr:uid="{00000000-0005-0000-0000-0000BE110000}"/>
    <cellStyle name="Normal 3 2 3 4 3 2" xfId="13565" xr:uid="{3FE21CD5-073E-44D4-9237-A121413B6BCF}"/>
    <cellStyle name="Normal 3 2 3 4 4" xfId="9347" xr:uid="{93D3FDA5-7D36-4BBF-B969-D97850B9FB83}"/>
    <cellStyle name="Normal 3 2 3 5" xfId="1231" xr:uid="{00000000-0005-0000-0000-0000BF110000}"/>
    <cellStyle name="Normal 3 2 3 5 2" xfId="3461" xr:uid="{00000000-0005-0000-0000-0000C0110000}"/>
    <cellStyle name="Normal 3 2 3 5 2 2" xfId="7684" xr:uid="{00000000-0005-0000-0000-0000C1110000}"/>
    <cellStyle name="Normal 3 2 3 5 2 2 2" xfId="16123" xr:uid="{52D91BE6-2D39-4331-8C27-A94BAFCE777F}"/>
    <cellStyle name="Normal 3 2 3 5 2 3" xfId="11905" xr:uid="{BE81D426-C180-4CBA-8952-96C9DB5F9811}"/>
    <cellStyle name="Normal 3 2 3 5 3" xfId="5539" xr:uid="{00000000-0005-0000-0000-0000C2110000}"/>
    <cellStyle name="Normal 3 2 3 5 3 2" xfId="13978" xr:uid="{1D95CF06-BCB3-4009-B6E1-B5B79F78558B}"/>
    <cellStyle name="Normal 3 2 3 5 4" xfId="9760" xr:uid="{105695D9-76A6-4B37-9F45-655F9B4F951D}"/>
    <cellStyle name="Normal 3 2 3 6" xfId="1644" xr:uid="{00000000-0005-0000-0000-0000C3110000}"/>
    <cellStyle name="Normal 3 2 3 6 2" xfId="3874" xr:uid="{00000000-0005-0000-0000-0000C4110000}"/>
    <cellStyle name="Normal 3 2 3 6 2 2" xfId="8097" xr:uid="{00000000-0005-0000-0000-0000C5110000}"/>
    <cellStyle name="Normal 3 2 3 6 2 2 2" xfId="16536" xr:uid="{313847D2-081F-4F22-912A-2BA3D68BD7A8}"/>
    <cellStyle name="Normal 3 2 3 6 2 3" xfId="12318" xr:uid="{574B71D0-8732-44CF-9294-EC4841ECC790}"/>
    <cellStyle name="Normal 3 2 3 6 3" xfId="5952" xr:uid="{00000000-0005-0000-0000-0000C6110000}"/>
    <cellStyle name="Normal 3 2 3 6 3 2" xfId="14391" xr:uid="{573CDE0C-A2F3-4BB5-A5B2-816EB74ACD8D}"/>
    <cellStyle name="Normal 3 2 3 6 4" xfId="10173" xr:uid="{F53736F6-39EF-43FE-A45B-F17E54B52702}"/>
    <cellStyle name="Normal 3 2 3 7" xfId="2058" xr:uid="{00000000-0005-0000-0000-0000C7110000}"/>
    <cellStyle name="Normal 3 2 3 7 2" xfId="4287" xr:uid="{00000000-0005-0000-0000-0000C8110000}"/>
    <cellStyle name="Normal 3 2 3 7 2 2" xfId="8510" xr:uid="{00000000-0005-0000-0000-0000C9110000}"/>
    <cellStyle name="Normal 3 2 3 7 2 2 2" xfId="16949" xr:uid="{3ADB599C-F2B8-4043-AF25-4CCBE0FDE178}"/>
    <cellStyle name="Normal 3 2 3 7 2 3" xfId="12731" xr:uid="{486C9397-AE50-4F30-B40A-1E396C183BD0}"/>
    <cellStyle name="Normal 3 2 3 7 3" xfId="6365" xr:uid="{00000000-0005-0000-0000-0000CA110000}"/>
    <cellStyle name="Normal 3 2 3 7 3 2" xfId="14804" xr:uid="{4DB6344F-A4D7-4514-8F51-B744F826BF6F}"/>
    <cellStyle name="Normal 3 2 3 7 4" xfId="10586" xr:uid="{1917094E-1D8E-4F37-B44B-54D9659EFC75}"/>
    <cellStyle name="Normal 3 2 3 8" xfId="2494" xr:uid="{00000000-0005-0000-0000-0000CB110000}"/>
    <cellStyle name="Normal 3 2 3 8 2" xfId="6778" xr:uid="{00000000-0005-0000-0000-0000CC110000}"/>
    <cellStyle name="Normal 3 2 3 8 2 2" xfId="15217" xr:uid="{E4A60019-A164-4E5E-861D-181089884A11}"/>
    <cellStyle name="Normal 3 2 3 8 3" xfId="10999" xr:uid="{C210D142-00F4-4EAE-8321-567A28C94D55}"/>
    <cellStyle name="Normal 3 2 3 9" xfId="4712" xr:uid="{00000000-0005-0000-0000-0000CD110000}"/>
    <cellStyle name="Normal 3 2 3 9 2" xfId="13151" xr:uid="{97B81D80-8B65-49B5-A072-3F1E2470EAFA}"/>
    <cellStyle name="Normal 3 2 4" xfId="809" xr:uid="{00000000-0005-0000-0000-0000CE110000}"/>
    <cellStyle name="Normal 3 2 4 2" xfId="3047" xr:uid="{00000000-0005-0000-0000-0000CF110000}"/>
    <cellStyle name="Normal 3 2 4 2 2" xfId="7270" xr:uid="{00000000-0005-0000-0000-0000D0110000}"/>
    <cellStyle name="Normal 3 2 4 2 2 2" xfId="15709" xr:uid="{1F0ECC5B-B122-4488-9AB0-8504DC5FC9BD}"/>
    <cellStyle name="Normal 3 2 4 2 3" xfId="11491" xr:uid="{22576068-8295-4619-B71D-6107B1C85653}"/>
    <cellStyle name="Normal 3 2 4 3" xfId="5125" xr:uid="{00000000-0005-0000-0000-0000D1110000}"/>
    <cellStyle name="Normal 3 2 4 3 2" xfId="13564" xr:uid="{D366D523-EEFF-4157-A2A1-39B4DEE33590}"/>
    <cellStyle name="Normal 3 2 4 4" xfId="9346" xr:uid="{490C619D-6681-4E45-B152-1C6D754E6629}"/>
    <cellStyle name="Normal 3 2 5" xfId="1230" xr:uid="{00000000-0005-0000-0000-0000D2110000}"/>
    <cellStyle name="Normal 3 2 5 2" xfId="3460" xr:uid="{00000000-0005-0000-0000-0000D3110000}"/>
    <cellStyle name="Normal 3 2 5 2 2" xfId="7683" xr:uid="{00000000-0005-0000-0000-0000D4110000}"/>
    <cellStyle name="Normal 3 2 5 2 2 2" xfId="16122" xr:uid="{AA6CC6B5-2A1D-4074-88C6-6AF60A87E42F}"/>
    <cellStyle name="Normal 3 2 5 2 3" xfId="11904" xr:uid="{2C161E51-EDAF-45E4-A12A-9C4C63C9F8AE}"/>
    <cellStyle name="Normal 3 2 5 3" xfId="5538" xr:uid="{00000000-0005-0000-0000-0000D5110000}"/>
    <cellStyle name="Normal 3 2 5 3 2" xfId="13977" xr:uid="{FFD354C1-7A31-4BA5-BB36-3E303162D87F}"/>
    <cellStyle name="Normal 3 2 5 4" xfId="9759" xr:uid="{0F674931-8416-4945-9514-0564D29861B1}"/>
    <cellStyle name="Normal 3 2 6" xfId="1643" xr:uid="{00000000-0005-0000-0000-0000D6110000}"/>
    <cellStyle name="Normal 3 2 6 2" xfId="3873" xr:uid="{00000000-0005-0000-0000-0000D7110000}"/>
    <cellStyle name="Normal 3 2 6 2 2" xfId="8096" xr:uid="{00000000-0005-0000-0000-0000D8110000}"/>
    <cellStyle name="Normal 3 2 6 2 2 2" xfId="16535" xr:uid="{523349B6-D5E3-4012-868C-EB43D2AA7EDC}"/>
    <cellStyle name="Normal 3 2 6 2 3" xfId="12317" xr:uid="{D3A80E43-0B1E-4C88-B6B0-4A869D8ADD60}"/>
    <cellStyle name="Normal 3 2 6 3" xfId="5951" xr:uid="{00000000-0005-0000-0000-0000D9110000}"/>
    <cellStyle name="Normal 3 2 6 3 2" xfId="14390" xr:uid="{C01F29E0-2BE5-4761-BEA6-CEA9CCC66A33}"/>
    <cellStyle name="Normal 3 2 6 4" xfId="10172" xr:uid="{36296314-08D4-47C3-B94B-F99698C72D24}"/>
    <cellStyle name="Normal 3 2 7" xfId="2057" xr:uid="{00000000-0005-0000-0000-0000DA110000}"/>
    <cellStyle name="Normal 3 2 7 2" xfId="4286" xr:uid="{00000000-0005-0000-0000-0000DB110000}"/>
    <cellStyle name="Normal 3 2 7 2 2" xfId="8509" xr:uid="{00000000-0005-0000-0000-0000DC110000}"/>
    <cellStyle name="Normal 3 2 7 2 2 2" xfId="16948" xr:uid="{97DBCECD-130F-475D-9955-9FA953493099}"/>
    <cellStyle name="Normal 3 2 7 2 3" xfId="12730" xr:uid="{2027D621-CA06-4A3F-A527-DE822A0B1113}"/>
    <cellStyle name="Normal 3 2 7 3" xfId="6364" xr:uid="{00000000-0005-0000-0000-0000DD110000}"/>
    <cellStyle name="Normal 3 2 7 3 2" xfId="14803" xr:uid="{FC757EE5-48B1-4385-ACFA-345C9D7664DA}"/>
    <cellStyle name="Normal 3 2 7 4" xfId="10585" xr:uid="{47362FB0-40BA-4E61-AA00-A618AB91438A}"/>
    <cellStyle name="Normal 3 2 8" xfId="2493" xr:uid="{00000000-0005-0000-0000-0000DE110000}"/>
    <cellStyle name="Normal 3 2 8 2" xfId="6777" xr:uid="{00000000-0005-0000-0000-0000DF110000}"/>
    <cellStyle name="Normal 3 2 8 2 2" xfId="15216" xr:uid="{9CA82BBE-8683-4B5F-8F23-2F2678BE961B}"/>
    <cellStyle name="Normal 3 2 8 3" xfId="10998" xr:uid="{EFD4778C-5B73-4EE7-952C-FF54A945ED94}"/>
    <cellStyle name="Normal 3 2 9" xfId="4711" xr:uid="{00000000-0005-0000-0000-0000E0110000}"/>
    <cellStyle name="Normal 3 2 9 2" xfId="13150" xr:uid="{9AEB5BA0-51C8-44F2-809A-27667372B913}"/>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937" xr:uid="{63DA60ED-ABEC-4D39-841F-7B0E2295C2B9}"/>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2 2 2" xfId="16953" xr:uid="{37A3F474-4498-400A-9403-0DF2ABEF5FD7}"/>
    <cellStyle name="Normal 4 2 2 10 2 3" xfId="12735" xr:uid="{6FE32D5D-F031-44B7-A9C4-F05654082CDD}"/>
    <cellStyle name="Normal 4 2 2 10 3" xfId="6369" xr:uid="{00000000-0005-0000-0000-0000ED110000}"/>
    <cellStyle name="Normal 4 2 2 10 3 2" xfId="14808" xr:uid="{FCEFDE01-5F6A-49E4-8075-FA34E27BEFCF}"/>
    <cellStyle name="Normal 4 2 2 10 4" xfId="10590" xr:uid="{6C160ED5-CE42-4E94-A9E6-E2BA88B62C34}"/>
    <cellStyle name="Normal 4 2 2 11" xfId="2498" xr:uid="{00000000-0005-0000-0000-0000EE110000}"/>
    <cellStyle name="Normal 4 2 2 11 2" xfId="6782" xr:uid="{00000000-0005-0000-0000-0000EF110000}"/>
    <cellStyle name="Normal 4 2 2 11 2 2" xfId="15221" xr:uid="{0ADD0DED-1547-4CAA-9DB6-128AF9C846E5}"/>
    <cellStyle name="Normal 4 2 2 11 3" xfId="11003" xr:uid="{4BFF5AD4-446F-4E67-B5DF-0FBAC2EE74E8}"/>
    <cellStyle name="Normal 4 2 2 12" xfId="4717" xr:uid="{00000000-0005-0000-0000-0000F0110000}"/>
    <cellStyle name="Normal 4 2 2 12 2" xfId="13156" xr:uid="{27E41DC9-13A3-4779-865C-33D19BC711D3}"/>
    <cellStyle name="Normal 4 2 2 13" xfId="8938" xr:uid="{8DB7DD31-F508-4E62-929C-B12249BBD127}"/>
    <cellStyle name="Normal 4 2 2 2" xfId="338" xr:uid="{00000000-0005-0000-0000-0000F1110000}"/>
    <cellStyle name="Normal 4 2 2 3" xfId="339" xr:uid="{00000000-0005-0000-0000-0000F2110000}"/>
    <cellStyle name="Normal 4 2 2 3 10" xfId="4718" xr:uid="{00000000-0005-0000-0000-0000F3110000}"/>
    <cellStyle name="Normal 4 2 2 3 10 2" xfId="13157" xr:uid="{EED682EF-F703-4331-8B4E-F77390B8D816}"/>
    <cellStyle name="Normal 4 2 2 3 11" xfId="8939" xr:uid="{3C8ED126-FF01-4734-84CB-31437BA6C9BF}"/>
    <cellStyle name="Normal 4 2 2 3 2" xfId="340" xr:uid="{00000000-0005-0000-0000-0000F4110000}"/>
    <cellStyle name="Normal 4 2 2 3 2 10" xfId="8940" xr:uid="{C30FFE5D-548E-427C-8D4E-580E82B6BD0D}"/>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2 2 2" xfId="15718" xr:uid="{F9732E5A-A3A4-45F5-A5BD-C7689874F025}"/>
    <cellStyle name="Normal 4 2 2 3 2 2 2 2 2 3" xfId="11500" xr:uid="{7ED2C7BA-4631-425B-8AF4-B1924A914783}"/>
    <cellStyle name="Normal 4 2 2 3 2 2 2 2 3" xfId="5134" xr:uid="{00000000-0005-0000-0000-0000FA110000}"/>
    <cellStyle name="Normal 4 2 2 3 2 2 2 2 3 2" xfId="13573" xr:uid="{48AB7D82-ED73-4757-9370-24A4499C3FCF}"/>
    <cellStyle name="Normal 4 2 2 3 2 2 2 2 4" xfId="9355" xr:uid="{F36AAEE1-0B90-4475-9C9E-68A825B87628}"/>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2 2 2" xfId="16131" xr:uid="{6071C826-7002-49CB-A938-026879284BBE}"/>
    <cellStyle name="Normal 4 2 2 3 2 2 2 3 2 3" xfId="11913" xr:uid="{DCB189E7-AF34-403C-969E-9F8A57923B1F}"/>
    <cellStyle name="Normal 4 2 2 3 2 2 2 3 3" xfId="5547" xr:uid="{00000000-0005-0000-0000-0000FE110000}"/>
    <cellStyle name="Normal 4 2 2 3 2 2 2 3 3 2" xfId="13986" xr:uid="{84DD7739-A8BE-4EE1-8B99-951088F2C1FE}"/>
    <cellStyle name="Normal 4 2 2 3 2 2 2 3 4" xfId="9768" xr:uid="{FC6DB1D5-44D6-4478-A63D-51B7927B300A}"/>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2 2 2" xfId="16544" xr:uid="{ED699A4E-73DC-4668-ACC0-61DC68AC9C7E}"/>
    <cellStyle name="Normal 4 2 2 3 2 2 2 4 2 3" xfId="12326" xr:uid="{E241E095-3296-4111-928B-A5D70DF0FACC}"/>
    <cellStyle name="Normal 4 2 2 3 2 2 2 4 3" xfId="5960" xr:uid="{00000000-0005-0000-0000-000002120000}"/>
    <cellStyle name="Normal 4 2 2 3 2 2 2 4 3 2" xfId="14399" xr:uid="{B6C8953C-DF46-49F8-8386-05E08A067D0B}"/>
    <cellStyle name="Normal 4 2 2 3 2 2 2 4 4" xfId="10181" xr:uid="{DC296C3C-0D68-4087-9B7E-DFB19D64FBA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2 2 2" xfId="16957" xr:uid="{48DD6048-B36D-4A86-BCAC-8D4A33A63FE7}"/>
    <cellStyle name="Normal 4 2 2 3 2 2 2 5 2 3" xfId="12739" xr:uid="{B3E1901A-28B5-41C0-8726-34399B00A9F3}"/>
    <cellStyle name="Normal 4 2 2 3 2 2 2 5 3" xfId="6373" xr:uid="{00000000-0005-0000-0000-000006120000}"/>
    <cellStyle name="Normal 4 2 2 3 2 2 2 5 3 2" xfId="14812" xr:uid="{ED453C98-6385-4159-B0EF-85C2B2952B65}"/>
    <cellStyle name="Normal 4 2 2 3 2 2 2 5 4" xfId="10594" xr:uid="{20116F90-FCF7-40D6-BAD5-EA8B5F04BE7B}"/>
    <cellStyle name="Normal 4 2 2 3 2 2 2 6" xfId="2502" xr:uid="{00000000-0005-0000-0000-000007120000}"/>
    <cellStyle name="Normal 4 2 2 3 2 2 2 6 2" xfId="6786" xr:uid="{00000000-0005-0000-0000-000008120000}"/>
    <cellStyle name="Normal 4 2 2 3 2 2 2 6 2 2" xfId="15225" xr:uid="{A55BE5F5-7190-455E-B169-82798CC1AA68}"/>
    <cellStyle name="Normal 4 2 2 3 2 2 2 6 3" xfId="11007" xr:uid="{7E664EC7-D811-4F8A-9064-AD5CE2B8D6F5}"/>
    <cellStyle name="Normal 4 2 2 3 2 2 2 7" xfId="4721" xr:uid="{00000000-0005-0000-0000-000009120000}"/>
    <cellStyle name="Normal 4 2 2 3 2 2 2 7 2" xfId="13160" xr:uid="{E91EE457-EBCF-483D-9372-CBD186AC8588}"/>
    <cellStyle name="Normal 4 2 2 3 2 2 2 8" xfId="8942" xr:uid="{60D8C320-CCD2-4877-B5AF-6D07C8FBF9EA}"/>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2 2 2" xfId="15717" xr:uid="{498E26CF-6A51-421A-93CD-A9A598322FED}"/>
    <cellStyle name="Normal 4 2 2 3 2 2 3 2 3" xfId="11499" xr:uid="{B59ECD08-ECC9-4BF0-AF94-1ECE34A8174C}"/>
    <cellStyle name="Normal 4 2 2 3 2 2 3 3" xfId="5133" xr:uid="{00000000-0005-0000-0000-00000D120000}"/>
    <cellStyle name="Normal 4 2 2 3 2 2 3 3 2" xfId="13572" xr:uid="{F3C2A5BB-BF9C-45D4-AD69-C9C3D12C8DC7}"/>
    <cellStyle name="Normal 4 2 2 3 2 2 3 4" xfId="9354" xr:uid="{14E7DABE-D4A1-495A-83D0-52B04990A06A}"/>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2 2 2" xfId="16130" xr:uid="{B8CA204D-5A00-4BFC-9364-1FED3EE30529}"/>
    <cellStyle name="Normal 4 2 2 3 2 2 4 2 3" xfId="11912" xr:uid="{8A30EE23-61AF-43B3-B924-CE0ABAD944C8}"/>
    <cellStyle name="Normal 4 2 2 3 2 2 4 3" xfId="5546" xr:uid="{00000000-0005-0000-0000-000011120000}"/>
    <cellStyle name="Normal 4 2 2 3 2 2 4 3 2" xfId="13985" xr:uid="{4A44402E-216C-400B-AC64-BA31CF431E67}"/>
    <cellStyle name="Normal 4 2 2 3 2 2 4 4" xfId="9767" xr:uid="{75046CBA-FA62-4AC4-B6BF-BD0EE191F17E}"/>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2 2 2" xfId="16543" xr:uid="{F03EFC91-F8C4-4745-8751-837149156488}"/>
    <cellStyle name="Normal 4 2 2 3 2 2 5 2 3" xfId="12325" xr:uid="{A98AA388-1DE7-4EF7-9C00-B1ABBCCF88AD}"/>
    <cellStyle name="Normal 4 2 2 3 2 2 5 3" xfId="5959" xr:uid="{00000000-0005-0000-0000-000015120000}"/>
    <cellStyle name="Normal 4 2 2 3 2 2 5 3 2" xfId="14398" xr:uid="{82E689D6-D5EB-4EE4-81C8-CC8DE79C9955}"/>
    <cellStyle name="Normal 4 2 2 3 2 2 5 4" xfId="10180" xr:uid="{5FCCC4CA-68A7-4A1C-95FE-3FD60BE8063C}"/>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2 2 2" xfId="16956" xr:uid="{2B62A6DF-776C-4C0F-B381-5A7E90DF8F06}"/>
    <cellStyle name="Normal 4 2 2 3 2 2 6 2 3" xfId="12738" xr:uid="{29DAFAEA-EF40-4A40-9C90-BA517134C49A}"/>
    <cellStyle name="Normal 4 2 2 3 2 2 6 3" xfId="6372" xr:uid="{00000000-0005-0000-0000-000019120000}"/>
    <cellStyle name="Normal 4 2 2 3 2 2 6 3 2" xfId="14811" xr:uid="{DC1B241E-53CF-4829-B4E8-BA0DFAE5A93B}"/>
    <cellStyle name="Normal 4 2 2 3 2 2 6 4" xfId="10593" xr:uid="{3CC4E660-4409-49BD-A1F0-C32108581396}"/>
    <cellStyle name="Normal 4 2 2 3 2 2 7" xfId="2501" xr:uid="{00000000-0005-0000-0000-00001A120000}"/>
    <cellStyle name="Normal 4 2 2 3 2 2 7 2" xfId="6785" xr:uid="{00000000-0005-0000-0000-00001B120000}"/>
    <cellStyle name="Normal 4 2 2 3 2 2 7 2 2" xfId="15224" xr:uid="{47847802-BB6D-419F-8989-FCBFE4EF8198}"/>
    <cellStyle name="Normal 4 2 2 3 2 2 7 3" xfId="11006" xr:uid="{AA0D1554-32EC-4E75-B6B2-4F933757D08E}"/>
    <cellStyle name="Normal 4 2 2 3 2 2 8" xfId="4720" xr:uid="{00000000-0005-0000-0000-00001C120000}"/>
    <cellStyle name="Normal 4 2 2 3 2 2 8 2" xfId="13159" xr:uid="{FECF647C-54ED-4672-8BC0-790028395660}"/>
    <cellStyle name="Normal 4 2 2 3 2 2 9" xfId="8941" xr:uid="{864468BD-A7E4-4EE7-89E8-9702F454CC7A}"/>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2 2 2" xfId="15719" xr:uid="{77DA09A2-E19A-4D27-BA64-E866E04652F7}"/>
    <cellStyle name="Normal 4 2 2 3 2 3 2 2 3" xfId="11501" xr:uid="{119D8BE1-9DF9-4502-B865-C001E1A8018E}"/>
    <cellStyle name="Normal 4 2 2 3 2 3 2 3" xfId="5135" xr:uid="{00000000-0005-0000-0000-000021120000}"/>
    <cellStyle name="Normal 4 2 2 3 2 3 2 3 2" xfId="13574" xr:uid="{C0CD65EE-9521-41EC-A3C4-FE4735DDEBC0}"/>
    <cellStyle name="Normal 4 2 2 3 2 3 2 4" xfId="9356" xr:uid="{3B0B5635-F751-4CC9-8B9E-5B5D1660FC8A}"/>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2 2 2" xfId="16132" xr:uid="{72F1D382-B94C-4E6F-9EB2-5454945A1E2B}"/>
    <cellStyle name="Normal 4 2 2 3 2 3 3 2 3" xfId="11914" xr:uid="{452E6278-CF0A-4244-B73B-D8C6A3290268}"/>
    <cellStyle name="Normal 4 2 2 3 2 3 3 3" xfId="5548" xr:uid="{00000000-0005-0000-0000-000025120000}"/>
    <cellStyle name="Normal 4 2 2 3 2 3 3 3 2" xfId="13987" xr:uid="{2D01E8F1-5487-42D1-BD6F-A761621AE470}"/>
    <cellStyle name="Normal 4 2 2 3 2 3 3 4" xfId="9769" xr:uid="{18367798-8496-4B7F-9ABD-A0960FEA56B6}"/>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2 2 2" xfId="16545" xr:uid="{43981861-B3A6-4EB2-B397-718B35AB0E9B}"/>
    <cellStyle name="Normal 4 2 2 3 2 3 4 2 3" xfId="12327" xr:uid="{E8909D90-9719-4AFD-9105-B61D26F39C5A}"/>
    <cellStyle name="Normal 4 2 2 3 2 3 4 3" xfId="5961" xr:uid="{00000000-0005-0000-0000-000029120000}"/>
    <cellStyle name="Normal 4 2 2 3 2 3 4 3 2" xfId="14400" xr:uid="{0EF86FBD-4BED-4227-947A-4F3EAA70592A}"/>
    <cellStyle name="Normal 4 2 2 3 2 3 4 4" xfId="10182" xr:uid="{C7752CB5-BCB2-4CED-BE15-43AD35C6B032}"/>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2 2 2" xfId="16958" xr:uid="{4E315B8F-B612-4CD0-9803-F181010F2080}"/>
    <cellStyle name="Normal 4 2 2 3 2 3 5 2 3" xfId="12740" xr:uid="{D0A3D047-49AA-4136-BF01-E33656A61353}"/>
    <cellStyle name="Normal 4 2 2 3 2 3 5 3" xfId="6374" xr:uid="{00000000-0005-0000-0000-00002D120000}"/>
    <cellStyle name="Normal 4 2 2 3 2 3 5 3 2" xfId="14813" xr:uid="{9646BC6A-5B8A-41CF-A685-724B04924B78}"/>
    <cellStyle name="Normal 4 2 2 3 2 3 5 4" xfId="10595" xr:uid="{DF6E1B21-9659-4F18-8FC0-9B14CB31CBA6}"/>
    <cellStyle name="Normal 4 2 2 3 2 3 6" xfId="2503" xr:uid="{00000000-0005-0000-0000-00002E120000}"/>
    <cellStyle name="Normal 4 2 2 3 2 3 6 2" xfId="6787" xr:uid="{00000000-0005-0000-0000-00002F120000}"/>
    <cellStyle name="Normal 4 2 2 3 2 3 6 2 2" xfId="15226" xr:uid="{E610ED87-8198-47DF-B27A-3D7333D9161F}"/>
    <cellStyle name="Normal 4 2 2 3 2 3 6 3" xfId="11008" xr:uid="{E45D5636-A4DF-4803-A2EE-96BCD563D92A}"/>
    <cellStyle name="Normal 4 2 2 3 2 3 7" xfId="4722" xr:uid="{00000000-0005-0000-0000-000030120000}"/>
    <cellStyle name="Normal 4 2 2 3 2 3 7 2" xfId="13161" xr:uid="{F27500A9-B6F0-449D-941E-5096806A9AE7}"/>
    <cellStyle name="Normal 4 2 2 3 2 3 8" xfId="8943" xr:uid="{882D7EF5-8F70-4A4C-8080-C844B39B67EA}"/>
    <cellStyle name="Normal 4 2 2 3 2 4" xfId="817" xr:uid="{00000000-0005-0000-0000-000031120000}"/>
    <cellStyle name="Normal 4 2 2 3 2 4 2" xfId="3054" xr:uid="{00000000-0005-0000-0000-000032120000}"/>
    <cellStyle name="Normal 4 2 2 3 2 4 2 2" xfId="7277" xr:uid="{00000000-0005-0000-0000-000033120000}"/>
    <cellStyle name="Normal 4 2 2 3 2 4 2 2 2" xfId="15716" xr:uid="{A2BCAE0E-2B62-41BF-8550-C4A562930E73}"/>
    <cellStyle name="Normal 4 2 2 3 2 4 2 3" xfId="11498" xr:uid="{08B11E17-E852-4FCF-88F2-B841844253BC}"/>
    <cellStyle name="Normal 4 2 2 3 2 4 3" xfId="5132" xr:uid="{00000000-0005-0000-0000-000034120000}"/>
    <cellStyle name="Normal 4 2 2 3 2 4 3 2" xfId="13571" xr:uid="{F91762CE-F8ED-46EA-965B-0FE857CD31B1}"/>
    <cellStyle name="Normal 4 2 2 3 2 4 4" xfId="9353" xr:uid="{818812DB-DE03-41AD-9E17-E4F4913F465E}"/>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2 2 2" xfId="16129" xr:uid="{C088107C-38B4-4BA0-BE4B-92F6707CCEE9}"/>
    <cellStyle name="Normal 4 2 2 3 2 5 2 3" xfId="11911" xr:uid="{AE3580BD-2346-403E-B5AC-83E6A28D37BD}"/>
    <cellStyle name="Normal 4 2 2 3 2 5 3" xfId="5545" xr:uid="{00000000-0005-0000-0000-000038120000}"/>
    <cellStyle name="Normal 4 2 2 3 2 5 3 2" xfId="13984" xr:uid="{1745E519-F8A4-4FBE-9C5C-06899D84DF97}"/>
    <cellStyle name="Normal 4 2 2 3 2 5 4" xfId="9766" xr:uid="{6DF5288A-F747-4AC5-A1CF-9E9EF4CF3698}"/>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2 2 2" xfId="16542" xr:uid="{2BF8553A-E268-4D9F-AAD4-657AD632F0DE}"/>
    <cellStyle name="Normal 4 2 2 3 2 6 2 3" xfId="12324" xr:uid="{6E204793-C340-4B9E-A993-14AC28E28664}"/>
    <cellStyle name="Normal 4 2 2 3 2 6 3" xfId="5958" xr:uid="{00000000-0005-0000-0000-00003C120000}"/>
    <cellStyle name="Normal 4 2 2 3 2 6 3 2" xfId="14397" xr:uid="{B69A369E-430A-41D9-B665-4AB597E0A178}"/>
    <cellStyle name="Normal 4 2 2 3 2 6 4" xfId="10179" xr:uid="{96D45717-E182-4E49-A8F0-847BF0DC85AA}"/>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2 2 2" xfId="16955" xr:uid="{732F59DF-9627-4997-B14B-C69FBEFFA672}"/>
    <cellStyle name="Normal 4 2 2 3 2 7 2 3" xfId="12737" xr:uid="{10452BBF-CA04-4FC6-937E-B8DFD8E8E378}"/>
    <cellStyle name="Normal 4 2 2 3 2 7 3" xfId="6371" xr:uid="{00000000-0005-0000-0000-000040120000}"/>
    <cellStyle name="Normal 4 2 2 3 2 7 3 2" xfId="14810" xr:uid="{FC1872FB-A456-4BD3-9A45-3383EA7103E7}"/>
    <cellStyle name="Normal 4 2 2 3 2 7 4" xfId="10592" xr:uid="{12C28DCE-4377-4292-8207-F61917783F02}"/>
    <cellStyle name="Normal 4 2 2 3 2 8" xfId="2500" xr:uid="{00000000-0005-0000-0000-000041120000}"/>
    <cellStyle name="Normal 4 2 2 3 2 8 2" xfId="6784" xr:uid="{00000000-0005-0000-0000-000042120000}"/>
    <cellStyle name="Normal 4 2 2 3 2 8 2 2" xfId="15223" xr:uid="{268DB974-5AB9-4723-AB6A-D738F6586949}"/>
    <cellStyle name="Normal 4 2 2 3 2 8 3" xfId="11005" xr:uid="{108FB871-6DD5-4F22-BEC9-9DA871CD0F4B}"/>
    <cellStyle name="Normal 4 2 2 3 2 9" xfId="4719" xr:uid="{00000000-0005-0000-0000-000043120000}"/>
    <cellStyle name="Normal 4 2 2 3 2 9 2" xfId="13158" xr:uid="{C962FF41-2B10-4372-9CB7-CCDBAFA51DF1}"/>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2 2 2" xfId="15721" xr:uid="{FBBF6D3B-F6FD-4718-B7A2-7C5D3DDBA79C}"/>
    <cellStyle name="Normal 4 2 2 3 3 2 2 2 3" xfId="11503" xr:uid="{86A5904E-E9B9-4298-8F86-CD455D4E2B71}"/>
    <cellStyle name="Normal 4 2 2 3 3 2 2 3" xfId="5137" xr:uid="{00000000-0005-0000-0000-000049120000}"/>
    <cellStyle name="Normal 4 2 2 3 3 2 2 3 2" xfId="13576" xr:uid="{D6E6C144-2F36-444C-B508-D31681A0739A}"/>
    <cellStyle name="Normal 4 2 2 3 3 2 2 4" xfId="9358" xr:uid="{D1022FF9-3DFE-4F65-B64B-B6781787DF3E}"/>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2 2 2" xfId="16134" xr:uid="{4037ECB2-578A-4818-892A-6BFBA97609B6}"/>
    <cellStyle name="Normal 4 2 2 3 3 2 3 2 3" xfId="11916" xr:uid="{AE0B9DF7-1776-45C3-8CEE-86E53864773D}"/>
    <cellStyle name="Normal 4 2 2 3 3 2 3 3" xfId="5550" xr:uid="{00000000-0005-0000-0000-00004D120000}"/>
    <cellStyle name="Normal 4 2 2 3 3 2 3 3 2" xfId="13989" xr:uid="{777C61B4-931E-4C22-9307-7B610EECB08A}"/>
    <cellStyle name="Normal 4 2 2 3 3 2 3 4" xfId="9771" xr:uid="{696C9DBD-B15C-4D7C-9380-260DC92ED40D}"/>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2 2 2" xfId="16547" xr:uid="{E0B247FA-2D7C-4B8C-9DE9-E187C39F275C}"/>
    <cellStyle name="Normal 4 2 2 3 3 2 4 2 3" xfId="12329" xr:uid="{3F25B487-6654-4C29-A873-16991E74D14B}"/>
    <cellStyle name="Normal 4 2 2 3 3 2 4 3" xfId="5963" xr:uid="{00000000-0005-0000-0000-000051120000}"/>
    <cellStyle name="Normal 4 2 2 3 3 2 4 3 2" xfId="14402" xr:uid="{041D6FA3-8FF8-4FC4-9736-CA0096246D58}"/>
    <cellStyle name="Normal 4 2 2 3 3 2 4 4" xfId="10184" xr:uid="{28726658-4C08-4D50-9197-FF6A2FDC9CCF}"/>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2 2 2" xfId="16960" xr:uid="{142AECEF-B698-45A3-8DCA-3D4AB78650F1}"/>
    <cellStyle name="Normal 4 2 2 3 3 2 5 2 3" xfId="12742" xr:uid="{1C187C08-48AB-4931-A868-919D8AB4E22E}"/>
    <cellStyle name="Normal 4 2 2 3 3 2 5 3" xfId="6376" xr:uid="{00000000-0005-0000-0000-000055120000}"/>
    <cellStyle name="Normal 4 2 2 3 3 2 5 3 2" xfId="14815" xr:uid="{3C867BAC-71E7-4D29-9B7F-881DA5598D81}"/>
    <cellStyle name="Normal 4 2 2 3 3 2 5 4" xfId="10597" xr:uid="{429C81E3-13F4-4AD0-BB94-21FF20397882}"/>
    <cellStyle name="Normal 4 2 2 3 3 2 6" xfId="2505" xr:uid="{00000000-0005-0000-0000-000056120000}"/>
    <cellStyle name="Normal 4 2 2 3 3 2 6 2" xfId="6789" xr:uid="{00000000-0005-0000-0000-000057120000}"/>
    <cellStyle name="Normal 4 2 2 3 3 2 6 2 2" xfId="15228" xr:uid="{6EE2E6B8-0BBF-4ED6-B982-F09246BA8DA1}"/>
    <cellStyle name="Normal 4 2 2 3 3 2 6 3" xfId="11010" xr:uid="{1A12841F-901E-4DEB-BB02-2259DC2EC84E}"/>
    <cellStyle name="Normal 4 2 2 3 3 2 7" xfId="4724" xr:uid="{00000000-0005-0000-0000-000058120000}"/>
    <cellStyle name="Normal 4 2 2 3 3 2 7 2" xfId="13163" xr:uid="{3857A1D8-4253-4D9E-964B-72A1FC10D020}"/>
    <cellStyle name="Normal 4 2 2 3 3 2 8" xfId="8945" xr:uid="{FDF58114-2617-46FA-9327-B3536D72F1D5}"/>
    <cellStyle name="Normal 4 2 2 3 3 3" xfId="821" xr:uid="{00000000-0005-0000-0000-000059120000}"/>
    <cellStyle name="Normal 4 2 2 3 3 3 2" xfId="3058" xr:uid="{00000000-0005-0000-0000-00005A120000}"/>
    <cellStyle name="Normal 4 2 2 3 3 3 2 2" xfId="7281" xr:uid="{00000000-0005-0000-0000-00005B120000}"/>
    <cellStyle name="Normal 4 2 2 3 3 3 2 2 2" xfId="15720" xr:uid="{1F2AF51C-2A6F-47F2-ABE1-0AAA8626D68E}"/>
    <cellStyle name="Normal 4 2 2 3 3 3 2 3" xfId="11502" xr:uid="{090D74CE-AE53-473F-AEC4-0D3DD8989AD7}"/>
    <cellStyle name="Normal 4 2 2 3 3 3 3" xfId="5136" xr:uid="{00000000-0005-0000-0000-00005C120000}"/>
    <cellStyle name="Normal 4 2 2 3 3 3 3 2" xfId="13575" xr:uid="{E0BEFC3F-1908-4F94-8759-DC1DA1E533D8}"/>
    <cellStyle name="Normal 4 2 2 3 3 3 4" xfId="9357" xr:uid="{EA308F62-934B-4979-9E12-2F66CFCEB3B9}"/>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2 2 2" xfId="16133" xr:uid="{74692BDD-DA3F-4ADA-8770-43B3C160FBEB}"/>
    <cellStyle name="Normal 4 2 2 3 3 4 2 3" xfId="11915" xr:uid="{5B2778AB-7201-4B10-A2A6-BAB45128613A}"/>
    <cellStyle name="Normal 4 2 2 3 3 4 3" xfId="5549" xr:uid="{00000000-0005-0000-0000-000060120000}"/>
    <cellStyle name="Normal 4 2 2 3 3 4 3 2" xfId="13988" xr:uid="{B4B229C8-7E62-4A81-9CF0-8947EE6F3C85}"/>
    <cellStyle name="Normal 4 2 2 3 3 4 4" xfId="9770" xr:uid="{DA76DFA0-26B7-4109-B94E-72BEA7CB75BE}"/>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2 2 2" xfId="16546" xr:uid="{7BF635B0-8EA1-4C42-83B4-3031040FEC43}"/>
    <cellStyle name="Normal 4 2 2 3 3 5 2 3" xfId="12328" xr:uid="{B970BB51-6DCD-42D8-AA4D-F6E51E4F9F6F}"/>
    <cellStyle name="Normal 4 2 2 3 3 5 3" xfId="5962" xr:uid="{00000000-0005-0000-0000-000064120000}"/>
    <cellStyle name="Normal 4 2 2 3 3 5 3 2" xfId="14401" xr:uid="{968324B9-09EE-4A52-B1B9-2DABD5FD467B}"/>
    <cellStyle name="Normal 4 2 2 3 3 5 4" xfId="10183" xr:uid="{73DEAE77-9650-4CBE-B114-2459DB30E23A}"/>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2 2 2" xfId="16959" xr:uid="{D9E70D57-A525-4D75-82CE-242F5FEDB3E8}"/>
    <cellStyle name="Normal 4 2 2 3 3 6 2 3" xfId="12741" xr:uid="{3BDC5097-51F7-497A-B420-D7A14D3F7C2E}"/>
    <cellStyle name="Normal 4 2 2 3 3 6 3" xfId="6375" xr:uid="{00000000-0005-0000-0000-000068120000}"/>
    <cellStyle name="Normal 4 2 2 3 3 6 3 2" xfId="14814" xr:uid="{7E21DBCF-FEF7-4922-9D01-B4569544A2C3}"/>
    <cellStyle name="Normal 4 2 2 3 3 6 4" xfId="10596" xr:uid="{E2F54D8A-3CC9-43CD-9DCC-01FC415F5E72}"/>
    <cellStyle name="Normal 4 2 2 3 3 7" xfId="2504" xr:uid="{00000000-0005-0000-0000-000069120000}"/>
    <cellStyle name="Normal 4 2 2 3 3 7 2" xfId="6788" xr:uid="{00000000-0005-0000-0000-00006A120000}"/>
    <cellStyle name="Normal 4 2 2 3 3 7 2 2" xfId="15227" xr:uid="{6D88D5DD-AD29-4438-8793-C6B954DB6C1B}"/>
    <cellStyle name="Normal 4 2 2 3 3 7 3" xfId="11009" xr:uid="{70B47576-0D0E-44F9-912A-2681AA67604E}"/>
    <cellStyle name="Normal 4 2 2 3 3 8" xfId="4723" xr:uid="{00000000-0005-0000-0000-00006B120000}"/>
    <cellStyle name="Normal 4 2 2 3 3 8 2" xfId="13162" xr:uid="{A9DD0DB7-DFC7-48A0-BC01-F180EA571ABB}"/>
    <cellStyle name="Normal 4 2 2 3 3 9" xfId="8944" xr:uid="{A9F17116-4E73-4ED6-99B6-6C02F9DDB035}"/>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2 2 2" xfId="15722" xr:uid="{54A7EC95-E540-4EAF-94E9-DAAE7CFA17B0}"/>
    <cellStyle name="Normal 4 2 2 3 4 2 2 3" xfId="11504" xr:uid="{79F942BD-79DE-4CDC-9A92-19FBE17337B2}"/>
    <cellStyle name="Normal 4 2 2 3 4 2 3" xfId="5138" xr:uid="{00000000-0005-0000-0000-000070120000}"/>
    <cellStyle name="Normal 4 2 2 3 4 2 3 2" xfId="13577" xr:uid="{534382CB-709D-43CD-AB59-6789E7BDC358}"/>
    <cellStyle name="Normal 4 2 2 3 4 2 4" xfId="9359" xr:uid="{F78209CC-C2CC-408F-B1A8-EC871E4ED516}"/>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2 2 2" xfId="16135" xr:uid="{B416ABF2-AD1B-42ED-85DC-D8B0CBA6659E}"/>
    <cellStyle name="Normal 4 2 2 3 4 3 2 3" xfId="11917" xr:uid="{757D01FE-AF07-4465-AF8C-5F116F9B9922}"/>
    <cellStyle name="Normal 4 2 2 3 4 3 3" xfId="5551" xr:uid="{00000000-0005-0000-0000-000074120000}"/>
    <cellStyle name="Normal 4 2 2 3 4 3 3 2" xfId="13990" xr:uid="{B6D02DA6-7FD0-4D2C-B248-01871296919D}"/>
    <cellStyle name="Normal 4 2 2 3 4 3 4" xfId="9772" xr:uid="{D2216BC5-A7EE-4A2D-B471-D385DD162DEA}"/>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2 2 2" xfId="16548" xr:uid="{6914B62D-C982-41B3-854A-D6F17A4AC2BB}"/>
    <cellStyle name="Normal 4 2 2 3 4 4 2 3" xfId="12330" xr:uid="{C748381E-F956-4416-A4FA-EAA5AD933438}"/>
    <cellStyle name="Normal 4 2 2 3 4 4 3" xfId="5964" xr:uid="{00000000-0005-0000-0000-000078120000}"/>
    <cellStyle name="Normal 4 2 2 3 4 4 3 2" xfId="14403" xr:uid="{A0345C31-3067-4650-8525-DE4053BC65A9}"/>
    <cellStyle name="Normal 4 2 2 3 4 4 4" xfId="10185" xr:uid="{9BD9321B-83E0-4C98-90C4-5F25382CFDCD}"/>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2 2 2" xfId="16961" xr:uid="{772DC47F-9B8A-455F-8631-E1CE414566D3}"/>
    <cellStyle name="Normal 4 2 2 3 4 5 2 3" xfId="12743" xr:uid="{6D5C1CC3-620B-42FF-9493-28ACA92B538B}"/>
    <cellStyle name="Normal 4 2 2 3 4 5 3" xfId="6377" xr:uid="{00000000-0005-0000-0000-00007C120000}"/>
    <cellStyle name="Normal 4 2 2 3 4 5 3 2" xfId="14816" xr:uid="{165EFBC9-0BDD-47A3-BB81-054CD8185E40}"/>
    <cellStyle name="Normal 4 2 2 3 4 5 4" xfId="10598" xr:uid="{E1F99D45-8898-48B8-A4E0-B53677FD1F81}"/>
    <cellStyle name="Normal 4 2 2 3 4 6" xfId="2506" xr:uid="{00000000-0005-0000-0000-00007D120000}"/>
    <cellStyle name="Normal 4 2 2 3 4 6 2" xfId="6790" xr:uid="{00000000-0005-0000-0000-00007E120000}"/>
    <cellStyle name="Normal 4 2 2 3 4 6 2 2" xfId="15229" xr:uid="{80646AD1-24DB-4B3B-9380-9B4CDB53269D}"/>
    <cellStyle name="Normal 4 2 2 3 4 6 3" xfId="11011" xr:uid="{941708C2-22AE-4246-8723-2BAACC69A87A}"/>
    <cellStyle name="Normal 4 2 2 3 4 7" xfId="4725" xr:uid="{00000000-0005-0000-0000-00007F120000}"/>
    <cellStyle name="Normal 4 2 2 3 4 7 2" xfId="13164" xr:uid="{9D6C6261-E6A8-4F0F-ADF0-082828B0D570}"/>
    <cellStyle name="Normal 4 2 2 3 4 8" xfId="8946" xr:uid="{24D55E7F-DC16-4613-B417-A3CD803E30BD}"/>
    <cellStyle name="Normal 4 2 2 3 5" xfId="816" xr:uid="{00000000-0005-0000-0000-000080120000}"/>
    <cellStyle name="Normal 4 2 2 3 5 2" xfId="3053" xr:uid="{00000000-0005-0000-0000-000081120000}"/>
    <cellStyle name="Normal 4 2 2 3 5 2 2" xfId="7276" xr:uid="{00000000-0005-0000-0000-000082120000}"/>
    <cellStyle name="Normal 4 2 2 3 5 2 2 2" xfId="15715" xr:uid="{6230F43D-0D95-4755-9C8B-9CA7B679A7B7}"/>
    <cellStyle name="Normal 4 2 2 3 5 2 3" xfId="11497" xr:uid="{878F3218-1560-4190-AD47-DBE96DD28C8A}"/>
    <cellStyle name="Normal 4 2 2 3 5 3" xfId="5131" xr:uid="{00000000-0005-0000-0000-000083120000}"/>
    <cellStyle name="Normal 4 2 2 3 5 3 2" xfId="13570" xr:uid="{DDBE0027-FEFC-4B68-86B3-018754A06E46}"/>
    <cellStyle name="Normal 4 2 2 3 5 4" xfId="9352" xr:uid="{EE2F82C7-4E00-440C-9EDB-0940E180C58E}"/>
    <cellStyle name="Normal 4 2 2 3 6" xfId="1236" xr:uid="{00000000-0005-0000-0000-000084120000}"/>
    <cellStyle name="Normal 4 2 2 3 6 2" xfId="3466" xr:uid="{00000000-0005-0000-0000-000085120000}"/>
    <cellStyle name="Normal 4 2 2 3 6 2 2" xfId="7689" xr:uid="{00000000-0005-0000-0000-000086120000}"/>
    <cellStyle name="Normal 4 2 2 3 6 2 2 2" xfId="16128" xr:uid="{57CC8412-DA75-449B-BB38-31A2F7F0A306}"/>
    <cellStyle name="Normal 4 2 2 3 6 2 3" xfId="11910" xr:uid="{699C6C33-C8D6-4FEB-8B9D-DF1858B3B0FF}"/>
    <cellStyle name="Normal 4 2 2 3 6 3" xfId="5544" xr:uid="{00000000-0005-0000-0000-000087120000}"/>
    <cellStyle name="Normal 4 2 2 3 6 3 2" xfId="13983" xr:uid="{C99DEBBD-21D1-40BC-B6DE-0DB15CAE45F3}"/>
    <cellStyle name="Normal 4 2 2 3 6 4" xfId="9765" xr:uid="{5453D2FB-C305-4CD9-975E-3D125EFC6CA7}"/>
    <cellStyle name="Normal 4 2 2 3 7" xfId="1649" xr:uid="{00000000-0005-0000-0000-000088120000}"/>
    <cellStyle name="Normal 4 2 2 3 7 2" xfId="3879" xr:uid="{00000000-0005-0000-0000-000089120000}"/>
    <cellStyle name="Normal 4 2 2 3 7 2 2" xfId="8102" xr:uid="{00000000-0005-0000-0000-00008A120000}"/>
    <cellStyle name="Normal 4 2 2 3 7 2 2 2" xfId="16541" xr:uid="{5D87AB63-380C-4552-8CD8-CCB8A7218BDC}"/>
    <cellStyle name="Normal 4 2 2 3 7 2 3" xfId="12323" xr:uid="{D0BD5EC3-2EC7-44CA-8C85-B088BE88F3CD}"/>
    <cellStyle name="Normal 4 2 2 3 7 3" xfId="5957" xr:uid="{00000000-0005-0000-0000-00008B120000}"/>
    <cellStyle name="Normal 4 2 2 3 7 3 2" xfId="14396" xr:uid="{BA562D36-C0B8-4A8A-B3A2-16ACEE80AE0B}"/>
    <cellStyle name="Normal 4 2 2 3 7 4" xfId="10178" xr:uid="{A170D305-E843-41F9-BC7E-275A2E7A2E65}"/>
    <cellStyle name="Normal 4 2 2 3 8" xfId="2063" xr:uid="{00000000-0005-0000-0000-00008C120000}"/>
    <cellStyle name="Normal 4 2 2 3 8 2" xfId="4292" xr:uid="{00000000-0005-0000-0000-00008D120000}"/>
    <cellStyle name="Normal 4 2 2 3 8 2 2" xfId="8515" xr:uid="{00000000-0005-0000-0000-00008E120000}"/>
    <cellStyle name="Normal 4 2 2 3 8 2 2 2" xfId="16954" xr:uid="{8365FA78-AC79-4075-A4CF-CEECC02DCAB9}"/>
    <cellStyle name="Normal 4 2 2 3 8 2 3" xfId="12736" xr:uid="{C483EE5C-8830-40F2-B1C7-5E35679555B9}"/>
    <cellStyle name="Normal 4 2 2 3 8 3" xfId="6370" xr:uid="{00000000-0005-0000-0000-00008F120000}"/>
    <cellStyle name="Normal 4 2 2 3 8 3 2" xfId="14809" xr:uid="{240AF17F-1C65-4295-9535-A6CCFD9C65A6}"/>
    <cellStyle name="Normal 4 2 2 3 8 4" xfId="10591" xr:uid="{26FFDB24-8F4D-47A7-99C3-14EA579C742D}"/>
    <cellStyle name="Normal 4 2 2 3 9" xfId="2499" xr:uid="{00000000-0005-0000-0000-000090120000}"/>
    <cellStyle name="Normal 4 2 2 3 9 2" xfId="6783" xr:uid="{00000000-0005-0000-0000-000091120000}"/>
    <cellStyle name="Normal 4 2 2 3 9 2 2" xfId="15222" xr:uid="{5D4B5F0B-2B18-460A-9649-13E0168EAF7B}"/>
    <cellStyle name="Normal 4 2 2 3 9 3" xfId="11004" xr:uid="{1A9FEF65-DB0F-48DA-AB54-CC703CF242C6}"/>
    <cellStyle name="Normal 4 2 2 4" xfId="347" xr:uid="{00000000-0005-0000-0000-000092120000}"/>
    <cellStyle name="Normal 4 2 2 4 10" xfId="8947" xr:uid="{01AC2F57-1922-4D1A-8DAE-10E9E3EC495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2 2 2" xfId="15725" xr:uid="{628A1ACA-C33A-4FFD-ABDD-4841A3E541F3}"/>
    <cellStyle name="Normal 4 2 2 4 2 2 2 2 3" xfId="11507" xr:uid="{03857F49-E635-44C9-9D2E-EFDCE30A8739}"/>
    <cellStyle name="Normal 4 2 2 4 2 2 2 3" xfId="5141" xr:uid="{00000000-0005-0000-0000-000098120000}"/>
    <cellStyle name="Normal 4 2 2 4 2 2 2 3 2" xfId="13580" xr:uid="{83C52290-1BD0-4644-BD67-6A0C7CCBD1E6}"/>
    <cellStyle name="Normal 4 2 2 4 2 2 2 4" xfId="9362" xr:uid="{4C1D52E9-3E7C-40FD-A964-BBA8BE314C0C}"/>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2 2 2" xfId="16138" xr:uid="{27459F7E-5E7A-49D3-B0EC-85D646C625FC}"/>
    <cellStyle name="Normal 4 2 2 4 2 2 3 2 3" xfId="11920" xr:uid="{1E10F3FD-916A-49E6-AEC0-25C45152FCB6}"/>
    <cellStyle name="Normal 4 2 2 4 2 2 3 3" xfId="5554" xr:uid="{00000000-0005-0000-0000-00009C120000}"/>
    <cellStyle name="Normal 4 2 2 4 2 2 3 3 2" xfId="13993" xr:uid="{55217EB8-2086-44E4-8D39-A018583B898A}"/>
    <cellStyle name="Normal 4 2 2 4 2 2 3 4" xfId="9775" xr:uid="{B3A86649-87EB-4C70-BF28-79F887C880FD}"/>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2 2 2" xfId="16551" xr:uid="{F4FDFFB8-C8B7-48EF-96C5-211783760969}"/>
    <cellStyle name="Normal 4 2 2 4 2 2 4 2 3" xfId="12333" xr:uid="{F7614B7A-BAB0-400E-84AC-4CEB9D634514}"/>
    <cellStyle name="Normal 4 2 2 4 2 2 4 3" xfId="5967" xr:uid="{00000000-0005-0000-0000-0000A0120000}"/>
    <cellStyle name="Normal 4 2 2 4 2 2 4 3 2" xfId="14406" xr:uid="{16684846-C942-4DBB-AC78-8B3B81DE5FD6}"/>
    <cellStyle name="Normal 4 2 2 4 2 2 4 4" xfId="10188" xr:uid="{D9FD93ED-65AB-4A7D-A810-748D4162A8C7}"/>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2 2 2" xfId="16964" xr:uid="{0F820830-D56D-46EB-A9DE-C2DABD6E9C7D}"/>
    <cellStyle name="Normal 4 2 2 4 2 2 5 2 3" xfId="12746" xr:uid="{F689BF27-964F-41D8-AF16-4E020CF65D0B}"/>
    <cellStyle name="Normal 4 2 2 4 2 2 5 3" xfId="6380" xr:uid="{00000000-0005-0000-0000-0000A4120000}"/>
    <cellStyle name="Normal 4 2 2 4 2 2 5 3 2" xfId="14819" xr:uid="{5DA2104C-8132-42FC-98CD-9CA63F975C1F}"/>
    <cellStyle name="Normal 4 2 2 4 2 2 5 4" xfId="10601" xr:uid="{BEC9B79A-0445-4613-BF6A-826A8F9168DB}"/>
    <cellStyle name="Normal 4 2 2 4 2 2 6" xfId="2509" xr:uid="{00000000-0005-0000-0000-0000A5120000}"/>
    <cellStyle name="Normal 4 2 2 4 2 2 6 2" xfId="6793" xr:uid="{00000000-0005-0000-0000-0000A6120000}"/>
    <cellStyle name="Normal 4 2 2 4 2 2 6 2 2" xfId="15232" xr:uid="{4B142897-62B5-4E78-B211-0FC7696CC67F}"/>
    <cellStyle name="Normal 4 2 2 4 2 2 6 3" xfId="11014" xr:uid="{2C8D1D00-CCF5-4D69-8459-09836A284F59}"/>
    <cellStyle name="Normal 4 2 2 4 2 2 7" xfId="4728" xr:uid="{00000000-0005-0000-0000-0000A7120000}"/>
    <cellStyle name="Normal 4 2 2 4 2 2 7 2" xfId="13167" xr:uid="{B7D12E45-5150-4230-8770-47F44D0F3B82}"/>
    <cellStyle name="Normal 4 2 2 4 2 2 8" xfId="8949" xr:uid="{95621F1D-3B36-4FB6-B3FF-93FF37AA874C}"/>
    <cellStyle name="Normal 4 2 2 4 2 3" xfId="825" xr:uid="{00000000-0005-0000-0000-0000A8120000}"/>
    <cellStyle name="Normal 4 2 2 4 2 3 2" xfId="3062" xr:uid="{00000000-0005-0000-0000-0000A9120000}"/>
    <cellStyle name="Normal 4 2 2 4 2 3 2 2" xfId="7285" xr:uid="{00000000-0005-0000-0000-0000AA120000}"/>
    <cellStyle name="Normal 4 2 2 4 2 3 2 2 2" xfId="15724" xr:uid="{70E4EFBB-DE26-49B6-988E-48C5F2FD19D5}"/>
    <cellStyle name="Normal 4 2 2 4 2 3 2 3" xfId="11506" xr:uid="{410242FC-B26C-42CD-8AD0-B8DFBA0046AF}"/>
    <cellStyle name="Normal 4 2 2 4 2 3 3" xfId="5140" xr:uid="{00000000-0005-0000-0000-0000AB120000}"/>
    <cellStyle name="Normal 4 2 2 4 2 3 3 2" xfId="13579" xr:uid="{D160D198-EB21-4566-AF23-C899217F485D}"/>
    <cellStyle name="Normal 4 2 2 4 2 3 4" xfId="9361" xr:uid="{C38300A4-09A1-46C4-B065-5BE7E1876912}"/>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2 2 2" xfId="16137" xr:uid="{3D9AE0A5-E251-4F49-8DDD-2A84F98B1858}"/>
    <cellStyle name="Normal 4 2 2 4 2 4 2 3" xfId="11919" xr:uid="{C9399416-C4E7-450C-8919-9AADA09F5452}"/>
    <cellStyle name="Normal 4 2 2 4 2 4 3" xfId="5553" xr:uid="{00000000-0005-0000-0000-0000AF120000}"/>
    <cellStyle name="Normal 4 2 2 4 2 4 3 2" xfId="13992" xr:uid="{35D693A2-4984-425A-A00F-B4FDC742DA4A}"/>
    <cellStyle name="Normal 4 2 2 4 2 4 4" xfId="9774" xr:uid="{A68A4AE4-C3DF-4521-AE72-2E623E2FF23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2 2 2" xfId="16550" xr:uid="{D1845CDA-D73B-49F1-82EB-9EEC2B89F09D}"/>
    <cellStyle name="Normal 4 2 2 4 2 5 2 3" xfId="12332" xr:uid="{C29B48AE-7250-4B5F-9D46-728ABC97A248}"/>
    <cellStyle name="Normal 4 2 2 4 2 5 3" xfId="5966" xr:uid="{00000000-0005-0000-0000-0000B3120000}"/>
    <cellStyle name="Normal 4 2 2 4 2 5 3 2" xfId="14405" xr:uid="{28BB2E2B-7ADC-47E3-A53F-760594022319}"/>
    <cellStyle name="Normal 4 2 2 4 2 5 4" xfId="10187" xr:uid="{6AAD0941-451B-4114-B408-4C3AB3BC6FA1}"/>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2 2 2" xfId="16963" xr:uid="{03EF46B0-A5EE-4EB8-BA16-61E85BF7BEBF}"/>
    <cellStyle name="Normal 4 2 2 4 2 6 2 3" xfId="12745" xr:uid="{8B60134F-A8E7-49A2-8680-D00A82EF8FCF}"/>
    <cellStyle name="Normal 4 2 2 4 2 6 3" xfId="6379" xr:uid="{00000000-0005-0000-0000-0000B7120000}"/>
    <cellStyle name="Normal 4 2 2 4 2 6 3 2" xfId="14818" xr:uid="{25EC1E63-42F8-44DB-87C2-48E663C32191}"/>
    <cellStyle name="Normal 4 2 2 4 2 6 4" xfId="10600" xr:uid="{6A5E3E34-61AB-47E8-B783-4AAACCA21060}"/>
    <cellStyle name="Normal 4 2 2 4 2 7" xfId="2508" xr:uid="{00000000-0005-0000-0000-0000B8120000}"/>
    <cellStyle name="Normal 4 2 2 4 2 7 2" xfId="6792" xr:uid="{00000000-0005-0000-0000-0000B9120000}"/>
    <cellStyle name="Normal 4 2 2 4 2 7 2 2" xfId="15231" xr:uid="{4BE3DEE3-51BD-4709-AA25-3C15282FB494}"/>
    <cellStyle name="Normal 4 2 2 4 2 7 3" xfId="11013" xr:uid="{1FBEBEA3-5259-4AD2-80F0-D47E7CEE27F7}"/>
    <cellStyle name="Normal 4 2 2 4 2 8" xfId="4727" xr:uid="{00000000-0005-0000-0000-0000BA120000}"/>
    <cellStyle name="Normal 4 2 2 4 2 8 2" xfId="13166" xr:uid="{0C074B5B-4608-4725-90F3-BD7A1CFB4FB2}"/>
    <cellStyle name="Normal 4 2 2 4 2 9" xfId="8948" xr:uid="{F5345425-1954-404A-BF26-8B415FA9994C}"/>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2 2 2" xfId="15726" xr:uid="{911DBEF5-3973-44DD-84B1-5BEDA4A1CA75}"/>
    <cellStyle name="Normal 4 2 2 4 3 2 2 3" xfId="11508" xr:uid="{7F655467-3E12-4E63-8EAD-20763DD86438}"/>
    <cellStyle name="Normal 4 2 2 4 3 2 3" xfId="5142" xr:uid="{00000000-0005-0000-0000-0000BF120000}"/>
    <cellStyle name="Normal 4 2 2 4 3 2 3 2" xfId="13581" xr:uid="{1E6EAA05-C1E1-45C0-AE59-0A06B1D50A48}"/>
    <cellStyle name="Normal 4 2 2 4 3 2 4" xfId="9363" xr:uid="{26A7DEE9-9DBF-4EAF-B49F-92460EE38FE3}"/>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2 2 2" xfId="16139" xr:uid="{E1FEF1B6-5998-4CAF-9378-7B3C1B451DAD}"/>
    <cellStyle name="Normal 4 2 2 4 3 3 2 3" xfId="11921" xr:uid="{FCF2A29B-B73F-40E2-AE6E-8B4E6D4FAD15}"/>
    <cellStyle name="Normal 4 2 2 4 3 3 3" xfId="5555" xr:uid="{00000000-0005-0000-0000-0000C3120000}"/>
    <cellStyle name="Normal 4 2 2 4 3 3 3 2" xfId="13994" xr:uid="{F2B20AF6-D487-434C-8B75-64564BA4EBE5}"/>
    <cellStyle name="Normal 4 2 2 4 3 3 4" xfId="9776" xr:uid="{EFF173B7-ABEA-4E48-B788-ACEF8BB41E3E}"/>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2 2 2" xfId="16552" xr:uid="{612B45E8-5E91-4B84-BE8E-27C939E99B79}"/>
    <cellStyle name="Normal 4 2 2 4 3 4 2 3" xfId="12334" xr:uid="{DFB6652D-D4C8-4BCF-975E-52BF59B15829}"/>
    <cellStyle name="Normal 4 2 2 4 3 4 3" xfId="5968" xr:uid="{00000000-0005-0000-0000-0000C7120000}"/>
    <cellStyle name="Normal 4 2 2 4 3 4 3 2" xfId="14407" xr:uid="{D121A5AA-9E8D-4FF6-AAB0-59702D625154}"/>
    <cellStyle name="Normal 4 2 2 4 3 4 4" xfId="10189" xr:uid="{28CC99A1-7FB8-4F63-B615-D92486B10484}"/>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2 2 2" xfId="16965" xr:uid="{1EC87D9E-0A22-474C-8ACF-E9AD872E2F5D}"/>
    <cellStyle name="Normal 4 2 2 4 3 5 2 3" xfId="12747" xr:uid="{B43D443A-0F55-4A14-9CF5-96A5863FEBD1}"/>
    <cellStyle name="Normal 4 2 2 4 3 5 3" xfId="6381" xr:uid="{00000000-0005-0000-0000-0000CB120000}"/>
    <cellStyle name="Normal 4 2 2 4 3 5 3 2" xfId="14820" xr:uid="{51D57D2E-BA80-4842-A834-A7AD4A7957D8}"/>
    <cellStyle name="Normal 4 2 2 4 3 5 4" xfId="10602" xr:uid="{73259215-621C-425D-81F6-0EB4B992A2E6}"/>
    <cellStyle name="Normal 4 2 2 4 3 6" xfId="2510" xr:uid="{00000000-0005-0000-0000-0000CC120000}"/>
    <cellStyle name="Normal 4 2 2 4 3 6 2" xfId="6794" xr:uid="{00000000-0005-0000-0000-0000CD120000}"/>
    <cellStyle name="Normal 4 2 2 4 3 6 2 2" xfId="15233" xr:uid="{01DE0B24-7B68-40E6-99B2-0597084ED5D0}"/>
    <cellStyle name="Normal 4 2 2 4 3 6 3" xfId="11015" xr:uid="{4CAE4F81-77E4-4636-B805-BD71D01ED36C}"/>
    <cellStyle name="Normal 4 2 2 4 3 7" xfId="4729" xr:uid="{00000000-0005-0000-0000-0000CE120000}"/>
    <cellStyle name="Normal 4 2 2 4 3 7 2" xfId="13168" xr:uid="{7944BFF3-9B15-4680-899D-DD9ED1A7401B}"/>
    <cellStyle name="Normal 4 2 2 4 3 8" xfId="8950" xr:uid="{290E9D57-B91B-4F6A-8FE0-1EA9E0373F04}"/>
    <cellStyle name="Normal 4 2 2 4 4" xfId="824" xr:uid="{00000000-0005-0000-0000-0000CF120000}"/>
    <cellStyle name="Normal 4 2 2 4 4 2" xfId="3061" xr:uid="{00000000-0005-0000-0000-0000D0120000}"/>
    <cellStyle name="Normal 4 2 2 4 4 2 2" xfId="7284" xr:uid="{00000000-0005-0000-0000-0000D1120000}"/>
    <cellStyle name="Normal 4 2 2 4 4 2 2 2" xfId="15723" xr:uid="{C6A7B27C-845C-4ECD-AFD9-B57D3893669E}"/>
    <cellStyle name="Normal 4 2 2 4 4 2 3" xfId="11505" xr:uid="{96FBF1EC-99CA-4E63-8996-53C8B7D6008B}"/>
    <cellStyle name="Normal 4 2 2 4 4 3" xfId="5139" xr:uid="{00000000-0005-0000-0000-0000D2120000}"/>
    <cellStyle name="Normal 4 2 2 4 4 3 2" xfId="13578" xr:uid="{0BC40B3B-F928-49F4-90F8-3259E561483E}"/>
    <cellStyle name="Normal 4 2 2 4 4 4" xfId="9360" xr:uid="{E88EA74E-E924-434F-9E33-175FCCE4E60A}"/>
    <cellStyle name="Normal 4 2 2 4 5" xfId="1244" xr:uid="{00000000-0005-0000-0000-0000D3120000}"/>
    <cellStyle name="Normal 4 2 2 4 5 2" xfId="3474" xr:uid="{00000000-0005-0000-0000-0000D4120000}"/>
    <cellStyle name="Normal 4 2 2 4 5 2 2" xfId="7697" xr:uid="{00000000-0005-0000-0000-0000D5120000}"/>
    <cellStyle name="Normal 4 2 2 4 5 2 2 2" xfId="16136" xr:uid="{5CB68F33-1AE5-4518-B054-5AAB7160D73B}"/>
    <cellStyle name="Normal 4 2 2 4 5 2 3" xfId="11918" xr:uid="{ACE00656-84EB-40EE-9BC6-E485C0D29A00}"/>
    <cellStyle name="Normal 4 2 2 4 5 3" xfId="5552" xr:uid="{00000000-0005-0000-0000-0000D6120000}"/>
    <cellStyle name="Normal 4 2 2 4 5 3 2" xfId="13991" xr:uid="{6A2BE693-F6FB-4E61-A917-C9848B23A0D1}"/>
    <cellStyle name="Normal 4 2 2 4 5 4" xfId="9773" xr:uid="{FB6A579C-E1E9-4E9E-BDD9-661B9B24A76B}"/>
    <cellStyle name="Normal 4 2 2 4 6" xfId="1657" xr:uid="{00000000-0005-0000-0000-0000D7120000}"/>
    <cellStyle name="Normal 4 2 2 4 6 2" xfId="3887" xr:uid="{00000000-0005-0000-0000-0000D8120000}"/>
    <cellStyle name="Normal 4 2 2 4 6 2 2" xfId="8110" xr:uid="{00000000-0005-0000-0000-0000D9120000}"/>
    <cellStyle name="Normal 4 2 2 4 6 2 2 2" xfId="16549" xr:uid="{B7947833-4187-4AC4-AD1F-59FF8577DB48}"/>
    <cellStyle name="Normal 4 2 2 4 6 2 3" xfId="12331" xr:uid="{5610659B-75CD-4B2E-A3B8-132A3CD98EF4}"/>
    <cellStyle name="Normal 4 2 2 4 6 3" xfId="5965" xr:uid="{00000000-0005-0000-0000-0000DA120000}"/>
    <cellStyle name="Normal 4 2 2 4 6 3 2" xfId="14404" xr:uid="{A68F51E5-2F33-4B8B-84BD-6E341B7B8F8C}"/>
    <cellStyle name="Normal 4 2 2 4 6 4" xfId="10186" xr:uid="{E663E93E-45AE-4D6D-AB83-FDE703FEDEBC}"/>
    <cellStyle name="Normal 4 2 2 4 7" xfId="2071" xr:uid="{00000000-0005-0000-0000-0000DB120000}"/>
    <cellStyle name="Normal 4 2 2 4 7 2" xfId="4300" xr:uid="{00000000-0005-0000-0000-0000DC120000}"/>
    <cellStyle name="Normal 4 2 2 4 7 2 2" xfId="8523" xr:uid="{00000000-0005-0000-0000-0000DD120000}"/>
    <cellStyle name="Normal 4 2 2 4 7 2 2 2" xfId="16962" xr:uid="{E5D1AC39-D216-41CB-87E7-BCFE09476D79}"/>
    <cellStyle name="Normal 4 2 2 4 7 2 3" xfId="12744" xr:uid="{441B4FFE-B6A8-46DF-86DE-A835495A581A}"/>
    <cellStyle name="Normal 4 2 2 4 7 3" xfId="6378" xr:uid="{00000000-0005-0000-0000-0000DE120000}"/>
    <cellStyle name="Normal 4 2 2 4 7 3 2" xfId="14817" xr:uid="{717164D5-03BF-4F0E-8309-FA15178DCD28}"/>
    <cellStyle name="Normal 4 2 2 4 7 4" xfId="10599" xr:uid="{19F8F95E-7E73-4750-B444-C6A5FDF0C7E7}"/>
    <cellStyle name="Normal 4 2 2 4 8" xfId="2507" xr:uid="{00000000-0005-0000-0000-0000DF120000}"/>
    <cellStyle name="Normal 4 2 2 4 8 2" xfId="6791" xr:uid="{00000000-0005-0000-0000-0000E0120000}"/>
    <cellStyle name="Normal 4 2 2 4 8 2 2" xfId="15230" xr:uid="{75D621FC-760A-460F-849D-22F0D3C11CDC}"/>
    <cellStyle name="Normal 4 2 2 4 8 3" xfId="11012" xr:uid="{E3931DD2-9D2A-40AE-AE83-3725D6824ACE}"/>
    <cellStyle name="Normal 4 2 2 4 9" xfId="4726" xr:uid="{00000000-0005-0000-0000-0000E1120000}"/>
    <cellStyle name="Normal 4 2 2 4 9 2" xfId="13165" xr:uid="{63DCCC78-0A5D-412B-8C30-95877E0677E8}"/>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2 2 2" xfId="15728" xr:uid="{85259C06-E597-4B1A-A0C4-13869C53EBE7}"/>
    <cellStyle name="Normal 4 2 2 5 2 2 2 3" xfId="11510" xr:uid="{636C2D0F-A559-4502-896D-E714239E3019}"/>
    <cellStyle name="Normal 4 2 2 5 2 2 3" xfId="5144" xr:uid="{00000000-0005-0000-0000-0000E7120000}"/>
    <cellStyle name="Normal 4 2 2 5 2 2 3 2" xfId="13583" xr:uid="{BC5F7AD2-9731-4B5B-98ED-E6433329C1C6}"/>
    <cellStyle name="Normal 4 2 2 5 2 2 4" xfId="9365" xr:uid="{531970E5-78AB-4914-A072-EEA34E77DBD1}"/>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2 2 2" xfId="16141" xr:uid="{1B876015-1413-4A13-A177-9659C5FBA716}"/>
    <cellStyle name="Normal 4 2 2 5 2 3 2 3" xfId="11923" xr:uid="{11EB230A-F93A-4039-A032-6C643873D064}"/>
    <cellStyle name="Normal 4 2 2 5 2 3 3" xfId="5557" xr:uid="{00000000-0005-0000-0000-0000EB120000}"/>
    <cellStyle name="Normal 4 2 2 5 2 3 3 2" xfId="13996" xr:uid="{8754F737-D062-4E57-B89D-8BDF3FAEB282}"/>
    <cellStyle name="Normal 4 2 2 5 2 3 4" xfId="9778" xr:uid="{B2A1E25F-08BD-45C2-89B6-80F50D1DF2D2}"/>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2 2 2" xfId="16554" xr:uid="{4BDF0575-C586-44A6-A79C-BB52D680AD68}"/>
    <cellStyle name="Normal 4 2 2 5 2 4 2 3" xfId="12336" xr:uid="{8B06D163-28BC-4267-9296-B8D6E6634487}"/>
    <cellStyle name="Normal 4 2 2 5 2 4 3" xfId="5970" xr:uid="{00000000-0005-0000-0000-0000EF120000}"/>
    <cellStyle name="Normal 4 2 2 5 2 4 3 2" xfId="14409" xr:uid="{982279D4-B7A6-406D-BED3-E812E37B8AAC}"/>
    <cellStyle name="Normal 4 2 2 5 2 4 4" xfId="10191" xr:uid="{25FB3252-F959-47C0-B77F-2597F0D1B1F5}"/>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2 2 2" xfId="16967" xr:uid="{321E33CD-A8DC-43F4-9AE1-40ACE747F9A4}"/>
    <cellStyle name="Normal 4 2 2 5 2 5 2 3" xfId="12749" xr:uid="{D74639FA-EAE2-4A5B-B24D-DD6D6BBF0A92}"/>
    <cellStyle name="Normal 4 2 2 5 2 5 3" xfId="6383" xr:uid="{00000000-0005-0000-0000-0000F3120000}"/>
    <cellStyle name="Normal 4 2 2 5 2 5 3 2" xfId="14822" xr:uid="{8DE17F0E-32E6-4D74-9CBA-6F78DCD48FE7}"/>
    <cellStyle name="Normal 4 2 2 5 2 5 4" xfId="10604" xr:uid="{08B047CA-3211-4ABF-823E-1CD4908DE5E3}"/>
    <cellStyle name="Normal 4 2 2 5 2 6" xfId="2512" xr:uid="{00000000-0005-0000-0000-0000F4120000}"/>
    <cellStyle name="Normal 4 2 2 5 2 6 2" xfId="6796" xr:uid="{00000000-0005-0000-0000-0000F5120000}"/>
    <cellStyle name="Normal 4 2 2 5 2 6 2 2" xfId="15235" xr:uid="{2804A5C0-C7D2-4ECF-A659-750FFAE5FA4E}"/>
    <cellStyle name="Normal 4 2 2 5 2 6 3" xfId="11017" xr:uid="{9030C352-16C9-40C4-A8DB-5C0E92D4B2CD}"/>
    <cellStyle name="Normal 4 2 2 5 2 7" xfId="4731" xr:uid="{00000000-0005-0000-0000-0000F6120000}"/>
    <cellStyle name="Normal 4 2 2 5 2 7 2" xfId="13170" xr:uid="{FBA8A0A8-A2B2-4C1A-89E8-4F8C6A42F7E6}"/>
    <cellStyle name="Normal 4 2 2 5 2 8" xfId="8952" xr:uid="{6F96D6C2-D313-4685-8881-AEEB8F50EC4E}"/>
    <cellStyle name="Normal 4 2 2 5 3" xfId="828" xr:uid="{00000000-0005-0000-0000-0000F7120000}"/>
    <cellStyle name="Normal 4 2 2 5 3 2" xfId="3065" xr:uid="{00000000-0005-0000-0000-0000F8120000}"/>
    <cellStyle name="Normal 4 2 2 5 3 2 2" xfId="7288" xr:uid="{00000000-0005-0000-0000-0000F9120000}"/>
    <cellStyle name="Normal 4 2 2 5 3 2 2 2" xfId="15727" xr:uid="{A91A24EF-105D-4070-80A3-94F962067C22}"/>
    <cellStyle name="Normal 4 2 2 5 3 2 3" xfId="11509" xr:uid="{B3761A91-53F4-41A6-8784-6E5503605FC2}"/>
    <cellStyle name="Normal 4 2 2 5 3 3" xfId="5143" xr:uid="{00000000-0005-0000-0000-0000FA120000}"/>
    <cellStyle name="Normal 4 2 2 5 3 3 2" xfId="13582" xr:uid="{8BFF7A51-4DBC-420B-BFEC-AA19D77032B6}"/>
    <cellStyle name="Normal 4 2 2 5 3 4" xfId="9364" xr:uid="{BA5CC0FC-89CC-4CFE-BAEC-18C98B58A7E8}"/>
    <cellStyle name="Normal 4 2 2 5 4" xfId="1248" xr:uid="{00000000-0005-0000-0000-0000FB120000}"/>
    <cellStyle name="Normal 4 2 2 5 4 2" xfId="3478" xr:uid="{00000000-0005-0000-0000-0000FC120000}"/>
    <cellStyle name="Normal 4 2 2 5 4 2 2" xfId="7701" xr:uid="{00000000-0005-0000-0000-0000FD120000}"/>
    <cellStyle name="Normal 4 2 2 5 4 2 2 2" xfId="16140" xr:uid="{3C201B34-75DD-4C3C-A49A-1FD14375BF02}"/>
    <cellStyle name="Normal 4 2 2 5 4 2 3" xfId="11922" xr:uid="{FF9D71E7-8AAD-4118-8391-A5F93B0D939A}"/>
    <cellStyle name="Normal 4 2 2 5 4 3" xfId="5556" xr:uid="{00000000-0005-0000-0000-0000FE120000}"/>
    <cellStyle name="Normal 4 2 2 5 4 3 2" xfId="13995" xr:uid="{FFF95D3A-9AD8-48CF-B7D3-4D28BE0E0D6A}"/>
    <cellStyle name="Normal 4 2 2 5 4 4" xfId="9777" xr:uid="{64A77B86-8AFC-4073-886B-A6CFFFA8ED16}"/>
    <cellStyle name="Normal 4 2 2 5 5" xfId="1661" xr:uid="{00000000-0005-0000-0000-0000FF120000}"/>
    <cellStyle name="Normal 4 2 2 5 5 2" xfId="3891" xr:uid="{00000000-0005-0000-0000-000000130000}"/>
    <cellStyle name="Normal 4 2 2 5 5 2 2" xfId="8114" xr:uid="{00000000-0005-0000-0000-000001130000}"/>
    <cellStyle name="Normal 4 2 2 5 5 2 2 2" xfId="16553" xr:uid="{8DF5A6FC-35B7-4C6C-A19B-C2446D8CEC99}"/>
    <cellStyle name="Normal 4 2 2 5 5 2 3" xfId="12335" xr:uid="{4EE46ED1-C502-4FA5-BEFF-B47290C67212}"/>
    <cellStyle name="Normal 4 2 2 5 5 3" xfId="5969" xr:uid="{00000000-0005-0000-0000-000002130000}"/>
    <cellStyle name="Normal 4 2 2 5 5 3 2" xfId="14408" xr:uid="{DEB717F5-5850-4EF9-A3EB-69247A79C9E9}"/>
    <cellStyle name="Normal 4 2 2 5 5 4" xfId="10190" xr:uid="{ABC38EF2-87F1-468D-9370-4FD644D0CDB2}"/>
    <cellStyle name="Normal 4 2 2 5 6" xfId="2075" xr:uid="{00000000-0005-0000-0000-000003130000}"/>
    <cellStyle name="Normal 4 2 2 5 6 2" xfId="4304" xr:uid="{00000000-0005-0000-0000-000004130000}"/>
    <cellStyle name="Normal 4 2 2 5 6 2 2" xfId="8527" xr:uid="{00000000-0005-0000-0000-000005130000}"/>
    <cellStyle name="Normal 4 2 2 5 6 2 2 2" xfId="16966" xr:uid="{9D167DD4-BB1C-4057-B268-24B22395BDE2}"/>
    <cellStyle name="Normal 4 2 2 5 6 2 3" xfId="12748" xr:uid="{F85921FD-94FF-4967-BB0A-C56004F1DA7A}"/>
    <cellStyle name="Normal 4 2 2 5 6 3" xfId="6382" xr:uid="{00000000-0005-0000-0000-000006130000}"/>
    <cellStyle name="Normal 4 2 2 5 6 3 2" xfId="14821" xr:uid="{BFBE33AF-8570-4F28-ADB6-E4FEFB7F21C0}"/>
    <cellStyle name="Normal 4 2 2 5 6 4" xfId="10603" xr:uid="{A586632F-07AB-4AA6-8C5F-33AD9195F797}"/>
    <cellStyle name="Normal 4 2 2 5 7" xfId="2511" xr:uid="{00000000-0005-0000-0000-000007130000}"/>
    <cellStyle name="Normal 4 2 2 5 7 2" xfId="6795" xr:uid="{00000000-0005-0000-0000-000008130000}"/>
    <cellStyle name="Normal 4 2 2 5 7 2 2" xfId="15234" xr:uid="{4282DF12-702B-4E9E-9A25-AE3A19779962}"/>
    <cellStyle name="Normal 4 2 2 5 7 3" xfId="11016" xr:uid="{458FB21C-74E6-418F-AF4F-C1A2DD90DECE}"/>
    <cellStyle name="Normal 4 2 2 5 8" xfId="4730" xr:uid="{00000000-0005-0000-0000-000009130000}"/>
    <cellStyle name="Normal 4 2 2 5 8 2" xfId="13169" xr:uid="{FBAD6D12-5DE8-485A-A4EF-95AE9317B6E7}"/>
    <cellStyle name="Normal 4 2 2 5 9" xfId="8951" xr:uid="{B1CE2EE1-35CA-4042-B738-6439071BC607}"/>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2 2 2" xfId="15729" xr:uid="{88DB3855-E723-4334-BC37-20AE4823FA40}"/>
    <cellStyle name="Normal 4 2 2 6 2 2 3" xfId="11511" xr:uid="{F936C542-DBC9-41DC-A315-C15243DEB351}"/>
    <cellStyle name="Normal 4 2 2 6 2 3" xfId="5145" xr:uid="{00000000-0005-0000-0000-00000E130000}"/>
    <cellStyle name="Normal 4 2 2 6 2 3 2" xfId="13584" xr:uid="{CB674249-F146-4893-B516-1916C836E380}"/>
    <cellStyle name="Normal 4 2 2 6 2 4" xfId="9366" xr:uid="{76034E6E-FC76-49CF-BD48-92BA17C61790}"/>
    <cellStyle name="Normal 4 2 2 6 3" xfId="1250" xr:uid="{00000000-0005-0000-0000-00000F130000}"/>
    <cellStyle name="Normal 4 2 2 6 3 2" xfId="3480" xr:uid="{00000000-0005-0000-0000-000010130000}"/>
    <cellStyle name="Normal 4 2 2 6 3 2 2" xfId="7703" xr:uid="{00000000-0005-0000-0000-000011130000}"/>
    <cellStyle name="Normal 4 2 2 6 3 2 2 2" xfId="16142" xr:uid="{F86A8D6F-CD1A-4731-BACE-4277464A9811}"/>
    <cellStyle name="Normal 4 2 2 6 3 2 3" xfId="11924" xr:uid="{2AAA3B1A-BA45-44DA-A8AA-3777F1A86720}"/>
    <cellStyle name="Normal 4 2 2 6 3 3" xfId="5558" xr:uid="{00000000-0005-0000-0000-000012130000}"/>
    <cellStyle name="Normal 4 2 2 6 3 3 2" xfId="13997" xr:uid="{B91623F0-A94D-45E7-8696-192EDAC6FF2E}"/>
    <cellStyle name="Normal 4 2 2 6 3 4" xfId="9779" xr:uid="{54348197-F6D1-4740-8F6C-A89A588ABE15}"/>
    <cellStyle name="Normal 4 2 2 6 4" xfId="1663" xr:uid="{00000000-0005-0000-0000-000013130000}"/>
    <cellStyle name="Normal 4 2 2 6 4 2" xfId="3893" xr:uid="{00000000-0005-0000-0000-000014130000}"/>
    <cellStyle name="Normal 4 2 2 6 4 2 2" xfId="8116" xr:uid="{00000000-0005-0000-0000-000015130000}"/>
    <cellStyle name="Normal 4 2 2 6 4 2 2 2" xfId="16555" xr:uid="{17E4C63A-1D3E-4A6D-9F02-2A94425569FF}"/>
    <cellStyle name="Normal 4 2 2 6 4 2 3" xfId="12337" xr:uid="{B71E90B8-93FB-4311-961D-4838628934C4}"/>
    <cellStyle name="Normal 4 2 2 6 4 3" xfId="5971" xr:uid="{00000000-0005-0000-0000-000016130000}"/>
    <cellStyle name="Normal 4 2 2 6 4 3 2" xfId="14410" xr:uid="{888D49BC-7DE0-4244-89E6-670468100383}"/>
    <cellStyle name="Normal 4 2 2 6 4 4" xfId="10192" xr:uid="{1CE37062-8DE6-40F4-B41D-42EFBA113E24}"/>
    <cellStyle name="Normal 4 2 2 6 5" xfId="2077" xr:uid="{00000000-0005-0000-0000-000017130000}"/>
    <cellStyle name="Normal 4 2 2 6 5 2" xfId="4306" xr:uid="{00000000-0005-0000-0000-000018130000}"/>
    <cellStyle name="Normal 4 2 2 6 5 2 2" xfId="8529" xr:uid="{00000000-0005-0000-0000-000019130000}"/>
    <cellStyle name="Normal 4 2 2 6 5 2 2 2" xfId="16968" xr:uid="{B1BBB6AC-1BA3-4544-8860-6C5412A02D4E}"/>
    <cellStyle name="Normal 4 2 2 6 5 2 3" xfId="12750" xr:uid="{63B45E26-1712-44AB-8C00-59910A1066C3}"/>
    <cellStyle name="Normal 4 2 2 6 5 3" xfId="6384" xr:uid="{00000000-0005-0000-0000-00001A130000}"/>
    <cellStyle name="Normal 4 2 2 6 5 3 2" xfId="14823" xr:uid="{FFB403CB-979A-4B0F-BA3E-DAC486C3C357}"/>
    <cellStyle name="Normal 4 2 2 6 5 4" xfId="10605" xr:uid="{6EEB34FB-EA12-4CFB-B60E-C7FD189FA101}"/>
    <cellStyle name="Normal 4 2 2 6 6" xfId="2513" xr:uid="{00000000-0005-0000-0000-00001B130000}"/>
    <cellStyle name="Normal 4 2 2 6 6 2" xfId="6797" xr:uid="{00000000-0005-0000-0000-00001C130000}"/>
    <cellStyle name="Normal 4 2 2 6 6 2 2" xfId="15236" xr:uid="{B3EBCA24-3D8A-43B2-8C39-A808843FC450}"/>
    <cellStyle name="Normal 4 2 2 6 6 3" xfId="11018" xr:uid="{9FC9BC02-2AD5-4906-A38D-AD156B9EC4E6}"/>
    <cellStyle name="Normal 4 2 2 6 7" xfId="4732" xr:uid="{00000000-0005-0000-0000-00001D130000}"/>
    <cellStyle name="Normal 4 2 2 6 7 2" xfId="13171" xr:uid="{6BFA8341-BA35-49EC-B0C6-FA72AE9DC4E2}"/>
    <cellStyle name="Normal 4 2 2 6 8" xfId="8953" xr:uid="{E7A7BAE3-0CB5-46DE-B45E-A52C79877091}"/>
    <cellStyle name="Normal 4 2 2 7" xfId="815" xr:uid="{00000000-0005-0000-0000-00001E130000}"/>
    <cellStyle name="Normal 4 2 2 7 2" xfId="3052" xr:uid="{00000000-0005-0000-0000-00001F130000}"/>
    <cellStyle name="Normal 4 2 2 7 2 2" xfId="7275" xr:uid="{00000000-0005-0000-0000-000020130000}"/>
    <cellStyle name="Normal 4 2 2 7 2 2 2" xfId="15714" xr:uid="{10F512D0-2285-48E2-943D-CBCF90B2202A}"/>
    <cellStyle name="Normal 4 2 2 7 2 3" xfId="11496" xr:uid="{E16014A1-5D5F-4EA1-95E7-3814028A7D2F}"/>
    <cellStyle name="Normal 4 2 2 7 3" xfId="5130" xr:uid="{00000000-0005-0000-0000-000021130000}"/>
    <cellStyle name="Normal 4 2 2 7 3 2" xfId="13569" xr:uid="{2440352E-1B3C-4545-835F-B575EEEB5D9F}"/>
    <cellStyle name="Normal 4 2 2 7 4" xfId="9351" xr:uid="{D873B02C-B239-4537-96D2-501866A7895D}"/>
    <cellStyle name="Normal 4 2 2 8" xfId="1235" xr:uid="{00000000-0005-0000-0000-000022130000}"/>
    <cellStyle name="Normal 4 2 2 8 2" xfId="3465" xr:uid="{00000000-0005-0000-0000-000023130000}"/>
    <cellStyle name="Normal 4 2 2 8 2 2" xfId="7688" xr:uid="{00000000-0005-0000-0000-000024130000}"/>
    <cellStyle name="Normal 4 2 2 8 2 2 2" xfId="16127" xr:uid="{5DB43270-4C94-408A-AAEE-EEF712DBF88F}"/>
    <cellStyle name="Normal 4 2 2 8 2 3" xfId="11909" xr:uid="{5E7758C7-E955-43DA-A0EC-B36CF0190662}"/>
    <cellStyle name="Normal 4 2 2 8 3" xfId="5543" xr:uid="{00000000-0005-0000-0000-000025130000}"/>
    <cellStyle name="Normal 4 2 2 8 3 2" xfId="13982" xr:uid="{A946C42B-10DC-451E-9C9A-57473D604A83}"/>
    <cellStyle name="Normal 4 2 2 8 4" xfId="9764" xr:uid="{70C6B479-EEB7-4005-83F3-F36DB7713358}"/>
    <cellStyle name="Normal 4 2 2 9" xfId="1648" xr:uid="{00000000-0005-0000-0000-000026130000}"/>
    <cellStyle name="Normal 4 2 2 9 2" xfId="3878" xr:uid="{00000000-0005-0000-0000-000027130000}"/>
    <cellStyle name="Normal 4 2 2 9 2 2" xfId="8101" xr:uid="{00000000-0005-0000-0000-000028130000}"/>
    <cellStyle name="Normal 4 2 2 9 2 2 2" xfId="16540" xr:uid="{F5868DF3-C365-47D7-A5DD-791942716E6F}"/>
    <cellStyle name="Normal 4 2 2 9 2 3" xfId="12322" xr:uid="{DE4377DE-691B-47C4-B3C5-A64EA95716B9}"/>
    <cellStyle name="Normal 4 2 2 9 3" xfId="5956" xr:uid="{00000000-0005-0000-0000-000029130000}"/>
    <cellStyle name="Normal 4 2 2 9 3 2" xfId="14395" xr:uid="{A115293E-1E2C-4A27-96A1-1EC8186E8FD3}"/>
    <cellStyle name="Normal 4 2 2 9 4" xfId="10177" xr:uid="{51905826-06A5-4A65-857B-6710455E5EF0}"/>
    <cellStyle name="Normal 4 2 3" xfId="354" xr:uid="{00000000-0005-0000-0000-00002A130000}"/>
    <cellStyle name="Normal 4 2 4" xfId="355" xr:uid="{00000000-0005-0000-0000-00002B130000}"/>
    <cellStyle name="Normal 4 2 4 10" xfId="4733" xr:uid="{00000000-0005-0000-0000-00002C130000}"/>
    <cellStyle name="Normal 4 2 4 10 2" xfId="13172" xr:uid="{7CE3BE25-9747-4035-A570-C29499054823}"/>
    <cellStyle name="Normal 4 2 4 11" xfId="8954" xr:uid="{1879A427-56D5-40FE-8CC0-6FBBAC768EC0}"/>
    <cellStyle name="Normal 4 2 4 2" xfId="356" xr:uid="{00000000-0005-0000-0000-00002D130000}"/>
    <cellStyle name="Normal 4 2 4 2 10" xfId="8955" xr:uid="{82C413C2-9CA5-4DAC-8E7F-97F344FEDC9C}"/>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2 2 2" xfId="15733" xr:uid="{C8541125-0DB2-4BF7-8B20-0925035E9CB7}"/>
    <cellStyle name="Normal 4 2 4 2 2 2 2 2 3" xfId="11515" xr:uid="{EAFADAC3-2648-4221-A4AB-B6F40424FAB7}"/>
    <cellStyle name="Normal 4 2 4 2 2 2 2 3" xfId="5149" xr:uid="{00000000-0005-0000-0000-000033130000}"/>
    <cellStyle name="Normal 4 2 4 2 2 2 2 3 2" xfId="13588" xr:uid="{BB0F0C13-9AA1-4CF4-8669-EC153DD348F9}"/>
    <cellStyle name="Normal 4 2 4 2 2 2 2 4" xfId="9370" xr:uid="{9BF4C7B9-F479-4C58-A448-DA6F4F28A5AA}"/>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2 2 2" xfId="16146" xr:uid="{32037B20-3AB8-426D-9DF3-FF52F6407785}"/>
    <cellStyle name="Normal 4 2 4 2 2 2 3 2 3" xfId="11928" xr:uid="{AB375344-C512-404A-9EEF-9D3D9AF1DA4E}"/>
    <cellStyle name="Normal 4 2 4 2 2 2 3 3" xfId="5562" xr:uid="{00000000-0005-0000-0000-000037130000}"/>
    <cellStyle name="Normal 4 2 4 2 2 2 3 3 2" xfId="14001" xr:uid="{7857F6E6-5EEC-4970-B84D-F25ACC307C0C}"/>
    <cellStyle name="Normal 4 2 4 2 2 2 3 4" xfId="9783" xr:uid="{27281973-2A3B-4CBC-B99B-B1CB7C54CD26}"/>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2 2 2" xfId="16559" xr:uid="{5CD9BCAD-865F-4B5C-A0FC-E7CBEE894ADD}"/>
    <cellStyle name="Normal 4 2 4 2 2 2 4 2 3" xfId="12341" xr:uid="{9D77B098-231D-4710-9CC0-DA28EC879D62}"/>
    <cellStyle name="Normal 4 2 4 2 2 2 4 3" xfId="5975" xr:uid="{00000000-0005-0000-0000-00003B130000}"/>
    <cellStyle name="Normal 4 2 4 2 2 2 4 3 2" xfId="14414" xr:uid="{79364538-37FD-4747-95D1-DB24A1470908}"/>
    <cellStyle name="Normal 4 2 4 2 2 2 4 4" xfId="10196" xr:uid="{84820480-AFFB-4342-AAF7-3A9C12111F24}"/>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2 2 2" xfId="16972" xr:uid="{67974108-FDB6-462A-AF4F-F089010C8050}"/>
    <cellStyle name="Normal 4 2 4 2 2 2 5 2 3" xfId="12754" xr:uid="{DF938DEE-A773-4D1C-B51E-909A48633A16}"/>
    <cellStyle name="Normal 4 2 4 2 2 2 5 3" xfId="6388" xr:uid="{00000000-0005-0000-0000-00003F130000}"/>
    <cellStyle name="Normal 4 2 4 2 2 2 5 3 2" xfId="14827" xr:uid="{A2B4FD4C-6ECC-47A3-9C9B-83C0CBC7FCE8}"/>
    <cellStyle name="Normal 4 2 4 2 2 2 5 4" xfId="10609" xr:uid="{9862DFE2-CBD4-49E9-8372-7C5BA8147478}"/>
    <cellStyle name="Normal 4 2 4 2 2 2 6" xfId="2517" xr:uid="{00000000-0005-0000-0000-000040130000}"/>
    <cellStyle name="Normal 4 2 4 2 2 2 6 2" xfId="6801" xr:uid="{00000000-0005-0000-0000-000041130000}"/>
    <cellStyle name="Normal 4 2 4 2 2 2 6 2 2" xfId="15240" xr:uid="{1E3E8688-8DA3-4F15-83CE-25F76ACEBE23}"/>
    <cellStyle name="Normal 4 2 4 2 2 2 6 3" xfId="11022" xr:uid="{65EC2329-BC5C-4041-9BED-113DB774D1B9}"/>
    <cellStyle name="Normal 4 2 4 2 2 2 7" xfId="4736" xr:uid="{00000000-0005-0000-0000-000042130000}"/>
    <cellStyle name="Normal 4 2 4 2 2 2 7 2" xfId="13175" xr:uid="{E6955162-E7F6-4FE8-921B-B8F888DDE015}"/>
    <cellStyle name="Normal 4 2 4 2 2 2 8" xfId="8957" xr:uid="{3062ED58-779D-436E-807C-FFBC9805222B}"/>
    <cellStyle name="Normal 4 2 4 2 2 3" xfId="833" xr:uid="{00000000-0005-0000-0000-000043130000}"/>
    <cellStyle name="Normal 4 2 4 2 2 3 2" xfId="3070" xr:uid="{00000000-0005-0000-0000-000044130000}"/>
    <cellStyle name="Normal 4 2 4 2 2 3 2 2" xfId="7293" xr:uid="{00000000-0005-0000-0000-000045130000}"/>
    <cellStyle name="Normal 4 2 4 2 2 3 2 2 2" xfId="15732" xr:uid="{BF42D3EF-8B99-44AD-B45C-BA263B7EE200}"/>
    <cellStyle name="Normal 4 2 4 2 2 3 2 3" xfId="11514" xr:uid="{FA114E2B-D4DF-4835-B8C4-CB0DF7632EE6}"/>
    <cellStyle name="Normal 4 2 4 2 2 3 3" xfId="5148" xr:uid="{00000000-0005-0000-0000-000046130000}"/>
    <cellStyle name="Normal 4 2 4 2 2 3 3 2" xfId="13587" xr:uid="{1E111681-B1A7-4CC5-8817-BE7803633B3F}"/>
    <cellStyle name="Normal 4 2 4 2 2 3 4" xfId="9369" xr:uid="{9B9D3AEC-E626-450B-8DF6-0AEB3F5E11BB}"/>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2 2 2" xfId="16145" xr:uid="{E9E42806-5330-43A4-93DB-AA29E28F0000}"/>
    <cellStyle name="Normal 4 2 4 2 2 4 2 3" xfId="11927" xr:uid="{85E8A254-493A-4D87-BE6A-BFE972C35BD5}"/>
    <cellStyle name="Normal 4 2 4 2 2 4 3" xfId="5561" xr:uid="{00000000-0005-0000-0000-00004A130000}"/>
    <cellStyle name="Normal 4 2 4 2 2 4 3 2" xfId="14000" xr:uid="{C64C12F7-D745-4886-9E19-CBE89CD5923B}"/>
    <cellStyle name="Normal 4 2 4 2 2 4 4" xfId="9782" xr:uid="{6D3930D8-0EA1-4331-AABA-E3305605C1E3}"/>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2 2 2" xfId="16558" xr:uid="{5777E3C6-E4C6-42EF-8C85-489C851D3D4B}"/>
    <cellStyle name="Normal 4 2 4 2 2 5 2 3" xfId="12340" xr:uid="{AD829E8B-7497-4D0E-BD6F-794E3A44FC5A}"/>
    <cellStyle name="Normal 4 2 4 2 2 5 3" xfId="5974" xr:uid="{00000000-0005-0000-0000-00004E130000}"/>
    <cellStyle name="Normal 4 2 4 2 2 5 3 2" xfId="14413" xr:uid="{5B4531AB-3C68-4DAD-B576-2CE33194CA3A}"/>
    <cellStyle name="Normal 4 2 4 2 2 5 4" xfId="10195" xr:uid="{C91F355F-ADA4-4F85-9245-6152EC255A47}"/>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2 2 2" xfId="16971" xr:uid="{947388BB-DD6C-4A58-867C-E570837DFAC8}"/>
    <cellStyle name="Normal 4 2 4 2 2 6 2 3" xfId="12753" xr:uid="{9E23C896-9DC4-4D69-80D3-E67EDC13333C}"/>
    <cellStyle name="Normal 4 2 4 2 2 6 3" xfId="6387" xr:uid="{00000000-0005-0000-0000-000052130000}"/>
    <cellStyle name="Normal 4 2 4 2 2 6 3 2" xfId="14826" xr:uid="{1187C735-4EB0-45BE-A690-ACB9C82C5F6B}"/>
    <cellStyle name="Normal 4 2 4 2 2 6 4" xfId="10608" xr:uid="{629E3972-27CF-43F8-B2D6-19839EF996F1}"/>
    <cellStyle name="Normal 4 2 4 2 2 7" xfId="2516" xr:uid="{00000000-0005-0000-0000-000053130000}"/>
    <cellStyle name="Normal 4 2 4 2 2 7 2" xfId="6800" xr:uid="{00000000-0005-0000-0000-000054130000}"/>
    <cellStyle name="Normal 4 2 4 2 2 7 2 2" xfId="15239" xr:uid="{12F820E8-43DF-4858-9F9F-031B0CDD3917}"/>
    <cellStyle name="Normal 4 2 4 2 2 7 3" xfId="11021" xr:uid="{E4C321C0-E943-43F9-BFEE-7A08CA297A23}"/>
    <cellStyle name="Normal 4 2 4 2 2 8" xfId="4735" xr:uid="{00000000-0005-0000-0000-000055130000}"/>
    <cellStyle name="Normal 4 2 4 2 2 8 2" xfId="13174" xr:uid="{2CEB8BD8-040A-4877-9959-771B676977D9}"/>
    <cellStyle name="Normal 4 2 4 2 2 9" xfId="8956" xr:uid="{0F970C10-1276-4C3A-B72F-48C5235EBA23}"/>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2 2 2" xfId="15734" xr:uid="{F78DC161-EEA9-4C80-A466-516BB7DBB11C}"/>
    <cellStyle name="Normal 4 2 4 2 3 2 2 3" xfId="11516" xr:uid="{971AAB3B-7FCC-44CF-84A3-71905E9AE20D}"/>
    <cellStyle name="Normal 4 2 4 2 3 2 3" xfId="5150" xr:uid="{00000000-0005-0000-0000-00005A130000}"/>
    <cellStyle name="Normal 4 2 4 2 3 2 3 2" xfId="13589" xr:uid="{5312D939-B9AA-45AA-AFC3-5D46A0884EA2}"/>
    <cellStyle name="Normal 4 2 4 2 3 2 4" xfId="9371" xr:uid="{78B990A3-8303-4E52-9ABE-8C2A99C963EA}"/>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2 2 2" xfId="16147" xr:uid="{A065A0E9-45E3-4C1E-AC17-962B7407B809}"/>
    <cellStyle name="Normal 4 2 4 2 3 3 2 3" xfId="11929" xr:uid="{EE9267DB-E162-4849-87F6-27F663884307}"/>
    <cellStyle name="Normal 4 2 4 2 3 3 3" xfId="5563" xr:uid="{00000000-0005-0000-0000-00005E130000}"/>
    <cellStyle name="Normal 4 2 4 2 3 3 3 2" xfId="14002" xr:uid="{3CAF3E81-4060-415D-B6BB-A11BA18CC67F}"/>
    <cellStyle name="Normal 4 2 4 2 3 3 4" xfId="9784" xr:uid="{706613B8-42BB-4B8A-A224-DF6CDE7C764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2 2 2" xfId="16560" xr:uid="{6F802280-BC93-4B23-A962-F5F9AE9035C4}"/>
    <cellStyle name="Normal 4 2 4 2 3 4 2 3" xfId="12342" xr:uid="{7D355BF4-385B-40A4-AC31-27C5FF05E9B6}"/>
    <cellStyle name="Normal 4 2 4 2 3 4 3" xfId="5976" xr:uid="{00000000-0005-0000-0000-000062130000}"/>
    <cellStyle name="Normal 4 2 4 2 3 4 3 2" xfId="14415" xr:uid="{83621AF2-27BD-4D16-95A1-E389FF300BEF}"/>
    <cellStyle name="Normal 4 2 4 2 3 4 4" xfId="10197" xr:uid="{7C1105E1-A1CD-4C0A-8D96-139D17E3567E}"/>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2 2 2" xfId="16973" xr:uid="{038EF3D9-3D2F-460A-AD78-4AEB440753D6}"/>
    <cellStyle name="Normal 4 2 4 2 3 5 2 3" xfId="12755" xr:uid="{519C8A1F-6269-46A4-8ADC-E66501C946D4}"/>
    <cellStyle name="Normal 4 2 4 2 3 5 3" xfId="6389" xr:uid="{00000000-0005-0000-0000-000066130000}"/>
    <cellStyle name="Normal 4 2 4 2 3 5 3 2" xfId="14828" xr:uid="{D3D967C4-4C6B-42B0-8086-0CC6235C6D11}"/>
    <cellStyle name="Normal 4 2 4 2 3 5 4" xfId="10610" xr:uid="{8550720B-B341-48FB-85B4-07DE0F04D1D3}"/>
    <cellStyle name="Normal 4 2 4 2 3 6" xfId="2518" xr:uid="{00000000-0005-0000-0000-000067130000}"/>
    <cellStyle name="Normal 4 2 4 2 3 6 2" xfId="6802" xr:uid="{00000000-0005-0000-0000-000068130000}"/>
    <cellStyle name="Normal 4 2 4 2 3 6 2 2" xfId="15241" xr:uid="{1950084E-E919-47D7-A702-8CAF2B540E93}"/>
    <cellStyle name="Normal 4 2 4 2 3 6 3" xfId="11023" xr:uid="{48B5D377-39B6-45DB-BD65-5EF2F70A26B1}"/>
    <cellStyle name="Normal 4 2 4 2 3 7" xfId="4737" xr:uid="{00000000-0005-0000-0000-000069130000}"/>
    <cellStyle name="Normal 4 2 4 2 3 7 2" xfId="13176" xr:uid="{B034A521-BC81-4053-9B42-149B81D6E0C3}"/>
    <cellStyle name="Normal 4 2 4 2 3 8" xfId="8958" xr:uid="{BCBC54AA-DA76-4AA8-8820-10FFC201D072}"/>
    <cellStyle name="Normal 4 2 4 2 4" xfId="832" xr:uid="{00000000-0005-0000-0000-00006A130000}"/>
    <cellStyle name="Normal 4 2 4 2 4 2" xfId="3069" xr:uid="{00000000-0005-0000-0000-00006B130000}"/>
    <cellStyle name="Normal 4 2 4 2 4 2 2" xfId="7292" xr:uid="{00000000-0005-0000-0000-00006C130000}"/>
    <cellStyle name="Normal 4 2 4 2 4 2 2 2" xfId="15731" xr:uid="{A54DD16F-36FB-4070-8AE3-3EE6E78D0B35}"/>
    <cellStyle name="Normal 4 2 4 2 4 2 3" xfId="11513" xr:uid="{E71AE491-EAFC-4D28-901C-40A4DBDE2F68}"/>
    <cellStyle name="Normal 4 2 4 2 4 3" xfId="5147" xr:uid="{00000000-0005-0000-0000-00006D130000}"/>
    <cellStyle name="Normal 4 2 4 2 4 3 2" xfId="13586" xr:uid="{6B16E6F3-D5D7-4DEE-A179-1A5D95945D0B}"/>
    <cellStyle name="Normal 4 2 4 2 4 4" xfId="9368" xr:uid="{3111DDE8-8176-4124-8F40-E3E88D6CFFB5}"/>
    <cellStyle name="Normal 4 2 4 2 5" xfId="1252" xr:uid="{00000000-0005-0000-0000-00006E130000}"/>
    <cellStyle name="Normal 4 2 4 2 5 2" xfId="3482" xr:uid="{00000000-0005-0000-0000-00006F130000}"/>
    <cellStyle name="Normal 4 2 4 2 5 2 2" xfId="7705" xr:uid="{00000000-0005-0000-0000-000070130000}"/>
    <cellStyle name="Normal 4 2 4 2 5 2 2 2" xfId="16144" xr:uid="{32F83091-CA8E-41EA-A3A3-DB8F366EF5F5}"/>
    <cellStyle name="Normal 4 2 4 2 5 2 3" xfId="11926" xr:uid="{4A889547-6619-4774-AC8A-977831544467}"/>
    <cellStyle name="Normal 4 2 4 2 5 3" xfId="5560" xr:uid="{00000000-0005-0000-0000-000071130000}"/>
    <cellStyle name="Normal 4 2 4 2 5 3 2" xfId="13999" xr:uid="{A9F0F46D-3DAD-4A1D-9371-B0DFE6BA6626}"/>
    <cellStyle name="Normal 4 2 4 2 5 4" xfId="9781" xr:uid="{041C69CB-13CB-4F27-8408-4E7714B1493A}"/>
    <cellStyle name="Normal 4 2 4 2 6" xfId="1665" xr:uid="{00000000-0005-0000-0000-000072130000}"/>
    <cellStyle name="Normal 4 2 4 2 6 2" xfId="3895" xr:uid="{00000000-0005-0000-0000-000073130000}"/>
    <cellStyle name="Normal 4 2 4 2 6 2 2" xfId="8118" xr:uid="{00000000-0005-0000-0000-000074130000}"/>
    <cellStyle name="Normal 4 2 4 2 6 2 2 2" xfId="16557" xr:uid="{AE5BA772-607C-4447-8719-8AD73887BF8A}"/>
    <cellStyle name="Normal 4 2 4 2 6 2 3" xfId="12339" xr:uid="{4752CCC0-8675-4BB5-962C-6B04EC224231}"/>
    <cellStyle name="Normal 4 2 4 2 6 3" xfId="5973" xr:uid="{00000000-0005-0000-0000-000075130000}"/>
    <cellStyle name="Normal 4 2 4 2 6 3 2" xfId="14412" xr:uid="{D6487EE3-44D7-4498-B3EB-A035A7EBB53F}"/>
    <cellStyle name="Normal 4 2 4 2 6 4" xfId="10194" xr:uid="{78EF39F0-738F-4102-AD52-9A5E05E4F158}"/>
    <cellStyle name="Normal 4 2 4 2 7" xfId="2079" xr:uid="{00000000-0005-0000-0000-000076130000}"/>
    <cellStyle name="Normal 4 2 4 2 7 2" xfId="4308" xr:uid="{00000000-0005-0000-0000-000077130000}"/>
    <cellStyle name="Normal 4 2 4 2 7 2 2" xfId="8531" xr:uid="{00000000-0005-0000-0000-000078130000}"/>
    <cellStyle name="Normal 4 2 4 2 7 2 2 2" xfId="16970" xr:uid="{9AAC968D-3574-4BAA-9DB8-2E4F8F0F4F41}"/>
    <cellStyle name="Normal 4 2 4 2 7 2 3" xfId="12752" xr:uid="{7C9787EF-DA1A-4E1B-A8DD-94E8459224BC}"/>
    <cellStyle name="Normal 4 2 4 2 7 3" xfId="6386" xr:uid="{00000000-0005-0000-0000-000079130000}"/>
    <cellStyle name="Normal 4 2 4 2 7 3 2" xfId="14825" xr:uid="{810488B7-7F2D-4FE7-BF6E-37A9D4454D94}"/>
    <cellStyle name="Normal 4 2 4 2 7 4" xfId="10607" xr:uid="{B594D917-196C-4434-8218-D97F8387BA44}"/>
    <cellStyle name="Normal 4 2 4 2 8" xfId="2515" xr:uid="{00000000-0005-0000-0000-00007A130000}"/>
    <cellStyle name="Normal 4 2 4 2 8 2" xfId="6799" xr:uid="{00000000-0005-0000-0000-00007B130000}"/>
    <cellStyle name="Normal 4 2 4 2 8 2 2" xfId="15238" xr:uid="{F8D78E20-4E99-4250-A6F6-777414A85F8A}"/>
    <cellStyle name="Normal 4 2 4 2 8 3" xfId="11020" xr:uid="{D6CFF3B0-536A-448D-9187-450B4AB158D3}"/>
    <cellStyle name="Normal 4 2 4 2 9" xfId="4734" xr:uid="{00000000-0005-0000-0000-00007C130000}"/>
    <cellStyle name="Normal 4 2 4 2 9 2" xfId="13173" xr:uid="{23B3B945-9BFD-4D5E-8818-BDD90C9228FB}"/>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2 2 2" xfId="15736" xr:uid="{B357B0E4-D6B0-4E6A-9455-3CF66A15AB90}"/>
    <cellStyle name="Normal 4 2 4 3 2 2 2 3" xfId="11518" xr:uid="{C4310E26-EAF8-4C71-9D5C-445F24273CE4}"/>
    <cellStyle name="Normal 4 2 4 3 2 2 3" xfId="5152" xr:uid="{00000000-0005-0000-0000-000082130000}"/>
    <cellStyle name="Normal 4 2 4 3 2 2 3 2" xfId="13591" xr:uid="{83DCD3CC-413A-43A3-AA90-CCEAA343FA88}"/>
    <cellStyle name="Normal 4 2 4 3 2 2 4" xfId="9373" xr:uid="{C34945EA-B021-49C1-AD8E-CD0791B6D65F}"/>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2 2 2" xfId="16149" xr:uid="{A233DFE8-1ABE-4236-9F1D-C1DB06DB8C73}"/>
    <cellStyle name="Normal 4 2 4 3 2 3 2 3" xfId="11931" xr:uid="{A70418D9-ED36-47A0-8AAE-F1376F4BC555}"/>
    <cellStyle name="Normal 4 2 4 3 2 3 3" xfId="5565" xr:uid="{00000000-0005-0000-0000-000086130000}"/>
    <cellStyle name="Normal 4 2 4 3 2 3 3 2" xfId="14004" xr:uid="{8DBBE428-4EFB-4C8A-8EE9-4922C4E2F376}"/>
    <cellStyle name="Normal 4 2 4 3 2 3 4" xfId="9786" xr:uid="{6E477D5C-4EF7-4CCA-A272-EB2F05C2F158}"/>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2 2 2" xfId="16562" xr:uid="{699098A8-5D10-446D-AEF8-DFCB47D146EC}"/>
    <cellStyle name="Normal 4 2 4 3 2 4 2 3" xfId="12344" xr:uid="{5C494958-3339-4B92-9EFB-058FCAE11AF4}"/>
    <cellStyle name="Normal 4 2 4 3 2 4 3" xfId="5978" xr:uid="{00000000-0005-0000-0000-00008A130000}"/>
    <cellStyle name="Normal 4 2 4 3 2 4 3 2" xfId="14417" xr:uid="{97242EDA-CDA8-4092-99C6-11AAB6B30017}"/>
    <cellStyle name="Normal 4 2 4 3 2 4 4" xfId="10199" xr:uid="{637B4974-2820-4DD5-A1FD-19A3E725623C}"/>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2 2 2" xfId="16975" xr:uid="{5B3CA10E-BC63-42CC-ABCC-58863D5753C6}"/>
    <cellStyle name="Normal 4 2 4 3 2 5 2 3" xfId="12757" xr:uid="{BB82BBC4-8E64-4CB3-B2F4-763390959624}"/>
    <cellStyle name="Normal 4 2 4 3 2 5 3" xfId="6391" xr:uid="{00000000-0005-0000-0000-00008E130000}"/>
    <cellStyle name="Normal 4 2 4 3 2 5 3 2" xfId="14830" xr:uid="{DB9418E0-0F97-4266-AC03-97CB73D8EB61}"/>
    <cellStyle name="Normal 4 2 4 3 2 5 4" xfId="10612" xr:uid="{C634FBEB-6FA0-4242-8D55-54113B735086}"/>
    <cellStyle name="Normal 4 2 4 3 2 6" xfId="2520" xr:uid="{00000000-0005-0000-0000-00008F130000}"/>
    <cellStyle name="Normal 4 2 4 3 2 6 2" xfId="6804" xr:uid="{00000000-0005-0000-0000-000090130000}"/>
    <cellStyle name="Normal 4 2 4 3 2 6 2 2" xfId="15243" xr:uid="{4DE46EE3-1846-4394-8193-30727D603A48}"/>
    <cellStyle name="Normal 4 2 4 3 2 6 3" xfId="11025" xr:uid="{8F99ECD0-8219-4A1D-A281-490A4A77F8EC}"/>
    <cellStyle name="Normal 4 2 4 3 2 7" xfId="4739" xr:uid="{00000000-0005-0000-0000-000091130000}"/>
    <cellStyle name="Normal 4 2 4 3 2 7 2" xfId="13178" xr:uid="{F51E591A-84E7-45E4-BFC8-E7B2DA864985}"/>
    <cellStyle name="Normal 4 2 4 3 2 8" xfId="8960" xr:uid="{9C086B5C-438D-4FF9-A04B-5733AEF900B0}"/>
    <cellStyle name="Normal 4 2 4 3 3" xfId="836" xr:uid="{00000000-0005-0000-0000-000092130000}"/>
    <cellStyle name="Normal 4 2 4 3 3 2" xfId="3073" xr:uid="{00000000-0005-0000-0000-000093130000}"/>
    <cellStyle name="Normal 4 2 4 3 3 2 2" xfId="7296" xr:uid="{00000000-0005-0000-0000-000094130000}"/>
    <cellStyle name="Normal 4 2 4 3 3 2 2 2" xfId="15735" xr:uid="{090CE098-997C-4969-B710-551A186BD571}"/>
    <cellStyle name="Normal 4 2 4 3 3 2 3" xfId="11517" xr:uid="{F6A590FA-7084-4A2B-BF38-0CD3D0887354}"/>
    <cellStyle name="Normal 4 2 4 3 3 3" xfId="5151" xr:uid="{00000000-0005-0000-0000-000095130000}"/>
    <cellStyle name="Normal 4 2 4 3 3 3 2" xfId="13590" xr:uid="{E8B36254-3891-44AF-A47D-C9B301DAACB0}"/>
    <cellStyle name="Normal 4 2 4 3 3 4" xfId="9372" xr:uid="{B24C31E2-24C8-48C3-BB8C-AC6F45081F5E}"/>
    <cellStyle name="Normal 4 2 4 3 4" xfId="1256" xr:uid="{00000000-0005-0000-0000-000096130000}"/>
    <cellStyle name="Normal 4 2 4 3 4 2" xfId="3486" xr:uid="{00000000-0005-0000-0000-000097130000}"/>
    <cellStyle name="Normal 4 2 4 3 4 2 2" xfId="7709" xr:uid="{00000000-0005-0000-0000-000098130000}"/>
    <cellStyle name="Normal 4 2 4 3 4 2 2 2" xfId="16148" xr:uid="{F3DA429E-56B1-4F95-AD73-7E0F06F9E4BA}"/>
    <cellStyle name="Normal 4 2 4 3 4 2 3" xfId="11930" xr:uid="{A0DAAEC6-5192-4B56-9593-E16565BB6839}"/>
    <cellStyle name="Normal 4 2 4 3 4 3" xfId="5564" xr:uid="{00000000-0005-0000-0000-000099130000}"/>
    <cellStyle name="Normal 4 2 4 3 4 3 2" xfId="14003" xr:uid="{5C023A70-735E-4AB4-90EF-466018C438C3}"/>
    <cellStyle name="Normal 4 2 4 3 4 4" xfId="9785" xr:uid="{D9C1AC75-9210-4D88-9D05-5FE4D8732D05}"/>
    <cellStyle name="Normal 4 2 4 3 5" xfId="1669" xr:uid="{00000000-0005-0000-0000-00009A130000}"/>
    <cellStyle name="Normal 4 2 4 3 5 2" xfId="3899" xr:uid="{00000000-0005-0000-0000-00009B130000}"/>
    <cellStyle name="Normal 4 2 4 3 5 2 2" xfId="8122" xr:uid="{00000000-0005-0000-0000-00009C130000}"/>
    <cellStyle name="Normal 4 2 4 3 5 2 2 2" xfId="16561" xr:uid="{CAC41D54-774C-4DF8-B5AA-31C08ED7C51F}"/>
    <cellStyle name="Normal 4 2 4 3 5 2 3" xfId="12343" xr:uid="{4EA8200E-692A-4F3F-A93C-21ED6A198029}"/>
    <cellStyle name="Normal 4 2 4 3 5 3" xfId="5977" xr:uid="{00000000-0005-0000-0000-00009D130000}"/>
    <cellStyle name="Normal 4 2 4 3 5 3 2" xfId="14416" xr:uid="{2E824F67-3759-4C35-8AB0-47BACEEC0EC5}"/>
    <cellStyle name="Normal 4 2 4 3 5 4" xfId="10198" xr:uid="{6D7E6FA0-C141-49EE-90B7-936713339E08}"/>
    <cellStyle name="Normal 4 2 4 3 6" xfId="2083" xr:uid="{00000000-0005-0000-0000-00009E130000}"/>
    <cellStyle name="Normal 4 2 4 3 6 2" xfId="4312" xr:uid="{00000000-0005-0000-0000-00009F130000}"/>
    <cellStyle name="Normal 4 2 4 3 6 2 2" xfId="8535" xr:uid="{00000000-0005-0000-0000-0000A0130000}"/>
    <cellStyle name="Normal 4 2 4 3 6 2 2 2" xfId="16974" xr:uid="{D673BB81-4945-4862-8570-AA3D52351B0F}"/>
    <cellStyle name="Normal 4 2 4 3 6 2 3" xfId="12756" xr:uid="{0696FDD1-1955-4178-A8B3-B9AB71B85CC2}"/>
    <cellStyle name="Normal 4 2 4 3 6 3" xfId="6390" xr:uid="{00000000-0005-0000-0000-0000A1130000}"/>
    <cellStyle name="Normal 4 2 4 3 6 3 2" xfId="14829" xr:uid="{5D9DB4CB-F629-42E7-BEEB-8A088DB6BC8B}"/>
    <cellStyle name="Normal 4 2 4 3 6 4" xfId="10611" xr:uid="{3B61C3E3-2636-4283-AD88-B21431179E92}"/>
    <cellStyle name="Normal 4 2 4 3 7" xfId="2519" xr:uid="{00000000-0005-0000-0000-0000A2130000}"/>
    <cellStyle name="Normal 4 2 4 3 7 2" xfId="6803" xr:uid="{00000000-0005-0000-0000-0000A3130000}"/>
    <cellStyle name="Normal 4 2 4 3 7 2 2" xfId="15242" xr:uid="{45B7ABEC-5B26-48DD-85FD-946BA50E441B}"/>
    <cellStyle name="Normal 4 2 4 3 7 3" xfId="11024" xr:uid="{9E1A15A3-364C-447D-AAB1-BE2E37415CAA}"/>
    <cellStyle name="Normal 4 2 4 3 8" xfId="4738" xr:uid="{00000000-0005-0000-0000-0000A4130000}"/>
    <cellStyle name="Normal 4 2 4 3 8 2" xfId="13177" xr:uid="{DAA62ADF-110E-4120-BBFD-C7442D1C6F85}"/>
    <cellStyle name="Normal 4 2 4 3 9" xfId="8959" xr:uid="{A8DA2528-83D6-47A6-8FA8-87BC667DAE6E}"/>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2 2 2" xfId="15737" xr:uid="{342D4543-2E31-4BCA-9F0B-94090CBBF5F7}"/>
    <cellStyle name="Normal 4 2 4 4 2 2 3" xfId="11519" xr:uid="{F2774BBE-5592-460D-A8F0-E392A5F747D0}"/>
    <cellStyle name="Normal 4 2 4 4 2 3" xfId="5153" xr:uid="{00000000-0005-0000-0000-0000A9130000}"/>
    <cellStyle name="Normal 4 2 4 4 2 3 2" xfId="13592" xr:uid="{C8667917-6DBD-43F6-8269-E2A3E217F971}"/>
    <cellStyle name="Normal 4 2 4 4 2 4" xfId="9374" xr:uid="{D689C56A-4696-4FAF-BC64-E276802DEFCA}"/>
    <cellStyle name="Normal 4 2 4 4 3" xfId="1258" xr:uid="{00000000-0005-0000-0000-0000AA130000}"/>
    <cellStyle name="Normal 4 2 4 4 3 2" xfId="3488" xr:uid="{00000000-0005-0000-0000-0000AB130000}"/>
    <cellStyle name="Normal 4 2 4 4 3 2 2" xfId="7711" xr:uid="{00000000-0005-0000-0000-0000AC130000}"/>
    <cellStyle name="Normal 4 2 4 4 3 2 2 2" xfId="16150" xr:uid="{026A2809-145D-4BE2-AF51-ECD654CC66DF}"/>
    <cellStyle name="Normal 4 2 4 4 3 2 3" xfId="11932" xr:uid="{A592131A-C60F-42C9-993E-1746EBC077E6}"/>
    <cellStyle name="Normal 4 2 4 4 3 3" xfId="5566" xr:uid="{00000000-0005-0000-0000-0000AD130000}"/>
    <cellStyle name="Normal 4 2 4 4 3 3 2" xfId="14005" xr:uid="{F68A752C-6A81-4489-AFEF-50C4715D2B92}"/>
    <cellStyle name="Normal 4 2 4 4 3 4" xfId="9787" xr:uid="{002E65AD-5885-4F22-8C43-07D4CFC3A364}"/>
    <cellStyle name="Normal 4 2 4 4 4" xfId="1671" xr:uid="{00000000-0005-0000-0000-0000AE130000}"/>
    <cellStyle name="Normal 4 2 4 4 4 2" xfId="3901" xr:uid="{00000000-0005-0000-0000-0000AF130000}"/>
    <cellStyle name="Normal 4 2 4 4 4 2 2" xfId="8124" xr:uid="{00000000-0005-0000-0000-0000B0130000}"/>
    <cellStyle name="Normal 4 2 4 4 4 2 2 2" xfId="16563" xr:uid="{AEB0E673-A70D-4B22-919F-45C8DC4DE442}"/>
    <cellStyle name="Normal 4 2 4 4 4 2 3" xfId="12345" xr:uid="{12187E02-0FB5-449E-8F0D-63CB8D6C079B}"/>
    <cellStyle name="Normal 4 2 4 4 4 3" xfId="5979" xr:uid="{00000000-0005-0000-0000-0000B1130000}"/>
    <cellStyle name="Normal 4 2 4 4 4 3 2" xfId="14418" xr:uid="{01C78557-B714-4508-98D2-26AA8C7E0BD8}"/>
    <cellStyle name="Normal 4 2 4 4 4 4" xfId="10200" xr:uid="{A531ECA2-0694-4BEA-AFEE-0104D815DD73}"/>
    <cellStyle name="Normal 4 2 4 4 5" xfId="2085" xr:uid="{00000000-0005-0000-0000-0000B2130000}"/>
    <cellStyle name="Normal 4 2 4 4 5 2" xfId="4314" xr:uid="{00000000-0005-0000-0000-0000B3130000}"/>
    <cellStyle name="Normal 4 2 4 4 5 2 2" xfId="8537" xr:uid="{00000000-0005-0000-0000-0000B4130000}"/>
    <cellStyle name="Normal 4 2 4 4 5 2 2 2" xfId="16976" xr:uid="{A3183C16-A7B2-4D1F-9A03-41A461A4F9B2}"/>
    <cellStyle name="Normal 4 2 4 4 5 2 3" xfId="12758" xr:uid="{06BB57F4-5AAA-4905-97CE-6C8C1F477F55}"/>
    <cellStyle name="Normal 4 2 4 4 5 3" xfId="6392" xr:uid="{00000000-0005-0000-0000-0000B5130000}"/>
    <cellStyle name="Normal 4 2 4 4 5 3 2" xfId="14831" xr:uid="{F60D619E-BBC6-47EF-A82B-334479F3D7A3}"/>
    <cellStyle name="Normal 4 2 4 4 5 4" xfId="10613" xr:uid="{DA2CABED-52E1-4047-BB78-43B01C9918F4}"/>
    <cellStyle name="Normal 4 2 4 4 6" xfId="2521" xr:uid="{00000000-0005-0000-0000-0000B6130000}"/>
    <cellStyle name="Normal 4 2 4 4 6 2" xfId="6805" xr:uid="{00000000-0005-0000-0000-0000B7130000}"/>
    <cellStyle name="Normal 4 2 4 4 6 2 2" xfId="15244" xr:uid="{D4DE9EB6-1290-4987-9612-FE71C95CE680}"/>
    <cellStyle name="Normal 4 2 4 4 6 3" xfId="11026" xr:uid="{5B135671-0170-4B99-9538-09FCD3668901}"/>
    <cellStyle name="Normal 4 2 4 4 7" xfId="4740" xr:uid="{00000000-0005-0000-0000-0000B8130000}"/>
    <cellStyle name="Normal 4 2 4 4 7 2" xfId="13179" xr:uid="{66A382C3-F4F0-435D-ADA7-BC6E02764948}"/>
    <cellStyle name="Normal 4 2 4 4 8" xfId="8961" xr:uid="{5288A70D-2FF8-4261-A1DD-636801463163}"/>
    <cellStyle name="Normal 4 2 4 5" xfId="831" xr:uid="{00000000-0005-0000-0000-0000B9130000}"/>
    <cellStyle name="Normal 4 2 4 5 2" xfId="3068" xr:uid="{00000000-0005-0000-0000-0000BA130000}"/>
    <cellStyle name="Normal 4 2 4 5 2 2" xfId="7291" xr:uid="{00000000-0005-0000-0000-0000BB130000}"/>
    <cellStyle name="Normal 4 2 4 5 2 2 2" xfId="15730" xr:uid="{09A2D6C7-8B86-42C8-973F-4B29118A1278}"/>
    <cellStyle name="Normal 4 2 4 5 2 3" xfId="11512" xr:uid="{05504AA7-702F-4249-ACA2-2D758E13E84E}"/>
    <cellStyle name="Normal 4 2 4 5 3" xfId="5146" xr:uid="{00000000-0005-0000-0000-0000BC130000}"/>
    <cellStyle name="Normal 4 2 4 5 3 2" xfId="13585" xr:uid="{3A88B312-8483-4454-A7EA-CD0B0C13DD97}"/>
    <cellStyle name="Normal 4 2 4 5 4" xfId="9367" xr:uid="{507E8621-2BC0-41B8-ABA0-705B119DF9E0}"/>
    <cellStyle name="Normal 4 2 4 6" xfId="1251" xr:uid="{00000000-0005-0000-0000-0000BD130000}"/>
    <cellStyle name="Normal 4 2 4 6 2" xfId="3481" xr:uid="{00000000-0005-0000-0000-0000BE130000}"/>
    <cellStyle name="Normal 4 2 4 6 2 2" xfId="7704" xr:uid="{00000000-0005-0000-0000-0000BF130000}"/>
    <cellStyle name="Normal 4 2 4 6 2 2 2" xfId="16143" xr:uid="{B8C80C9D-2123-4BF3-A7AD-F2F38F024B26}"/>
    <cellStyle name="Normal 4 2 4 6 2 3" xfId="11925" xr:uid="{1137E5C7-A1F6-482B-B09E-C4DBB086201D}"/>
    <cellStyle name="Normal 4 2 4 6 3" xfId="5559" xr:uid="{00000000-0005-0000-0000-0000C0130000}"/>
    <cellStyle name="Normal 4 2 4 6 3 2" xfId="13998" xr:uid="{87140439-4CAF-46C1-A436-1895FE80A938}"/>
    <cellStyle name="Normal 4 2 4 6 4" xfId="9780" xr:uid="{4042722A-D8CF-46DA-B66F-7EBC5F5E2CE2}"/>
    <cellStyle name="Normal 4 2 4 7" xfId="1664" xr:uid="{00000000-0005-0000-0000-0000C1130000}"/>
    <cellStyle name="Normal 4 2 4 7 2" xfId="3894" xr:uid="{00000000-0005-0000-0000-0000C2130000}"/>
    <cellStyle name="Normal 4 2 4 7 2 2" xfId="8117" xr:uid="{00000000-0005-0000-0000-0000C3130000}"/>
    <cellStyle name="Normal 4 2 4 7 2 2 2" xfId="16556" xr:uid="{A5BC835E-F606-4DA0-A2DF-7183A93BCD4D}"/>
    <cellStyle name="Normal 4 2 4 7 2 3" xfId="12338" xr:uid="{A40F8D80-CCE9-456F-9831-7D1B02EFE727}"/>
    <cellStyle name="Normal 4 2 4 7 3" xfId="5972" xr:uid="{00000000-0005-0000-0000-0000C4130000}"/>
    <cellStyle name="Normal 4 2 4 7 3 2" xfId="14411" xr:uid="{4ED2AE18-E442-4B02-BB17-E131B0EFCA35}"/>
    <cellStyle name="Normal 4 2 4 7 4" xfId="10193" xr:uid="{AD93F048-A36D-4E32-B951-B76CFD0D47A6}"/>
    <cellStyle name="Normal 4 2 4 8" xfId="2078" xr:uid="{00000000-0005-0000-0000-0000C5130000}"/>
    <cellStyle name="Normal 4 2 4 8 2" xfId="4307" xr:uid="{00000000-0005-0000-0000-0000C6130000}"/>
    <cellStyle name="Normal 4 2 4 8 2 2" xfId="8530" xr:uid="{00000000-0005-0000-0000-0000C7130000}"/>
    <cellStyle name="Normal 4 2 4 8 2 2 2" xfId="16969" xr:uid="{611E591D-5D8A-4B4C-BEE9-EADCFE4F5AEA}"/>
    <cellStyle name="Normal 4 2 4 8 2 3" xfId="12751" xr:uid="{F4DABE3B-50C6-46DA-939D-0E909A819477}"/>
    <cellStyle name="Normal 4 2 4 8 3" xfId="6385" xr:uid="{00000000-0005-0000-0000-0000C8130000}"/>
    <cellStyle name="Normal 4 2 4 8 3 2" xfId="14824" xr:uid="{701F9CA9-20AA-469D-A31F-CE3F95D06139}"/>
    <cellStyle name="Normal 4 2 4 8 4" xfId="10606" xr:uid="{493F886D-554B-496C-83AA-C301358ECDAD}"/>
    <cellStyle name="Normal 4 2 4 9" xfId="2514" xr:uid="{00000000-0005-0000-0000-0000C9130000}"/>
    <cellStyle name="Normal 4 2 4 9 2" xfId="6798" xr:uid="{00000000-0005-0000-0000-0000CA130000}"/>
    <cellStyle name="Normal 4 2 4 9 2 2" xfId="15237" xr:uid="{9714C0FB-6E07-41AC-87E3-0324C19DCF77}"/>
    <cellStyle name="Normal 4 2 4 9 3" xfId="11019" xr:uid="{833ECA74-29EC-492C-9F46-B6DA12E62CFB}"/>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2 2 2" xfId="15739" xr:uid="{6434E656-8B54-4482-82C6-B58487D6787B}"/>
    <cellStyle name="Normal 4 2 5 2 2 2 3" xfId="11521" xr:uid="{15038E26-FD0F-46E2-800F-FEBD1F286EB5}"/>
    <cellStyle name="Normal 4 2 5 2 2 3" xfId="5155" xr:uid="{00000000-0005-0000-0000-0000D0130000}"/>
    <cellStyle name="Normal 4 2 5 2 2 3 2" xfId="13594" xr:uid="{9E64B6B9-5D58-44DF-8B6E-3479D002C6B9}"/>
    <cellStyle name="Normal 4 2 5 2 2 4" xfId="9376" xr:uid="{AE5CF5B9-F5D8-4D27-A1AF-DEB82BCC7613}"/>
    <cellStyle name="Normal 4 2 5 2 3" xfId="1260" xr:uid="{00000000-0005-0000-0000-0000D1130000}"/>
    <cellStyle name="Normal 4 2 5 2 3 2" xfId="3490" xr:uid="{00000000-0005-0000-0000-0000D2130000}"/>
    <cellStyle name="Normal 4 2 5 2 3 2 2" xfId="7713" xr:uid="{00000000-0005-0000-0000-0000D3130000}"/>
    <cellStyle name="Normal 4 2 5 2 3 2 2 2" xfId="16152" xr:uid="{8FB6C0EF-93FF-42C3-ADF4-988613D0B57F}"/>
    <cellStyle name="Normal 4 2 5 2 3 2 3" xfId="11934" xr:uid="{F4F842BA-648F-47E8-A1F9-7F8CC8E4DABD}"/>
    <cellStyle name="Normal 4 2 5 2 3 3" xfId="5568" xr:uid="{00000000-0005-0000-0000-0000D4130000}"/>
    <cellStyle name="Normal 4 2 5 2 3 3 2" xfId="14007" xr:uid="{4756E071-C2B0-4959-B4F6-F76970C8B192}"/>
    <cellStyle name="Normal 4 2 5 2 3 4" xfId="9789" xr:uid="{A1682A49-2EA2-42B3-8C90-B402832ACA2C}"/>
    <cellStyle name="Normal 4 2 5 2 4" xfId="1673" xr:uid="{00000000-0005-0000-0000-0000D5130000}"/>
    <cellStyle name="Normal 4 2 5 2 4 2" xfId="3903" xr:uid="{00000000-0005-0000-0000-0000D6130000}"/>
    <cellStyle name="Normal 4 2 5 2 4 2 2" xfId="8126" xr:uid="{00000000-0005-0000-0000-0000D7130000}"/>
    <cellStyle name="Normal 4 2 5 2 4 2 2 2" xfId="16565" xr:uid="{15426CB7-4341-4ACD-927B-51647F9502C6}"/>
    <cellStyle name="Normal 4 2 5 2 4 2 3" xfId="12347" xr:uid="{BD97D3F2-F5C7-4A00-93DC-FA4542989ADE}"/>
    <cellStyle name="Normal 4 2 5 2 4 3" xfId="5981" xr:uid="{00000000-0005-0000-0000-0000D8130000}"/>
    <cellStyle name="Normal 4 2 5 2 4 3 2" xfId="14420" xr:uid="{F5AFEE08-EF2A-4BA9-8815-57B04829B8DF}"/>
    <cellStyle name="Normal 4 2 5 2 4 4" xfId="10202" xr:uid="{F316D8BA-1D79-44C6-9F12-A74C2F93E2C7}"/>
    <cellStyle name="Normal 4 2 5 2 5" xfId="2087" xr:uid="{00000000-0005-0000-0000-0000D9130000}"/>
    <cellStyle name="Normal 4 2 5 2 5 2" xfId="4316" xr:uid="{00000000-0005-0000-0000-0000DA130000}"/>
    <cellStyle name="Normal 4 2 5 2 5 2 2" xfId="8539" xr:uid="{00000000-0005-0000-0000-0000DB130000}"/>
    <cellStyle name="Normal 4 2 5 2 5 2 2 2" xfId="16978" xr:uid="{8487BCAB-1943-454D-8656-14D73CF82272}"/>
    <cellStyle name="Normal 4 2 5 2 5 2 3" xfId="12760" xr:uid="{293DB3A0-DE3F-434D-8AB4-DF1F53D75A15}"/>
    <cellStyle name="Normal 4 2 5 2 5 3" xfId="6394" xr:uid="{00000000-0005-0000-0000-0000DC130000}"/>
    <cellStyle name="Normal 4 2 5 2 5 3 2" xfId="14833" xr:uid="{B360ECCB-5391-4832-B43E-CC418BE6F258}"/>
    <cellStyle name="Normal 4 2 5 2 5 4" xfId="10615" xr:uid="{C3EEAEFC-0B84-4E32-A07F-9B4EC903C5B6}"/>
    <cellStyle name="Normal 4 2 5 2 6" xfId="2523" xr:uid="{00000000-0005-0000-0000-0000DD130000}"/>
    <cellStyle name="Normal 4 2 5 2 6 2" xfId="6807" xr:uid="{00000000-0005-0000-0000-0000DE130000}"/>
    <cellStyle name="Normal 4 2 5 2 6 2 2" xfId="15246" xr:uid="{744208D2-B2B5-4746-ACAB-2D6A0E2C55B6}"/>
    <cellStyle name="Normal 4 2 5 2 6 3" xfId="11028" xr:uid="{EFC5C3B5-4307-497A-BBB4-084E44B6A662}"/>
    <cellStyle name="Normal 4 2 5 2 7" xfId="4742" xr:uid="{00000000-0005-0000-0000-0000DF130000}"/>
    <cellStyle name="Normal 4 2 5 2 7 2" xfId="13181" xr:uid="{19FD3D89-ED56-42BA-8DD2-B3B4C29428D4}"/>
    <cellStyle name="Normal 4 2 5 2 8" xfId="8963" xr:uid="{F667710C-1BAD-4C2C-B138-A92E393B88D9}"/>
    <cellStyle name="Normal 4 2 5 3" xfId="839" xr:uid="{00000000-0005-0000-0000-0000E0130000}"/>
    <cellStyle name="Normal 4 2 5 3 2" xfId="3076" xr:uid="{00000000-0005-0000-0000-0000E1130000}"/>
    <cellStyle name="Normal 4 2 5 3 2 2" xfId="7299" xr:uid="{00000000-0005-0000-0000-0000E2130000}"/>
    <cellStyle name="Normal 4 2 5 3 2 2 2" xfId="15738" xr:uid="{E6288D51-3A01-411B-913F-FC150D5549A4}"/>
    <cellStyle name="Normal 4 2 5 3 2 3" xfId="11520" xr:uid="{1D8FA079-99FF-43DD-B4AA-F4623D134EF8}"/>
    <cellStyle name="Normal 4 2 5 3 3" xfId="5154" xr:uid="{00000000-0005-0000-0000-0000E3130000}"/>
    <cellStyle name="Normal 4 2 5 3 3 2" xfId="13593" xr:uid="{AD2003DF-6B56-4E44-83C6-80F6A7B03A96}"/>
    <cellStyle name="Normal 4 2 5 3 4" xfId="9375" xr:uid="{F0B62286-7F33-4AB5-889D-816881EB7271}"/>
    <cellStyle name="Normal 4 2 5 4" xfId="1259" xr:uid="{00000000-0005-0000-0000-0000E4130000}"/>
    <cellStyle name="Normal 4 2 5 4 2" xfId="3489" xr:uid="{00000000-0005-0000-0000-0000E5130000}"/>
    <cellStyle name="Normal 4 2 5 4 2 2" xfId="7712" xr:uid="{00000000-0005-0000-0000-0000E6130000}"/>
    <cellStyle name="Normal 4 2 5 4 2 2 2" xfId="16151" xr:uid="{09429E21-9989-4BAA-95FF-96D8E7959290}"/>
    <cellStyle name="Normal 4 2 5 4 2 3" xfId="11933" xr:uid="{5F5365F9-2A00-4CEB-8803-9D6DE62E52A4}"/>
    <cellStyle name="Normal 4 2 5 4 3" xfId="5567" xr:uid="{00000000-0005-0000-0000-0000E7130000}"/>
    <cellStyle name="Normal 4 2 5 4 3 2" xfId="14006" xr:uid="{C5226D29-6C43-45FB-97A3-9DE08741491D}"/>
    <cellStyle name="Normal 4 2 5 4 4" xfId="9788" xr:uid="{7EF208E5-D17E-4EB6-A740-233F1C98E42E}"/>
    <cellStyle name="Normal 4 2 5 5" xfId="1672" xr:uid="{00000000-0005-0000-0000-0000E8130000}"/>
    <cellStyle name="Normal 4 2 5 5 2" xfId="3902" xr:uid="{00000000-0005-0000-0000-0000E9130000}"/>
    <cellStyle name="Normal 4 2 5 5 2 2" xfId="8125" xr:uid="{00000000-0005-0000-0000-0000EA130000}"/>
    <cellStyle name="Normal 4 2 5 5 2 2 2" xfId="16564" xr:uid="{DF4C18CB-A6FC-4363-BF92-30C9EBA81734}"/>
    <cellStyle name="Normal 4 2 5 5 2 3" xfId="12346" xr:uid="{5F5F939D-292D-4EBF-A535-CF152B20D30F}"/>
    <cellStyle name="Normal 4 2 5 5 3" xfId="5980" xr:uid="{00000000-0005-0000-0000-0000EB130000}"/>
    <cellStyle name="Normal 4 2 5 5 3 2" xfId="14419" xr:uid="{904FD811-A425-4EF4-A33A-52717E3D3A71}"/>
    <cellStyle name="Normal 4 2 5 5 4" xfId="10201" xr:uid="{7749CAF1-0603-41C9-AB8B-00542FC0AB70}"/>
    <cellStyle name="Normal 4 2 5 6" xfId="2086" xr:uid="{00000000-0005-0000-0000-0000EC130000}"/>
    <cellStyle name="Normal 4 2 5 6 2" xfId="4315" xr:uid="{00000000-0005-0000-0000-0000ED130000}"/>
    <cellStyle name="Normal 4 2 5 6 2 2" xfId="8538" xr:uid="{00000000-0005-0000-0000-0000EE130000}"/>
    <cellStyle name="Normal 4 2 5 6 2 2 2" xfId="16977" xr:uid="{68CAB210-B6F9-44D3-88CB-210E6EA43987}"/>
    <cellStyle name="Normal 4 2 5 6 2 3" xfId="12759" xr:uid="{A71093CE-BFE9-4C41-806B-933E250FB198}"/>
    <cellStyle name="Normal 4 2 5 6 3" xfId="6393" xr:uid="{00000000-0005-0000-0000-0000EF130000}"/>
    <cellStyle name="Normal 4 2 5 6 3 2" xfId="14832" xr:uid="{3B7C37C8-EE9F-4772-AA93-5FEDFB13C56C}"/>
    <cellStyle name="Normal 4 2 5 6 4" xfId="10614" xr:uid="{B853F9D7-E3A4-4D5A-9635-5D556BF9CF95}"/>
    <cellStyle name="Normal 4 2 5 7" xfId="2522" xr:uid="{00000000-0005-0000-0000-0000F0130000}"/>
    <cellStyle name="Normal 4 2 5 7 2" xfId="6806" xr:uid="{00000000-0005-0000-0000-0000F1130000}"/>
    <cellStyle name="Normal 4 2 5 7 2 2" xfId="15245" xr:uid="{A6977D6C-5279-405E-8BED-4868BD1E6419}"/>
    <cellStyle name="Normal 4 2 5 7 3" xfId="11027" xr:uid="{5A5B934B-E27B-49F7-A259-89A1FC14BBB2}"/>
    <cellStyle name="Normal 4 2 5 8" xfId="4741" xr:uid="{00000000-0005-0000-0000-0000F2130000}"/>
    <cellStyle name="Normal 4 2 5 8 2" xfId="13180" xr:uid="{A091CA9B-C3C3-492A-9D3D-D752016BF7CE}"/>
    <cellStyle name="Normal 4 2 5 9" xfId="8962" xr:uid="{EE1BE734-2AFA-4A72-9530-8D5B7030034C}"/>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2 2 2" xfId="15740" xr:uid="{F0217276-4D69-477D-BCAA-C0E0977F1C36}"/>
    <cellStyle name="Normal 4 2 6 2 2 3" xfId="11522" xr:uid="{87359623-95D3-4552-B09B-1C3F6541C8B7}"/>
    <cellStyle name="Normal 4 2 6 2 3" xfId="5156" xr:uid="{00000000-0005-0000-0000-0000F7130000}"/>
    <cellStyle name="Normal 4 2 6 2 3 2" xfId="13595" xr:uid="{04D024B7-B321-42CF-98AC-AA519A068E78}"/>
    <cellStyle name="Normal 4 2 6 2 4" xfId="9377" xr:uid="{04CE10A9-69A6-47EF-A57D-ED200F1A3115}"/>
    <cellStyle name="Normal 4 2 6 3" xfId="1261" xr:uid="{00000000-0005-0000-0000-0000F8130000}"/>
    <cellStyle name="Normal 4 2 6 3 2" xfId="3491" xr:uid="{00000000-0005-0000-0000-0000F9130000}"/>
    <cellStyle name="Normal 4 2 6 3 2 2" xfId="7714" xr:uid="{00000000-0005-0000-0000-0000FA130000}"/>
    <cellStyle name="Normal 4 2 6 3 2 2 2" xfId="16153" xr:uid="{6B2E1D9D-89A0-4441-99CD-A2568775E056}"/>
    <cellStyle name="Normal 4 2 6 3 2 3" xfId="11935" xr:uid="{CCABF084-A75C-48A9-BE74-75D9E85A8D1C}"/>
    <cellStyle name="Normal 4 2 6 3 3" xfId="5569" xr:uid="{00000000-0005-0000-0000-0000FB130000}"/>
    <cellStyle name="Normal 4 2 6 3 3 2" xfId="14008" xr:uid="{C63EF543-55AF-4A99-A27F-1246056E3E7F}"/>
    <cellStyle name="Normal 4 2 6 3 4" xfId="9790" xr:uid="{12879A25-3BF0-41E3-B0B2-06535D5605C9}"/>
    <cellStyle name="Normal 4 2 6 4" xfId="1674" xr:uid="{00000000-0005-0000-0000-0000FC130000}"/>
    <cellStyle name="Normal 4 2 6 4 2" xfId="3904" xr:uid="{00000000-0005-0000-0000-0000FD130000}"/>
    <cellStyle name="Normal 4 2 6 4 2 2" xfId="8127" xr:uid="{00000000-0005-0000-0000-0000FE130000}"/>
    <cellStyle name="Normal 4 2 6 4 2 2 2" xfId="16566" xr:uid="{2580A9BB-C158-4180-8FCC-E1DD7B6A0315}"/>
    <cellStyle name="Normal 4 2 6 4 2 3" xfId="12348" xr:uid="{54A05208-AE0F-4F0B-A2BE-4F12A465E4AA}"/>
    <cellStyle name="Normal 4 2 6 4 3" xfId="5982" xr:uid="{00000000-0005-0000-0000-0000FF130000}"/>
    <cellStyle name="Normal 4 2 6 4 3 2" xfId="14421" xr:uid="{0CCADCE8-7E21-4A9B-989B-145230768BBA}"/>
    <cellStyle name="Normal 4 2 6 4 4" xfId="10203" xr:uid="{37308660-5D46-43C3-92D8-E70D35A45332}"/>
    <cellStyle name="Normal 4 2 6 5" xfId="2088" xr:uid="{00000000-0005-0000-0000-000000140000}"/>
    <cellStyle name="Normal 4 2 6 5 2" xfId="4317" xr:uid="{00000000-0005-0000-0000-000001140000}"/>
    <cellStyle name="Normal 4 2 6 5 2 2" xfId="8540" xr:uid="{00000000-0005-0000-0000-000002140000}"/>
    <cellStyle name="Normal 4 2 6 5 2 2 2" xfId="16979" xr:uid="{8D92023C-F4F6-4623-B646-759867B10A3C}"/>
    <cellStyle name="Normal 4 2 6 5 2 3" xfId="12761" xr:uid="{7542E627-8CA7-435C-8EE2-A83C2AAE6047}"/>
    <cellStyle name="Normal 4 2 6 5 3" xfId="6395" xr:uid="{00000000-0005-0000-0000-000003140000}"/>
    <cellStyle name="Normal 4 2 6 5 3 2" xfId="14834" xr:uid="{2117F60A-90BF-424A-A10B-FD14A03CCFEA}"/>
    <cellStyle name="Normal 4 2 6 5 4" xfId="10616" xr:uid="{18498BCF-97B8-4A27-AE86-6CB3EA51C02F}"/>
    <cellStyle name="Normal 4 2 6 6" xfId="2524" xr:uid="{00000000-0005-0000-0000-000004140000}"/>
    <cellStyle name="Normal 4 2 6 6 2" xfId="6808" xr:uid="{00000000-0005-0000-0000-000005140000}"/>
    <cellStyle name="Normal 4 2 6 6 2 2" xfId="15247" xr:uid="{6EF504EB-05C6-4BED-9C16-EAA1540F2232}"/>
    <cellStyle name="Normal 4 2 6 6 3" xfId="11029" xr:uid="{92283558-8D1E-4BFD-AE17-8EC51FE947AA}"/>
    <cellStyle name="Normal 4 2 6 7" xfId="4743" xr:uid="{00000000-0005-0000-0000-000006140000}"/>
    <cellStyle name="Normal 4 2 6 7 2" xfId="13182" xr:uid="{F8A82D3F-7D98-4CAC-A911-874C19FCF253}"/>
    <cellStyle name="Normal 4 2 6 8" xfId="8964" xr:uid="{82CA92C5-1DF9-482F-96BE-EC7744E34599}"/>
    <cellStyle name="Normal 4 3" xfId="366" xr:uid="{00000000-0005-0000-0000-000007140000}"/>
    <cellStyle name="Normal 4 3 10" xfId="8965" xr:uid="{BDC73F0C-575B-4F39-91B3-C16BBC374A03}"/>
    <cellStyle name="Normal 4 3 2" xfId="367" xr:uid="{00000000-0005-0000-0000-000008140000}"/>
    <cellStyle name="Normal 4 3 2 2" xfId="368" xr:uid="{00000000-0005-0000-0000-000009140000}"/>
    <cellStyle name="Normal 4 3 2 2 2" xfId="369" xr:uid="{00000000-0005-0000-0000-00000A140000}"/>
    <cellStyle name="Normal 4 3 2 2 2 10" xfId="8966" xr:uid="{51A4D785-9CB3-451D-AEF4-533EBE4776E3}"/>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2 2 2" xfId="15744" xr:uid="{12790646-D297-49A2-BDEE-508989BC6D61}"/>
    <cellStyle name="Normal 4 3 2 2 2 2 2 2 2 3" xfId="11526" xr:uid="{166A6589-CA3C-4654-B251-ECCB96CAB908}"/>
    <cellStyle name="Normal 4 3 2 2 2 2 2 2 3" xfId="5160" xr:uid="{00000000-0005-0000-0000-000010140000}"/>
    <cellStyle name="Normal 4 3 2 2 2 2 2 2 3 2" xfId="13599" xr:uid="{A442B08E-472E-4E5E-9D31-2C313E1838DB}"/>
    <cellStyle name="Normal 4 3 2 2 2 2 2 2 4" xfId="9381" xr:uid="{E1C67F47-A5DC-4482-B7CF-AAC0BEF335A5}"/>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2 2 2" xfId="16157" xr:uid="{E4584E7E-129F-4B41-B86A-762273DD83C5}"/>
    <cellStyle name="Normal 4 3 2 2 2 2 2 3 2 3" xfId="11939" xr:uid="{E946D7D9-8622-4214-8077-010572CAF940}"/>
    <cellStyle name="Normal 4 3 2 2 2 2 2 3 3" xfId="5573" xr:uid="{00000000-0005-0000-0000-000014140000}"/>
    <cellStyle name="Normal 4 3 2 2 2 2 2 3 3 2" xfId="14012" xr:uid="{8460EC8F-0156-4DDF-B4A6-7005A520B9E2}"/>
    <cellStyle name="Normal 4 3 2 2 2 2 2 3 4" xfId="9794" xr:uid="{FF3D0A2C-A469-45F6-A16B-989336FFB87D}"/>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2 2 2" xfId="16570" xr:uid="{35353D31-E2A0-4E14-AF89-5B4A2C8B3A48}"/>
    <cellStyle name="Normal 4 3 2 2 2 2 2 4 2 3" xfId="12352" xr:uid="{A3D1CA84-A384-46C0-B82A-A9E76C2854A9}"/>
    <cellStyle name="Normal 4 3 2 2 2 2 2 4 3" xfId="5986" xr:uid="{00000000-0005-0000-0000-000018140000}"/>
    <cellStyle name="Normal 4 3 2 2 2 2 2 4 3 2" xfId="14425" xr:uid="{D849C385-A9E6-47A2-9AB8-7E975A5BF32A}"/>
    <cellStyle name="Normal 4 3 2 2 2 2 2 4 4" xfId="10207" xr:uid="{BF543E63-CCDA-4058-BEF3-9E4662C9F1D7}"/>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2 2 2" xfId="16983" xr:uid="{1DDC2C5A-3D99-440D-B0A3-584F49151286}"/>
    <cellStyle name="Normal 4 3 2 2 2 2 2 5 2 3" xfId="12765" xr:uid="{9782734C-1543-45C5-80CD-19D64F082F47}"/>
    <cellStyle name="Normal 4 3 2 2 2 2 2 5 3" xfId="6399" xr:uid="{00000000-0005-0000-0000-00001C140000}"/>
    <cellStyle name="Normal 4 3 2 2 2 2 2 5 3 2" xfId="14838" xr:uid="{9911D82B-A285-4AE5-8CD4-418659727761}"/>
    <cellStyle name="Normal 4 3 2 2 2 2 2 5 4" xfId="10620" xr:uid="{79FC7949-E800-484F-95F6-1203ADF2304D}"/>
    <cellStyle name="Normal 4 3 2 2 2 2 2 6" xfId="2528" xr:uid="{00000000-0005-0000-0000-00001D140000}"/>
    <cellStyle name="Normal 4 3 2 2 2 2 2 6 2" xfId="6812" xr:uid="{00000000-0005-0000-0000-00001E140000}"/>
    <cellStyle name="Normal 4 3 2 2 2 2 2 6 2 2" xfId="15251" xr:uid="{5D9DA25A-8013-4C50-B6BE-6A581614F7B3}"/>
    <cellStyle name="Normal 4 3 2 2 2 2 2 6 3" xfId="11033" xr:uid="{EBB37E1E-8A0F-4F5D-A8BC-4B074C1BD284}"/>
    <cellStyle name="Normal 4 3 2 2 2 2 2 7" xfId="4747" xr:uid="{00000000-0005-0000-0000-00001F140000}"/>
    <cellStyle name="Normal 4 3 2 2 2 2 2 7 2" xfId="13186" xr:uid="{F58FD016-8B51-4822-AFA3-F738AF95E171}"/>
    <cellStyle name="Normal 4 3 2 2 2 2 2 8" xfId="8968" xr:uid="{14F17287-4BD2-44AF-960A-E9DA8879018F}"/>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2 2 2" xfId="15743" xr:uid="{849776F0-29A5-472D-994F-EAE85B1D1C99}"/>
    <cellStyle name="Normal 4 3 2 2 2 2 3 2 3" xfId="11525" xr:uid="{EFD8CF60-8806-4281-A6C8-1AA873A9FC0C}"/>
    <cellStyle name="Normal 4 3 2 2 2 2 3 3" xfId="5159" xr:uid="{00000000-0005-0000-0000-000023140000}"/>
    <cellStyle name="Normal 4 3 2 2 2 2 3 3 2" xfId="13598" xr:uid="{99126986-6593-4B8E-ADC3-1F6F87803C1F}"/>
    <cellStyle name="Normal 4 3 2 2 2 2 3 4" xfId="9380" xr:uid="{F2A50E86-15F0-4B33-91B6-0D8907C9AA6C}"/>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2 2 2" xfId="16156" xr:uid="{B47FC61E-2FEC-4307-B829-DB6A793334F4}"/>
    <cellStyle name="Normal 4 3 2 2 2 2 4 2 3" xfId="11938" xr:uid="{BDDD473E-B69B-4745-A053-6D223160FF49}"/>
    <cellStyle name="Normal 4 3 2 2 2 2 4 3" xfId="5572" xr:uid="{00000000-0005-0000-0000-000027140000}"/>
    <cellStyle name="Normal 4 3 2 2 2 2 4 3 2" xfId="14011" xr:uid="{5ED2DECC-C56C-410B-82EE-F56C08FC5E18}"/>
    <cellStyle name="Normal 4 3 2 2 2 2 4 4" xfId="9793" xr:uid="{43CE313F-7856-4D79-8E65-23FD2D910DA2}"/>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2 2 2" xfId="16569" xr:uid="{2B5A4EFF-EF28-41A9-BC2F-7284370D6C2F}"/>
    <cellStyle name="Normal 4 3 2 2 2 2 5 2 3" xfId="12351" xr:uid="{27FC009B-A705-4630-9912-F34204FEFEFC}"/>
    <cellStyle name="Normal 4 3 2 2 2 2 5 3" xfId="5985" xr:uid="{00000000-0005-0000-0000-00002B140000}"/>
    <cellStyle name="Normal 4 3 2 2 2 2 5 3 2" xfId="14424" xr:uid="{9351FAF3-711D-4B19-9D45-E03B6BC8749C}"/>
    <cellStyle name="Normal 4 3 2 2 2 2 5 4" xfId="10206" xr:uid="{D47FFA4E-A86B-49FB-B13E-C2C2EAB5A8D8}"/>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2 2 2" xfId="16982" xr:uid="{5919CAFB-97FA-411B-B783-35B6AB96D129}"/>
    <cellStyle name="Normal 4 3 2 2 2 2 6 2 3" xfId="12764" xr:uid="{2185D55B-4FE1-43B7-828A-5C5D212C2858}"/>
    <cellStyle name="Normal 4 3 2 2 2 2 6 3" xfId="6398" xr:uid="{00000000-0005-0000-0000-00002F140000}"/>
    <cellStyle name="Normal 4 3 2 2 2 2 6 3 2" xfId="14837" xr:uid="{9F58748C-0894-4551-A1BE-B11AE23D3982}"/>
    <cellStyle name="Normal 4 3 2 2 2 2 6 4" xfId="10619" xr:uid="{E95FC3AE-F9A7-41E4-9A8D-CC59F510114A}"/>
    <cellStyle name="Normal 4 3 2 2 2 2 7" xfId="2527" xr:uid="{00000000-0005-0000-0000-000030140000}"/>
    <cellStyle name="Normal 4 3 2 2 2 2 7 2" xfId="6811" xr:uid="{00000000-0005-0000-0000-000031140000}"/>
    <cellStyle name="Normal 4 3 2 2 2 2 7 2 2" xfId="15250" xr:uid="{27A43B61-A2E8-48A5-99AC-387639C8D5B1}"/>
    <cellStyle name="Normal 4 3 2 2 2 2 7 3" xfId="11032" xr:uid="{B5D45822-8277-4499-BBC9-D87E80762DBE}"/>
    <cellStyle name="Normal 4 3 2 2 2 2 8" xfId="4746" xr:uid="{00000000-0005-0000-0000-000032140000}"/>
    <cellStyle name="Normal 4 3 2 2 2 2 8 2" xfId="13185" xr:uid="{A2AE8881-811E-44B3-AE1F-7DF638D41EEA}"/>
    <cellStyle name="Normal 4 3 2 2 2 2 9" xfId="8967" xr:uid="{9CA3F641-4D8C-47B9-8C45-6E97DD72FF5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2 2 2" xfId="15745" xr:uid="{D5BAE594-5DDB-4F1B-A7C2-2CE7A2033AE2}"/>
    <cellStyle name="Normal 4 3 2 2 2 3 2 2 3" xfId="11527" xr:uid="{9A446E03-E8C9-4491-B8A9-9E9935477167}"/>
    <cellStyle name="Normal 4 3 2 2 2 3 2 3" xfId="5161" xr:uid="{00000000-0005-0000-0000-000037140000}"/>
    <cellStyle name="Normal 4 3 2 2 2 3 2 3 2" xfId="13600" xr:uid="{796251EA-9885-47FE-806D-BC31CDAAE389}"/>
    <cellStyle name="Normal 4 3 2 2 2 3 2 4" xfId="9382" xr:uid="{BEC51DA9-B66C-49B4-8076-CF1317B9EC86}"/>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2 2 2" xfId="16158" xr:uid="{8B35902A-B58D-4F32-8755-FF5BB89C2F52}"/>
    <cellStyle name="Normal 4 3 2 2 2 3 3 2 3" xfId="11940" xr:uid="{1BA7CC88-2F28-46AF-AC4D-61DF603F3C40}"/>
    <cellStyle name="Normal 4 3 2 2 2 3 3 3" xfId="5574" xr:uid="{00000000-0005-0000-0000-00003B140000}"/>
    <cellStyle name="Normal 4 3 2 2 2 3 3 3 2" xfId="14013" xr:uid="{A2A1ADF5-518E-4905-BBC2-78C2441F43C9}"/>
    <cellStyle name="Normal 4 3 2 2 2 3 3 4" xfId="9795" xr:uid="{DF38D8BB-3385-4CF7-B7D6-1A5AAEDA2275}"/>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2 2 2" xfId="16571" xr:uid="{EEBCBC5A-E603-4901-8435-F4424E8D210F}"/>
    <cellStyle name="Normal 4 3 2 2 2 3 4 2 3" xfId="12353" xr:uid="{FBFF04C8-0E7B-42FA-983D-13C50CC5DC75}"/>
    <cellStyle name="Normal 4 3 2 2 2 3 4 3" xfId="5987" xr:uid="{00000000-0005-0000-0000-00003F140000}"/>
    <cellStyle name="Normal 4 3 2 2 2 3 4 3 2" xfId="14426" xr:uid="{DB2EF5F4-767A-4118-9075-71183A8EB87C}"/>
    <cellStyle name="Normal 4 3 2 2 2 3 4 4" xfId="10208" xr:uid="{B0133750-C3F1-4133-B70D-656EF9D7A596}"/>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2 2 2" xfId="16984" xr:uid="{791DF113-E453-45D3-82F3-E150640DE0CC}"/>
    <cellStyle name="Normal 4 3 2 2 2 3 5 2 3" xfId="12766" xr:uid="{3D1B7432-14DE-4133-88FB-801BCF0AFB07}"/>
    <cellStyle name="Normal 4 3 2 2 2 3 5 3" xfId="6400" xr:uid="{00000000-0005-0000-0000-000043140000}"/>
    <cellStyle name="Normal 4 3 2 2 2 3 5 3 2" xfId="14839" xr:uid="{D6CDAA39-7C9A-49FA-831C-565BF2DA319A}"/>
    <cellStyle name="Normal 4 3 2 2 2 3 5 4" xfId="10621" xr:uid="{996B3578-15DF-425C-B801-E8309206B290}"/>
    <cellStyle name="Normal 4 3 2 2 2 3 6" xfId="2529" xr:uid="{00000000-0005-0000-0000-000044140000}"/>
    <cellStyle name="Normal 4 3 2 2 2 3 6 2" xfId="6813" xr:uid="{00000000-0005-0000-0000-000045140000}"/>
    <cellStyle name="Normal 4 3 2 2 2 3 6 2 2" xfId="15252" xr:uid="{386A57F2-57CD-4F5A-8699-CBC638BC1199}"/>
    <cellStyle name="Normal 4 3 2 2 2 3 6 3" xfId="11034" xr:uid="{49739FF0-196D-4DD9-8743-5D2B9779E2CE}"/>
    <cellStyle name="Normal 4 3 2 2 2 3 7" xfId="4748" xr:uid="{00000000-0005-0000-0000-000046140000}"/>
    <cellStyle name="Normal 4 3 2 2 2 3 7 2" xfId="13187" xr:uid="{E2A8F69F-E1C9-4862-8228-A3E4A3C7EE8A}"/>
    <cellStyle name="Normal 4 3 2 2 2 3 8" xfId="8969" xr:uid="{3C17F579-E66F-4015-BE8A-4107F655085A}"/>
    <cellStyle name="Normal 4 3 2 2 2 4" xfId="844" xr:uid="{00000000-0005-0000-0000-000047140000}"/>
    <cellStyle name="Normal 4 3 2 2 2 4 2" xfId="3080" xr:uid="{00000000-0005-0000-0000-000048140000}"/>
    <cellStyle name="Normal 4 3 2 2 2 4 2 2" xfId="7303" xr:uid="{00000000-0005-0000-0000-000049140000}"/>
    <cellStyle name="Normal 4 3 2 2 2 4 2 2 2" xfId="15742" xr:uid="{37A2AE07-18C9-4580-A655-3669E5590503}"/>
    <cellStyle name="Normal 4 3 2 2 2 4 2 3" xfId="11524" xr:uid="{A7320258-0FED-47EB-8C0A-FDC58152C7CD}"/>
    <cellStyle name="Normal 4 3 2 2 2 4 3" xfId="5158" xr:uid="{00000000-0005-0000-0000-00004A140000}"/>
    <cellStyle name="Normal 4 3 2 2 2 4 3 2" xfId="13597" xr:uid="{EAD272A6-5196-471C-A162-1294136ACF75}"/>
    <cellStyle name="Normal 4 3 2 2 2 4 4" xfId="9379" xr:uid="{5102E02F-90E3-426C-9806-1EB92C2ACC59}"/>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2 2 2" xfId="16155" xr:uid="{876F27F7-3C0B-4AF2-B57D-0A2EE0F7EFA7}"/>
    <cellStyle name="Normal 4 3 2 2 2 5 2 3" xfId="11937" xr:uid="{C978B5E2-3D6A-419A-9EC3-636D6305735F}"/>
    <cellStyle name="Normal 4 3 2 2 2 5 3" xfId="5571" xr:uid="{00000000-0005-0000-0000-00004E140000}"/>
    <cellStyle name="Normal 4 3 2 2 2 5 3 2" xfId="14010" xr:uid="{430B615F-E6A6-4BB5-81D0-34A3A18DF269}"/>
    <cellStyle name="Normal 4 3 2 2 2 5 4" xfId="9792" xr:uid="{EC31A59A-B169-460D-A7FB-76A5ABC2B3AB}"/>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2 2 2" xfId="16568" xr:uid="{01045DFC-47B8-4F12-B9E5-7BF659553100}"/>
    <cellStyle name="Normal 4 3 2 2 2 6 2 3" xfId="12350" xr:uid="{23941A2E-1ACC-4A14-9E81-2838B2C00731}"/>
    <cellStyle name="Normal 4 3 2 2 2 6 3" xfId="5984" xr:uid="{00000000-0005-0000-0000-000052140000}"/>
    <cellStyle name="Normal 4 3 2 2 2 6 3 2" xfId="14423" xr:uid="{28625E9D-C712-472C-8FB7-168B8305F1B0}"/>
    <cellStyle name="Normal 4 3 2 2 2 6 4" xfId="10205" xr:uid="{29CC350C-662D-45BE-B9FA-D6D040662075}"/>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2 2 2" xfId="16981" xr:uid="{3FFCC5D0-9AAD-4F0F-8C85-77FE7A4E5596}"/>
    <cellStyle name="Normal 4 3 2 2 2 7 2 3" xfId="12763" xr:uid="{055CA55A-8665-4E6B-A4C0-5F9B28BAE8AD}"/>
    <cellStyle name="Normal 4 3 2 2 2 7 3" xfId="6397" xr:uid="{00000000-0005-0000-0000-000056140000}"/>
    <cellStyle name="Normal 4 3 2 2 2 7 3 2" xfId="14836" xr:uid="{71D80034-45E8-439C-9414-59E6D64D6561}"/>
    <cellStyle name="Normal 4 3 2 2 2 7 4" xfId="10618" xr:uid="{4E0D6980-6D94-4CF6-8AFE-77637D0DB13A}"/>
    <cellStyle name="Normal 4 3 2 2 2 8" xfId="2526" xr:uid="{00000000-0005-0000-0000-000057140000}"/>
    <cellStyle name="Normal 4 3 2 2 2 8 2" xfId="6810" xr:uid="{00000000-0005-0000-0000-000058140000}"/>
    <cellStyle name="Normal 4 3 2 2 2 8 2 2" xfId="15249" xr:uid="{84F7778D-A8D3-4884-848C-B5C8ABAB3C4E}"/>
    <cellStyle name="Normal 4 3 2 2 2 8 3" xfId="11031" xr:uid="{6C191D01-5681-487E-8E59-138919F914E8}"/>
    <cellStyle name="Normal 4 3 2 2 2 9" xfId="4745" xr:uid="{00000000-0005-0000-0000-000059140000}"/>
    <cellStyle name="Normal 4 3 2 2 2 9 2" xfId="13184" xr:uid="{DF010E15-96A5-4708-A37D-664B50025ECC}"/>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970" xr:uid="{41763494-F2D2-4437-8484-D89BD445CED9}"/>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2 2 2" xfId="15748" xr:uid="{088066FB-AD12-4B07-8BC2-D54804F24942}"/>
    <cellStyle name="Normal 4 3 3 2 2 2 2 3" xfId="11530" xr:uid="{768A52C8-B5D0-41C7-B855-554976CD37CF}"/>
    <cellStyle name="Normal 4 3 3 2 2 2 3" xfId="5164" xr:uid="{00000000-0005-0000-0000-000063140000}"/>
    <cellStyle name="Normal 4 3 3 2 2 2 3 2" xfId="13603" xr:uid="{27CBA959-6C2F-484D-A697-B183B04BC026}"/>
    <cellStyle name="Normal 4 3 3 2 2 2 4" xfId="9385" xr:uid="{F5FB0436-9529-47A6-9BCB-6BAB21D5F3B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2 2 2" xfId="16161" xr:uid="{14B6737A-70C2-4227-A7E1-B73D55883B2E}"/>
    <cellStyle name="Normal 4 3 3 2 2 3 2 3" xfId="11943" xr:uid="{CD3CBD1D-4522-4404-AD1F-A465CABB51F2}"/>
    <cellStyle name="Normal 4 3 3 2 2 3 3" xfId="5577" xr:uid="{00000000-0005-0000-0000-000067140000}"/>
    <cellStyle name="Normal 4 3 3 2 2 3 3 2" xfId="14016" xr:uid="{E6C84045-D68B-4B23-867B-15C63CF2EEF3}"/>
    <cellStyle name="Normal 4 3 3 2 2 3 4" xfId="9798" xr:uid="{10223FC3-CE1A-47B4-9FF4-9283784840DD}"/>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2 2 2" xfId="16574" xr:uid="{F5E84FBF-E1B5-41B2-BAB0-BAB2FC64FBED}"/>
    <cellStyle name="Normal 4 3 3 2 2 4 2 3" xfId="12356" xr:uid="{76AB3C0E-3DA9-40D8-B6F6-CBFA516230EC}"/>
    <cellStyle name="Normal 4 3 3 2 2 4 3" xfId="5990" xr:uid="{00000000-0005-0000-0000-00006B140000}"/>
    <cellStyle name="Normal 4 3 3 2 2 4 3 2" xfId="14429" xr:uid="{0EB86774-F6C1-46C6-9106-7E7D8DF0D431}"/>
    <cellStyle name="Normal 4 3 3 2 2 4 4" xfId="10211" xr:uid="{F3503214-BE99-462B-9944-ACAD87613D37}"/>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2 2 2" xfId="16987" xr:uid="{B6E48E90-C234-4BE5-AEA3-8E4A2E0DA483}"/>
    <cellStyle name="Normal 4 3 3 2 2 5 2 3" xfId="12769" xr:uid="{03462FDF-8B77-4F15-8E69-4841F647477F}"/>
    <cellStyle name="Normal 4 3 3 2 2 5 3" xfId="6403" xr:uid="{00000000-0005-0000-0000-00006F140000}"/>
    <cellStyle name="Normal 4 3 3 2 2 5 3 2" xfId="14842" xr:uid="{BD8F0146-5D71-4930-9A0F-FC26BE4F20A9}"/>
    <cellStyle name="Normal 4 3 3 2 2 5 4" xfId="10624" xr:uid="{2F070796-D04C-4393-BD70-45F40FB964BE}"/>
    <cellStyle name="Normal 4 3 3 2 2 6" xfId="2532" xr:uid="{00000000-0005-0000-0000-000070140000}"/>
    <cellStyle name="Normal 4 3 3 2 2 6 2" xfId="6816" xr:uid="{00000000-0005-0000-0000-000071140000}"/>
    <cellStyle name="Normal 4 3 3 2 2 6 2 2" xfId="15255" xr:uid="{80EE7014-B511-4C46-BDB4-A900EBC29076}"/>
    <cellStyle name="Normal 4 3 3 2 2 6 3" xfId="11037" xr:uid="{872739E5-BB2A-4E06-A627-593EA42E0B4A}"/>
    <cellStyle name="Normal 4 3 3 2 2 7" xfId="4751" xr:uid="{00000000-0005-0000-0000-000072140000}"/>
    <cellStyle name="Normal 4 3 3 2 2 7 2" xfId="13190" xr:uid="{E3E9AD22-377D-4830-9BA1-AF8F3A39B0A1}"/>
    <cellStyle name="Normal 4 3 3 2 2 8" xfId="8972" xr:uid="{2B9A3998-ACB4-46B2-A584-2EEF939EA9BA}"/>
    <cellStyle name="Normal 4 3 3 2 3" xfId="850" xr:uid="{00000000-0005-0000-0000-000073140000}"/>
    <cellStyle name="Normal 4 3 3 2 3 2" xfId="3085" xr:uid="{00000000-0005-0000-0000-000074140000}"/>
    <cellStyle name="Normal 4 3 3 2 3 2 2" xfId="7308" xr:uid="{00000000-0005-0000-0000-000075140000}"/>
    <cellStyle name="Normal 4 3 3 2 3 2 2 2" xfId="15747" xr:uid="{2EDC000D-32CA-48C2-A916-2DE143020359}"/>
    <cellStyle name="Normal 4 3 3 2 3 2 3" xfId="11529" xr:uid="{688309CA-04BD-4188-9C74-66DF5AB01017}"/>
    <cellStyle name="Normal 4 3 3 2 3 3" xfId="5163" xr:uid="{00000000-0005-0000-0000-000076140000}"/>
    <cellStyle name="Normal 4 3 3 2 3 3 2" xfId="13602" xr:uid="{643525B5-0CBE-4870-9C3F-2B87C1340AE8}"/>
    <cellStyle name="Normal 4 3 3 2 3 4" xfId="9384" xr:uid="{A101081A-9AA6-49B9-9329-4F46B5C13C61}"/>
    <cellStyle name="Normal 4 3 3 2 4" xfId="1268" xr:uid="{00000000-0005-0000-0000-000077140000}"/>
    <cellStyle name="Normal 4 3 3 2 4 2" xfId="3498" xr:uid="{00000000-0005-0000-0000-000078140000}"/>
    <cellStyle name="Normal 4 3 3 2 4 2 2" xfId="7721" xr:uid="{00000000-0005-0000-0000-000079140000}"/>
    <cellStyle name="Normal 4 3 3 2 4 2 2 2" xfId="16160" xr:uid="{933C584A-88C1-48A9-B46B-1FEC02E81BFF}"/>
    <cellStyle name="Normal 4 3 3 2 4 2 3" xfId="11942" xr:uid="{4868155F-5F26-4112-A57E-5952AE0A456B}"/>
    <cellStyle name="Normal 4 3 3 2 4 3" xfId="5576" xr:uid="{00000000-0005-0000-0000-00007A140000}"/>
    <cellStyle name="Normal 4 3 3 2 4 3 2" xfId="14015" xr:uid="{40BF7B06-1CC7-4E22-A9B2-263F84BCB994}"/>
    <cellStyle name="Normal 4 3 3 2 4 4" xfId="9797" xr:uid="{7592867B-DD13-46EA-903C-55E63EDF847C}"/>
    <cellStyle name="Normal 4 3 3 2 5" xfId="1681" xr:uid="{00000000-0005-0000-0000-00007B140000}"/>
    <cellStyle name="Normal 4 3 3 2 5 2" xfId="3911" xr:uid="{00000000-0005-0000-0000-00007C140000}"/>
    <cellStyle name="Normal 4 3 3 2 5 2 2" xfId="8134" xr:uid="{00000000-0005-0000-0000-00007D140000}"/>
    <cellStyle name="Normal 4 3 3 2 5 2 2 2" xfId="16573" xr:uid="{1AC29DA1-0C06-4492-A02F-B2198D40D2C7}"/>
    <cellStyle name="Normal 4 3 3 2 5 2 3" xfId="12355" xr:uid="{8649A449-7647-4688-AC6D-38D4D3614716}"/>
    <cellStyle name="Normal 4 3 3 2 5 3" xfId="5989" xr:uid="{00000000-0005-0000-0000-00007E140000}"/>
    <cellStyle name="Normal 4 3 3 2 5 3 2" xfId="14428" xr:uid="{42743CC0-DE4C-4881-990C-EEFD3A4CADD9}"/>
    <cellStyle name="Normal 4 3 3 2 5 4" xfId="10210" xr:uid="{F6467E39-442F-46E9-A367-C87259760F67}"/>
    <cellStyle name="Normal 4 3 3 2 6" xfId="2095" xr:uid="{00000000-0005-0000-0000-00007F140000}"/>
    <cellStyle name="Normal 4 3 3 2 6 2" xfId="4324" xr:uid="{00000000-0005-0000-0000-000080140000}"/>
    <cellStyle name="Normal 4 3 3 2 6 2 2" xfId="8547" xr:uid="{00000000-0005-0000-0000-000081140000}"/>
    <cellStyle name="Normal 4 3 3 2 6 2 2 2" xfId="16986" xr:uid="{AC9B88B3-B05E-494A-B1C6-286EDB1899E6}"/>
    <cellStyle name="Normal 4 3 3 2 6 2 3" xfId="12768" xr:uid="{39485F84-BDAB-434B-A0A5-EDA05554586D}"/>
    <cellStyle name="Normal 4 3 3 2 6 3" xfId="6402" xr:uid="{00000000-0005-0000-0000-000082140000}"/>
    <cellStyle name="Normal 4 3 3 2 6 3 2" xfId="14841" xr:uid="{9AF4E705-B472-4D1C-BD21-BEE36C46EE94}"/>
    <cellStyle name="Normal 4 3 3 2 6 4" xfId="10623" xr:uid="{5857E283-F679-479C-95E4-33891291A8E6}"/>
    <cellStyle name="Normal 4 3 3 2 7" xfId="2531" xr:uid="{00000000-0005-0000-0000-000083140000}"/>
    <cellStyle name="Normal 4 3 3 2 7 2" xfId="6815" xr:uid="{00000000-0005-0000-0000-000084140000}"/>
    <cellStyle name="Normal 4 3 3 2 7 2 2" xfId="15254" xr:uid="{1831DA9A-94FB-4910-9355-0C6ACF4EA742}"/>
    <cellStyle name="Normal 4 3 3 2 7 3" xfId="11036" xr:uid="{984C743D-8B41-4175-9111-2085A555334C}"/>
    <cellStyle name="Normal 4 3 3 2 8" xfId="4750" xr:uid="{00000000-0005-0000-0000-000085140000}"/>
    <cellStyle name="Normal 4 3 3 2 8 2" xfId="13189" xr:uid="{50CDFF98-BB53-48EB-9C2E-3CF5C0FA809E}"/>
    <cellStyle name="Normal 4 3 3 2 9" xfId="8971" xr:uid="{9240C9CB-24D2-4732-B34E-F62DE07803B6}"/>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2 2 2" xfId="15749" xr:uid="{26E352BA-D7D0-400B-8E8C-557020FA1BAB}"/>
    <cellStyle name="Normal 4 3 3 3 2 2 3" xfId="11531" xr:uid="{21FEF1A1-0AEA-40C2-8F19-2A2E4A7D5C68}"/>
    <cellStyle name="Normal 4 3 3 3 2 3" xfId="5165" xr:uid="{00000000-0005-0000-0000-00008A140000}"/>
    <cellStyle name="Normal 4 3 3 3 2 3 2" xfId="13604" xr:uid="{6EA8961F-5ACE-4E69-8623-E17497B1EA40}"/>
    <cellStyle name="Normal 4 3 3 3 2 4" xfId="9386" xr:uid="{7C11B44C-BD14-46D6-9D94-6C847AFC1E3B}"/>
    <cellStyle name="Normal 4 3 3 3 3" xfId="1270" xr:uid="{00000000-0005-0000-0000-00008B140000}"/>
    <cellStyle name="Normal 4 3 3 3 3 2" xfId="3500" xr:uid="{00000000-0005-0000-0000-00008C140000}"/>
    <cellStyle name="Normal 4 3 3 3 3 2 2" xfId="7723" xr:uid="{00000000-0005-0000-0000-00008D140000}"/>
    <cellStyle name="Normal 4 3 3 3 3 2 2 2" xfId="16162" xr:uid="{AABD4706-63CA-48E8-91CC-A701AFE853DA}"/>
    <cellStyle name="Normal 4 3 3 3 3 2 3" xfId="11944" xr:uid="{865A50DB-633C-43D0-8143-A5635D6D3839}"/>
    <cellStyle name="Normal 4 3 3 3 3 3" xfId="5578" xr:uid="{00000000-0005-0000-0000-00008E140000}"/>
    <cellStyle name="Normal 4 3 3 3 3 3 2" xfId="14017" xr:uid="{DE57A806-B752-401E-B097-EC6A9016BA53}"/>
    <cellStyle name="Normal 4 3 3 3 3 4" xfId="9799" xr:uid="{FDB6A120-DB5D-41D9-957B-F329B5BD088B}"/>
    <cellStyle name="Normal 4 3 3 3 4" xfId="1683" xr:uid="{00000000-0005-0000-0000-00008F140000}"/>
    <cellStyle name="Normal 4 3 3 3 4 2" xfId="3913" xr:uid="{00000000-0005-0000-0000-000090140000}"/>
    <cellStyle name="Normal 4 3 3 3 4 2 2" xfId="8136" xr:uid="{00000000-0005-0000-0000-000091140000}"/>
    <cellStyle name="Normal 4 3 3 3 4 2 2 2" xfId="16575" xr:uid="{49D37A0F-F333-4979-8731-CCD4AF0C1C7D}"/>
    <cellStyle name="Normal 4 3 3 3 4 2 3" xfId="12357" xr:uid="{C065FEEC-5ED0-4069-97DD-566E7FAC83E1}"/>
    <cellStyle name="Normal 4 3 3 3 4 3" xfId="5991" xr:uid="{00000000-0005-0000-0000-000092140000}"/>
    <cellStyle name="Normal 4 3 3 3 4 3 2" xfId="14430" xr:uid="{3C76F9A9-86B1-4C87-8CFF-09AB0EF1AC90}"/>
    <cellStyle name="Normal 4 3 3 3 4 4" xfId="10212" xr:uid="{CF300DB1-EDB0-487D-BD03-63174988637D}"/>
    <cellStyle name="Normal 4 3 3 3 5" xfId="2097" xr:uid="{00000000-0005-0000-0000-000093140000}"/>
    <cellStyle name="Normal 4 3 3 3 5 2" xfId="4326" xr:uid="{00000000-0005-0000-0000-000094140000}"/>
    <cellStyle name="Normal 4 3 3 3 5 2 2" xfId="8549" xr:uid="{00000000-0005-0000-0000-000095140000}"/>
    <cellStyle name="Normal 4 3 3 3 5 2 2 2" xfId="16988" xr:uid="{62AFE69C-417B-4212-81B2-0B6E03F1341B}"/>
    <cellStyle name="Normal 4 3 3 3 5 2 3" xfId="12770" xr:uid="{6928EB08-D3C5-4BBC-8DD9-848B07A041DA}"/>
    <cellStyle name="Normal 4 3 3 3 5 3" xfId="6404" xr:uid="{00000000-0005-0000-0000-000096140000}"/>
    <cellStyle name="Normal 4 3 3 3 5 3 2" xfId="14843" xr:uid="{16D92E93-89F5-4589-AAB3-A9B2879E1C4E}"/>
    <cellStyle name="Normal 4 3 3 3 5 4" xfId="10625" xr:uid="{A205DC6F-BABF-42FA-95CB-BD994AE24DE7}"/>
    <cellStyle name="Normal 4 3 3 3 6" xfId="2533" xr:uid="{00000000-0005-0000-0000-000097140000}"/>
    <cellStyle name="Normal 4 3 3 3 6 2" xfId="6817" xr:uid="{00000000-0005-0000-0000-000098140000}"/>
    <cellStyle name="Normal 4 3 3 3 6 2 2" xfId="15256" xr:uid="{614E037A-5889-4C33-97C0-BD95D34DD255}"/>
    <cellStyle name="Normal 4 3 3 3 6 3" xfId="11038" xr:uid="{DE4221D9-4B05-43C2-9ECF-2639B3178A31}"/>
    <cellStyle name="Normal 4 3 3 3 7" xfId="4752" xr:uid="{00000000-0005-0000-0000-000099140000}"/>
    <cellStyle name="Normal 4 3 3 3 7 2" xfId="13191" xr:uid="{497CFF34-D229-4B24-B649-AEFFFA169E44}"/>
    <cellStyle name="Normal 4 3 3 3 8" xfId="8973" xr:uid="{662E6577-96F7-48D6-BB54-EBF4B6FD4DF1}"/>
    <cellStyle name="Normal 4 3 3 4" xfId="849" xr:uid="{00000000-0005-0000-0000-00009A140000}"/>
    <cellStyle name="Normal 4 3 3 4 2" xfId="3084" xr:uid="{00000000-0005-0000-0000-00009B140000}"/>
    <cellStyle name="Normal 4 3 3 4 2 2" xfId="7307" xr:uid="{00000000-0005-0000-0000-00009C140000}"/>
    <cellStyle name="Normal 4 3 3 4 2 2 2" xfId="15746" xr:uid="{A82F8AF5-338C-461B-9592-7BC111C8554E}"/>
    <cellStyle name="Normal 4 3 3 4 2 3" xfId="11528" xr:uid="{D371B246-331A-4B17-8C1F-C89B64145A38}"/>
    <cellStyle name="Normal 4 3 3 4 3" xfId="5162" xr:uid="{00000000-0005-0000-0000-00009D140000}"/>
    <cellStyle name="Normal 4 3 3 4 3 2" xfId="13601" xr:uid="{C9410A6E-154A-429C-86F9-5F5E8C245C95}"/>
    <cellStyle name="Normal 4 3 3 4 4" xfId="9383" xr:uid="{F65C317B-DA97-4D49-801E-612A466CCDA7}"/>
    <cellStyle name="Normal 4 3 3 5" xfId="1267" xr:uid="{00000000-0005-0000-0000-00009E140000}"/>
    <cellStyle name="Normal 4 3 3 5 2" xfId="3497" xr:uid="{00000000-0005-0000-0000-00009F140000}"/>
    <cellStyle name="Normal 4 3 3 5 2 2" xfId="7720" xr:uid="{00000000-0005-0000-0000-0000A0140000}"/>
    <cellStyle name="Normal 4 3 3 5 2 2 2" xfId="16159" xr:uid="{7EFCDE85-B084-4FC2-B9C3-70F7B0C06753}"/>
    <cellStyle name="Normal 4 3 3 5 2 3" xfId="11941" xr:uid="{AA33FFBB-033E-492E-ACEC-84192826B201}"/>
    <cellStyle name="Normal 4 3 3 5 3" xfId="5575" xr:uid="{00000000-0005-0000-0000-0000A1140000}"/>
    <cellStyle name="Normal 4 3 3 5 3 2" xfId="14014" xr:uid="{BDC946F6-6122-438F-B33B-1E4DCD4C1817}"/>
    <cellStyle name="Normal 4 3 3 5 4" xfId="9796" xr:uid="{1F763B8B-5158-428D-8591-7119A2845698}"/>
    <cellStyle name="Normal 4 3 3 6" xfId="1680" xr:uid="{00000000-0005-0000-0000-0000A2140000}"/>
    <cellStyle name="Normal 4 3 3 6 2" xfId="3910" xr:uid="{00000000-0005-0000-0000-0000A3140000}"/>
    <cellStyle name="Normal 4 3 3 6 2 2" xfId="8133" xr:uid="{00000000-0005-0000-0000-0000A4140000}"/>
    <cellStyle name="Normal 4 3 3 6 2 2 2" xfId="16572" xr:uid="{DCC857FF-8BB1-44ED-AC70-327A44A33FF3}"/>
    <cellStyle name="Normal 4 3 3 6 2 3" xfId="12354" xr:uid="{EB2CD9AE-FA48-48B1-8512-94B379751738}"/>
    <cellStyle name="Normal 4 3 3 6 3" xfId="5988" xr:uid="{00000000-0005-0000-0000-0000A5140000}"/>
    <cellStyle name="Normal 4 3 3 6 3 2" xfId="14427" xr:uid="{4A5A4552-8F82-4AA0-9676-92EE73883940}"/>
    <cellStyle name="Normal 4 3 3 6 4" xfId="10209" xr:uid="{C002CA2E-D4F4-4D7C-9098-DBB5C2943DF8}"/>
    <cellStyle name="Normal 4 3 3 7" xfId="2094" xr:uid="{00000000-0005-0000-0000-0000A6140000}"/>
    <cellStyle name="Normal 4 3 3 7 2" xfId="4323" xr:uid="{00000000-0005-0000-0000-0000A7140000}"/>
    <cellStyle name="Normal 4 3 3 7 2 2" xfId="8546" xr:uid="{00000000-0005-0000-0000-0000A8140000}"/>
    <cellStyle name="Normal 4 3 3 7 2 2 2" xfId="16985" xr:uid="{E1560070-EE8B-488B-A7FF-C474813D8EF9}"/>
    <cellStyle name="Normal 4 3 3 7 2 3" xfId="12767" xr:uid="{C7D3CB5D-4AB8-4718-9B3D-80218B8CB329}"/>
    <cellStyle name="Normal 4 3 3 7 3" xfId="6401" xr:uid="{00000000-0005-0000-0000-0000A9140000}"/>
    <cellStyle name="Normal 4 3 3 7 3 2" xfId="14840" xr:uid="{E32D1B89-3980-4069-A097-398DD303A76F}"/>
    <cellStyle name="Normal 4 3 3 7 4" xfId="10622" xr:uid="{EE2F0A93-6919-477D-A580-5DA8F9B0ED7C}"/>
    <cellStyle name="Normal 4 3 3 8" xfId="2530" xr:uid="{00000000-0005-0000-0000-0000AA140000}"/>
    <cellStyle name="Normal 4 3 3 8 2" xfId="6814" xr:uid="{00000000-0005-0000-0000-0000AB140000}"/>
    <cellStyle name="Normal 4 3 3 8 2 2" xfId="15253" xr:uid="{4CD47EF5-DF74-411A-96E6-D5152664F63E}"/>
    <cellStyle name="Normal 4 3 3 8 3" xfId="11035" xr:uid="{CAB7648C-DFE0-48BA-B617-FC1BF207388D}"/>
    <cellStyle name="Normal 4 3 3 9" xfId="4749" xr:uid="{00000000-0005-0000-0000-0000AC140000}"/>
    <cellStyle name="Normal 4 3 3 9 2" xfId="13188" xr:uid="{D0F08A04-9934-4B2C-A77C-9C224E2E29BA}"/>
    <cellStyle name="Normal 4 3 4" xfId="842" xr:uid="{00000000-0005-0000-0000-0000AD140000}"/>
    <cellStyle name="Normal 4 3 4 2" xfId="3079" xr:uid="{00000000-0005-0000-0000-0000AE140000}"/>
    <cellStyle name="Normal 4 3 4 2 2" xfId="7302" xr:uid="{00000000-0005-0000-0000-0000AF140000}"/>
    <cellStyle name="Normal 4 3 4 2 2 2" xfId="15741" xr:uid="{6313DB34-8573-42C4-8F90-B74BF0089D90}"/>
    <cellStyle name="Normal 4 3 4 2 3" xfId="11523" xr:uid="{9BAAC7BD-0E8F-4942-BD66-606749619F2A}"/>
    <cellStyle name="Normal 4 3 4 3" xfId="5157" xr:uid="{00000000-0005-0000-0000-0000B0140000}"/>
    <cellStyle name="Normal 4 3 4 3 2" xfId="13596" xr:uid="{182385B0-9CEA-4B67-827A-561AFA177E09}"/>
    <cellStyle name="Normal 4 3 4 4" xfId="9378" xr:uid="{E0C77CBA-FC27-4240-8D74-0B41C9624388}"/>
    <cellStyle name="Normal 4 3 5" xfId="1262" xr:uid="{00000000-0005-0000-0000-0000B1140000}"/>
    <cellStyle name="Normal 4 3 5 2" xfId="3492" xr:uid="{00000000-0005-0000-0000-0000B2140000}"/>
    <cellStyle name="Normal 4 3 5 2 2" xfId="7715" xr:uid="{00000000-0005-0000-0000-0000B3140000}"/>
    <cellStyle name="Normal 4 3 5 2 2 2" xfId="16154" xr:uid="{EEBD1D19-211D-4867-8883-F9CAB6F0ABEE}"/>
    <cellStyle name="Normal 4 3 5 2 3" xfId="11936" xr:uid="{3969E613-46CD-4950-8BAE-79EFC3BCDCAD}"/>
    <cellStyle name="Normal 4 3 5 3" xfId="5570" xr:uid="{00000000-0005-0000-0000-0000B4140000}"/>
    <cellStyle name="Normal 4 3 5 3 2" xfId="14009" xr:uid="{92103F44-1B91-45CF-A760-2CF9CDE4F82A}"/>
    <cellStyle name="Normal 4 3 5 4" xfId="9791" xr:uid="{E63ABC1C-6FD7-4519-A307-F480063668BC}"/>
    <cellStyle name="Normal 4 3 6" xfId="1675" xr:uid="{00000000-0005-0000-0000-0000B5140000}"/>
    <cellStyle name="Normal 4 3 6 2" xfId="3905" xr:uid="{00000000-0005-0000-0000-0000B6140000}"/>
    <cellStyle name="Normal 4 3 6 2 2" xfId="8128" xr:uid="{00000000-0005-0000-0000-0000B7140000}"/>
    <cellStyle name="Normal 4 3 6 2 2 2" xfId="16567" xr:uid="{A6C3152E-D929-44D2-86CA-D6E5FEFDC9C6}"/>
    <cellStyle name="Normal 4 3 6 2 3" xfId="12349" xr:uid="{C0670AE9-62F0-422B-8A06-D0D2E36436F4}"/>
    <cellStyle name="Normal 4 3 6 3" xfId="5983" xr:uid="{00000000-0005-0000-0000-0000B8140000}"/>
    <cellStyle name="Normal 4 3 6 3 2" xfId="14422" xr:uid="{A393809E-6495-45A4-96A1-E95F2AFDA27E}"/>
    <cellStyle name="Normal 4 3 6 4" xfId="10204" xr:uid="{04843B15-7AFC-4105-A84D-BAD3148D098E}"/>
    <cellStyle name="Normal 4 3 7" xfId="2089" xr:uid="{00000000-0005-0000-0000-0000B9140000}"/>
    <cellStyle name="Normal 4 3 7 2" xfId="4318" xr:uid="{00000000-0005-0000-0000-0000BA140000}"/>
    <cellStyle name="Normal 4 3 7 2 2" xfId="8541" xr:uid="{00000000-0005-0000-0000-0000BB140000}"/>
    <cellStyle name="Normal 4 3 7 2 2 2" xfId="16980" xr:uid="{1A4489E0-3A55-4152-B749-5A522F903C23}"/>
    <cellStyle name="Normal 4 3 7 2 3" xfId="12762" xr:uid="{844690A7-35D7-485E-90EC-AB7AF539243F}"/>
    <cellStyle name="Normal 4 3 7 3" xfId="6396" xr:uid="{00000000-0005-0000-0000-0000BC140000}"/>
    <cellStyle name="Normal 4 3 7 3 2" xfId="14835" xr:uid="{1E597227-EE96-4C48-A2A5-A407588AE21C}"/>
    <cellStyle name="Normal 4 3 7 4" xfId="10617" xr:uid="{7546DF8A-8B4E-4ACE-B68B-CD2963D4EF47}"/>
    <cellStyle name="Normal 4 3 8" xfId="2525" xr:uid="{00000000-0005-0000-0000-0000BD140000}"/>
    <cellStyle name="Normal 4 3 8 2" xfId="6809" xr:uid="{00000000-0005-0000-0000-0000BE140000}"/>
    <cellStyle name="Normal 4 3 8 2 2" xfId="15248" xr:uid="{F24BEC8D-20B7-48CC-AB8C-1A04C2802E6D}"/>
    <cellStyle name="Normal 4 3 8 3" xfId="11030" xr:uid="{43C3E129-25E9-41C0-9A53-660D4E0FE34A}"/>
    <cellStyle name="Normal 4 3 9" xfId="4744" xr:uid="{00000000-0005-0000-0000-0000BF140000}"/>
    <cellStyle name="Normal 4 3 9 2" xfId="13183" xr:uid="{F0208E15-5FB6-4192-A963-63B4DC470DFE}"/>
    <cellStyle name="Normal 4 4" xfId="378" xr:uid="{00000000-0005-0000-0000-0000C0140000}"/>
    <cellStyle name="Normal 4 4 10" xfId="2534" xr:uid="{00000000-0005-0000-0000-0000C1140000}"/>
    <cellStyle name="Normal 4 4 10 2" xfId="6818" xr:uid="{00000000-0005-0000-0000-0000C2140000}"/>
    <cellStyle name="Normal 4 4 10 2 2" xfId="15257" xr:uid="{F97DA6A2-8AD5-4C56-B0DB-A8336EB87C63}"/>
    <cellStyle name="Normal 4 4 10 3" xfId="11039" xr:uid="{1B35EC1E-561A-48B3-93AC-AAB195FD92F2}"/>
    <cellStyle name="Normal 4 4 11" xfId="4753" xr:uid="{00000000-0005-0000-0000-0000C3140000}"/>
    <cellStyle name="Normal 4 4 11 2" xfId="13192" xr:uid="{8C94DCEC-CCAC-43C6-A2C2-B01AB70A1515}"/>
    <cellStyle name="Normal 4 4 12" xfId="8974" xr:uid="{D449C4A3-575F-4E0D-8DF8-11C6AF018BF5}"/>
    <cellStyle name="Normal 4 4 2" xfId="379" xr:uid="{00000000-0005-0000-0000-0000C4140000}"/>
    <cellStyle name="Normal 4 4 2 10" xfId="4754" xr:uid="{00000000-0005-0000-0000-0000C5140000}"/>
    <cellStyle name="Normal 4 4 2 10 2" xfId="13193" xr:uid="{A16A36BB-222E-45BB-ADAD-206CEFA7D48D}"/>
    <cellStyle name="Normal 4 4 2 11" xfId="8975" xr:uid="{7D323368-C3D7-4722-820F-65F32E46A32F}"/>
    <cellStyle name="Normal 4 4 2 2" xfId="380" xr:uid="{00000000-0005-0000-0000-0000C6140000}"/>
    <cellStyle name="Normal 4 4 2 2 10" xfId="8976" xr:uid="{F7B9FB8B-094B-4AA0-98F2-392BB8E7D98F}"/>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2 2 2" xfId="15754" xr:uid="{D8FF00FF-520A-4F17-949C-450062C8A2F3}"/>
    <cellStyle name="Normal 4 4 2 2 2 2 2 2 3" xfId="11536" xr:uid="{34036C69-BE79-40ED-AE41-00AF1367B211}"/>
    <cellStyle name="Normal 4 4 2 2 2 2 2 3" xfId="5170" xr:uid="{00000000-0005-0000-0000-0000CC140000}"/>
    <cellStyle name="Normal 4 4 2 2 2 2 2 3 2" xfId="13609" xr:uid="{66EBB540-FF9E-453A-8E67-70CA8013679D}"/>
    <cellStyle name="Normal 4 4 2 2 2 2 2 4" xfId="9391" xr:uid="{08CB3C9F-97E8-45B2-984D-E144557A8BC2}"/>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2 2 2" xfId="16167" xr:uid="{E172B3A1-C7A5-4EF9-91BB-CBF369C90812}"/>
    <cellStyle name="Normal 4 4 2 2 2 2 3 2 3" xfId="11949" xr:uid="{4E613CAA-4223-4B4E-A45B-6690B26220A5}"/>
    <cellStyle name="Normal 4 4 2 2 2 2 3 3" xfId="5583" xr:uid="{00000000-0005-0000-0000-0000D0140000}"/>
    <cellStyle name="Normal 4 4 2 2 2 2 3 3 2" xfId="14022" xr:uid="{15A86FE3-1CE6-4505-A6C1-D462A56F6F33}"/>
    <cellStyle name="Normal 4 4 2 2 2 2 3 4" xfId="9804" xr:uid="{2238C910-B61E-4639-BAAA-5926B964A17F}"/>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2 2 2" xfId="16580" xr:uid="{53C3C19A-EEAF-4925-BBD5-80BDB787FC1D}"/>
    <cellStyle name="Normal 4 4 2 2 2 2 4 2 3" xfId="12362" xr:uid="{F9F95849-F85D-46D1-9EDD-50F5336433DC}"/>
    <cellStyle name="Normal 4 4 2 2 2 2 4 3" xfId="5996" xr:uid="{00000000-0005-0000-0000-0000D4140000}"/>
    <cellStyle name="Normal 4 4 2 2 2 2 4 3 2" xfId="14435" xr:uid="{CDBF4679-99E9-4A13-A934-9CFD922F93DB}"/>
    <cellStyle name="Normal 4 4 2 2 2 2 4 4" xfId="10217" xr:uid="{B99B5D50-3F1D-4790-8411-7DE653705D0A}"/>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2 2 2" xfId="16993" xr:uid="{F3EC8F64-42E3-446A-A74F-56F4D5EEF4BB}"/>
    <cellStyle name="Normal 4 4 2 2 2 2 5 2 3" xfId="12775" xr:uid="{18E1202B-092E-4877-A850-A3972E8FA9D9}"/>
    <cellStyle name="Normal 4 4 2 2 2 2 5 3" xfId="6409" xr:uid="{00000000-0005-0000-0000-0000D8140000}"/>
    <cellStyle name="Normal 4 4 2 2 2 2 5 3 2" xfId="14848" xr:uid="{CA517430-DD4F-4F73-A144-A0DF7536DFD4}"/>
    <cellStyle name="Normal 4 4 2 2 2 2 5 4" xfId="10630" xr:uid="{B3A5046F-C917-44F4-A2A7-BC4BDA7127CF}"/>
    <cellStyle name="Normal 4 4 2 2 2 2 6" xfId="2538" xr:uid="{00000000-0005-0000-0000-0000D9140000}"/>
    <cellStyle name="Normal 4 4 2 2 2 2 6 2" xfId="6822" xr:uid="{00000000-0005-0000-0000-0000DA140000}"/>
    <cellStyle name="Normal 4 4 2 2 2 2 6 2 2" xfId="15261" xr:uid="{DBC6B05A-725C-4A25-8A23-4025D1270AC4}"/>
    <cellStyle name="Normal 4 4 2 2 2 2 6 3" xfId="11043" xr:uid="{3434A301-1F5F-4F14-A10E-E6FD2745ACD7}"/>
    <cellStyle name="Normal 4 4 2 2 2 2 7" xfId="4757" xr:uid="{00000000-0005-0000-0000-0000DB140000}"/>
    <cellStyle name="Normal 4 4 2 2 2 2 7 2" xfId="13196" xr:uid="{E2A3E7FC-D499-461C-9773-4153314760FB}"/>
    <cellStyle name="Normal 4 4 2 2 2 2 8" xfId="8978" xr:uid="{F00B6E1A-E14B-4A27-8F06-186E766492D7}"/>
    <cellStyle name="Normal 4 4 2 2 2 3" xfId="856" xr:uid="{00000000-0005-0000-0000-0000DC140000}"/>
    <cellStyle name="Normal 4 4 2 2 2 3 2" xfId="3091" xr:uid="{00000000-0005-0000-0000-0000DD140000}"/>
    <cellStyle name="Normal 4 4 2 2 2 3 2 2" xfId="7314" xr:uid="{00000000-0005-0000-0000-0000DE140000}"/>
    <cellStyle name="Normal 4 4 2 2 2 3 2 2 2" xfId="15753" xr:uid="{0ACBE661-E9BA-4014-BE36-053C7CF8C4BE}"/>
    <cellStyle name="Normal 4 4 2 2 2 3 2 3" xfId="11535" xr:uid="{553AB7A4-D9DC-4E01-846A-FF1E01F1D060}"/>
    <cellStyle name="Normal 4 4 2 2 2 3 3" xfId="5169" xr:uid="{00000000-0005-0000-0000-0000DF140000}"/>
    <cellStyle name="Normal 4 4 2 2 2 3 3 2" xfId="13608" xr:uid="{D08C8547-44B2-4634-8D14-B870FAEF330E}"/>
    <cellStyle name="Normal 4 4 2 2 2 3 4" xfId="9390" xr:uid="{28580E42-486C-4CD8-88F6-D109083F9B37}"/>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2 2 2" xfId="16166" xr:uid="{C028D4AA-F837-4589-BE74-97E1ACAAAE19}"/>
    <cellStyle name="Normal 4 4 2 2 2 4 2 3" xfId="11948" xr:uid="{4C776E31-ED2C-444F-9082-F2D7A209FCAC}"/>
    <cellStyle name="Normal 4 4 2 2 2 4 3" xfId="5582" xr:uid="{00000000-0005-0000-0000-0000E3140000}"/>
    <cellStyle name="Normal 4 4 2 2 2 4 3 2" xfId="14021" xr:uid="{69688A8C-8BC8-493A-A2AA-7B2C06029CE0}"/>
    <cellStyle name="Normal 4 4 2 2 2 4 4" xfId="9803" xr:uid="{4F90CD79-4702-4688-A3BB-578E9AD4FE9D}"/>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2 2 2" xfId="16579" xr:uid="{6C0B2A06-9833-4A57-92A4-8D18F0C6F636}"/>
    <cellStyle name="Normal 4 4 2 2 2 5 2 3" xfId="12361" xr:uid="{3DE92EC5-7A40-48D1-9EBD-A3991B3BC992}"/>
    <cellStyle name="Normal 4 4 2 2 2 5 3" xfId="5995" xr:uid="{00000000-0005-0000-0000-0000E7140000}"/>
    <cellStyle name="Normal 4 4 2 2 2 5 3 2" xfId="14434" xr:uid="{1A188C8D-A6A5-4C22-9567-DB4FE88B9ADB}"/>
    <cellStyle name="Normal 4 4 2 2 2 5 4" xfId="10216" xr:uid="{53046FA9-7C0A-48DD-A6F4-CDF2001616BB}"/>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2 2 2" xfId="16992" xr:uid="{267953AF-07DD-4C27-AEB3-0D922E1101B9}"/>
    <cellStyle name="Normal 4 4 2 2 2 6 2 3" xfId="12774" xr:uid="{5BAB5A6A-A3C5-4695-BE62-8F9E6C42240F}"/>
    <cellStyle name="Normal 4 4 2 2 2 6 3" xfId="6408" xr:uid="{00000000-0005-0000-0000-0000EB140000}"/>
    <cellStyle name="Normal 4 4 2 2 2 6 3 2" xfId="14847" xr:uid="{06DE4421-4873-43F0-B744-8CE8856EDB55}"/>
    <cellStyle name="Normal 4 4 2 2 2 6 4" xfId="10629" xr:uid="{1F8E3604-35C0-422E-9B9F-2A06F2991D19}"/>
    <cellStyle name="Normal 4 4 2 2 2 7" xfId="2537" xr:uid="{00000000-0005-0000-0000-0000EC140000}"/>
    <cellStyle name="Normal 4 4 2 2 2 7 2" xfId="6821" xr:uid="{00000000-0005-0000-0000-0000ED140000}"/>
    <cellStyle name="Normal 4 4 2 2 2 7 2 2" xfId="15260" xr:uid="{FA183167-676F-4AB6-B268-645A6F995673}"/>
    <cellStyle name="Normal 4 4 2 2 2 7 3" xfId="11042" xr:uid="{B536DFEF-7B21-4888-8B85-0B1229854126}"/>
    <cellStyle name="Normal 4 4 2 2 2 8" xfId="4756" xr:uid="{00000000-0005-0000-0000-0000EE140000}"/>
    <cellStyle name="Normal 4 4 2 2 2 8 2" xfId="13195" xr:uid="{522F2906-A521-454F-89E0-50703B07F111}"/>
    <cellStyle name="Normal 4 4 2 2 2 9" xfId="8977" xr:uid="{8FDF6213-A7A4-4F1E-9052-C0543C315679}"/>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2 2 2" xfId="15755" xr:uid="{BF015A5E-D68C-4F48-9267-E78DEF18F5F0}"/>
    <cellStyle name="Normal 4 4 2 2 3 2 2 3" xfId="11537" xr:uid="{8853A778-BB1A-4186-8F72-540FB9DC13AE}"/>
    <cellStyle name="Normal 4 4 2 2 3 2 3" xfId="5171" xr:uid="{00000000-0005-0000-0000-0000F3140000}"/>
    <cellStyle name="Normal 4 4 2 2 3 2 3 2" xfId="13610" xr:uid="{EC928C64-2AEC-42EE-9AFD-F69030B7097A}"/>
    <cellStyle name="Normal 4 4 2 2 3 2 4" xfId="9392" xr:uid="{A7ECF54C-88CB-4176-90C2-69518E44DB26}"/>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2 2 2" xfId="16168" xr:uid="{DD56B054-A0B6-40A1-92D9-85649E44168F}"/>
    <cellStyle name="Normal 4 4 2 2 3 3 2 3" xfId="11950" xr:uid="{11B2516F-736D-4098-A631-1F9E37312E6C}"/>
    <cellStyle name="Normal 4 4 2 2 3 3 3" xfId="5584" xr:uid="{00000000-0005-0000-0000-0000F7140000}"/>
    <cellStyle name="Normal 4 4 2 2 3 3 3 2" xfId="14023" xr:uid="{4F064A59-F625-4B93-B45A-470048F8F606}"/>
    <cellStyle name="Normal 4 4 2 2 3 3 4" xfId="9805" xr:uid="{EC911DD3-36B5-49D8-80C9-10E0FDDCCEF5}"/>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2 2 2" xfId="16581" xr:uid="{C81699F4-0C1F-4839-B7E6-086F53237F75}"/>
    <cellStyle name="Normal 4 4 2 2 3 4 2 3" xfId="12363" xr:uid="{70FD2FF3-DAD8-45D7-B863-4B6601B93853}"/>
    <cellStyle name="Normal 4 4 2 2 3 4 3" xfId="5997" xr:uid="{00000000-0005-0000-0000-0000FB140000}"/>
    <cellStyle name="Normal 4 4 2 2 3 4 3 2" xfId="14436" xr:uid="{7FC418D7-6CAE-4E88-8607-F5829226203C}"/>
    <cellStyle name="Normal 4 4 2 2 3 4 4" xfId="10218" xr:uid="{1F9DE681-9E2F-45C6-A003-D46CF02B4B6D}"/>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2 2 2" xfId="16994" xr:uid="{09E037B0-86E1-4C73-973F-40D0EF80604B}"/>
    <cellStyle name="Normal 4 4 2 2 3 5 2 3" xfId="12776" xr:uid="{6406B638-A62D-4EB8-85C6-C12EA39278A2}"/>
    <cellStyle name="Normal 4 4 2 2 3 5 3" xfId="6410" xr:uid="{00000000-0005-0000-0000-0000FF140000}"/>
    <cellStyle name="Normal 4 4 2 2 3 5 3 2" xfId="14849" xr:uid="{3D55B019-76AD-499B-89EA-01D6048CC829}"/>
    <cellStyle name="Normal 4 4 2 2 3 5 4" xfId="10631" xr:uid="{24A1BD3A-DE66-4D17-802F-AC82047B32D9}"/>
    <cellStyle name="Normal 4 4 2 2 3 6" xfId="2539" xr:uid="{00000000-0005-0000-0000-000000150000}"/>
    <cellStyle name="Normal 4 4 2 2 3 6 2" xfId="6823" xr:uid="{00000000-0005-0000-0000-000001150000}"/>
    <cellStyle name="Normal 4 4 2 2 3 6 2 2" xfId="15262" xr:uid="{EEEA1BF8-D04D-40E0-9A14-356F777492AC}"/>
    <cellStyle name="Normal 4 4 2 2 3 6 3" xfId="11044" xr:uid="{A9DBD95E-01D7-48F0-AED1-1B63438B1E77}"/>
    <cellStyle name="Normal 4 4 2 2 3 7" xfId="4758" xr:uid="{00000000-0005-0000-0000-000002150000}"/>
    <cellStyle name="Normal 4 4 2 2 3 7 2" xfId="13197" xr:uid="{8EC0DFF1-E77F-4233-98C9-D46DA0117468}"/>
    <cellStyle name="Normal 4 4 2 2 3 8" xfId="8979" xr:uid="{AE7F496B-9230-4293-90AB-FEAE58EEDE4D}"/>
    <cellStyle name="Normal 4 4 2 2 4" xfId="855" xr:uid="{00000000-0005-0000-0000-000003150000}"/>
    <cellStyle name="Normal 4 4 2 2 4 2" xfId="3090" xr:uid="{00000000-0005-0000-0000-000004150000}"/>
    <cellStyle name="Normal 4 4 2 2 4 2 2" xfId="7313" xr:uid="{00000000-0005-0000-0000-000005150000}"/>
    <cellStyle name="Normal 4 4 2 2 4 2 2 2" xfId="15752" xr:uid="{F1D11931-8119-430C-B05B-8DD82C296659}"/>
    <cellStyle name="Normal 4 4 2 2 4 2 3" xfId="11534" xr:uid="{B28E3192-5F1B-4ED7-BE26-9C768C4AE1AA}"/>
    <cellStyle name="Normal 4 4 2 2 4 3" xfId="5168" xr:uid="{00000000-0005-0000-0000-000006150000}"/>
    <cellStyle name="Normal 4 4 2 2 4 3 2" xfId="13607" xr:uid="{BBB030F6-C809-4C72-AD3D-9C47AD901AF9}"/>
    <cellStyle name="Normal 4 4 2 2 4 4" xfId="9389" xr:uid="{0F1B0154-85D3-4C81-A093-74EE00EB577E}"/>
    <cellStyle name="Normal 4 4 2 2 5" xfId="1273" xr:uid="{00000000-0005-0000-0000-000007150000}"/>
    <cellStyle name="Normal 4 4 2 2 5 2" xfId="3503" xr:uid="{00000000-0005-0000-0000-000008150000}"/>
    <cellStyle name="Normal 4 4 2 2 5 2 2" xfId="7726" xr:uid="{00000000-0005-0000-0000-000009150000}"/>
    <cellStyle name="Normal 4 4 2 2 5 2 2 2" xfId="16165" xr:uid="{8732EE5F-A070-4F0C-8E1D-7756EE03CAFB}"/>
    <cellStyle name="Normal 4 4 2 2 5 2 3" xfId="11947" xr:uid="{22C2989E-8CBF-4C14-9D37-72EF1B6E7F18}"/>
    <cellStyle name="Normal 4 4 2 2 5 3" xfId="5581" xr:uid="{00000000-0005-0000-0000-00000A150000}"/>
    <cellStyle name="Normal 4 4 2 2 5 3 2" xfId="14020" xr:uid="{51E9BE16-B5CD-46FD-96E3-8EB635244AFE}"/>
    <cellStyle name="Normal 4 4 2 2 5 4" xfId="9802" xr:uid="{A6C313D8-DD72-4940-8D15-384C7BCCCD30}"/>
    <cellStyle name="Normal 4 4 2 2 6" xfId="1686" xr:uid="{00000000-0005-0000-0000-00000B150000}"/>
    <cellStyle name="Normal 4 4 2 2 6 2" xfId="3916" xr:uid="{00000000-0005-0000-0000-00000C150000}"/>
    <cellStyle name="Normal 4 4 2 2 6 2 2" xfId="8139" xr:uid="{00000000-0005-0000-0000-00000D150000}"/>
    <cellStyle name="Normal 4 4 2 2 6 2 2 2" xfId="16578" xr:uid="{DB9D1C5D-E8FC-43D9-867E-EEFC52C676B4}"/>
    <cellStyle name="Normal 4 4 2 2 6 2 3" xfId="12360" xr:uid="{76C9459E-107A-4BD2-9EB0-347B414463A8}"/>
    <cellStyle name="Normal 4 4 2 2 6 3" xfId="5994" xr:uid="{00000000-0005-0000-0000-00000E150000}"/>
    <cellStyle name="Normal 4 4 2 2 6 3 2" xfId="14433" xr:uid="{4A89AFE2-85C2-4F2A-B63E-09976E21F0FF}"/>
    <cellStyle name="Normal 4 4 2 2 6 4" xfId="10215" xr:uid="{70811CD7-9334-48F4-B3AD-5E6514377F00}"/>
    <cellStyle name="Normal 4 4 2 2 7" xfId="2100" xr:uid="{00000000-0005-0000-0000-00000F150000}"/>
    <cellStyle name="Normal 4 4 2 2 7 2" xfId="4329" xr:uid="{00000000-0005-0000-0000-000010150000}"/>
    <cellStyle name="Normal 4 4 2 2 7 2 2" xfId="8552" xr:uid="{00000000-0005-0000-0000-000011150000}"/>
    <cellStyle name="Normal 4 4 2 2 7 2 2 2" xfId="16991" xr:uid="{62020546-9E95-4366-9CB2-5584DEF227D1}"/>
    <cellStyle name="Normal 4 4 2 2 7 2 3" xfId="12773" xr:uid="{205339D1-D3B2-43BD-893E-D050A36EA80E}"/>
    <cellStyle name="Normal 4 4 2 2 7 3" xfId="6407" xr:uid="{00000000-0005-0000-0000-000012150000}"/>
    <cellStyle name="Normal 4 4 2 2 7 3 2" xfId="14846" xr:uid="{EF0DB9BC-CC05-4830-A9AB-390608EFBA5A}"/>
    <cellStyle name="Normal 4 4 2 2 7 4" xfId="10628" xr:uid="{8EC35195-21C6-4B87-B745-20A6C44E2D75}"/>
    <cellStyle name="Normal 4 4 2 2 8" xfId="2536" xr:uid="{00000000-0005-0000-0000-000013150000}"/>
    <cellStyle name="Normal 4 4 2 2 8 2" xfId="6820" xr:uid="{00000000-0005-0000-0000-000014150000}"/>
    <cellStyle name="Normal 4 4 2 2 8 2 2" xfId="15259" xr:uid="{C3006343-15EF-4A29-8A4D-1DDCC916AA89}"/>
    <cellStyle name="Normal 4 4 2 2 8 3" xfId="11041" xr:uid="{5C9930B8-7E07-4648-931D-1DAE9A4A09FA}"/>
    <cellStyle name="Normal 4 4 2 2 9" xfId="4755" xr:uid="{00000000-0005-0000-0000-000015150000}"/>
    <cellStyle name="Normal 4 4 2 2 9 2" xfId="13194" xr:uid="{CB9C31DD-96FF-4F95-BEA4-615647B4346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2 2 2" xfId="15757" xr:uid="{B6408863-5F8C-4029-B953-F9CE289DF57A}"/>
    <cellStyle name="Normal 4 4 2 3 2 2 2 3" xfId="11539" xr:uid="{BE2BD72B-D138-4A3B-8F73-B31EB7D1D535}"/>
    <cellStyle name="Normal 4 4 2 3 2 2 3" xfId="5173" xr:uid="{00000000-0005-0000-0000-00001B150000}"/>
    <cellStyle name="Normal 4 4 2 3 2 2 3 2" xfId="13612" xr:uid="{C35201D2-F869-45A2-8EEF-480A4994D0B2}"/>
    <cellStyle name="Normal 4 4 2 3 2 2 4" xfId="9394" xr:uid="{6C928418-F009-4161-A164-B22AD66D1997}"/>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2 2 2" xfId="16170" xr:uid="{6C4519EB-36E6-40A0-AD5C-C1A4281964F6}"/>
    <cellStyle name="Normal 4 4 2 3 2 3 2 3" xfId="11952" xr:uid="{A8A4E82C-097E-4881-A0CF-8C5A89A28D39}"/>
    <cellStyle name="Normal 4 4 2 3 2 3 3" xfId="5586" xr:uid="{00000000-0005-0000-0000-00001F150000}"/>
    <cellStyle name="Normal 4 4 2 3 2 3 3 2" xfId="14025" xr:uid="{966AF365-C202-442C-A784-67462754A259}"/>
    <cellStyle name="Normal 4 4 2 3 2 3 4" xfId="9807" xr:uid="{42454570-DFAB-4B98-8F27-98612C1C252E}"/>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2 2 2" xfId="16583" xr:uid="{FA94DC46-ACB9-470A-B397-09E0CF0F36D0}"/>
    <cellStyle name="Normal 4 4 2 3 2 4 2 3" xfId="12365" xr:uid="{4B97E564-E283-4578-A609-ABE2924BC48E}"/>
    <cellStyle name="Normal 4 4 2 3 2 4 3" xfId="5999" xr:uid="{00000000-0005-0000-0000-000023150000}"/>
    <cellStyle name="Normal 4 4 2 3 2 4 3 2" xfId="14438" xr:uid="{874F7462-C6B0-414A-B984-0DA25EE736E9}"/>
    <cellStyle name="Normal 4 4 2 3 2 4 4" xfId="10220" xr:uid="{9CF06D1F-C3B3-4E54-8617-E722B4D687EB}"/>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2 2 2" xfId="16996" xr:uid="{974F570E-6089-4787-9C83-B114156662C9}"/>
    <cellStyle name="Normal 4 4 2 3 2 5 2 3" xfId="12778" xr:uid="{E78E6454-0A71-483D-A4B9-36103866ECED}"/>
    <cellStyle name="Normal 4 4 2 3 2 5 3" xfId="6412" xr:uid="{00000000-0005-0000-0000-000027150000}"/>
    <cellStyle name="Normal 4 4 2 3 2 5 3 2" xfId="14851" xr:uid="{3708DA3A-6F19-4887-9350-84DD6C37771D}"/>
    <cellStyle name="Normal 4 4 2 3 2 5 4" xfId="10633" xr:uid="{0595368C-F786-45AB-9BB9-D4119DE5F0E0}"/>
    <cellStyle name="Normal 4 4 2 3 2 6" xfId="2541" xr:uid="{00000000-0005-0000-0000-000028150000}"/>
    <cellStyle name="Normal 4 4 2 3 2 6 2" xfId="6825" xr:uid="{00000000-0005-0000-0000-000029150000}"/>
    <cellStyle name="Normal 4 4 2 3 2 6 2 2" xfId="15264" xr:uid="{8F7A505B-1F0C-43B3-B8C4-0EC1068491F6}"/>
    <cellStyle name="Normal 4 4 2 3 2 6 3" xfId="11046" xr:uid="{ADD5C712-D559-43D8-BB4A-54E6F76E0C60}"/>
    <cellStyle name="Normal 4 4 2 3 2 7" xfId="4760" xr:uid="{00000000-0005-0000-0000-00002A150000}"/>
    <cellStyle name="Normal 4 4 2 3 2 7 2" xfId="13199" xr:uid="{A4B27558-70FF-4F99-A028-CC5C0487FD75}"/>
    <cellStyle name="Normal 4 4 2 3 2 8" xfId="8981" xr:uid="{FA4B00FD-C03E-44A0-AD93-AC84CA8CA0E6}"/>
    <cellStyle name="Normal 4 4 2 3 3" xfId="859" xr:uid="{00000000-0005-0000-0000-00002B150000}"/>
    <cellStyle name="Normal 4 4 2 3 3 2" xfId="3094" xr:uid="{00000000-0005-0000-0000-00002C150000}"/>
    <cellStyle name="Normal 4 4 2 3 3 2 2" xfId="7317" xr:uid="{00000000-0005-0000-0000-00002D150000}"/>
    <cellStyle name="Normal 4 4 2 3 3 2 2 2" xfId="15756" xr:uid="{E6245B84-8041-4BD4-A28D-408EEEC6E996}"/>
    <cellStyle name="Normal 4 4 2 3 3 2 3" xfId="11538" xr:uid="{0874A4A3-5ED5-4C7E-AAE1-D9D99EB44BDE}"/>
    <cellStyle name="Normal 4 4 2 3 3 3" xfId="5172" xr:uid="{00000000-0005-0000-0000-00002E150000}"/>
    <cellStyle name="Normal 4 4 2 3 3 3 2" xfId="13611" xr:uid="{B89B4C95-7844-4ABB-ABD8-5304A16C6178}"/>
    <cellStyle name="Normal 4 4 2 3 3 4" xfId="9393" xr:uid="{724B3052-CA52-4D11-AC2A-10A8324BEF42}"/>
    <cellStyle name="Normal 4 4 2 3 4" xfId="1277" xr:uid="{00000000-0005-0000-0000-00002F150000}"/>
    <cellStyle name="Normal 4 4 2 3 4 2" xfId="3507" xr:uid="{00000000-0005-0000-0000-000030150000}"/>
    <cellStyle name="Normal 4 4 2 3 4 2 2" xfId="7730" xr:uid="{00000000-0005-0000-0000-000031150000}"/>
    <cellStyle name="Normal 4 4 2 3 4 2 2 2" xfId="16169" xr:uid="{3FEF8FF1-63C0-4919-B153-35827B3C6746}"/>
    <cellStyle name="Normal 4 4 2 3 4 2 3" xfId="11951" xr:uid="{70E83764-3E40-4188-A423-248035F66EB7}"/>
    <cellStyle name="Normal 4 4 2 3 4 3" xfId="5585" xr:uid="{00000000-0005-0000-0000-000032150000}"/>
    <cellStyle name="Normal 4 4 2 3 4 3 2" xfId="14024" xr:uid="{9A5166B7-8105-456A-A72D-B941C6B6A440}"/>
    <cellStyle name="Normal 4 4 2 3 4 4" xfId="9806" xr:uid="{AE4BD3DA-9666-4D9E-A298-D031D273E7C3}"/>
    <cellStyle name="Normal 4 4 2 3 5" xfId="1690" xr:uid="{00000000-0005-0000-0000-000033150000}"/>
    <cellStyle name="Normal 4 4 2 3 5 2" xfId="3920" xr:uid="{00000000-0005-0000-0000-000034150000}"/>
    <cellStyle name="Normal 4 4 2 3 5 2 2" xfId="8143" xr:uid="{00000000-0005-0000-0000-000035150000}"/>
    <cellStyle name="Normal 4 4 2 3 5 2 2 2" xfId="16582" xr:uid="{30343F77-C5EA-4D66-8D8C-B99C61D1330B}"/>
    <cellStyle name="Normal 4 4 2 3 5 2 3" xfId="12364" xr:uid="{0C6EA0EC-A059-4957-98E0-9AC77DE85560}"/>
    <cellStyle name="Normal 4 4 2 3 5 3" xfId="5998" xr:uid="{00000000-0005-0000-0000-000036150000}"/>
    <cellStyle name="Normal 4 4 2 3 5 3 2" xfId="14437" xr:uid="{8F70A05E-76DF-48D3-A7AF-6C816DAC52CF}"/>
    <cellStyle name="Normal 4 4 2 3 5 4" xfId="10219" xr:uid="{B6251698-62FA-4B2C-BC73-5B3212DDBE8D}"/>
    <cellStyle name="Normal 4 4 2 3 6" xfId="2104" xr:uid="{00000000-0005-0000-0000-000037150000}"/>
    <cellStyle name="Normal 4 4 2 3 6 2" xfId="4333" xr:uid="{00000000-0005-0000-0000-000038150000}"/>
    <cellStyle name="Normal 4 4 2 3 6 2 2" xfId="8556" xr:uid="{00000000-0005-0000-0000-000039150000}"/>
    <cellStyle name="Normal 4 4 2 3 6 2 2 2" xfId="16995" xr:uid="{345E5E31-D730-4206-B51F-F9B6F0D6AFD6}"/>
    <cellStyle name="Normal 4 4 2 3 6 2 3" xfId="12777" xr:uid="{9B0D6263-BD55-441B-A637-22A8564E70E2}"/>
    <cellStyle name="Normal 4 4 2 3 6 3" xfId="6411" xr:uid="{00000000-0005-0000-0000-00003A150000}"/>
    <cellStyle name="Normal 4 4 2 3 6 3 2" xfId="14850" xr:uid="{DC5191C1-F60A-41E5-B449-BB0EF7F488A7}"/>
    <cellStyle name="Normal 4 4 2 3 6 4" xfId="10632" xr:uid="{1F1785AD-F5E6-4E81-9CAC-F035A969EC48}"/>
    <cellStyle name="Normal 4 4 2 3 7" xfId="2540" xr:uid="{00000000-0005-0000-0000-00003B150000}"/>
    <cellStyle name="Normal 4 4 2 3 7 2" xfId="6824" xr:uid="{00000000-0005-0000-0000-00003C150000}"/>
    <cellStyle name="Normal 4 4 2 3 7 2 2" xfId="15263" xr:uid="{00C2A7AD-0E99-4610-B942-3C906E4259D2}"/>
    <cellStyle name="Normal 4 4 2 3 7 3" xfId="11045" xr:uid="{743145BE-311D-490D-8A42-83F1B27DF91F}"/>
    <cellStyle name="Normal 4 4 2 3 8" xfId="4759" xr:uid="{00000000-0005-0000-0000-00003D150000}"/>
    <cellStyle name="Normal 4 4 2 3 8 2" xfId="13198" xr:uid="{71A9EF47-BA1F-4458-839F-5D96FBDD9CB7}"/>
    <cellStyle name="Normal 4 4 2 3 9" xfId="8980" xr:uid="{94E48019-9971-49DF-8FF8-67082FC021C2}"/>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2 2 2" xfId="15758" xr:uid="{E1F6AF68-5270-4581-A57B-5FA146C57D9F}"/>
    <cellStyle name="Normal 4 4 2 4 2 2 3" xfId="11540" xr:uid="{8F72FB82-633D-459E-8D30-38B5E874E1E6}"/>
    <cellStyle name="Normal 4 4 2 4 2 3" xfId="5174" xr:uid="{00000000-0005-0000-0000-000042150000}"/>
    <cellStyle name="Normal 4 4 2 4 2 3 2" xfId="13613" xr:uid="{ABB75B8A-B0B0-4153-B6DE-D16D49056634}"/>
    <cellStyle name="Normal 4 4 2 4 2 4" xfId="9395" xr:uid="{651E3ACB-FF8C-44F8-9F34-35F71696DDB9}"/>
    <cellStyle name="Normal 4 4 2 4 3" xfId="1279" xr:uid="{00000000-0005-0000-0000-000043150000}"/>
    <cellStyle name="Normal 4 4 2 4 3 2" xfId="3509" xr:uid="{00000000-0005-0000-0000-000044150000}"/>
    <cellStyle name="Normal 4 4 2 4 3 2 2" xfId="7732" xr:uid="{00000000-0005-0000-0000-000045150000}"/>
    <cellStyle name="Normal 4 4 2 4 3 2 2 2" xfId="16171" xr:uid="{12D0F0E0-2C8C-4B0C-A835-46899F2BF02B}"/>
    <cellStyle name="Normal 4 4 2 4 3 2 3" xfId="11953" xr:uid="{561F375B-050C-4572-8212-20ECC5B802D7}"/>
    <cellStyle name="Normal 4 4 2 4 3 3" xfId="5587" xr:uid="{00000000-0005-0000-0000-000046150000}"/>
    <cellStyle name="Normal 4 4 2 4 3 3 2" xfId="14026" xr:uid="{B1F7AF66-3087-41B3-8865-EA429D240851}"/>
    <cellStyle name="Normal 4 4 2 4 3 4" xfId="9808" xr:uid="{2D37C9BF-D144-410E-8B16-D66B0463E34B}"/>
    <cellStyle name="Normal 4 4 2 4 4" xfId="1692" xr:uid="{00000000-0005-0000-0000-000047150000}"/>
    <cellStyle name="Normal 4 4 2 4 4 2" xfId="3922" xr:uid="{00000000-0005-0000-0000-000048150000}"/>
    <cellStyle name="Normal 4 4 2 4 4 2 2" xfId="8145" xr:uid="{00000000-0005-0000-0000-000049150000}"/>
    <cellStyle name="Normal 4 4 2 4 4 2 2 2" xfId="16584" xr:uid="{9B7A08C1-F500-4FFC-B512-27E9BD69BD5C}"/>
    <cellStyle name="Normal 4 4 2 4 4 2 3" xfId="12366" xr:uid="{AC78400B-6F29-466A-81CF-1DB649501730}"/>
    <cellStyle name="Normal 4 4 2 4 4 3" xfId="6000" xr:uid="{00000000-0005-0000-0000-00004A150000}"/>
    <cellStyle name="Normal 4 4 2 4 4 3 2" xfId="14439" xr:uid="{16A61803-52F5-4F4C-8527-7D86EE46BEA1}"/>
    <cellStyle name="Normal 4 4 2 4 4 4" xfId="10221" xr:uid="{BEDAA309-5AC9-42E0-BB7B-535C93CDBF5F}"/>
    <cellStyle name="Normal 4 4 2 4 5" xfId="2106" xr:uid="{00000000-0005-0000-0000-00004B150000}"/>
    <cellStyle name="Normal 4 4 2 4 5 2" xfId="4335" xr:uid="{00000000-0005-0000-0000-00004C150000}"/>
    <cellStyle name="Normal 4 4 2 4 5 2 2" xfId="8558" xr:uid="{00000000-0005-0000-0000-00004D150000}"/>
    <cellStyle name="Normal 4 4 2 4 5 2 2 2" xfId="16997" xr:uid="{238F3366-8573-4008-A424-A29AD070EA6B}"/>
    <cellStyle name="Normal 4 4 2 4 5 2 3" xfId="12779" xr:uid="{71C5BD2E-17DC-4375-A955-D39C705E59B1}"/>
    <cellStyle name="Normal 4 4 2 4 5 3" xfId="6413" xr:uid="{00000000-0005-0000-0000-00004E150000}"/>
    <cellStyle name="Normal 4 4 2 4 5 3 2" xfId="14852" xr:uid="{01E7F190-1D7B-46B8-B3CD-EAEA4FA1A0D5}"/>
    <cellStyle name="Normal 4 4 2 4 5 4" xfId="10634" xr:uid="{25E8FF46-7287-4BBA-BD97-D2EC157468DA}"/>
    <cellStyle name="Normal 4 4 2 4 6" xfId="2542" xr:uid="{00000000-0005-0000-0000-00004F150000}"/>
    <cellStyle name="Normal 4 4 2 4 6 2" xfId="6826" xr:uid="{00000000-0005-0000-0000-000050150000}"/>
    <cellStyle name="Normal 4 4 2 4 6 2 2" xfId="15265" xr:uid="{5C448341-557D-47E2-A1A1-8EF7390A69B1}"/>
    <cellStyle name="Normal 4 4 2 4 6 3" xfId="11047" xr:uid="{181CF359-2C26-460D-BA7F-FDD898AE2723}"/>
    <cellStyle name="Normal 4 4 2 4 7" xfId="4761" xr:uid="{00000000-0005-0000-0000-000051150000}"/>
    <cellStyle name="Normal 4 4 2 4 7 2" xfId="13200" xr:uid="{9DE84543-1992-4E82-ABFE-FD26F20BE34C}"/>
    <cellStyle name="Normal 4 4 2 4 8" xfId="8982" xr:uid="{ADA92045-9D93-4322-A7D9-139ED1722BEE}"/>
    <cellStyle name="Normal 4 4 2 5" xfId="854" xr:uid="{00000000-0005-0000-0000-000052150000}"/>
    <cellStyle name="Normal 4 4 2 5 2" xfId="3089" xr:uid="{00000000-0005-0000-0000-000053150000}"/>
    <cellStyle name="Normal 4 4 2 5 2 2" xfId="7312" xr:uid="{00000000-0005-0000-0000-000054150000}"/>
    <cellStyle name="Normal 4 4 2 5 2 2 2" xfId="15751" xr:uid="{724B4586-5C9C-48B2-A41B-20C976994389}"/>
    <cellStyle name="Normal 4 4 2 5 2 3" xfId="11533" xr:uid="{097FD115-ECE8-4C8B-A11D-2A4256F28F04}"/>
    <cellStyle name="Normal 4 4 2 5 3" xfId="5167" xr:uid="{00000000-0005-0000-0000-000055150000}"/>
    <cellStyle name="Normal 4 4 2 5 3 2" xfId="13606" xr:uid="{C5489D86-C299-4C86-9A5F-DC3DF59AEAE9}"/>
    <cellStyle name="Normal 4 4 2 5 4" xfId="9388" xr:uid="{0F229DCD-F248-4ACA-8690-3B59E3E86FDE}"/>
    <cellStyle name="Normal 4 4 2 6" xfId="1272" xr:uid="{00000000-0005-0000-0000-000056150000}"/>
    <cellStyle name="Normal 4 4 2 6 2" xfId="3502" xr:uid="{00000000-0005-0000-0000-000057150000}"/>
    <cellStyle name="Normal 4 4 2 6 2 2" xfId="7725" xr:uid="{00000000-0005-0000-0000-000058150000}"/>
    <cellStyle name="Normal 4 4 2 6 2 2 2" xfId="16164" xr:uid="{67EA3470-369D-4EEC-92D1-0F8A78398C22}"/>
    <cellStyle name="Normal 4 4 2 6 2 3" xfId="11946" xr:uid="{C33A04D3-5E8F-4DF4-BF46-6F86DFFF16A6}"/>
    <cellStyle name="Normal 4 4 2 6 3" xfId="5580" xr:uid="{00000000-0005-0000-0000-000059150000}"/>
    <cellStyle name="Normal 4 4 2 6 3 2" xfId="14019" xr:uid="{07DEECA4-0245-4E93-8512-D50E92EC0C79}"/>
    <cellStyle name="Normal 4 4 2 6 4" xfId="9801" xr:uid="{8B4CA0D1-023C-482A-A53D-D306D337A8D1}"/>
    <cellStyle name="Normal 4 4 2 7" xfId="1685" xr:uid="{00000000-0005-0000-0000-00005A150000}"/>
    <cellStyle name="Normal 4 4 2 7 2" xfId="3915" xr:uid="{00000000-0005-0000-0000-00005B150000}"/>
    <cellStyle name="Normal 4 4 2 7 2 2" xfId="8138" xr:uid="{00000000-0005-0000-0000-00005C150000}"/>
    <cellStyle name="Normal 4 4 2 7 2 2 2" xfId="16577" xr:uid="{0CE63680-0BFB-4AAB-BE84-F1A967511C53}"/>
    <cellStyle name="Normal 4 4 2 7 2 3" xfId="12359" xr:uid="{E9243957-1483-41F8-9BE3-4A7C12324841}"/>
    <cellStyle name="Normal 4 4 2 7 3" xfId="5993" xr:uid="{00000000-0005-0000-0000-00005D150000}"/>
    <cellStyle name="Normal 4 4 2 7 3 2" xfId="14432" xr:uid="{4C616BD0-5E09-4A61-945B-8782CF4B9DB8}"/>
    <cellStyle name="Normal 4 4 2 7 4" xfId="10214" xr:uid="{AE91124D-69E3-4D2E-8036-79C56CEA9303}"/>
    <cellStyle name="Normal 4 4 2 8" xfId="2099" xr:uid="{00000000-0005-0000-0000-00005E150000}"/>
    <cellStyle name="Normal 4 4 2 8 2" xfId="4328" xr:uid="{00000000-0005-0000-0000-00005F150000}"/>
    <cellStyle name="Normal 4 4 2 8 2 2" xfId="8551" xr:uid="{00000000-0005-0000-0000-000060150000}"/>
    <cellStyle name="Normal 4 4 2 8 2 2 2" xfId="16990" xr:uid="{3C33F095-13CF-40AA-A7DD-C1755A3B2F46}"/>
    <cellStyle name="Normal 4 4 2 8 2 3" xfId="12772" xr:uid="{7FEC0384-A6C4-4192-819C-4D8DC9C9C26C}"/>
    <cellStyle name="Normal 4 4 2 8 3" xfId="6406" xr:uid="{00000000-0005-0000-0000-000061150000}"/>
    <cellStyle name="Normal 4 4 2 8 3 2" xfId="14845" xr:uid="{741838D5-E8E1-4CBB-B487-522E1EA8337E}"/>
    <cellStyle name="Normal 4 4 2 8 4" xfId="10627" xr:uid="{977CE602-DF13-44A6-ACD6-7A2F22C67030}"/>
    <cellStyle name="Normal 4 4 2 9" xfId="2535" xr:uid="{00000000-0005-0000-0000-000062150000}"/>
    <cellStyle name="Normal 4 4 2 9 2" xfId="6819" xr:uid="{00000000-0005-0000-0000-000063150000}"/>
    <cellStyle name="Normal 4 4 2 9 2 2" xfId="15258" xr:uid="{37B8C9DF-3A06-4FE3-A4CE-807B88087C16}"/>
    <cellStyle name="Normal 4 4 2 9 3" xfId="11040" xr:uid="{3FA41653-29FD-4A27-9170-294E07191E6A}"/>
    <cellStyle name="Normal 4 4 3" xfId="387" xr:uid="{00000000-0005-0000-0000-000064150000}"/>
    <cellStyle name="Normal 4 4 3 10" xfId="8983" xr:uid="{1F7C3107-B3BB-4CFE-9F00-6C71A917AE34}"/>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2 2 2" xfId="15761" xr:uid="{74E90720-BD5A-414D-9E61-6BB5875A4837}"/>
    <cellStyle name="Normal 4 4 3 2 2 2 2 3" xfId="11543" xr:uid="{8C6F4FDA-FB15-4F38-9AE8-A4B2AB3E5EF8}"/>
    <cellStyle name="Normal 4 4 3 2 2 2 3" xfId="5177" xr:uid="{00000000-0005-0000-0000-00006A150000}"/>
    <cellStyle name="Normal 4 4 3 2 2 2 3 2" xfId="13616" xr:uid="{A37DBDAB-FB06-447C-A42D-1096466136E2}"/>
    <cellStyle name="Normal 4 4 3 2 2 2 4" xfId="9398" xr:uid="{6C45B227-533D-4149-90AE-EC4BC00028F4}"/>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2 2 2" xfId="16174" xr:uid="{FBBF9814-9609-427A-BC51-2F9463DE4406}"/>
    <cellStyle name="Normal 4 4 3 2 2 3 2 3" xfId="11956" xr:uid="{6F54C29E-FDE2-4B18-A868-D28BE48C9B32}"/>
    <cellStyle name="Normal 4 4 3 2 2 3 3" xfId="5590" xr:uid="{00000000-0005-0000-0000-00006E150000}"/>
    <cellStyle name="Normal 4 4 3 2 2 3 3 2" xfId="14029" xr:uid="{7D90EB52-FC47-47AF-A15D-096A29D77F30}"/>
    <cellStyle name="Normal 4 4 3 2 2 3 4" xfId="9811" xr:uid="{5EF911A7-D5F2-4EB4-9FF0-38345FF6B60A}"/>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2 2 2" xfId="16587" xr:uid="{D25B09D2-4D1A-4013-BC06-55FD7E509F30}"/>
    <cellStyle name="Normal 4 4 3 2 2 4 2 3" xfId="12369" xr:uid="{5C097685-F6A3-468C-9A6A-23F6CA1B2632}"/>
    <cellStyle name="Normal 4 4 3 2 2 4 3" xfId="6003" xr:uid="{00000000-0005-0000-0000-000072150000}"/>
    <cellStyle name="Normal 4 4 3 2 2 4 3 2" xfId="14442" xr:uid="{092A06B5-B512-4068-82DB-7F1251BFD0C0}"/>
    <cellStyle name="Normal 4 4 3 2 2 4 4" xfId="10224" xr:uid="{E37766AF-56AD-4849-B8B1-67E15482C3FF}"/>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2 2 2" xfId="17000" xr:uid="{411CD11B-AF56-4651-81EF-A7EC9A7AC3A1}"/>
    <cellStyle name="Normal 4 4 3 2 2 5 2 3" xfId="12782" xr:uid="{9BC3BEE7-1B98-4A19-BB14-22D657284563}"/>
    <cellStyle name="Normal 4 4 3 2 2 5 3" xfId="6416" xr:uid="{00000000-0005-0000-0000-000076150000}"/>
    <cellStyle name="Normal 4 4 3 2 2 5 3 2" xfId="14855" xr:uid="{B29A5E1A-9E41-4FAB-8C3A-1AB7B1FF71C5}"/>
    <cellStyle name="Normal 4 4 3 2 2 5 4" xfId="10637" xr:uid="{53299479-A8A2-434D-AEC5-9C9CE3295509}"/>
    <cellStyle name="Normal 4 4 3 2 2 6" xfId="2545" xr:uid="{00000000-0005-0000-0000-000077150000}"/>
    <cellStyle name="Normal 4 4 3 2 2 6 2" xfId="6829" xr:uid="{00000000-0005-0000-0000-000078150000}"/>
    <cellStyle name="Normal 4 4 3 2 2 6 2 2" xfId="15268" xr:uid="{46353E80-361C-449D-BECF-FA17CB7C7BFD}"/>
    <cellStyle name="Normal 4 4 3 2 2 6 3" xfId="11050" xr:uid="{95B66042-6273-4DF3-97A4-725A5C9AAED5}"/>
    <cellStyle name="Normal 4 4 3 2 2 7" xfId="4764" xr:uid="{00000000-0005-0000-0000-000079150000}"/>
    <cellStyle name="Normal 4 4 3 2 2 7 2" xfId="13203" xr:uid="{E6540753-25CB-4415-BF98-2EB35342D43A}"/>
    <cellStyle name="Normal 4 4 3 2 2 8" xfId="8985" xr:uid="{711F2E2A-805B-42CF-A164-E290F0683355}"/>
    <cellStyle name="Normal 4 4 3 2 3" xfId="863" xr:uid="{00000000-0005-0000-0000-00007A150000}"/>
    <cellStyle name="Normal 4 4 3 2 3 2" xfId="3098" xr:uid="{00000000-0005-0000-0000-00007B150000}"/>
    <cellStyle name="Normal 4 4 3 2 3 2 2" xfId="7321" xr:uid="{00000000-0005-0000-0000-00007C150000}"/>
    <cellStyle name="Normal 4 4 3 2 3 2 2 2" xfId="15760" xr:uid="{2041FE24-2FF4-4E74-B1D3-BB16046F16A7}"/>
    <cellStyle name="Normal 4 4 3 2 3 2 3" xfId="11542" xr:uid="{63CE2D4A-2508-438A-820A-22013BE56400}"/>
    <cellStyle name="Normal 4 4 3 2 3 3" xfId="5176" xr:uid="{00000000-0005-0000-0000-00007D150000}"/>
    <cellStyle name="Normal 4 4 3 2 3 3 2" xfId="13615" xr:uid="{ECCADEE0-DA51-4E14-A809-0330CC214229}"/>
    <cellStyle name="Normal 4 4 3 2 3 4" xfId="9397" xr:uid="{379E3D18-1A70-4C0B-92EA-42F54000CC5A}"/>
    <cellStyle name="Normal 4 4 3 2 4" xfId="1281" xr:uid="{00000000-0005-0000-0000-00007E150000}"/>
    <cellStyle name="Normal 4 4 3 2 4 2" xfId="3511" xr:uid="{00000000-0005-0000-0000-00007F150000}"/>
    <cellStyle name="Normal 4 4 3 2 4 2 2" xfId="7734" xr:uid="{00000000-0005-0000-0000-000080150000}"/>
    <cellStyle name="Normal 4 4 3 2 4 2 2 2" xfId="16173" xr:uid="{330FBADA-73AB-42F5-8189-C2440BD30E5D}"/>
    <cellStyle name="Normal 4 4 3 2 4 2 3" xfId="11955" xr:uid="{AAD0C103-C4BF-4F13-BB34-47E85AD1DB13}"/>
    <cellStyle name="Normal 4 4 3 2 4 3" xfId="5589" xr:uid="{00000000-0005-0000-0000-000081150000}"/>
    <cellStyle name="Normal 4 4 3 2 4 3 2" xfId="14028" xr:uid="{348A12E1-7F34-4DA3-9EA0-3F75A08F897F}"/>
    <cellStyle name="Normal 4 4 3 2 4 4" xfId="9810" xr:uid="{610CA966-70C9-428E-AD47-C1B22CCC9930}"/>
    <cellStyle name="Normal 4 4 3 2 5" xfId="1694" xr:uid="{00000000-0005-0000-0000-000082150000}"/>
    <cellStyle name="Normal 4 4 3 2 5 2" xfId="3924" xr:uid="{00000000-0005-0000-0000-000083150000}"/>
    <cellStyle name="Normal 4 4 3 2 5 2 2" xfId="8147" xr:uid="{00000000-0005-0000-0000-000084150000}"/>
    <cellStyle name="Normal 4 4 3 2 5 2 2 2" xfId="16586" xr:uid="{508B1398-C09A-475F-A598-04EFE6B15A4A}"/>
    <cellStyle name="Normal 4 4 3 2 5 2 3" xfId="12368" xr:uid="{0CA82B87-5E2E-4AEA-8DC7-65AE66930645}"/>
    <cellStyle name="Normal 4 4 3 2 5 3" xfId="6002" xr:uid="{00000000-0005-0000-0000-000085150000}"/>
    <cellStyle name="Normal 4 4 3 2 5 3 2" xfId="14441" xr:uid="{716A38B4-77A4-4E52-A4E3-456B918A5914}"/>
    <cellStyle name="Normal 4 4 3 2 5 4" xfId="10223" xr:uid="{3C315A65-C624-4A33-BCDA-863CA8696418}"/>
    <cellStyle name="Normal 4 4 3 2 6" xfId="2108" xr:uid="{00000000-0005-0000-0000-000086150000}"/>
    <cellStyle name="Normal 4 4 3 2 6 2" xfId="4337" xr:uid="{00000000-0005-0000-0000-000087150000}"/>
    <cellStyle name="Normal 4 4 3 2 6 2 2" xfId="8560" xr:uid="{00000000-0005-0000-0000-000088150000}"/>
    <cellStyle name="Normal 4 4 3 2 6 2 2 2" xfId="16999" xr:uid="{857BC06D-E942-4B4D-BFA1-44B7E9C9D880}"/>
    <cellStyle name="Normal 4 4 3 2 6 2 3" xfId="12781" xr:uid="{037A8D19-08F2-4403-8B4A-39D790443AD2}"/>
    <cellStyle name="Normal 4 4 3 2 6 3" xfId="6415" xr:uid="{00000000-0005-0000-0000-000089150000}"/>
    <cellStyle name="Normal 4 4 3 2 6 3 2" xfId="14854" xr:uid="{F9FD678F-6767-4A6F-8B50-0AC123D709B8}"/>
    <cellStyle name="Normal 4 4 3 2 6 4" xfId="10636" xr:uid="{4BDE68F0-236B-4113-92A6-3CA18F0B5FB0}"/>
    <cellStyle name="Normal 4 4 3 2 7" xfId="2544" xr:uid="{00000000-0005-0000-0000-00008A150000}"/>
    <cellStyle name="Normal 4 4 3 2 7 2" xfId="6828" xr:uid="{00000000-0005-0000-0000-00008B150000}"/>
    <cellStyle name="Normal 4 4 3 2 7 2 2" xfId="15267" xr:uid="{B98183AA-F46A-4537-AC2F-303F788D5FCD}"/>
    <cellStyle name="Normal 4 4 3 2 7 3" xfId="11049" xr:uid="{03073353-22F7-470B-BD55-60175B539EDC}"/>
    <cellStyle name="Normal 4 4 3 2 8" xfId="4763" xr:uid="{00000000-0005-0000-0000-00008C150000}"/>
    <cellStyle name="Normal 4 4 3 2 8 2" xfId="13202" xr:uid="{2172BFA1-37C9-4272-82EB-7B890C8F0723}"/>
    <cellStyle name="Normal 4 4 3 2 9" xfId="8984" xr:uid="{27D17453-CCFF-4191-ADF3-4A8F17EB2357}"/>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2 2 2" xfId="15762" xr:uid="{3F4BBC3F-9668-4557-A35C-8DFD8B4C52AE}"/>
    <cellStyle name="Normal 4 4 3 3 2 2 3" xfId="11544" xr:uid="{E659D3E2-DE60-41E0-91A5-5395A649DE1D}"/>
    <cellStyle name="Normal 4 4 3 3 2 3" xfId="5178" xr:uid="{00000000-0005-0000-0000-000091150000}"/>
    <cellStyle name="Normal 4 4 3 3 2 3 2" xfId="13617" xr:uid="{16A491CF-7B00-415F-8848-B0EB073041CF}"/>
    <cellStyle name="Normal 4 4 3 3 2 4" xfId="9399" xr:uid="{FE3B395D-42D4-481A-943F-207E394D23A2}"/>
    <cellStyle name="Normal 4 4 3 3 3" xfId="1283" xr:uid="{00000000-0005-0000-0000-000092150000}"/>
    <cellStyle name="Normal 4 4 3 3 3 2" xfId="3513" xr:uid="{00000000-0005-0000-0000-000093150000}"/>
    <cellStyle name="Normal 4 4 3 3 3 2 2" xfId="7736" xr:uid="{00000000-0005-0000-0000-000094150000}"/>
    <cellStyle name="Normal 4 4 3 3 3 2 2 2" xfId="16175" xr:uid="{0FC0CB80-627C-4CA8-8DB3-98C1F2A5456D}"/>
    <cellStyle name="Normal 4 4 3 3 3 2 3" xfId="11957" xr:uid="{7800B576-B8DA-425E-945E-1B8BD66B627F}"/>
    <cellStyle name="Normal 4 4 3 3 3 3" xfId="5591" xr:uid="{00000000-0005-0000-0000-000095150000}"/>
    <cellStyle name="Normal 4 4 3 3 3 3 2" xfId="14030" xr:uid="{BA43193F-B4A7-46FC-B1A2-6F9C84D574CE}"/>
    <cellStyle name="Normal 4 4 3 3 3 4" xfId="9812" xr:uid="{8BF73D85-4B31-484E-AE1B-71BAAD1126B7}"/>
    <cellStyle name="Normal 4 4 3 3 4" xfId="1696" xr:uid="{00000000-0005-0000-0000-000096150000}"/>
    <cellStyle name="Normal 4 4 3 3 4 2" xfId="3926" xr:uid="{00000000-0005-0000-0000-000097150000}"/>
    <cellStyle name="Normal 4 4 3 3 4 2 2" xfId="8149" xr:uid="{00000000-0005-0000-0000-000098150000}"/>
    <cellStyle name="Normal 4 4 3 3 4 2 2 2" xfId="16588" xr:uid="{E1D0A49D-3B13-43C1-9299-A9052ADD25C9}"/>
    <cellStyle name="Normal 4 4 3 3 4 2 3" xfId="12370" xr:uid="{5FD27F08-5489-4795-A4B0-A282A256BDE3}"/>
    <cellStyle name="Normal 4 4 3 3 4 3" xfId="6004" xr:uid="{00000000-0005-0000-0000-000099150000}"/>
    <cellStyle name="Normal 4 4 3 3 4 3 2" xfId="14443" xr:uid="{4B887ADD-BE8D-459C-8D92-500C50EAB332}"/>
    <cellStyle name="Normal 4 4 3 3 4 4" xfId="10225" xr:uid="{D454E051-EA97-402B-AEE3-ED6102A41345}"/>
    <cellStyle name="Normal 4 4 3 3 5" xfId="2110" xr:uid="{00000000-0005-0000-0000-00009A150000}"/>
    <cellStyle name="Normal 4 4 3 3 5 2" xfId="4339" xr:uid="{00000000-0005-0000-0000-00009B150000}"/>
    <cellStyle name="Normal 4 4 3 3 5 2 2" xfId="8562" xr:uid="{00000000-0005-0000-0000-00009C150000}"/>
    <cellStyle name="Normal 4 4 3 3 5 2 2 2" xfId="17001" xr:uid="{4F95A564-DE3C-45DB-AD2E-DE4232075AB9}"/>
    <cellStyle name="Normal 4 4 3 3 5 2 3" xfId="12783" xr:uid="{0944E398-EB1B-4321-98F8-05241EFB3D3F}"/>
    <cellStyle name="Normal 4 4 3 3 5 3" xfId="6417" xr:uid="{00000000-0005-0000-0000-00009D150000}"/>
    <cellStyle name="Normal 4 4 3 3 5 3 2" xfId="14856" xr:uid="{E754313D-03AE-4F49-ABF9-BE795EF11C68}"/>
    <cellStyle name="Normal 4 4 3 3 5 4" xfId="10638" xr:uid="{6FB35B07-4606-4AD9-9448-16AB70E82DC9}"/>
    <cellStyle name="Normal 4 4 3 3 6" xfId="2546" xr:uid="{00000000-0005-0000-0000-00009E150000}"/>
    <cellStyle name="Normal 4 4 3 3 6 2" xfId="6830" xr:uid="{00000000-0005-0000-0000-00009F150000}"/>
    <cellStyle name="Normal 4 4 3 3 6 2 2" xfId="15269" xr:uid="{C517AA9A-680C-4378-BD68-151C87F43442}"/>
    <cellStyle name="Normal 4 4 3 3 6 3" xfId="11051" xr:uid="{9247BB36-747A-4229-8AE7-ACB611C6C149}"/>
    <cellStyle name="Normal 4 4 3 3 7" xfId="4765" xr:uid="{00000000-0005-0000-0000-0000A0150000}"/>
    <cellStyle name="Normal 4 4 3 3 7 2" xfId="13204" xr:uid="{CD0C3D44-212D-4380-9038-981F9D550D23}"/>
    <cellStyle name="Normal 4 4 3 3 8" xfId="8986" xr:uid="{45B5777E-B3F1-4114-AE89-E7CB3C82F69A}"/>
    <cellStyle name="Normal 4 4 3 4" xfId="862" xr:uid="{00000000-0005-0000-0000-0000A1150000}"/>
    <cellStyle name="Normal 4 4 3 4 2" xfId="3097" xr:uid="{00000000-0005-0000-0000-0000A2150000}"/>
    <cellStyle name="Normal 4 4 3 4 2 2" xfId="7320" xr:uid="{00000000-0005-0000-0000-0000A3150000}"/>
    <cellStyle name="Normal 4 4 3 4 2 2 2" xfId="15759" xr:uid="{911BE017-BEAD-4EE4-9E39-CC8607DD212D}"/>
    <cellStyle name="Normal 4 4 3 4 2 3" xfId="11541" xr:uid="{D4C70F41-DE93-4666-9F8B-700848648A52}"/>
    <cellStyle name="Normal 4 4 3 4 3" xfId="5175" xr:uid="{00000000-0005-0000-0000-0000A4150000}"/>
    <cellStyle name="Normal 4 4 3 4 3 2" xfId="13614" xr:uid="{A6E20AD6-4165-4002-95DF-EF5FB400CA1F}"/>
    <cellStyle name="Normal 4 4 3 4 4" xfId="9396" xr:uid="{01811B28-8E39-4C54-9A86-4A1A1AE4E6C7}"/>
    <cellStyle name="Normal 4 4 3 5" xfId="1280" xr:uid="{00000000-0005-0000-0000-0000A5150000}"/>
    <cellStyle name="Normal 4 4 3 5 2" xfId="3510" xr:uid="{00000000-0005-0000-0000-0000A6150000}"/>
    <cellStyle name="Normal 4 4 3 5 2 2" xfId="7733" xr:uid="{00000000-0005-0000-0000-0000A7150000}"/>
    <cellStyle name="Normal 4 4 3 5 2 2 2" xfId="16172" xr:uid="{9BAF02C8-AE0B-4119-A377-AAAB63DC668A}"/>
    <cellStyle name="Normal 4 4 3 5 2 3" xfId="11954" xr:uid="{867E7E9F-CA7E-4989-8A10-AF5128B001A4}"/>
    <cellStyle name="Normal 4 4 3 5 3" xfId="5588" xr:uid="{00000000-0005-0000-0000-0000A8150000}"/>
    <cellStyle name="Normal 4 4 3 5 3 2" xfId="14027" xr:uid="{5A4E7B04-3D1C-492C-854E-13A9B32C50DB}"/>
    <cellStyle name="Normal 4 4 3 5 4" xfId="9809" xr:uid="{35F4D7ED-A422-49FD-81FD-EF18FE13C2E9}"/>
    <cellStyle name="Normal 4 4 3 6" xfId="1693" xr:uid="{00000000-0005-0000-0000-0000A9150000}"/>
    <cellStyle name="Normal 4 4 3 6 2" xfId="3923" xr:uid="{00000000-0005-0000-0000-0000AA150000}"/>
    <cellStyle name="Normal 4 4 3 6 2 2" xfId="8146" xr:uid="{00000000-0005-0000-0000-0000AB150000}"/>
    <cellStyle name="Normal 4 4 3 6 2 2 2" xfId="16585" xr:uid="{2667EAB6-832C-4428-B038-D66D6498B2E4}"/>
    <cellStyle name="Normal 4 4 3 6 2 3" xfId="12367" xr:uid="{890F05CC-9B55-4D5E-A152-96D28FA6ECDD}"/>
    <cellStyle name="Normal 4 4 3 6 3" xfId="6001" xr:uid="{00000000-0005-0000-0000-0000AC150000}"/>
    <cellStyle name="Normal 4 4 3 6 3 2" xfId="14440" xr:uid="{205DA952-2E22-4509-A7EE-83868C7E6D38}"/>
    <cellStyle name="Normal 4 4 3 6 4" xfId="10222" xr:uid="{E5C8C763-5CAF-4372-B4B8-659A549DF628}"/>
    <cellStyle name="Normal 4 4 3 7" xfId="2107" xr:uid="{00000000-0005-0000-0000-0000AD150000}"/>
    <cellStyle name="Normal 4 4 3 7 2" xfId="4336" xr:uid="{00000000-0005-0000-0000-0000AE150000}"/>
    <cellStyle name="Normal 4 4 3 7 2 2" xfId="8559" xr:uid="{00000000-0005-0000-0000-0000AF150000}"/>
    <cellStyle name="Normal 4 4 3 7 2 2 2" xfId="16998" xr:uid="{B62D5BD9-6AF4-4ED0-AD06-C5FAF1737D17}"/>
    <cellStyle name="Normal 4 4 3 7 2 3" xfId="12780" xr:uid="{8B7A1B0B-A468-49E2-AA71-AE6D0D8E7081}"/>
    <cellStyle name="Normal 4 4 3 7 3" xfId="6414" xr:uid="{00000000-0005-0000-0000-0000B0150000}"/>
    <cellStyle name="Normal 4 4 3 7 3 2" xfId="14853" xr:uid="{0E3D7ED7-C0B5-4242-AF93-1458AD4562F7}"/>
    <cellStyle name="Normal 4 4 3 7 4" xfId="10635" xr:uid="{02A8AF83-F6E1-4778-982C-5E1B1527FF0F}"/>
    <cellStyle name="Normal 4 4 3 8" xfId="2543" xr:uid="{00000000-0005-0000-0000-0000B1150000}"/>
    <cellStyle name="Normal 4 4 3 8 2" xfId="6827" xr:uid="{00000000-0005-0000-0000-0000B2150000}"/>
    <cellStyle name="Normal 4 4 3 8 2 2" xfId="15266" xr:uid="{7DF7293C-6A47-4D04-807E-EE41E38FFFB5}"/>
    <cellStyle name="Normal 4 4 3 8 3" xfId="11048" xr:uid="{3F4B15E6-3C5A-44DE-ABC9-D33E4BDFE995}"/>
    <cellStyle name="Normal 4 4 3 9" xfId="4762" xr:uid="{00000000-0005-0000-0000-0000B3150000}"/>
    <cellStyle name="Normal 4 4 3 9 2" xfId="13201" xr:uid="{07FF705E-89CF-4C7A-A26C-6AB8CBE91E4C}"/>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2 2 2" xfId="15764" xr:uid="{E24275D8-57A3-477D-89DD-8FE4F68A7F18}"/>
    <cellStyle name="Normal 4 4 4 2 2 2 3" xfId="11546" xr:uid="{555A9289-11BE-4656-9DD7-3220C66FE619}"/>
    <cellStyle name="Normal 4 4 4 2 2 3" xfId="5180" xr:uid="{00000000-0005-0000-0000-0000B9150000}"/>
    <cellStyle name="Normal 4 4 4 2 2 3 2" xfId="13619" xr:uid="{C0122561-E88E-4A16-A28E-EAD9A8885EE3}"/>
    <cellStyle name="Normal 4 4 4 2 2 4" xfId="9401" xr:uid="{3A544A6D-F2B4-4413-9E2B-A681771A80BA}"/>
    <cellStyle name="Normal 4 4 4 2 3" xfId="1285" xr:uid="{00000000-0005-0000-0000-0000BA150000}"/>
    <cellStyle name="Normal 4 4 4 2 3 2" xfId="3515" xr:uid="{00000000-0005-0000-0000-0000BB150000}"/>
    <cellStyle name="Normal 4 4 4 2 3 2 2" xfId="7738" xr:uid="{00000000-0005-0000-0000-0000BC150000}"/>
    <cellStyle name="Normal 4 4 4 2 3 2 2 2" xfId="16177" xr:uid="{3CB406EE-347C-4B28-A577-7D93FA410B08}"/>
    <cellStyle name="Normal 4 4 4 2 3 2 3" xfId="11959" xr:uid="{762CF2FA-4C1C-45BA-9106-D33F64FA036D}"/>
    <cellStyle name="Normal 4 4 4 2 3 3" xfId="5593" xr:uid="{00000000-0005-0000-0000-0000BD150000}"/>
    <cellStyle name="Normal 4 4 4 2 3 3 2" xfId="14032" xr:uid="{B5EEF6B7-0138-4871-8F40-B0F721405156}"/>
    <cellStyle name="Normal 4 4 4 2 3 4" xfId="9814" xr:uid="{A3897981-A1E0-4B19-BFE3-8AAF4F05D322}"/>
    <cellStyle name="Normal 4 4 4 2 4" xfId="1698" xr:uid="{00000000-0005-0000-0000-0000BE150000}"/>
    <cellStyle name="Normal 4 4 4 2 4 2" xfId="3928" xr:uid="{00000000-0005-0000-0000-0000BF150000}"/>
    <cellStyle name="Normal 4 4 4 2 4 2 2" xfId="8151" xr:uid="{00000000-0005-0000-0000-0000C0150000}"/>
    <cellStyle name="Normal 4 4 4 2 4 2 2 2" xfId="16590" xr:uid="{4FD19FA7-ED9D-4301-9708-644B67732D83}"/>
    <cellStyle name="Normal 4 4 4 2 4 2 3" xfId="12372" xr:uid="{D9342A0F-CC47-4F81-AD95-3292F328763E}"/>
    <cellStyle name="Normal 4 4 4 2 4 3" xfId="6006" xr:uid="{00000000-0005-0000-0000-0000C1150000}"/>
    <cellStyle name="Normal 4 4 4 2 4 3 2" xfId="14445" xr:uid="{F0973564-5E48-422A-964E-36EEA3236A5A}"/>
    <cellStyle name="Normal 4 4 4 2 4 4" xfId="10227" xr:uid="{E539A20C-55BF-49B7-87C1-B269C6139630}"/>
    <cellStyle name="Normal 4 4 4 2 5" xfId="2112" xr:uid="{00000000-0005-0000-0000-0000C2150000}"/>
    <cellStyle name="Normal 4 4 4 2 5 2" xfId="4341" xr:uid="{00000000-0005-0000-0000-0000C3150000}"/>
    <cellStyle name="Normal 4 4 4 2 5 2 2" xfId="8564" xr:uid="{00000000-0005-0000-0000-0000C4150000}"/>
    <cellStyle name="Normal 4 4 4 2 5 2 2 2" xfId="17003" xr:uid="{1F3AA521-38D5-4F83-B43C-56C55C564AFC}"/>
    <cellStyle name="Normal 4 4 4 2 5 2 3" xfId="12785" xr:uid="{B4C29066-410E-4CFC-8377-10BB3FE99921}"/>
    <cellStyle name="Normal 4 4 4 2 5 3" xfId="6419" xr:uid="{00000000-0005-0000-0000-0000C5150000}"/>
    <cellStyle name="Normal 4 4 4 2 5 3 2" xfId="14858" xr:uid="{00CE2D77-8EE5-468A-9A5B-8903994A28EA}"/>
    <cellStyle name="Normal 4 4 4 2 5 4" xfId="10640" xr:uid="{A15AC9B9-0AEF-4CD3-BC9C-A3548780C7F7}"/>
    <cellStyle name="Normal 4 4 4 2 6" xfId="2548" xr:uid="{00000000-0005-0000-0000-0000C6150000}"/>
    <cellStyle name="Normal 4 4 4 2 6 2" xfId="6832" xr:uid="{00000000-0005-0000-0000-0000C7150000}"/>
    <cellStyle name="Normal 4 4 4 2 6 2 2" xfId="15271" xr:uid="{867C36CC-BB3C-4BFA-859A-44843AB1CB19}"/>
    <cellStyle name="Normal 4 4 4 2 6 3" xfId="11053" xr:uid="{C386EDE7-755A-41C0-8439-DA0AE0CD57AF}"/>
    <cellStyle name="Normal 4 4 4 2 7" xfId="4767" xr:uid="{00000000-0005-0000-0000-0000C8150000}"/>
    <cellStyle name="Normal 4 4 4 2 7 2" xfId="13206" xr:uid="{6BE6DAA8-A221-4562-9ABE-98C2A077235E}"/>
    <cellStyle name="Normal 4 4 4 2 8" xfId="8988" xr:uid="{61C96310-9B35-4652-B4B0-4A982AC832D5}"/>
    <cellStyle name="Normal 4 4 4 3" xfId="866" xr:uid="{00000000-0005-0000-0000-0000C9150000}"/>
    <cellStyle name="Normal 4 4 4 3 2" xfId="3101" xr:uid="{00000000-0005-0000-0000-0000CA150000}"/>
    <cellStyle name="Normal 4 4 4 3 2 2" xfId="7324" xr:uid="{00000000-0005-0000-0000-0000CB150000}"/>
    <cellStyle name="Normal 4 4 4 3 2 2 2" xfId="15763" xr:uid="{277B7DE1-6887-4991-84D9-93FE793EDFA7}"/>
    <cellStyle name="Normal 4 4 4 3 2 3" xfId="11545" xr:uid="{9DEFB423-E126-4886-835D-A7B57CE54AC8}"/>
    <cellStyle name="Normal 4 4 4 3 3" xfId="5179" xr:uid="{00000000-0005-0000-0000-0000CC150000}"/>
    <cellStyle name="Normal 4 4 4 3 3 2" xfId="13618" xr:uid="{7D7F3F79-C41D-465C-A353-296444E27846}"/>
    <cellStyle name="Normal 4 4 4 3 4" xfId="9400" xr:uid="{83F20A1D-FB9F-4AC7-84B8-438B5687BB3E}"/>
    <cellStyle name="Normal 4 4 4 4" xfId="1284" xr:uid="{00000000-0005-0000-0000-0000CD150000}"/>
    <cellStyle name="Normal 4 4 4 4 2" xfId="3514" xr:uid="{00000000-0005-0000-0000-0000CE150000}"/>
    <cellStyle name="Normal 4 4 4 4 2 2" xfId="7737" xr:uid="{00000000-0005-0000-0000-0000CF150000}"/>
    <cellStyle name="Normal 4 4 4 4 2 2 2" xfId="16176" xr:uid="{48E5997F-476F-419D-B6E3-1FF2F741644E}"/>
    <cellStyle name="Normal 4 4 4 4 2 3" xfId="11958" xr:uid="{CAB68E2A-3533-4BC0-876B-FDC48B579B43}"/>
    <cellStyle name="Normal 4 4 4 4 3" xfId="5592" xr:uid="{00000000-0005-0000-0000-0000D0150000}"/>
    <cellStyle name="Normal 4 4 4 4 3 2" xfId="14031" xr:uid="{DAB279E3-A865-44E0-A970-29C92572F6C3}"/>
    <cellStyle name="Normal 4 4 4 4 4" xfId="9813" xr:uid="{6D6C3758-C297-4057-A467-61EE33E46D5F}"/>
    <cellStyle name="Normal 4 4 4 5" xfId="1697" xr:uid="{00000000-0005-0000-0000-0000D1150000}"/>
    <cellStyle name="Normal 4 4 4 5 2" xfId="3927" xr:uid="{00000000-0005-0000-0000-0000D2150000}"/>
    <cellStyle name="Normal 4 4 4 5 2 2" xfId="8150" xr:uid="{00000000-0005-0000-0000-0000D3150000}"/>
    <cellStyle name="Normal 4 4 4 5 2 2 2" xfId="16589" xr:uid="{CE4BCC5F-6BB5-41E3-AB3C-984F1E6FFE80}"/>
    <cellStyle name="Normal 4 4 4 5 2 3" xfId="12371" xr:uid="{23A7B944-58CE-4590-AF69-8FDC150BDDDA}"/>
    <cellStyle name="Normal 4 4 4 5 3" xfId="6005" xr:uid="{00000000-0005-0000-0000-0000D4150000}"/>
    <cellStyle name="Normal 4 4 4 5 3 2" xfId="14444" xr:uid="{962A659C-9CB5-4244-A6C0-9AFB64CB41CB}"/>
    <cellStyle name="Normal 4 4 4 5 4" xfId="10226" xr:uid="{73595149-1ECB-466A-AF13-A0503977A6AA}"/>
    <cellStyle name="Normal 4 4 4 6" xfId="2111" xr:uid="{00000000-0005-0000-0000-0000D5150000}"/>
    <cellStyle name="Normal 4 4 4 6 2" xfId="4340" xr:uid="{00000000-0005-0000-0000-0000D6150000}"/>
    <cellStyle name="Normal 4 4 4 6 2 2" xfId="8563" xr:uid="{00000000-0005-0000-0000-0000D7150000}"/>
    <cellStyle name="Normal 4 4 4 6 2 2 2" xfId="17002" xr:uid="{EE400EFD-AC69-4105-A04C-0BBA4356EC24}"/>
    <cellStyle name="Normal 4 4 4 6 2 3" xfId="12784" xr:uid="{90075384-CF79-42ED-AC05-A62753A8C475}"/>
    <cellStyle name="Normal 4 4 4 6 3" xfId="6418" xr:uid="{00000000-0005-0000-0000-0000D8150000}"/>
    <cellStyle name="Normal 4 4 4 6 3 2" xfId="14857" xr:uid="{6ABC44BC-4A96-4318-A174-5956741D72D5}"/>
    <cellStyle name="Normal 4 4 4 6 4" xfId="10639" xr:uid="{3923AB9C-1142-445D-BB55-E6CB4B890021}"/>
    <cellStyle name="Normal 4 4 4 7" xfId="2547" xr:uid="{00000000-0005-0000-0000-0000D9150000}"/>
    <cellStyle name="Normal 4 4 4 7 2" xfId="6831" xr:uid="{00000000-0005-0000-0000-0000DA150000}"/>
    <cellStyle name="Normal 4 4 4 7 2 2" xfId="15270" xr:uid="{31C104ED-6057-45CF-902B-9126E7B8ED31}"/>
    <cellStyle name="Normal 4 4 4 7 3" xfId="11052" xr:uid="{E8028424-E950-46B7-84A1-44ED79647E14}"/>
    <cellStyle name="Normal 4 4 4 8" xfId="4766" xr:uid="{00000000-0005-0000-0000-0000DB150000}"/>
    <cellStyle name="Normal 4 4 4 8 2" xfId="13205" xr:uid="{30AE6686-6819-4AC0-9E9D-1F77BAAE4DC2}"/>
    <cellStyle name="Normal 4 4 4 9" xfId="8987" xr:uid="{7BA8EB19-A565-4828-87E6-E9B0DA3CBDA5}"/>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2 2 2" xfId="15765" xr:uid="{98C8BA7A-71F3-42C4-9065-92CFBEF1822B}"/>
    <cellStyle name="Normal 4 4 5 2 2 3" xfId="11547" xr:uid="{AE99A05A-401D-4761-A5EB-82208649DBA7}"/>
    <cellStyle name="Normal 4 4 5 2 3" xfId="5181" xr:uid="{00000000-0005-0000-0000-0000E0150000}"/>
    <cellStyle name="Normal 4 4 5 2 3 2" xfId="13620" xr:uid="{E7315D71-E056-4FBB-A6C1-8442AF9D9EB2}"/>
    <cellStyle name="Normal 4 4 5 2 4" xfId="9402" xr:uid="{B22CCEF6-DC29-4AC7-B13E-55E6E6923DBE}"/>
    <cellStyle name="Normal 4 4 5 3" xfId="1286" xr:uid="{00000000-0005-0000-0000-0000E1150000}"/>
    <cellStyle name="Normal 4 4 5 3 2" xfId="3516" xr:uid="{00000000-0005-0000-0000-0000E2150000}"/>
    <cellStyle name="Normal 4 4 5 3 2 2" xfId="7739" xr:uid="{00000000-0005-0000-0000-0000E3150000}"/>
    <cellStyle name="Normal 4 4 5 3 2 2 2" xfId="16178" xr:uid="{F93F8A60-AA61-4C3B-AF07-68004359E840}"/>
    <cellStyle name="Normal 4 4 5 3 2 3" xfId="11960" xr:uid="{E86C97F1-372B-43D6-B0AD-E03D6E80709E}"/>
    <cellStyle name="Normal 4 4 5 3 3" xfId="5594" xr:uid="{00000000-0005-0000-0000-0000E4150000}"/>
    <cellStyle name="Normal 4 4 5 3 3 2" xfId="14033" xr:uid="{2E39C981-883D-427F-8532-8AC394FCC7DE}"/>
    <cellStyle name="Normal 4 4 5 3 4" xfId="9815" xr:uid="{C0E3C514-6E6F-48E4-BC3D-9A88D0F71FE7}"/>
    <cellStyle name="Normal 4 4 5 4" xfId="1699" xr:uid="{00000000-0005-0000-0000-0000E5150000}"/>
    <cellStyle name="Normal 4 4 5 4 2" xfId="3929" xr:uid="{00000000-0005-0000-0000-0000E6150000}"/>
    <cellStyle name="Normal 4 4 5 4 2 2" xfId="8152" xr:uid="{00000000-0005-0000-0000-0000E7150000}"/>
    <cellStyle name="Normal 4 4 5 4 2 2 2" xfId="16591" xr:uid="{CE4CBFA5-C4AF-4118-AF52-59301928DA0D}"/>
    <cellStyle name="Normal 4 4 5 4 2 3" xfId="12373" xr:uid="{DF2A791F-38AD-4FC4-8978-A448B7FA079B}"/>
    <cellStyle name="Normal 4 4 5 4 3" xfId="6007" xr:uid="{00000000-0005-0000-0000-0000E8150000}"/>
    <cellStyle name="Normal 4 4 5 4 3 2" xfId="14446" xr:uid="{3EB3305F-70D9-4B4F-A815-52ED2354A5BB}"/>
    <cellStyle name="Normal 4 4 5 4 4" xfId="10228" xr:uid="{CFB9459F-B166-46B6-B235-03B4AF060FEF}"/>
    <cellStyle name="Normal 4 4 5 5" xfId="2113" xr:uid="{00000000-0005-0000-0000-0000E9150000}"/>
    <cellStyle name="Normal 4 4 5 5 2" xfId="4342" xr:uid="{00000000-0005-0000-0000-0000EA150000}"/>
    <cellStyle name="Normal 4 4 5 5 2 2" xfId="8565" xr:uid="{00000000-0005-0000-0000-0000EB150000}"/>
    <cellStyle name="Normal 4 4 5 5 2 2 2" xfId="17004" xr:uid="{8EA6F831-8578-41BC-B776-6115335F09CA}"/>
    <cellStyle name="Normal 4 4 5 5 2 3" xfId="12786" xr:uid="{FE08B618-8ECD-41C7-AC56-5AC8CA1E6ACB}"/>
    <cellStyle name="Normal 4 4 5 5 3" xfId="6420" xr:uid="{00000000-0005-0000-0000-0000EC150000}"/>
    <cellStyle name="Normal 4 4 5 5 3 2" xfId="14859" xr:uid="{20D1F32F-BC5F-411A-8166-28EA6BC58490}"/>
    <cellStyle name="Normal 4 4 5 5 4" xfId="10641" xr:uid="{2EADB7C0-9B26-4DAB-B033-ED0B6A9A7797}"/>
    <cellStyle name="Normal 4 4 5 6" xfId="2549" xr:uid="{00000000-0005-0000-0000-0000ED150000}"/>
    <cellStyle name="Normal 4 4 5 6 2" xfId="6833" xr:uid="{00000000-0005-0000-0000-0000EE150000}"/>
    <cellStyle name="Normal 4 4 5 6 2 2" xfId="15272" xr:uid="{6477C8DF-C3CC-4694-8BE3-B665DA15841E}"/>
    <cellStyle name="Normal 4 4 5 6 3" xfId="11054" xr:uid="{083CDD8B-B69F-466D-A1F5-27D3EF9451B3}"/>
    <cellStyle name="Normal 4 4 5 7" xfId="4768" xr:uid="{00000000-0005-0000-0000-0000EF150000}"/>
    <cellStyle name="Normal 4 4 5 7 2" xfId="13207" xr:uid="{8DB4451D-9426-4BF2-AFD3-F2067E415ED6}"/>
    <cellStyle name="Normal 4 4 5 8" xfId="8989" xr:uid="{BE281BCB-FB7A-48BC-9163-480F2DC5F2D9}"/>
    <cellStyle name="Normal 4 4 6" xfId="853" xr:uid="{00000000-0005-0000-0000-0000F0150000}"/>
    <cellStyle name="Normal 4 4 6 2" xfId="3088" xr:uid="{00000000-0005-0000-0000-0000F1150000}"/>
    <cellStyle name="Normal 4 4 6 2 2" xfId="7311" xr:uid="{00000000-0005-0000-0000-0000F2150000}"/>
    <cellStyle name="Normal 4 4 6 2 2 2" xfId="15750" xr:uid="{C72D3AA5-7E12-4405-B5DA-99C08D52B596}"/>
    <cellStyle name="Normal 4 4 6 2 3" xfId="11532" xr:uid="{03DA5561-B368-43FB-9629-E2292A091749}"/>
    <cellStyle name="Normal 4 4 6 3" xfId="5166" xr:uid="{00000000-0005-0000-0000-0000F3150000}"/>
    <cellStyle name="Normal 4 4 6 3 2" xfId="13605" xr:uid="{D3CD3C9A-0C33-416B-81AF-9D37AF8E0EF2}"/>
    <cellStyle name="Normal 4 4 6 4" xfId="9387" xr:uid="{65C3D36A-B01F-4424-ADF7-3A52675DD875}"/>
    <cellStyle name="Normal 4 4 7" xfId="1271" xr:uid="{00000000-0005-0000-0000-0000F4150000}"/>
    <cellStyle name="Normal 4 4 7 2" xfId="3501" xr:uid="{00000000-0005-0000-0000-0000F5150000}"/>
    <cellStyle name="Normal 4 4 7 2 2" xfId="7724" xr:uid="{00000000-0005-0000-0000-0000F6150000}"/>
    <cellStyle name="Normal 4 4 7 2 2 2" xfId="16163" xr:uid="{A2F48300-7565-4AAC-A244-52DD0E730719}"/>
    <cellStyle name="Normal 4 4 7 2 3" xfId="11945" xr:uid="{8101278C-2014-420A-8465-E050C0FAB274}"/>
    <cellStyle name="Normal 4 4 7 3" xfId="5579" xr:uid="{00000000-0005-0000-0000-0000F7150000}"/>
    <cellStyle name="Normal 4 4 7 3 2" xfId="14018" xr:uid="{16C1CA7F-E341-40C8-BC4A-FC22D07882F3}"/>
    <cellStyle name="Normal 4 4 7 4" xfId="9800" xr:uid="{900EB3AF-7014-4E78-9EB0-ACDB3554EF6E}"/>
    <cellStyle name="Normal 4 4 8" xfId="1684" xr:uid="{00000000-0005-0000-0000-0000F8150000}"/>
    <cellStyle name="Normal 4 4 8 2" xfId="3914" xr:uid="{00000000-0005-0000-0000-0000F9150000}"/>
    <cellStyle name="Normal 4 4 8 2 2" xfId="8137" xr:uid="{00000000-0005-0000-0000-0000FA150000}"/>
    <cellStyle name="Normal 4 4 8 2 2 2" xfId="16576" xr:uid="{B4362D17-4CB8-4672-BD40-1229C41F44B2}"/>
    <cellStyle name="Normal 4 4 8 2 3" xfId="12358" xr:uid="{0D7EF78C-41E7-4EBB-AFF1-7DCB4B9126B6}"/>
    <cellStyle name="Normal 4 4 8 3" xfId="5992" xr:uid="{00000000-0005-0000-0000-0000FB150000}"/>
    <cellStyle name="Normal 4 4 8 3 2" xfId="14431" xr:uid="{0E2C6E83-4E6E-4CDB-B29C-89F99F8CD2E8}"/>
    <cellStyle name="Normal 4 4 8 4" xfId="10213" xr:uid="{D29C1FCB-130B-4E74-8409-792CF904666D}"/>
    <cellStyle name="Normal 4 4 9" xfId="2098" xr:uid="{00000000-0005-0000-0000-0000FC150000}"/>
    <cellStyle name="Normal 4 4 9 2" xfId="4327" xr:uid="{00000000-0005-0000-0000-0000FD150000}"/>
    <cellStyle name="Normal 4 4 9 2 2" xfId="8550" xr:uid="{00000000-0005-0000-0000-0000FE150000}"/>
    <cellStyle name="Normal 4 4 9 2 2 2" xfId="16989" xr:uid="{E42FCEDD-47A8-4BC9-BE41-AAC2FD0FA13C}"/>
    <cellStyle name="Normal 4 4 9 2 3" xfId="12771" xr:uid="{E17FC9EE-02E8-44DD-B926-ABA559E1BB4F}"/>
    <cellStyle name="Normal 4 4 9 3" xfId="6405" xr:uid="{00000000-0005-0000-0000-0000FF150000}"/>
    <cellStyle name="Normal 4 4 9 3 2" xfId="14844" xr:uid="{9CC12E88-76D3-4623-A4B3-DE8A716BC728}"/>
    <cellStyle name="Normal 4 4 9 4" xfId="10626" xr:uid="{28E09B00-3A63-45AC-B198-D218B54CEE20}"/>
    <cellStyle name="Normal 4 5" xfId="394" xr:uid="{00000000-0005-0000-0000-000000160000}"/>
    <cellStyle name="Normal 4 6" xfId="395" xr:uid="{00000000-0005-0000-0000-000001160000}"/>
    <cellStyle name="Normal 4 6 10" xfId="4769" xr:uid="{00000000-0005-0000-0000-000002160000}"/>
    <cellStyle name="Normal 4 6 10 2" xfId="13208" xr:uid="{A2A8AE5D-534B-4658-A750-95368B08D020}"/>
    <cellStyle name="Normal 4 6 11" xfId="8990" xr:uid="{10176A4A-5DE2-4232-A330-D64FB8C92DDC}"/>
    <cellStyle name="Normal 4 6 2" xfId="396" xr:uid="{00000000-0005-0000-0000-000003160000}"/>
    <cellStyle name="Normal 4 6 2 10" xfId="8991" xr:uid="{36446A21-1499-4608-A90F-7DC71CDF9E69}"/>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2 2 2" xfId="15769" xr:uid="{30E905E7-FF74-44EF-A630-3F30477890D6}"/>
    <cellStyle name="Normal 4 6 2 2 2 2 2 3" xfId="11551" xr:uid="{D5E8682C-3D84-4004-A186-C394D5D69C9D}"/>
    <cellStyle name="Normal 4 6 2 2 2 2 3" xfId="5185" xr:uid="{00000000-0005-0000-0000-000009160000}"/>
    <cellStyle name="Normal 4 6 2 2 2 2 3 2" xfId="13624" xr:uid="{0D91D604-AA04-47AB-990F-11890FA756B5}"/>
    <cellStyle name="Normal 4 6 2 2 2 2 4" xfId="9406" xr:uid="{1AE814CE-65CE-49B9-8B6D-B5FAC9820662}"/>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2 2 2" xfId="16182" xr:uid="{A8365DB0-B002-4861-A9D0-5EDCA26F1829}"/>
    <cellStyle name="Normal 4 6 2 2 2 3 2 3" xfId="11964" xr:uid="{1AB37FE9-6FE9-4905-9A49-2C810568DE43}"/>
    <cellStyle name="Normal 4 6 2 2 2 3 3" xfId="5598" xr:uid="{00000000-0005-0000-0000-00000D160000}"/>
    <cellStyle name="Normal 4 6 2 2 2 3 3 2" xfId="14037" xr:uid="{4D90800E-0970-4AB4-8342-D58B0F5A2311}"/>
    <cellStyle name="Normal 4 6 2 2 2 3 4" xfId="9819" xr:uid="{63402E29-8911-4739-8581-A340666FC0F2}"/>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2 2 2" xfId="16595" xr:uid="{8FC1D412-BC80-4135-8378-CBA8DF326725}"/>
    <cellStyle name="Normal 4 6 2 2 2 4 2 3" xfId="12377" xr:uid="{8A7AE508-6D2E-4C05-9823-A64D916AADEA}"/>
    <cellStyle name="Normal 4 6 2 2 2 4 3" xfId="6011" xr:uid="{00000000-0005-0000-0000-000011160000}"/>
    <cellStyle name="Normal 4 6 2 2 2 4 3 2" xfId="14450" xr:uid="{A9766769-903D-498A-A5FA-A1E541CBFCBE}"/>
    <cellStyle name="Normal 4 6 2 2 2 4 4" xfId="10232" xr:uid="{ABBBA588-5A8F-46CF-AA21-E9D711FF0383}"/>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2 2 2" xfId="17008" xr:uid="{8D00AF63-8309-4F4A-99E1-455C0F83798C}"/>
    <cellStyle name="Normal 4 6 2 2 2 5 2 3" xfId="12790" xr:uid="{BDD0F326-7289-4EE8-AAB7-4CF0A19DAA75}"/>
    <cellStyle name="Normal 4 6 2 2 2 5 3" xfId="6424" xr:uid="{00000000-0005-0000-0000-000015160000}"/>
    <cellStyle name="Normal 4 6 2 2 2 5 3 2" xfId="14863" xr:uid="{2CA48C7E-2613-466E-A471-76ED5E68F9AD}"/>
    <cellStyle name="Normal 4 6 2 2 2 5 4" xfId="10645" xr:uid="{EB27186B-9A7D-4EF6-BB56-A2164A40B131}"/>
    <cellStyle name="Normal 4 6 2 2 2 6" xfId="2553" xr:uid="{00000000-0005-0000-0000-000016160000}"/>
    <cellStyle name="Normal 4 6 2 2 2 6 2" xfId="6837" xr:uid="{00000000-0005-0000-0000-000017160000}"/>
    <cellStyle name="Normal 4 6 2 2 2 6 2 2" xfId="15276" xr:uid="{C5825A50-9516-4B25-91C5-946659C7ABCD}"/>
    <cellStyle name="Normal 4 6 2 2 2 6 3" xfId="11058" xr:uid="{03EDAE5A-1EE8-4057-B859-FEF36FC43A5B}"/>
    <cellStyle name="Normal 4 6 2 2 2 7" xfId="4772" xr:uid="{00000000-0005-0000-0000-000018160000}"/>
    <cellStyle name="Normal 4 6 2 2 2 7 2" xfId="13211" xr:uid="{759CC044-8743-40EE-A817-00F6342D1525}"/>
    <cellStyle name="Normal 4 6 2 2 2 8" xfId="8993" xr:uid="{E78A6711-61D0-46F4-ACB0-8F004850B165}"/>
    <cellStyle name="Normal 4 6 2 2 3" xfId="871" xr:uid="{00000000-0005-0000-0000-000019160000}"/>
    <cellStyle name="Normal 4 6 2 2 3 2" xfId="3106" xr:uid="{00000000-0005-0000-0000-00001A160000}"/>
    <cellStyle name="Normal 4 6 2 2 3 2 2" xfId="7329" xr:uid="{00000000-0005-0000-0000-00001B160000}"/>
    <cellStyle name="Normal 4 6 2 2 3 2 2 2" xfId="15768" xr:uid="{202727DF-E612-4209-A4A9-D96AC84CCB42}"/>
    <cellStyle name="Normal 4 6 2 2 3 2 3" xfId="11550" xr:uid="{C7E2F3CF-085C-4551-980D-215057D6A667}"/>
    <cellStyle name="Normal 4 6 2 2 3 3" xfId="5184" xr:uid="{00000000-0005-0000-0000-00001C160000}"/>
    <cellStyle name="Normal 4 6 2 2 3 3 2" xfId="13623" xr:uid="{E3993FCC-0BC0-4C88-99BF-32BF602DF205}"/>
    <cellStyle name="Normal 4 6 2 2 3 4" xfId="9405" xr:uid="{9C780DEB-EC5F-48D3-86E9-410974D5DD59}"/>
    <cellStyle name="Normal 4 6 2 2 4" xfId="1289" xr:uid="{00000000-0005-0000-0000-00001D160000}"/>
    <cellStyle name="Normal 4 6 2 2 4 2" xfId="3519" xr:uid="{00000000-0005-0000-0000-00001E160000}"/>
    <cellStyle name="Normal 4 6 2 2 4 2 2" xfId="7742" xr:uid="{00000000-0005-0000-0000-00001F160000}"/>
    <cellStyle name="Normal 4 6 2 2 4 2 2 2" xfId="16181" xr:uid="{BD5DF964-EDED-46EB-A511-DB2B8846CE07}"/>
    <cellStyle name="Normal 4 6 2 2 4 2 3" xfId="11963" xr:uid="{47C2BA07-5F77-4FEE-B1E2-8D8E603478C9}"/>
    <cellStyle name="Normal 4 6 2 2 4 3" xfId="5597" xr:uid="{00000000-0005-0000-0000-000020160000}"/>
    <cellStyle name="Normal 4 6 2 2 4 3 2" xfId="14036" xr:uid="{2990C6EF-B5F1-4B0B-BCEE-A5342B203732}"/>
    <cellStyle name="Normal 4 6 2 2 4 4" xfId="9818" xr:uid="{C1CDF18B-58BE-4021-B07B-623540705924}"/>
    <cellStyle name="Normal 4 6 2 2 5" xfId="1702" xr:uid="{00000000-0005-0000-0000-000021160000}"/>
    <cellStyle name="Normal 4 6 2 2 5 2" xfId="3932" xr:uid="{00000000-0005-0000-0000-000022160000}"/>
    <cellStyle name="Normal 4 6 2 2 5 2 2" xfId="8155" xr:uid="{00000000-0005-0000-0000-000023160000}"/>
    <cellStyle name="Normal 4 6 2 2 5 2 2 2" xfId="16594" xr:uid="{A23CCDA0-F505-46A0-A5AF-1E4DD11F77BC}"/>
    <cellStyle name="Normal 4 6 2 2 5 2 3" xfId="12376" xr:uid="{710B0599-A9B5-47A4-87C1-E927E34C765F}"/>
    <cellStyle name="Normal 4 6 2 2 5 3" xfId="6010" xr:uid="{00000000-0005-0000-0000-000024160000}"/>
    <cellStyle name="Normal 4 6 2 2 5 3 2" xfId="14449" xr:uid="{E373F6E6-81BC-42CF-9431-926B27A1CBB9}"/>
    <cellStyle name="Normal 4 6 2 2 5 4" xfId="10231" xr:uid="{BEE3E936-F401-4AD8-AEA1-3BC8A1E87E8E}"/>
    <cellStyle name="Normal 4 6 2 2 6" xfId="2116" xr:uid="{00000000-0005-0000-0000-000025160000}"/>
    <cellStyle name="Normal 4 6 2 2 6 2" xfId="4345" xr:uid="{00000000-0005-0000-0000-000026160000}"/>
    <cellStyle name="Normal 4 6 2 2 6 2 2" xfId="8568" xr:uid="{00000000-0005-0000-0000-000027160000}"/>
    <cellStyle name="Normal 4 6 2 2 6 2 2 2" xfId="17007" xr:uid="{46D95F67-6CDD-44A2-8F85-EB584D89511A}"/>
    <cellStyle name="Normal 4 6 2 2 6 2 3" xfId="12789" xr:uid="{8C32B6F3-B0DF-47FD-AF14-1B2E8956795D}"/>
    <cellStyle name="Normal 4 6 2 2 6 3" xfId="6423" xr:uid="{00000000-0005-0000-0000-000028160000}"/>
    <cellStyle name="Normal 4 6 2 2 6 3 2" xfId="14862" xr:uid="{B80FF0EB-6DDF-4652-B568-F63382080BB4}"/>
    <cellStyle name="Normal 4 6 2 2 6 4" xfId="10644" xr:uid="{90308343-7522-4F74-828D-DC8A33729CB2}"/>
    <cellStyle name="Normal 4 6 2 2 7" xfId="2552" xr:uid="{00000000-0005-0000-0000-000029160000}"/>
    <cellStyle name="Normal 4 6 2 2 7 2" xfId="6836" xr:uid="{00000000-0005-0000-0000-00002A160000}"/>
    <cellStyle name="Normal 4 6 2 2 7 2 2" xfId="15275" xr:uid="{4373346B-6B46-41B7-AAF2-630FDC3C87D3}"/>
    <cellStyle name="Normal 4 6 2 2 7 3" xfId="11057" xr:uid="{19C4E8B6-09B7-4559-B70B-42DF516D444F}"/>
    <cellStyle name="Normal 4 6 2 2 8" xfId="4771" xr:uid="{00000000-0005-0000-0000-00002B160000}"/>
    <cellStyle name="Normal 4 6 2 2 8 2" xfId="13210" xr:uid="{15D12C2F-A4E3-4DBA-ACDF-0369CD40906D}"/>
    <cellStyle name="Normal 4 6 2 2 9" xfId="8992" xr:uid="{E46F9EBB-9D12-4DD9-B1A9-A2E10E2CA4AA}"/>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2 2 2" xfId="15770" xr:uid="{06F09AD4-677B-4262-9670-2FC358D26831}"/>
    <cellStyle name="Normal 4 6 2 3 2 2 3" xfId="11552" xr:uid="{68268B82-A444-4346-A981-7CB1E1F9204C}"/>
    <cellStyle name="Normal 4 6 2 3 2 3" xfId="5186" xr:uid="{00000000-0005-0000-0000-000030160000}"/>
    <cellStyle name="Normal 4 6 2 3 2 3 2" xfId="13625" xr:uid="{B364D7CF-BB90-4242-A653-EAF6F5E44D85}"/>
    <cellStyle name="Normal 4 6 2 3 2 4" xfId="9407" xr:uid="{FF587DC1-28CE-4C5A-AEF7-348261B42801}"/>
    <cellStyle name="Normal 4 6 2 3 3" xfId="1291" xr:uid="{00000000-0005-0000-0000-000031160000}"/>
    <cellStyle name="Normal 4 6 2 3 3 2" xfId="3521" xr:uid="{00000000-0005-0000-0000-000032160000}"/>
    <cellStyle name="Normal 4 6 2 3 3 2 2" xfId="7744" xr:uid="{00000000-0005-0000-0000-000033160000}"/>
    <cellStyle name="Normal 4 6 2 3 3 2 2 2" xfId="16183" xr:uid="{FB582A56-FDC7-4AA1-8DC4-35597C148D2A}"/>
    <cellStyle name="Normal 4 6 2 3 3 2 3" xfId="11965" xr:uid="{204E7243-3133-4D07-858C-C954C273D10F}"/>
    <cellStyle name="Normal 4 6 2 3 3 3" xfId="5599" xr:uid="{00000000-0005-0000-0000-000034160000}"/>
    <cellStyle name="Normal 4 6 2 3 3 3 2" xfId="14038" xr:uid="{2628FAC1-2B12-4D08-903A-F9BDF00780C8}"/>
    <cellStyle name="Normal 4 6 2 3 3 4" xfId="9820" xr:uid="{F444B83A-1CDA-4AA2-9A61-77E737ADD163}"/>
    <cellStyle name="Normal 4 6 2 3 4" xfId="1704" xr:uid="{00000000-0005-0000-0000-000035160000}"/>
    <cellStyle name="Normal 4 6 2 3 4 2" xfId="3934" xr:uid="{00000000-0005-0000-0000-000036160000}"/>
    <cellStyle name="Normal 4 6 2 3 4 2 2" xfId="8157" xr:uid="{00000000-0005-0000-0000-000037160000}"/>
    <cellStyle name="Normal 4 6 2 3 4 2 2 2" xfId="16596" xr:uid="{834697CB-D757-411C-A118-479DDFC3E432}"/>
    <cellStyle name="Normal 4 6 2 3 4 2 3" xfId="12378" xr:uid="{78C9C817-13B1-4055-8535-6CAA28087410}"/>
    <cellStyle name="Normal 4 6 2 3 4 3" xfId="6012" xr:uid="{00000000-0005-0000-0000-000038160000}"/>
    <cellStyle name="Normal 4 6 2 3 4 3 2" xfId="14451" xr:uid="{28A182F3-BB0F-4F73-873A-7B4E720A9759}"/>
    <cellStyle name="Normal 4 6 2 3 4 4" xfId="10233" xr:uid="{963A96FE-949A-4A9D-BEDA-8E385B4031C7}"/>
    <cellStyle name="Normal 4 6 2 3 5" xfId="2118" xr:uid="{00000000-0005-0000-0000-000039160000}"/>
    <cellStyle name="Normal 4 6 2 3 5 2" xfId="4347" xr:uid="{00000000-0005-0000-0000-00003A160000}"/>
    <cellStyle name="Normal 4 6 2 3 5 2 2" xfId="8570" xr:uid="{00000000-0005-0000-0000-00003B160000}"/>
    <cellStyle name="Normal 4 6 2 3 5 2 2 2" xfId="17009" xr:uid="{C7206146-E4FA-4FFB-93D3-808BF9F2578C}"/>
    <cellStyle name="Normal 4 6 2 3 5 2 3" xfId="12791" xr:uid="{6D2C4F27-E144-46E7-8F3E-6BCE13BCD805}"/>
    <cellStyle name="Normal 4 6 2 3 5 3" xfId="6425" xr:uid="{00000000-0005-0000-0000-00003C160000}"/>
    <cellStyle name="Normal 4 6 2 3 5 3 2" xfId="14864" xr:uid="{05E9BC82-3B23-427F-BC6D-1F0D0BB605ED}"/>
    <cellStyle name="Normal 4 6 2 3 5 4" xfId="10646" xr:uid="{16946715-0249-467A-90EF-75F28F1A135F}"/>
    <cellStyle name="Normal 4 6 2 3 6" xfId="2554" xr:uid="{00000000-0005-0000-0000-00003D160000}"/>
    <cellStyle name="Normal 4 6 2 3 6 2" xfId="6838" xr:uid="{00000000-0005-0000-0000-00003E160000}"/>
    <cellStyle name="Normal 4 6 2 3 6 2 2" xfId="15277" xr:uid="{7267588D-4A31-4F18-9268-EA14287B49C3}"/>
    <cellStyle name="Normal 4 6 2 3 6 3" xfId="11059" xr:uid="{3D112C36-9443-4F3A-81E6-192B82610D04}"/>
    <cellStyle name="Normal 4 6 2 3 7" xfId="4773" xr:uid="{00000000-0005-0000-0000-00003F160000}"/>
    <cellStyle name="Normal 4 6 2 3 7 2" xfId="13212" xr:uid="{DFD67E95-656D-46E8-AC10-DC38999BA57C}"/>
    <cellStyle name="Normal 4 6 2 3 8" xfId="8994" xr:uid="{076F5A54-7CD1-41F1-B827-1A88531B6AE6}"/>
    <cellStyle name="Normal 4 6 2 4" xfId="870" xr:uid="{00000000-0005-0000-0000-000040160000}"/>
    <cellStyle name="Normal 4 6 2 4 2" xfId="3105" xr:uid="{00000000-0005-0000-0000-000041160000}"/>
    <cellStyle name="Normal 4 6 2 4 2 2" xfId="7328" xr:uid="{00000000-0005-0000-0000-000042160000}"/>
    <cellStyle name="Normal 4 6 2 4 2 2 2" xfId="15767" xr:uid="{AF03B85B-3BED-48AC-BFDA-DC95D167F686}"/>
    <cellStyle name="Normal 4 6 2 4 2 3" xfId="11549" xr:uid="{C57E1DBB-6144-4B43-9236-C2BB9B0907A3}"/>
    <cellStyle name="Normal 4 6 2 4 3" xfId="5183" xr:uid="{00000000-0005-0000-0000-000043160000}"/>
    <cellStyle name="Normal 4 6 2 4 3 2" xfId="13622" xr:uid="{74F5671D-4130-4179-B66F-BCA4BA6B2CDC}"/>
    <cellStyle name="Normal 4 6 2 4 4" xfId="9404" xr:uid="{2F1D84B4-0653-4E37-AA5A-0CDFACB2B6CF}"/>
    <cellStyle name="Normal 4 6 2 5" xfId="1288" xr:uid="{00000000-0005-0000-0000-000044160000}"/>
    <cellStyle name="Normal 4 6 2 5 2" xfId="3518" xr:uid="{00000000-0005-0000-0000-000045160000}"/>
    <cellStyle name="Normal 4 6 2 5 2 2" xfId="7741" xr:uid="{00000000-0005-0000-0000-000046160000}"/>
    <cellStyle name="Normal 4 6 2 5 2 2 2" xfId="16180" xr:uid="{22ED176B-7EB0-487C-8DFA-8BED54E20F35}"/>
    <cellStyle name="Normal 4 6 2 5 2 3" xfId="11962" xr:uid="{B0E87286-9233-48B3-ABFF-64D6E13B3DDD}"/>
    <cellStyle name="Normal 4 6 2 5 3" xfId="5596" xr:uid="{00000000-0005-0000-0000-000047160000}"/>
    <cellStyle name="Normal 4 6 2 5 3 2" xfId="14035" xr:uid="{AD551CF4-08F7-4154-85F1-520DF0404CC3}"/>
    <cellStyle name="Normal 4 6 2 5 4" xfId="9817" xr:uid="{8A074F76-72FB-4AB9-A4B4-452FCC9DD721}"/>
    <cellStyle name="Normal 4 6 2 6" xfId="1701" xr:uid="{00000000-0005-0000-0000-000048160000}"/>
    <cellStyle name="Normal 4 6 2 6 2" xfId="3931" xr:uid="{00000000-0005-0000-0000-000049160000}"/>
    <cellStyle name="Normal 4 6 2 6 2 2" xfId="8154" xr:uid="{00000000-0005-0000-0000-00004A160000}"/>
    <cellStyle name="Normal 4 6 2 6 2 2 2" xfId="16593" xr:uid="{C1A269AA-2ABD-49EB-8684-45103AA35E64}"/>
    <cellStyle name="Normal 4 6 2 6 2 3" xfId="12375" xr:uid="{AB74E3E2-A344-42FE-AD3F-13397A112ABA}"/>
    <cellStyle name="Normal 4 6 2 6 3" xfId="6009" xr:uid="{00000000-0005-0000-0000-00004B160000}"/>
    <cellStyle name="Normal 4 6 2 6 3 2" xfId="14448" xr:uid="{A81664A1-131E-466F-AC43-7FAC1D37A1F5}"/>
    <cellStyle name="Normal 4 6 2 6 4" xfId="10230" xr:uid="{7F645832-08C6-4FBE-81CE-BF918676BF1D}"/>
    <cellStyle name="Normal 4 6 2 7" xfId="2115" xr:uid="{00000000-0005-0000-0000-00004C160000}"/>
    <cellStyle name="Normal 4 6 2 7 2" xfId="4344" xr:uid="{00000000-0005-0000-0000-00004D160000}"/>
    <cellStyle name="Normal 4 6 2 7 2 2" xfId="8567" xr:uid="{00000000-0005-0000-0000-00004E160000}"/>
    <cellStyle name="Normal 4 6 2 7 2 2 2" xfId="17006" xr:uid="{7656F4B5-651F-4019-B618-DDE2C7815595}"/>
    <cellStyle name="Normal 4 6 2 7 2 3" xfId="12788" xr:uid="{B9AC9C7F-C686-466D-AB9D-CA002C1992C6}"/>
    <cellStyle name="Normal 4 6 2 7 3" xfId="6422" xr:uid="{00000000-0005-0000-0000-00004F160000}"/>
    <cellStyle name="Normal 4 6 2 7 3 2" xfId="14861" xr:uid="{8923ED4B-027E-4EFC-AD81-326636320B20}"/>
    <cellStyle name="Normal 4 6 2 7 4" xfId="10643" xr:uid="{29A24975-D9B9-410C-862F-006D8F0D9E35}"/>
    <cellStyle name="Normal 4 6 2 8" xfId="2551" xr:uid="{00000000-0005-0000-0000-000050160000}"/>
    <cellStyle name="Normal 4 6 2 8 2" xfId="6835" xr:uid="{00000000-0005-0000-0000-000051160000}"/>
    <cellStyle name="Normal 4 6 2 8 2 2" xfId="15274" xr:uid="{B974D54F-F309-4E64-94B2-53A64CF48556}"/>
    <cellStyle name="Normal 4 6 2 8 3" xfId="11056" xr:uid="{D7CC8689-13C0-417E-A8BD-E9A176617010}"/>
    <cellStyle name="Normal 4 6 2 9" xfId="4770" xr:uid="{00000000-0005-0000-0000-000052160000}"/>
    <cellStyle name="Normal 4 6 2 9 2" xfId="13209" xr:uid="{07FDB896-4DD6-48B8-B37F-7C656102738A}"/>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2 2 2" xfId="15772" xr:uid="{25EA3C0F-7AFD-4ADE-B659-FD077EDBCDE9}"/>
    <cellStyle name="Normal 4 6 3 2 2 2 3" xfId="11554" xr:uid="{0A27EC85-1738-4962-B30C-503E5720F366}"/>
    <cellStyle name="Normal 4 6 3 2 2 3" xfId="5188" xr:uid="{00000000-0005-0000-0000-000058160000}"/>
    <cellStyle name="Normal 4 6 3 2 2 3 2" xfId="13627" xr:uid="{314AEA61-5ED8-436D-8238-BBA03BD8A482}"/>
    <cellStyle name="Normal 4 6 3 2 2 4" xfId="9409" xr:uid="{16828D5C-186D-469C-8478-C57EC9F56EBF}"/>
    <cellStyle name="Normal 4 6 3 2 3" xfId="1293" xr:uid="{00000000-0005-0000-0000-000059160000}"/>
    <cellStyle name="Normal 4 6 3 2 3 2" xfId="3523" xr:uid="{00000000-0005-0000-0000-00005A160000}"/>
    <cellStyle name="Normal 4 6 3 2 3 2 2" xfId="7746" xr:uid="{00000000-0005-0000-0000-00005B160000}"/>
    <cellStyle name="Normal 4 6 3 2 3 2 2 2" xfId="16185" xr:uid="{C5889AFC-6E26-4FB1-9DE4-CA183385F362}"/>
    <cellStyle name="Normal 4 6 3 2 3 2 3" xfId="11967" xr:uid="{3168CC91-E0EC-4BCD-A10D-CC175B9E2FDD}"/>
    <cellStyle name="Normal 4 6 3 2 3 3" xfId="5601" xr:uid="{00000000-0005-0000-0000-00005C160000}"/>
    <cellStyle name="Normal 4 6 3 2 3 3 2" xfId="14040" xr:uid="{3BC0190C-9755-4699-BCFC-EEFB0207746F}"/>
    <cellStyle name="Normal 4 6 3 2 3 4" xfId="9822" xr:uid="{65B07DEE-7CDC-4608-91AB-AB6625FED76E}"/>
    <cellStyle name="Normal 4 6 3 2 4" xfId="1706" xr:uid="{00000000-0005-0000-0000-00005D160000}"/>
    <cellStyle name="Normal 4 6 3 2 4 2" xfId="3936" xr:uid="{00000000-0005-0000-0000-00005E160000}"/>
    <cellStyle name="Normal 4 6 3 2 4 2 2" xfId="8159" xr:uid="{00000000-0005-0000-0000-00005F160000}"/>
    <cellStyle name="Normal 4 6 3 2 4 2 2 2" xfId="16598" xr:uid="{BCA52E64-C411-41C5-B8E4-B521C56198CD}"/>
    <cellStyle name="Normal 4 6 3 2 4 2 3" xfId="12380" xr:uid="{608FC9D8-38E7-4727-B807-AEC4940FA842}"/>
    <cellStyle name="Normal 4 6 3 2 4 3" xfId="6014" xr:uid="{00000000-0005-0000-0000-000060160000}"/>
    <cellStyle name="Normal 4 6 3 2 4 3 2" xfId="14453" xr:uid="{4BFBB10F-DD5A-4476-A44A-6177490BAB39}"/>
    <cellStyle name="Normal 4 6 3 2 4 4" xfId="10235" xr:uid="{C6D75097-7FD7-40AE-A5A0-D49FB6EEF857}"/>
    <cellStyle name="Normal 4 6 3 2 5" xfId="2120" xr:uid="{00000000-0005-0000-0000-000061160000}"/>
    <cellStyle name="Normal 4 6 3 2 5 2" xfId="4349" xr:uid="{00000000-0005-0000-0000-000062160000}"/>
    <cellStyle name="Normal 4 6 3 2 5 2 2" xfId="8572" xr:uid="{00000000-0005-0000-0000-000063160000}"/>
    <cellStyle name="Normal 4 6 3 2 5 2 2 2" xfId="17011" xr:uid="{BF958C7C-ECF9-46B9-8CA2-AFB224E6BFCF}"/>
    <cellStyle name="Normal 4 6 3 2 5 2 3" xfId="12793" xr:uid="{A3BCC594-D905-46A6-BA10-F0B3EDAF7436}"/>
    <cellStyle name="Normal 4 6 3 2 5 3" xfId="6427" xr:uid="{00000000-0005-0000-0000-000064160000}"/>
    <cellStyle name="Normal 4 6 3 2 5 3 2" xfId="14866" xr:uid="{5FC61611-FB33-4D0F-9F76-78D609E4B807}"/>
    <cellStyle name="Normal 4 6 3 2 5 4" xfId="10648" xr:uid="{F49B3FE0-B041-4BC2-B12B-1D0B7192D51F}"/>
    <cellStyle name="Normal 4 6 3 2 6" xfId="2556" xr:uid="{00000000-0005-0000-0000-000065160000}"/>
    <cellStyle name="Normal 4 6 3 2 6 2" xfId="6840" xr:uid="{00000000-0005-0000-0000-000066160000}"/>
    <cellStyle name="Normal 4 6 3 2 6 2 2" xfId="15279" xr:uid="{105F077D-AEEB-4182-92A8-39133AD92D33}"/>
    <cellStyle name="Normal 4 6 3 2 6 3" xfId="11061" xr:uid="{84E44830-7F08-46BF-835E-31BEE3A64F22}"/>
    <cellStyle name="Normal 4 6 3 2 7" xfId="4775" xr:uid="{00000000-0005-0000-0000-000067160000}"/>
    <cellStyle name="Normal 4 6 3 2 7 2" xfId="13214" xr:uid="{64C412A1-3830-4DEB-887D-45554AEA9607}"/>
    <cellStyle name="Normal 4 6 3 2 8" xfId="8996" xr:uid="{5B82D21A-A405-4831-815D-C21EC68E7678}"/>
    <cellStyle name="Normal 4 6 3 3" xfId="874" xr:uid="{00000000-0005-0000-0000-000068160000}"/>
    <cellStyle name="Normal 4 6 3 3 2" xfId="3109" xr:uid="{00000000-0005-0000-0000-000069160000}"/>
    <cellStyle name="Normal 4 6 3 3 2 2" xfId="7332" xr:uid="{00000000-0005-0000-0000-00006A160000}"/>
    <cellStyle name="Normal 4 6 3 3 2 2 2" xfId="15771" xr:uid="{D828A970-6AA7-4BD2-AB4C-8428DA09D55C}"/>
    <cellStyle name="Normal 4 6 3 3 2 3" xfId="11553" xr:uid="{D1A176B8-4607-45F3-BC17-4A47F0864789}"/>
    <cellStyle name="Normal 4 6 3 3 3" xfId="5187" xr:uid="{00000000-0005-0000-0000-00006B160000}"/>
    <cellStyle name="Normal 4 6 3 3 3 2" xfId="13626" xr:uid="{73CC0053-7117-41FD-B91E-1083BCCE0955}"/>
    <cellStyle name="Normal 4 6 3 3 4" xfId="9408" xr:uid="{0B47C4E2-8CD1-45BA-A7A0-4D1E0BDA1CBC}"/>
    <cellStyle name="Normal 4 6 3 4" xfId="1292" xr:uid="{00000000-0005-0000-0000-00006C160000}"/>
    <cellStyle name="Normal 4 6 3 4 2" xfId="3522" xr:uid="{00000000-0005-0000-0000-00006D160000}"/>
    <cellStyle name="Normal 4 6 3 4 2 2" xfId="7745" xr:uid="{00000000-0005-0000-0000-00006E160000}"/>
    <cellStyle name="Normal 4 6 3 4 2 2 2" xfId="16184" xr:uid="{69A84D5E-355F-47AD-8463-17990C9F50CE}"/>
    <cellStyle name="Normal 4 6 3 4 2 3" xfId="11966" xr:uid="{F9F70C53-49C7-4103-8DF3-30B1B5E0B964}"/>
    <cellStyle name="Normal 4 6 3 4 3" xfId="5600" xr:uid="{00000000-0005-0000-0000-00006F160000}"/>
    <cellStyle name="Normal 4 6 3 4 3 2" xfId="14039" xr:uid="{78498921-0128-4639-9C5D-3EE01166E46C}"/>
    <cellStyle name="Normal 4 6 3 4 4" xfId="9821" xr:uid="{265A1BF9-AF13-403F-918F-6A653DEC5BDF}"/>
    <cellStyle name="Normal 4 6 3 5" xfId="1705" xr:uid="{00000000-0005-0000-0000-000070160000}"/>
    <cellStyle name="Normal 4 6 3 5 2" xfId="3935" xr:uid="{00000000-0005-0000-0000-000071160000}"/>
    <cellStyle name="Normal 4 6 3 5 2 2" xfId="8158" xr:uid="{00000000-0005-0000-0000-000072160000}"/>
    <cellStyle name="Normal 4 6 3 5 2 2 2" xfId="16597" xr:uid="{569B876E-9472-4769-8944-A15484A86077}"/>
    <cellStyle name="Normal 4 6 3 5 2 3" xfId="12379" xr:uid="{EAC95775-951E-455D-82A6-E4B66275EDCB}"/>
    <cellStyle name="Normal 4 6 3 5 3" xfId="6013" xr:uid="{00000000-0005-0000-0000-000073160000}"/>
    <cellStyle name="Normal 4 6 3 5 3 2" xfId="14452" xr:uid="{8386519A-F511-4A96-B203-77D9CDF80B8A}"/>
    <cellStyle name="Normal 4 6 3 5 4" xfId="10234" xr:uid="{BC7EEC27-C6E2-4561-A808-23F9C619C6C1}"/>
    <cellStyle name="Normal 4 6 3 6" xfId="2119" xr:uid="{00000000-0005-0000-0000-000074160000}"/>
    <cellStyle name="Normal 4 6 3 6 2" xfId="4348" xr:uid="{00000000-0005-0000-0000-000075160000}"/>
    <cellStyle name="Normal 4 6 3 6 2 2" xfId="8571" xr:uid="{00000000-0005-0000-0000-000076160000}"/>
    <cellStyle name="Normal 4 6 3 6 2 2 2" xfId="17010" xr:uid="{F11710C4-5650-4C47-BE7E-862F3E593086}"/>
    <cellStyle name="Normal 4 6 3 6 2 3" xfId="12792" xr:uid="{A907F212-0EC7-494C-ACAF-03BA9DE65D8F}"/>
    <cellStyle name="Normal 4 6 3 6 3" xfId="6426" xr:uid="{00000000-0005-0000-0000-000077160000}"/>
    <cellStyle name="Normal 4 6 3 6 3 2" xfId="14865" xr:uid="{D43AF1B2-659B-4A7F-A2F0-EC771C7565AB}"/>
    <cellStyle name="Normal 4 6 3 6 4" xfId="10647" xr:uid="{CA6F3B03-9DEF-4776-BF4D-1F73CECA0505}"/>
    <cellStyle name="Normal 4 6 3 7" xfId="2555" xr:uid="{00000000-0005-0000-0000-000078160000}"/>
    <cellStyle name="Normal 4 6 3 7 2" xfId="6839" xr:uid="{00000000-0005-0000-0000-000079160000}"/>
    <cellStyle name="Normal 4 6 3 7 2 2" xfId="15278" xr:uid="{FC25EF35-CB96-4573-B35F-4D156E5A90D9}"/>
    <cellStyle name="Normal 4 6 3 7 3" xfId="11060" xr:uid="{9408046B-56EC-498F-97CE-1632AB68E044}"/>
    <cellStyle name="Normal 4 6 3 8" xfId="4774" xr:uid="{00000000-0005-0000-0000-00007A160000}"/>
    <cellStyle name="Normal 4 6 3 8 2" xfId="13213" xr:uid="{14B6E040-E753-4584-95B3-D8DD53FB7D4A}"/>
    <cellStyle name="Normal 4 6 3 9" xfId="8995" xr:uid="{0B76C2D9-A8D8-473E-BC4C-7833F5BD50C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2 2 2" xfId="15773" xr:uid="{93689902-0ECE-4A15-AB54-2E8F36CC4D59}"/>
    <cellStyle name="Normal 4 6 4 2 2 3" xfId="11555" xr:uid="{B417937C-E6CD-4DEE-80F1-9B98CB7D4F0F}"/>
    <cellStyle name="Normal 4 6 4 2 3" xfId="5189" xr:uid="{00000000-0005-0000-0000-00007F160000}"/>
    <cellStyle name="Normal 4 6 4 2 3 2" xfId="13628" xr:uid="{4086F48C-F4F1-4FD1-8BE1-AD28D34F1BF7}"/>
    <cellStyle name="Normal 4 6 4 2 4" xfId="9410" xr:uid="{2FC99A0C-5A07-4DC9-8731-A3F144EA7E5F}"/>
    <cellStyle name="Normal 4 6 4 3" xfId="1294" xr:uid="{00000000-0005-0000-0000-000080160000}"/>
    <cellStyle name="Normal 4 6 4 3 2" xfId="3524" xr:uid="{00000000-0005-0000-0000-000081160000}"/>
    <cellStyle name="Normal 4 6 4 3 2 2" xfId="7747" xr:uid="{00000000-0005-0000-0000-000082160000}"/>
    <cellStyle name="Normal 4 6 4 3 2 2 2" xfId="16186" xr:uid="{6B190745-9663-4890-A346-D375D8F2D437}"/>
    <cellStyle name="Normal 4 6 4 3 2 3" xfId="11968" xr:uid="{3BDE8A49-7966-48AB-8F8E-53171D93BD52}"/>
    <cellStyle name="Normal 4 6 4 3 3" xfId="5602" xr:uid="{00000000-0005-0000-0000-000083160000}"/>
    <cellStyle name="Normal 4 6 4 3 3 2" xfId="14041" xr:uid="{69F3FDFA-D72A-4704-A5BA-4D6A5D3A640F}"/>
    <cellStyle name="Normal 4 6 4 3 4" xfId="9823" xr:uid="{15AC53EA-7EFC-4B90-8AC8-DD3209A968C6}"/>
    <cellStyle name="Normal 4 6 4 4" xfId="1707" xr:uid="{00000000-0005-0000-0000-000084160000}"/>
    <cellStyle name="Normal 4 6 4 4 2" xfId="3937" xr:uid="{00000000-0005-0000-0000-000085160000}"/>
    <cellStyle name="Normal 4 6 4 4 2 2" xfId="8160" xr:uid="{00000000-0005-0000-0000-000086160000}"/>
    <cellStyle name="Normal 4 6 4 4 2 2 2" xfId="16599" xr:uid="{027532C4-F1EF-4905-91CC-F14F84D52530}"/>
    <cellStyle name="Normal 4 6 4 4 2 3" xfId="12381" xr:uid="{29AB772F-058B-4310-8F35-5EB09E7DCF24}"/>
    <cellStyle name="Normal 4 6 4 4 3" xfId="6015" xr:uid="{00000000-0005-0000-0000-000087160000}"/>
    <cellStyle name="Normal 4 6 4 4 3 2" xfId="14454" xr:uid="{3E5926BA-44BF-450D-BD6D-865972209759}"/>
    <cellStyle name="Normal 4 6 4 4 4" xfId="10236" xr:uid="{08568E55-13B9-48CB-B81F-46BFF6BF8C9E}"/>
    <cellStyle name="Normal 4 6 4 5" xfId="2121" xr:uid="{00000000-0005-0000-0000-000088160000}"/>
    <cellStyle name="Normal 4 6 4 5 2" xfId="4350" xr:uid="{00000000-0005-0000-0000-000089160000}"/>
    <cellStyle name="Normal 4 6 4 5 2 2" xfId="8573" xr:uid="{00000000-0005-0000-0000-00008A160000}"/>
    <cellStyle name="Normal 4 6 4 5 2 2 2" xfId="17012" xr:uid="{DA65FC7C-C829-47C9-97ED-413EC1162522}"/>
    <cellStyle name="Normal 4 6 4 5 2 3" xfId="12794" xr:uid="{EDEB78FC-1B85-4671-A594-D14209783AAD}"/>
    <cellStyle name="Normal 4 6 4 5 3" xfId="6428" xr:uid="{00000000-0005-0000-0000-00008B160000}"/>
    <cellStyle name="Normal 4 6 4 5 3 2" xfId="14867" xr:uid="{6B5693D2-62B6-405A-96D9-439BEA4488AD}"/>
    <cellStyle name="Normal 4 6 4 5 4" xfId="10649" xr:uid="{370ED746-E536-4A63-93BE-22420E8B4255}"/>
    <cellStyle name="Normal 4 6 4 6" xfId="2557" xr:uid="{00000000-0005-0000-0000-00008C160000}"/>
    <cellStyle name="Normal 4 6 4 6 2" xfId="6841" xr:uid="{00000000-0005-0000-0000-00008D160000}"/>
    <cellStyle name="Normal 4 6 4 6 2 2" xfId="15280" xr:uid="{3F5958E5-BD37-4954-B1D7-FEF6F431168B}"/>
    <cellStyle name="Normal 4 6 4 6 3" xfId="11062" xr:uid="{53FA8D37-F04A-4B94-B8FC-3CC5BA676A29}"/>
    <cellStyle name="Normal 4 6 4 7" xfId="4776" xr:uid="{00000000-0005-0000-0000-00008E160000}"/>
    <cellStyle name="Normal 4 6 4 7 2" xfId="13215" xr:uid="{45563348-897F-46BE-9990-6E781FF91562}"/>
    <cellStyle name="Normal 4 6 4 8" xfId="8997" xr:uid="{06E57A6C-0830-45E7-B266-1D3C4BC76CEA}"/>
    <cellStyle name="Normal 4 6 5" xfId="869" xr:uid="{00000000-0005-0000-0000-00008F160000}"/>
    <cellStyle name="Normal 4 6 5 2" xfId="3104" xr:uid="{00000000-0005-0000-0000-000090160000}"/>
    <cellStyle name="Normal 4 6 5 2 2" xfId="7327" xr:uid="{00000000-0005-0000-0000-000091160000}"/>
    <cellStyle name="Normal 4 6 5 2 2 2" xfId="15766" xr:uid="{1CAC554C-CCB2-4394-9F58-D456CC9D36F4}"/>
    <cellStyle name="Normal 4 6 5 2 3" xfId="11548" xr:uid="{DCC20BFC-6BF3-4213-899B-D280B803E543}"/>
    <cellStyle name="Normal 4 6 5 3" xfId="5182" xr:uid="{00000000-0005-0000-0000-000092160000}"/>
    <cellStyle name="Normal 4 6 5 3 2" xfId="13621" xr:uid="{78555E09-0FFD-45BA-B446-B0996921E51A}"/>
    <cellStyle name="Normal 4 6 5 4" xfId="9403" xr:uid="{928DFC4D-ECE1-4849-B474-0B6A1060F433}"/>
    <cellStyle name="Normal 4 6 6" xfId="1287" xr:uid="{00000000-0005-0000-0000-000093160000}"/>
    <cellStyle name="Normal 4 6 6 2" xfId="3517" xr:uid="{00000000-0005-0000-0000-000094160000}"/>
    <cellStyle name="Normal 4 6 6 2 2" xfId="7740" xr:uid="{00000000-0005-0000-0000-000095160000}"/>
    <cellStyle name="Normal 4 6 6 2 2 2" xfId="16179" xr:uid="{9622D723-E9C3-46BA-82D5-1F3FEB8F2CB0}"/>
    <cellStyle name="Normal 4 6 6 2 3" xfId="11961" xr:uid="{B5503FC6-A456-4B4A-81C7-5D9AAD12581F}"/>
    <cellStyle name="Normal 4 6 6 3" xfId="5595" xr:uid="{00000000-0005-0000-0000-000096160000}"/>
    <cellStyle name="Normal 4 6 6 3 2" xfId="14034" xr:uid="{7FBB19F9-A8F8-4BD0-ABFF-1FDC714EC7E0}"/>
    <cellStyle name="Normal 4 6 6 4" xfId="9816" xr:uid="{DBDCA762-31DA-431E-9F86-1AA2CFB1416F}"/>
    <cellStyle name="Normal 4 6 7" xfId="1700" xr:uid="{00000000-0005-0000-0000-000097160000}"/>
    <cellStyle name="Normal 4 6 7 2" xfId="3930" xr:uid="{00000000-0005-0000-0000-000098160000}"/>
    <cellStyle name="Normal 4 6 7 2 2" xfId="8153" xr:uid="{00000000-0005-0000-0000-000099160000}"/>
    <cellStyle name="Normal 4 6 7 2 2 2" xfId="16592" xr:uid="{BF65C149-5886-4447-AD26-A73BAB4DB9E0}"/>
    <cellStyle name="Normal 4 6 7 2 3" xfId="12374" xr:uid="{CA38C76B-788A-40D0-B443-0250C21023BB}"/>
    <cellStyle name="Normal 4 6 7 3" xfId="6008" xr:uid="{00000000-0005-0000-0000-00009A160000}"/>
    <cellStyle name="Normal 4 6 7 3 2" xfId="14447" xr:uid="{097CF757-BFD1-481E-8446-B978FC79FC51}"/>
    <cellStyle name="Normal 4 6 7 4" xfId="10229" xr:uid="{436B689F-F5D1-4E61-A8E9-5712763FABA8}"/>
    <cellStyle name="Normal 4 6 8" xfId="2114" xr:uid="{00000000-0005-0000-0000-00009B160000}"/>
    <cellStyle name="Normal 4 6 8 2" xfId="4343" xr:uid="{00000000-0005-0000-0000-00009C160000}"/>
    <cellStyle name="Normal 4 6 8 2 2" xfId="8566" xr:uid="{00000000-0005-0000-0000-00009D160000}"/>
    <cellStyle name="Normal 4 6 8 2 2 2" xfId="17005" xr:uid="{1BE5CE02-5499-4381-A38A-1D5AA805C46A}"/>
    <cellStyle name="Normal 4 6 8 2 3" xfId="12787" xr:uid="{CDEF467C-7353-42FB-958E-2AFD964A1EBE}"/>
    <cellStyle name="Normal 4 6 8 3" xfId="6421" xr:uid="{00000000-0005-0000-0000-00009E160000}"/>
    <cellStyle name="Normal 4 6 8 3 2" xfId="14860" xr:uid="{B158862B-4FF1-4301-9AFE-AEA5EA87C049}"/>
    <cellStyle name="Normal 4 6 8 4" xfId="10642" xr:uid="{E3CC0B8A-E2B1-4063-816F-A28C8F7BCBB7}"/>
    <cellStyle name="Normal 4 6 9" xfId="2550" xr:uid="{00000000-0005-0000-0000-00009F160000}"/>
    <cellStyle name="Normal 4 6 9 2" xfId="6834" xr:uid="{00000000-0005-0000-0000-0000A0160000}"/>
    <cellStyle name="Normal 4 6 9 2 2" xfId="15273" xr:uid="{451D564B-789D-4392-A56C-4497559EB6E0}"/>
    <cellStyle name="Normal 4 6 9 3" xfId="11055" xr:uid="{7B41DF44-7089-4CBB-A832-73C863537639}"/>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2 2 2" xfId="15775" xr:uid="{A8795320-3BB8-41BD-884A-A2394057543F}"/>
    <cellStyle name="Normal 4 7 2 2 2 3" xfId="11557" xr:uid="{7D71CD2E-BA0B-445B-827C-187F86CAC849}"/>
    <cellStyle name="Normal 4 7 2 2 3" xfId="5191" xr:uid="{00000000-0005-0000-0000-0000A6160000}"/>
    <cellStyle name="Normal 4 7 2 2 3 2" xfId="13630" xr:uid="{DCE059F9-0ABD-4B69-9C59-D4B5218BDFC6}"/>
    <cellStyle name="Normal 4 7 2 2 4" xfId="9412" xr:uid="{A7715D8B-34DE-4585-91F9-A2725730CA23}"/>
    <cellStyle name="Normal 4 7 2 3" xfId="1296" xr:uid="{00000000-0005-0000-0000-0000A7160000}"/>
    <cellStyle name="Normal 4 7 2 3 2" xfId="3526" xr:uid="{00000000-0005-0000-0000-0000A8160000}"/>
    <cellStyle name="Normal 4 7 2 3 2 2" xfId="7749" xr:uid="{00000000-0005-0000-0000-0000A9160000}"/>
    <cellStyle name="Normal 4 7 2 3 2 2 2" xfId="16188" xr:uid="{73058B0E-D315-4C90-B409-D0010C044F36}"/>
    <cellStyle name="Normal 4 7 2 3 2 3" xfId="11970" xr:uid="{AD74C57A-247C-4931-B7FD-2FF041B4A20F}"/>
    <cellStyle name="Normal 4 7 2 3 3" xfId="5604" xr:uid="{00000000-0005-0000-0000-0000AA160000}"/>
    <cellStyle name="Normal 4 7 2 3 3 2" xfId="14043" xr:uid="{D2F3478C-1857-4089-B51D-B4340D7072F5}"/>
    <cellStyle name="Normal 4 7 2 3 4" xfId="9825" xr:uid="{6FE8CAFE-CC74-424F-A972-CB5425A575D5}"/>
    <cellStyle name="Normal 4 7 2 4" xfId="1709" xr:uid="{00000000-0005-0000-0000-0000AB160000}"/>
    <cellStyle name="Normal 4 7 2 4 2" xfId="3939" xr:uid="{00000000-0005-0000-0000-0000AC160000}"/>
    <cellStyle name="Normal 4 7 2 4 2 2" xfId="8162" xr:uid="{00000000-0005-0000-0000-0000AD160000}"/>
    <cellStyle name="Normal 4 7 2 4 2 2 2" xfId="16601" xr:uid="{A47A16D0-F06F-42D0-88E2-8ECFB212A75E}"/>
    <cellStyle name="Normal 4 7 2 4 2 3" xfId="12383" xr:uid="{24893725-1112-46DF-AFCB-14544D1239AD}"/>
    <cellStyle name="Normal 4 7 2 4 3" xfId="6017" xr:uid="{00000000-0005-0000-0000-0000AE160000}"/>
    <cellStyle name="Normal 4 7 2 4 3 2" xfId="14456" xr:uid="{0D062285-4174-4B47-BE7E-764EEA48B62C}"/>
    <cellStyle name="Normal 4 7 2 4 4" xfId="10238" xr:uid="{017F1172-F5C3-467B-AFCC-90B3F3326B61}"/>
    <cellStyle name="Normal 4 7 2 5" xfId="2123" xr:uid="{00000000-0005-0000-0000-0000AF160000}"/>
    <cellStyle name="Normal 4 7 2 5 2" xfId="4352" xr:uid="{00000000-0005-0000-0000-0000B0160000}"/>
    <cellStyle name="Normal 4 7 2 5 2 2" xfId="8575" xr:uid="{00000000-0005-0000-0000-0000B1160000}"/>
    <cellStyle name="Normal 4 7 2 5 2 2 2" xfId="17014" xr:uid="{28B3BAFC-455A-4E97-A257-B67F0261BB0A}"/>
    <cellStyle name="Normal 4 7 2 5 2 3" xfId="12796" xr:uid="{BA18F6DF-EB79-4E3C-BF47-BC615583BE3B}"/>
    <cellStyle name="Normal 4 7 2 5 3" xfId="6430" xr:uid="{00000000-0005-0000-0000-0000B2160000}"/>
    <cellStyle name="Normal 4 7 2 5 3 2" xfId="14869" xr:uid="{FC21B843-02AC-43D5-9FB0-B024FA35540D}"/>
    <cellStyle name="Normal 4 7 2 5 4" xfId="10651" xr:uid="{C8AA6DC8-D772-4BE4-8026-BA6FF843732B}"/>
    <cellStyle name="Normal 4 7 2 6" xfId="2559" xr:uid="{00000000-0005-0000-0000-0000B3160000}"/>
    <cellStyle name="Normal 4 7 2 6 2" xfId="6843" xr:uid="{00000000-0005-0000-0000-0000B4160000}"/>
    <cellStyle name="Normal 4 7 2 6 2 2" xfId="15282" xr:uid="{DF084C36-D289-4821-84EA-B06CF2556920}"/>
    <cellStyle name="Normal 4 7 2 6 3" xfId="11064" xr:uid="{4463EE62-7F10-4228-AED3-0C57BA1BE03B}"/>
    <cellStyle name="Normal 4 7 2 7" xfId="4778" xr:uid="{00000000-0005-0000-0000-0000B5160000}"/>
    <cellStyle name="Normal 4 7 2 7 2" xfId="13217" xr:uid="{DEC737FD-D940-4B99-9EE0-F6DB8C6868F1}"/>
    <cellStyle name="Normal 4 7 2 8" xfId="8999" xr:uid="{BBFE02DC-FFCB-4E80-9616-E42E80875C68}"/>
    <cellStyle name="Normal 4 7 3" xfId="877" xr:uid="{00000000-0005-0000-0000-0000B6160000}"/>
    <cellStyle name="Normal 4 7 3 2" xfId="3112" xr:uid="{00000000-0005-0000-0000-0000B7160000}"/>
    <cellStyle name="Normal 4 7 3 2 2" xfId="7335" xr:uid="{00000000-0005-0000-0000-0000B8160000}"/>
    <cellStyle name="Normal 4 7 3 2 2 2" xfId="15774" xr:uid="{C2B87601-D720-4165-A1F7-E1D331CDF4B4}"/>
    <cellStyle name="Normal 4 7 3 2 3" xfId="11556" xr:uid="{3D7FCB1B-08C3-4C5F-85FB-2C977C4A26A6}"/>
    <cellStyle name="Normal 4 7 3 3" xfId="5190" xr:uid="{00000000-0005-0000-0000-0000B9160000}"/>
    <cellStyle name="Normal 4 7 3 3 2" xfId="13629" xr:uid="{7DFFD471-BBEF-4DB0-A978-31CD033071BF}"/>
    <cellStyle name="Normal 4 7 3 4" xfId="9411" xr:uid="{235601AB-1110-4A84-AEC5-82D0EE3D0C3F}"/>
    <cellStyle name="Normal 4 7 4" xfId="1295" xr:uid="{00000000-0005-0000-0000-0000BA160000}"/>
    <cellStyle name="Normal 4 7 4 2" xfId="3525" xr:uid="{00000000-0005-0000-0000-0000BB160000}"/>
    <cellStyle name="Normal 4 7 4 2 2" xfId="7748" xr:uid="{00000000-0005-0000-0000-0000BC160000}"/>
    <cellStyle name="Normal 4 7 4 2 2 2" xfId="16187" xr:uid="{2A3335B0-2B66-4E2C-BE0B-0219A6405361}"/>
    <cellStyle name="Normal 4 7 4 2 3" xfId="11969" xr:uid="{FAB815F7-568F-4000-937B-52ECEE5AA96B}"/>
    <cellStyle name="Normal 4 7 4 3" xfId="5603" xr:uid="{00000000-0005-0000-0000-0000BD160000}"/>
    <cellStyle name="Normal 4 7 4 3 2" xfId="14042" xr:uid="{68675B31-703B-4A8D-AA89-013C4C4B9883}"/>
    <cellStyle name="Normal 4 7 4 4" xfId="9824" xr:uid="{EF03A403-CAC5-49D3-89C9-152350338A2C}"/>
    <cellStyle name="Normal 4 7 5" xfId="1708" xr:uid="{00000000-0005-0000-0000-0000BE160000}"/>
    <cellStyle name="Normal 4 7 5 2" xfId="3938" xr:uid="{00000000-0005-0000-0000-0000BF160000}"/>
    <cellStyle name="Normal 4 7 5 2 2" xfId="8161" xr:uid="{00000000-0005-0000-0000-0000C0160000}"/>
    <cellStyle name="Normal 4 7 5 2 2 2" xfId="16600" xr:uid="{8F5B615C-1FE9-4D5B-A291-AEDC20CBEC60}"/>
    <cellStyle name="Normal 4 7 5 2 3" xfId="12382" xr:uid="{5D87853C-B4DC-46B8-9F71-152911D5BC3A}"/>
    <cellStyle name="Normal 4 7 5 3" xfId="6016" xr:uid="{00000000-0005-0000-0000-0000C1160000}"/>
    <cellStyle name="Normal 4 7 5 3 2" xfId="14455" xr:uid="{9BEF79EC-A1F2-4D26-AD43-9AB02752CFFA}"/>
    <cellStyle name="Normal 4 7 5 4" xfId="10237" xr:uid="{868D30C1-B866-47CF-B12D-81253A0A8211}"/>
    <cellStyle name="Normal 4 7 6" xfId="2122" xr:uid="{00000000-0005-0000-0000-0000C2160000}"/>
    <cellStyle name="Normal 4 7 6 2" xfId="4351" xr:uid="{00000000-0005-0000-0000-0000C3160000}"/>
    <cellStyle name="Normal 4 7 6 2 2" xfId="8574" xr:uid="{00000000-0005-0000-0000-0000C4160000}"/>
    <cellStyle name="Normal 4 7 6 2 2 2" xfId="17013" xr:uid="{DD04247A-CEFC-4E6A-9454-76290BC94004}"/>
    <cellStyle name="Normal 4 7 6 2 3" xfId="12795" xr:uid="{9CEAEA6E-ECB1-4647-9FB8-55EC007C0B75}"/>
    <cellStyle name="Normal 4 7 6 3" xfId="6429" xr:uid="{00000000-0005-0000-0000-0000C5160000}"/>
    <cellStyle name="Normal 4 7 6 3 2" xfId="14868" xr:uid="{862129FC-2203-484E-A59E-F4B6D70E542C}"/>
    <cellStyle name="Normal 4 7 6 4" xfId="10650" xr:uid="{74D9DA9C-7270-49ED-B3F5-64068D605FCB}"/>
    <cellStyle name="Normal 4 7 7" xfId="2558" xr:uid="{00000000-0005-0000-0000-0000C6160000}"/>
    <cellStyle name="Normal 4 7 7 2" xfId="6842" xr:uid="{00000000-0005-0000-0000-0000C7160000}"/>
    <cellStyle name="Normal 4 7 7 2 2" xfId="15281" xr:uid="{CC815C0B-B218-4EA4-B8B3-6DBBE2D77CE9}"/>
    <cellStyle name="Normal 4 7 7 3" xfId="11063" xr:uid="{5B7B3EAC-1CF6-499A-B2B8-6DBCF69480D8}"/>
    <cellStyle name="Normal 4 7 8" xfId="4777" xr:uid="{00000000-0005-0000-0000-0000C8160000}"/>
    <cellStyle name="Normal 4 7 8 2" xfId="13216" xr:uid="{2BA7CBE8-C6BC-4DAA-A6F4-F464F291413E}"/>
    <cellStyle name="Normal 4 7 9" xfId="8998" xr:uid="{40947AE2-C717-4D5A-A741-379CAE6870C6}"/>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2 2 2" xfId="15776" xr:uid="{40CC3F12-AF98-4690-A007-BCA43F761977}"/>
    <cellStyle name="Normal 4 8 2 2 3" xfId="11558" xr:uid="{A5DA52CC-FCFB-4FE3-A91D-9AEA2053171A}"/>
    <cellStyle name="Normal 4 8 2 3" xfId="5192" xr:uid="{00000000-0005-0000-0000-0000CD160000}"/>
    <cellStyle name="Normal 4 8 2 3 2" xfId="13631" xr:uid="{C696CB29-4B60-4128-89FC-802CAAF05045}"/>
    <cellStyle name="Normal 4 8 2 4" xfId="9413" xr:uid="{8020996F-ABBA-43CE-BD1F-1AF0C9E75C02}"/>
    <cellStyle name="Normal 4 8 3" xfId="1297" xr:uid="{00000000-0005-0000-0000-0000CE160000}"/>
    <cellStyle name="Normal 4 8 3 2" xfId="3527" xr:uid="{00000000-0005-0000-0000-0000CF160000}"/>
    <cellStyle name="Normal 4 8 3 2 2" xfId="7750" xr:uid="{00000000-0005-0000-0000-0000D0160000}"/>
    <cellStyle name="Normal 4 8 3 2 2 2" xfId="16189" xr:uid="{3B7295D0-3C23-4278-BE3D-6F6EC72B3F29}"/>
    <cellStyle name="Normal 4 8 3 2 3" xfId="11971" xr:uid="{99202E27-03F4-496C-B75A-A634C33B78B4}"/>
    <cellStyle name="Normal 4 8 3 3" xfId="5605" xr:uid="{00000000-0005-0000-0000-0000D1160000}"/>
    <cellStyle name="Normal 4 8 3 3 2" xfId="14044" xr:uid="{10A18376-43C8-48C7-AD15-17CB241E6C21}"/>
    <cellStyle name="Normal 4 8 3 4" xfId="9826" xr:uid="{AA0B2CAF-D128-479C-91FD-E88A697841F7}"/>
    <cellStyle name="Normal 4 8 4" xfId="1710" xr:uid="{00000000-0005-0000-0000-0000D2160000}"/>
    <cellStyle name="Normal 4 8 4 2" xfId="3940" xr:uid="{00000000-0005-0000-0000-0000D3160000}"/>
    <cellStyle name="Normal 4 8 4 2 2" xfId="8163" xr:uid="{00000000-0005-0000-0000-0000D4160000}"/>
    <cellStyle name="Normal 4 8 4 2 2 2" xfId="16602" xr:uid="{E661182F-9851-4B9A-B193-BD8F750C8B4B}"/>
    <cellStyle name="Normal 4 8 4 2 3" xfId="12384" xr:uid="{89586A8B-997F-405E-8AC3-57D1BC09C946}"/>
    <cellStyle name="Normal 4 8 4 3" xfId="6018" xr:uid="{00000000-0005-0000-0000-0000D5160000}"/>
    <cellStyle name="Normal 4 8 4 3 2" xfId="14457" xr:uid="{5276A2B1-D431-40E3-9881-337BADF787A9}"/>
    <cellStyle name="Normal 4 8 4 4" xfId="10239" xr:uid="{5DA8DA71-D774-4331-B2A9-4E928B564D92}"/>
    <cellStyle name="Normal 4 8 5" xfId="2124" xr:uid="{00000000-0005-0000-0000-0000D6160000}"/>
    <cellStyle name="Normal 4 8 5 2" xfId="4353" xr:uid="{00000000-0005-0000-0000-0000D7160000}"/>
    <cellStyle name="Normal 4 8 5 2 2" xfId="8576" xr:uid="{00000000-0005-0000-0000-0000D8160000}"/>
    <cellStyle name="Normal 4 8 5 2 2 2" xfId="17015" xr:uid="{7AAA5CE2-D62B-4E7F-9DA2-D3A1D995F637}"/>
    <cellStyle name="Normal 4 8 5 2 3" xfId="12797" xr:uid="{1B5CB602-32E5-4B70-8C71-91178D1CD08C}"/>
    <cellStyle name="Normal 4 8 5 3" xfId="6431" xr:uid="{00000000-0005-0000-0000-0000D9160000}"/>
    <cellStyle name="Normal 4 8 5 3 2" xfId="14870" xr:uid="{1F99069F-2D1D-4A66-B11F-98CF24D1156F}"/>
    <cellStyle name="Normal 4 8 5 4" xfId="10652" xr:uid="{3D153919-C0A0-4DAC-AE6D-98C883D54B3E}"/>
    <cellStyle name="Normal 4 8 6" xfId="2560" xr:uid="{00000000-0005-0000-0000-0000DA160000}"/>
    <cellStyle name="Normal 4 8 6 2" xfId="6844" xr:uid="{00000000-0005-0000-0000-0000DB160000}"/>
    <cellStyle name="Normal 4 8 6 2 2" xfId="15283" xr:uid="{1F285B18-E3EF-411F-8F34-8E81D054A7D4}"/>
    <cellStyle name="Normal 4 8 6 3" xfId="11065" xr:uid="{6D5A6DD7-708E-4984-B7FF-F32E806A73AA}"/>
    <cellStyle name="Normal 4 8 7" xfId="4779" xr:uid="{00000000-0005-0000-0000-0000DC160000}"/>
    <cellStyle name="Normal 4 8 7 2" xfId="13218" xr:uid="{D4A5DB0F-F58C-43DA-9DE6-AD7283BEA891}"/>
    <cellStyle name="Normal 4 8 8" xfId="9000" xr:uid="{DF01BDCC-C8A7-48B1-9429-64287B80A70D}"/>
    <cellStyle name="Normal 4 9" xfId="4716" xr:uid="{00000000-0005-0000-0000-0000DD160000}"/>
    <cellStyle name="Normal 4 9 2" xfId="13155" xr:uid="{D6FF3F72-C89B-487F-BFC7-CE6E15469D4D}"/>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2 2 2" xfId="16603" xr:uid="{8F1FB175-DB98-4F43-9D43-40E60230AED2}"/>
    <cellStyle name="Normal 5 10 2 3" xfId="12385" xr:uid="{AD1A46E8-E6A7-486B-9EDB-01109F6387F9}"/>
    <cellStyle name="Normal 5 10 3" xfId="6019" xr:uid="{00000000-0005-0000-0000-0000E2160000}"/>
    <cellStyle name="Normal 5 10 3 2" xfId="14458" xr:uid="{57E6B3D0-43BF-4C20-BCCC-B85A37CB3894}"/>
    <cellStyle name="Normal 5 10 4" xfId="10240" xr:uid="{12D8A862-2277-42C6-8883-22EB3368D4A0}"/>
    <cellStyle name="Normal 5 11" xfId="2125" xr:uid="{00000000-0005-0000-0000-0000E3160000}"/>
    <cellStyle name="Normal 5 11 2" xfId="4354" xr:uid="{00000000-0005-0000-0000-0000E4160000}"/>
    <cellStyle name="Normal 5 11 2 2" xfId="8577" xr:uid="{00000000-0005-0000-0000-0000E5160000}"/>
    <cellStyle name="Normal 5 11 2 2 2" xfId="17016" xr:uid="{F75A8495-F714-413D-916C-629BFB5742D3}"/>
    <cellStyle name="Normal 5 11 2 3" xfId="12798" xr:uid="{4BB974D0-C80D-4925-9C12-FA28BB350D87}"/>
    <cellStyle name="Normal 5 11 3" xfId="6432" xr:uid="{00000000-0005-0000-0000-0000E6160000}"/>
    <cellStyle name="Normal 5 11 3 2" xfId="14871" xr:uid="{029A82CF-7276-4BCC-8BA4-C633F5F7486E}"/>
    <cellStyle name="Normal 5 11 4" xfId="10653" xr:uid="{D09EABF6-B099-4528-99AD-F6FAB007AFFC}"/>
    <cellStyle name="Normal 5 12" xfId="2561" xr:uid="{00000000-0005-0000-0000-0000E7160000}"/>
    <cellStyle name="Normal 5 12 2" xfId="6845" xr:uid="{00000000-0005-0000-0000-0000E8160000}"/>
    <cellStyle name="Normal 5 12 2 2" xfId="15284" xr:uid="{632C542F-6ED6-4967-90F1-419EF1BA7582}"/>
    <cellStyle name="Normal 5 12 3" xfId="11066" xr:uid="{51BD3535-CAB8-4653-BE34-C359FBA7EBE1}"/>
    <cellStyle name="Normal 5 13" xfId="4780" xr:uid="{00000000-0005-0000-0000-0000E9160000}"/>
    <cellStyle name="Normal 5 13 2" xfId="13219" xr:uid="{8BC72BA1-6E64-41EF-A816-1B805EF71EC4}"/>
    <cellStyle name="Normal 5 14" xfId="9001" xr:uid="{02FCBB02-E6F0-4AC1-9E42-23DB6D0371DB}"/>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2 2 2" xfId="17017" xr:uid="{C38426FD-F159-4E29-A9CA-F989BDBAD45D}"/>
    <cellStyle name="Normal 5 2 10 2 3" xfId="12799" xr:uid="{C9B74A7B-0ED8-4A12-B6E7-4BE922EA8FC8}"/>
    <cellStyle name="Normal 5 2 10 3" xfId="6433" xr:uid="{00000000-0005-0000-0000-0000EE160000}"/>
    <cellStyle name="Normal 5 2 10 3 2" xfId="14872" xr:uid="{6B8C55A7-B9BB-46A9-98AA-8FBE2C4D0C50}"/>
    <cellStyle name="Normal 5 2 10 4" xfId="10654" xr:uid="{8ADA1430-AAA2-430E-A5B9-06B082100EC1}"/>
    <cellStyle name="Normal 5 2 11" xfId="2562" xr:uid="{00000000-0005-0000-0000-0000EF160000}"/>
    <cellStyle name="Normal 5 2 11 2" xfId="6846" xr:uid="{00000000-0005-0000-0000-0000F0160000}"/>
    <cellStyle name="Normal 5 2 11 2 2" xfId="15285" xr:uid="{66E1A3A8-5F2F-4914-8F40-31E69C8987F3}"/>
    <cellStyle name="Normal 5 2 11 3" xfId="11067" xr:uid="{A3103B27-840E-4523-BE01-B232AA9546B8}"/>
    <cellStyle name="Normal 5 2 12" xfId="4781" xr:uid="{00000000-0005-0000-0000-0000F1160000}"/>
    <cellStyle name="Normal 5 2 12 2" xfId="13220" xr:uid="{FECFF700-3FD8-4A0F-956E-78952C83CDFF}"/>
    <cellStyle name="Normal 5 2 13" xfId="9002" xr:uid="{81B62276-6F07-49E1-8EAC-B80E580913FC}"/>
    <cellStyle name="Normal 5 2 2" xfId="408" xr:uid="{00000000-0005-0000-0000-0000F2160000}"/>
    <cellStyle name="Normal 5 2 2 10" xfId="2563" xr:uid="{00000000-0005-0000-0000-0000F3160000}"/>
    <cellStyle name="Normal 5 2 2 10 2" xfId="6847" xr:uid="{00000000-0005-0000-0000-0000F4160000}"/>
    <cellStyle name="Normal 5 2 2 10 2 2" xfId="15286" xr:uid="{3BE1D94F-097F-4A67-B8D2-35C53297D31A}"/>
    <cellStyle name="Normal 5 2 2 10 3" xfId="11068" xr:uid="{34716393-D265-4DCC-9026-107EA427885A}"/>
    <cellStyle name="Normal 5 2 2 11" xfId="4782" xr:uid="{00000000-0005-0000-0000-0000F5160000}"/>
    <cellStyle name="Normal 5 2 2 11 2" xfId="13221" xr:uid="{DA30A063-7B08-4B29-A68E-4029D150FC27}"/>
    <cellStyle name="Normal 5 2 2 12" xfId="9003" xr:uid="{04EAE28D-FA4C-4D1F-97EF-84BFC72DB242}"/>
    <cellStyle name="Normal 5 2 2 2" xfId="409" xr:uid="{00000000-0005-0000-0000-0000F6160000}"/>
    <cellStyle name="Normal 5 2 2 2 10" xfId="4783" xr:uid="{00000000-0005-0000-0000-0000F7160000}"/>
    <cellStyle name="Normal 5 2 2 2 10 2" xfId="13222" xr:uid="{3ADDEF51-1CEB-48AB-B186-6CB5617947FB}"/>
    <cellStyle name="Normal 5 2 2 2 11" xfId="9004" xr:uid="{7B7D3EF7-1F40-41DD-8246-911E3A9906F5}"/>
    <cellStyle name="Normal 5 2 2 2 2" xfId="410" xr:uid="{00000000-0005-0000-0000-0000F8160000}"/>
    <cellStyle name="Normal 5 2 2 2 2 10" xfId="9005" xr:uid="{7C5D4A11-16D8-43B0-91FE-B1AFC5BFA9EA}"/>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2 2 2" xfId="15783" xr:uid="{05E55E19-2BC1-47B6-8366-A4D12808AECA}"/>
    <cellStyle name="Normal 5 2 2 2 2 2 2 2 2 3" xfId="11565" xr:uid="{C15BA8E8-8794-4EAD-8143-E89AED25E49A}"/>
    <cellStyle name="Normal 5 2 2 2 2 2 2 2 3" xfId="5199" xr:uid="{00000000-0005-0000-0000-0000FE160000}"/>
    <cellStyle name="Normal 5 2 2 2 2 2 2 2 3 2" xfId="13638" xr:uid="{527B7232-19C3-4762-B20A-86CA2AB6481A}"/>
    <cellStyle name="Normal 5 2 2 2 2 2 2 2 4" xfId="9420" xr:uid="{7581D796-F57A-45D0-A1B3-8A685E2E8B01}"/>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2 2 2" xfId="16196" xr:uid="{78EEAEF6-0AF1-4223-92A6-93745F00EB20}"/>
    <cellStyle name="Normal 5 2 2 2 2 2 2 3 2 3" xfId="11978" xr:uid="{C9F11BC6-940F-4D64-98AE-34915B64ACA7}"/>
    <cellStyle name="Normal 5 2 2 2 2 2 2 3 3" xfId="5612" xr:uid="{00000000-0005-0000-0000-000002170000}"/>
    <cellStyle name="Normal 5 2 2 2 2 2 2 3 3 2" xfId="14051" xr:uid="{4A11082D-C57C-4983-A71C-C89F8DA7C3C0}"/>
    <cellStyle name="Normal 5 2 2 2 2 2 2 3 4" xfId="9833" xr:uid="{5641EF51-9DA4-4BC5-B4B0-C77347E2A8E8}"/>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2 2 2" xfId="16609" xr:uid="{36CE06C8-E029-4058-8C3B-47617F284CF0}"/>
    <cellStyle name="Normal 5 2 2 2 2 2 2 4 2 3" xfId="12391" xr:uid="{60F47FC6-9D49-4318-9073-A0FD7945A1A2}"/>
    <cellStyle name="Normal 5 2 2 2 2 2 2 4 3" xfId="6025" xr:uid="{00000000-0005-0000-0000-000006170000}"/>
    <cellStyle name="Normal 5 2 2 2 2 2 2 4 3 2" xfId="14464" xr:uid="{ECE8A014-BE41-4AC6-AB56-7A13037176B1}"/>
    <cellStyle name="Normal 5 2 2 2 2 2 2 4 4" xfId="10246" xr:uid="{70F80879-9B13-4414-A62F-E234BF6EF0D8}"/>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2 2 2" xfId="17022" xr:uid="{27F0A047-9766-4FA5-9663-21AE06AD26D1}"/>
    <cellStyle name="Normal 5 2 2 2 2 2 2 5 2 3" xfId="12804" xr:uid="{3F690118-44EE-4257-B3D1-12E44E90BCC2}"/>
    <cellStyle name="Normal 5 2 2 2 2 2 2 5 3" xfId="6438" xr:uid="{00000000-0005-0000-0000-00000A170000}"/>
    <cellStyle name="Normal 5 2 2 2 2 2 2 5 3 2" xfId="14877" xr:uid="{90D1C788-8B3B-429A-B46A-9DC41D2C5868}"/>
    <cellStyle name="Normal 5 2 2 2 2 2 2 5 4" xfId="10659" xr:uid="{6909D1BE-9DB5-49C5-A30F-33C2D8CB00EB}"/>
    <cellStyle name="Normal 5 2 2 2 2 2 2 6" xfId="2567" xr:uid="{00000000-0005-0000-0000-00000B170000}"/>
    <cellStyle name="Normal 5 2 2 2 2 2 2 6 2" xfId="6851" xr:uid="{00000000-0005-0000-0000-00000C170000}"/>
    <cellStyle name="Normal 5 2 2 2 2 2 2 6 2 2" xfId="15290" xr:uid="{8282C529-1333-448E-B424-35475D0AF49B}"/>
    <cellStyle name="Normal 5 2 2 2 2 2 2 6 3" xfId="11072" xr:uid="{927BDBA3-9A00-4B31-906D-E404DA55D17E}"/>
    <cellStyle name="Normal 5 2 2 2 2 2 2 7" xfId="4786" xr:uid="{00000000-0005-0000-0000-00000D170000}"/>
    <cellStyle name="Normal 5 2 2 2 2 2 2 7 2" xfId="13225" xr:uid="{563A6BA9-EE44-4D59-883F-952F1456F1D0}"/>
    <cellStyle name="Normal 5 2 2 2 2 2 2 8" xfId="9007" xr:uid="{CF9AD61D-3181-4AAD-BE4F-05EA8011AA93}"/>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2 2 2" xfId="15782" xr:uid="{D58FFF3C-01CC-441E-BE12-8B2EA0C6CFEE}"/>
    <cellStyle name="Normal 5 2 2 2 2 2 3 2 3" xfId="11564" xr:uid="{CC1056F8-86A9-498C-AB1B-6FC820C51F83}"/>
    <cellStyle name="Normal 5 2 2 2 2 2 3 3" xfId="5198" xr:uid="{00000000-0005-0000-0000-000011170000}"/>
    <cellStyle name="Normal 5 2 2 2 2 2 3 3 2" xfId="13637" xr:uid="{925C7AB2-DD78-4C8A-A1A6-AE115FE0B883}"/>
    <cellStyle name="Normal 5 2 2 2 2 2 3 4" xfId="9419" xr:uid="{C48795E3-B91C-45B3-B064-E1AE307B0EA9}"/>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2 2 2" xfId="16195" xr:uid="{86CC5C0D-B94B-40F1-AE38-E6942DBA65CC}"/>
    <cellStyle name="Normal 5 2 2 2 2 2 4 2 3" xfId="11977" xr:uid="{7E40E78F-A18C-4399-8117-0B4E0BE42572}"/>
    <cellStyle name="Normal 5 2 2 2 2 2 4 3" xfId="5611" xr:uid="{00000000-0005-0000-0000-000015170000}"/>
    <cellStyle name="Normal 5 2 2 2 2 2 4 3 2" xfId="14050" xr:uid="{E7A10787-8E17-49E7-AE3C-B97598948951}"/>
    <cellStyle name="Normal 5 2 2 2 2 2 4 4" xfId="9832" xr:uid="{A9D21DAA-48C9-4A69-B745-DE2FB6A83878}"/>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2 2 2" xfId="16608" xr:uid="{06F127BD-1899-4F79-B864-74642813A07E}"/>
    <cellStyle name="Normal 5 2 2 2 2 2 5 2 3" xfId="12390" xr:uid="{C71E2D56-C33C-4671-B9F5-B1C526786438}"/>
    <cellStyle name="Normal 5 2 2 2 2 2 5 3" xfId="6024" xr:uid="{00000000-0005-0000-0000-000019170000}"/>
    <cellStyle name="Normal 5 2 2 2 2 2 5 3 2" xfId="14463" xr:uid="{CCCC40DE-1406-4267-9E92-F129A6713DDB}"/>
    <cellStyle name="Normal 5 2 2 2 2 2 5 4" xfId="10245" xr:uid="{E92BB740-793D-48CE-AF1B-DE73F5254CE7}"/>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2 2 2" xfId="17021" xr:uid="{B67D56AB-EA4D-4177-8289-A17B9FA6CF9B}"/>
    <cellStyle name="Normal 5 2 2 2 2 2 6 2 3" xfId="12803" xr:uid="{892BEAF2-F453-488F-805D-10414D22AD49}"/>
    <cellStyle name="Normal 5 2 2 2 2 2 6 3" xfId="6437" xr:uid="{00000000-0005-0000-0000-00001D170000}"/>
    <cellStyle name="Normal 5 2 2 2 2 2 6 3 2" xfId="14876" xr:uid="{6D0DC83D-969B-4AEC-A846-09386915A0D8}"/>
    <cellStyle name="Normal 5 2 2 2 2 2 6 4" xfId="10658" xr:uid="{3A755294-5A1F-4E64-81BD-574618141915}"/>
    <cellStyle name="Normal 5 2 2 2 2 2 7" xfId="2566" xr:uid="{00000000-0005-0000-0000-00001E170000}"/>
    <cellStyle name="Normal 5 2 2 2 2 2 7 2" xfId="6850" xr:uid="{00000000-0005-0000-0000-00001F170000}"/>
    <cellStyle name="Normal 5 2 2 2 2 2 7 2 2" xfId="15289" xr:uid="{7DDD03FF-59DB-4610-B9D7-8A8BA93DCD30}"/>
    <cellStyle name="Normal 5 2 2 2 2 2 7 3" xfId="11071" xr:uid="{105D8B87-175C-4E0D-95E7-8D58BB37F738}"/>
    <cellStyle name="Normal 5 2 2 2 2 2 8" xfId="4785" xr:uid="{00000000-0005-0000-0000-000020170000}"/>
    <cellStyle name="Normal 5 2 2 2 2 2 8 2" xfId="13224" xr:uid="{E656C313-C445-427C-954E-61E206F88DF2}"/>
    <cellStyle name="Normal 5 2 2 2 2 2 9" xfId="9006" xr:uid="{88C1AEC1-DB9C-438E-8FBA-0993ABAE918D}"/>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2 2 2" xfId="15784" xr:uid="{FF4A747A-7FC2-4E4E-944D-13658C8DEE37}"/>
    <cellStyle name="Normal 5 2 2 2 2 3 2 2 3" xfId="11566" xr:uid="{7320AA65-D424-4A2A-8461-EFCA66FB436B}"/>
    <cellStyle name="Normal 5 2 2 2 2 3 2 3" xfId="5200" xr:uid="{00000000-0005-0000-0000-000025170000}"/>
    <cellStyle name="Normal 5 2 2 2 2 3 2 3 2" xfId="13639" xr:uid="{E2894FF8-A471-4B29-81B6-3E69C1ED7035}"/>
    <cellStyle name="Normal 5 2 2 2 2 3 2 4" xfId="9421" xr:uid="{C07CD9A3-E8E5-4806-9B9B-8939865BB819}"/>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2 2 2" xfId="16197" xr:uid="{5888C3F7-3E6A-4621-838D-1F824F8F8616}"/>
    <cellStyle name="Normal 5 2 2 2 2 3 3 2 3" xfId="11979" xr:uid="{5968C666-9BC2-4E25-BC8F-416ED9B97981}"/>
    <cellStyle name="Normal 5 2 2 2 2 3 3 3" xfId="5613" xr:uid="{00000000-0005-0000-0000-000029170000}"/>
    <cellStyle name="Normal 5 2 2 2 2 3 3 3 2" xfId="14052" xr:uid="{4DD3E984-7F91-4B3B-8096-1D7C05418223}"/>
    <cellStyle name="Normal 5 2 2 2 2 3 3 4" xfId="9834" xr:uid="{8B2FE00C-D31C-4578-AF4A-618968FEE282}"/>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2 2 2" xfId="16610" xr:uid="{FF29C967-9C98-4EB2-BB25-0710A99835EC}"/>
    <cellStyle name="Normal 5 2 2 2 2 3 4 2 3" xfId="12392" xr:uid="{76E11BBE-2793-4DF6-AD56-E3F7E6E5BAAB}"/>
    <cellStyle name="Normal 5 2 2 2 2 3 4 3" xfId="6026" xr:uid="{00000000-0005-0000-0000-00002D170000}"/>
    <cellStyle name="Normal 5 2 2 2 2 3 4 3 2" xfId="14465" xr:uid="{57C6B7CC-DC91-4CBB-A4D8-BBD913CE1AC9}"/>
    <cellStyle name="Normal 5 2 2 2 2 3 4 4" xfId="10247" xr:uid="{7A8907D1-B116-4D76-95B0-F68CE4897D3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2 2 2" xfId="17023" xr:uid="{F6F9F239-885D-4EB7-86AA-6D3EDF4A3235}"/>
    <cellStyle name="Normal 5 2 2 2 2 3 5 2 3" xfId="12805" xr:uid="{8027E745-2616-4FFC-B3A2-3E6A2A1D2732}"/>
    <cellStyle name="Normal 5 2 2 2 2 3 5 3" xfId="6439" xr:uid="{00000000-0005-0000-0000-000031170000}"/>
    <cellStyle name="Normal 5 2 2 2 2 3 5 3 2" xfId="14878" xr:uid="{91F60BE7-0D43-4BFE-87EB-B7551FBE3688}"/>
    <cellStyle name="Normal 5 2 2 2 2 3 5 4" xfId="10660" xr:uid="{5B5A817A-191D-4617-BBE0-28D0D103D845}"/>
    <cellStyle name="Normal 5 2 2 2 2 3 6" xfId="2568" xr:uid="{00000000-0005-0000-0000-000032170000}"/>
    <cellStyle name="Normal 5 2 2 2 2 3 6 2" xfId="6852" xr:uid="{00000000-0005-0000-0000-000033170000}"/>
    <cellStyle name="Normal 5 2 2 2 2 3 6 2 2" xfId="15291" xr:uid="{D951A329-B139-4FCF-A1EF-D4BB524218ED}"/>
    <cellStyle name="Normal 5 2 2 2 2 3 6 3" xfId="11073" xr:uid="{037E5055-69E5-4C5F-8138-6F4C93AE47B6}"/>
    <cellStyle name="Normal 5 2 2 2 2 3 7" xfId="4787" xr:uid="{00000000-0005-0000-0000-000034170000}"/>
    <cellStyle name="Normal 5 2 2 2 2 3 7 2" xfId="13226" xr:uid="{4DE5ED01-A23B-42E8-AD2A-B861DCBB14F7}"/>
    <cellStyle name="Normal 5 2 2 2 2 3 8" xfId="9008" xr:uid="{61092B87-2FF8-4C39-A7F3-068B44D9F776}"/>
    <cellStyle name="Normal 5 2 2 2 2 4" xfId="884" xr:uid="{00000000-0005-0000-0000-000035170000}"/>
    <cellStyle name="Normal 5 2 2 2 2 4 2" xfId="3119" xr:uid="{00000000-0005-0000-0000-000036170000}"/>
    <cellStyle name="Normal 5 2 2 2 2 4 2 2" xfId="7342" xr:uid="{00000000-0005-0000-0000-000037170000}"/>
    <cellStyle name="Normal 5 2 2 2 2 4 2 2 2" xfId="15781" xr:uid="{553882F1-C3F0-4A24-A44D-28548035B91F}"/>
    <cellStyle name="Normal 5 2 2 2 2 4 2 3" xfId="11563" xr:uid="{32AA1971-7B07-46F1-A946-71481FB313EB}"/>
    <cellStyle name="Normal 5 2 2 2 2 4 3" xfId="5197" xr:uid="{00000000-0005-0000-0000-000038170000}"/>
    <cellStyle name="Normal 5 2 2 2 2 4 3 2" xfId="13636" xr:uid="{48A9DE61-655B-4AEE-BE47-7BD67A8470EF}"/>
    <cellStyle name="Normal 5 2 2 2 2 4 4" xfId="9418" xr:uid="{BE3CE07D-FB64-4A4A-B7AC-102CD30EC0E9}"/>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2 2 2" xfId="16194" xr:uid="{F19D904B-7188-4959-BA8E-0FDA5CDBCCE2}"/>
    <cellStyle name="Normal 5 2 2 2 2 5 2 3" xfId="11976" xr:uid="{4D2D5A27-0FCB-4E3E-93DB-C864B089A941}"/>
    <cellStyle name="Normal 5 2 2 2 2 5 3" xfId="5610" xr:uid="{00000000-0005-0000-0000-00003C170000}"/>
    <cellStyle name="Normal 5 2 2 2 2 5 3 2" xfId="14049" xr:uid="{A9BB101B-2664-4631-B714-17712D7A64AE}"/>
    <cellStyle name="Normal 5 2 2 2 2 5 4" xfId="9831" xr:uid="{F44774DA-B945-46AB-8C0D-F1ACAE70199D}"/>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2 2 2" xfId="16607" xr:uid="{15B019E9-4957-4516-B0D4-9D73A77D4AE7}"/>
    <cellStyle name="Normal 5 2 2 2 2 6 2 3" xfId="12389" xr:uid="{815D2960-0AB1-41F4-9500-803CDA32BEDA}"/>
    <cellStyle name="Normal 5 2 2 2 2 6 3" xfId="6023" xr:uid="{00000000-0005-0000-0000-000040170000}"/>
    <cellStyle name="Normal 5 2 2 2 2 6 3 2" xfId="14462" xr:uid="{2BB5AFE8-790F-49C4-913C-5C55AF2A9D0F}"/>
    <cellStyle name="Normal 5 2 2 2 2 6 4" xfId="10244" xr:uid="{87DC1BFC-733D-4469-9E34-A6E12D477243}"/>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2 2 2" xfId="17020" xr:uid="{3DE32809-54BC-4513-8101-F6F97B438C35}"/>
    <cellStyle name="Normal 5 2 2 2 2 7 2 3" xfId="12802" xr:uid="{5E3BDD1C-E679-443F-B915-8E80C953D614}"/>
    <cellStyle name="Normal 5 2 2 2 2 7 3" xfId="6436" xr:uid="{00000000-0005-0000-0000-000044170000}"/>
    <cellStyle name="Normal 5 2 2 2 2 7 3 2" xfId="14875" xr:uid="{5DE5DFA4-DFA9-44D7-BD79-619C6909A154}"/>
    <cellStyle name="Normal 5 2 2 2 2 7 4" xfId="10657" xr:uid="{2274828D-D6E8-4043-A978-257DECF9D7E2}"/>
    <cellStyle name="Normal 5 2 2 2 2 8" xfId="2565" xr:uid="{00000000-0005-0000-0000-000045170000}"/>
    <cellStyle name="Normal 5 2 2 2 2 8 2" xfId="6849" xr:uid="{00000000-0005-0000-0000-000046170000}"/>
    <cellStyle name="Normal 5 2 2 2 2 8 2 2" xfId="15288" xr:uid="{AD6A075E-FFC4-4E0D-8BE8-53E45A0368A4}"/>
    <cellStyle name="Normal 5 2 2 2 2 8 3" xfId="11070" xr:uid="{98BC21FC-BCB1-483F-A071-B9193A31A57A}"/>
    <cellStyle name="Normal 5 2 2 2 2 9" xfId="4784" xr:uid="{00000000-0005-0000-0000-000047170000}"/>
    <cellStyle name="Normal 5 2 2 2 2 9 2" xfId="13223" xr:uid="{4A86C669-109C-4D07-962E-0B6613739F9C}"/>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2 2 2" xfId="15786" xr:uid="{FD54E5BD-9D9C-447D-B4D7-27A8E299DF1A}"/>
    <cellStyle name="Normal 5 2 2 2 3 2 2 2 3" xfId="11568" xr:uid="{825074EA-42A4-40FC-936C-722A364468AE}"/>
    <cellStyle name="Normal 5 2 2 2 3 2 2 3" xfId="5202" xr:uid="{00000000-0005-0000-0000-00004D170000}"/>
    <cellStyle name="Normal 5 2 2 2 3 2 2 3 2" xfId="13641" xr:uid="{2C8D8F8A-C201-462B-9DFC-86A11010C4CF}"/>
    <cellStyle name="Normal 5 2 2 2 3 2 2 4" xfId="9423" xr:uid="{823685CD-6A57-40AC-8E63-0AA234DEC091}"/>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2 2 2" xfId="16199" xr:uid="{4912CD41-DB0C-4A01-B9A4-1B9B2D902A19}"/>
    <cellStyle name="Normal 5 2 2 2 3 2 3 2 3" xfId="11981" xr:uid="{A592632F-90A7-4379-A43B-511E9C695653}"/>
    <cellStyle name="Normal 5 2 2 2 3 2 3 3" xfId="5615" xr:uid="{00000000-0005-0000-0000-000051170000}"/>
    <cellStyle name="Normal 5 2 2 2 3 2 3 3 2" xfId="14054" xr:uid="{E23EE53D-8EEC-4081-B4A7-E7C7316ABF47}"/>
    <cellStyle name="Normal 5 2 2 2 3 2 3 4" xfId="9836" xr:uid="{A3DC4884-6D9D-4395-9B48-79FE403F9778}"/>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2 2 2" xfId="16612" xr:uid="{0036685E-86DC-40DF-96A5-E166428CA14E}"/>
    <cellStyle name="Normal 5 2 2 2 3 2 4 2 3" xfId="12394" xr:uid="{406B0FEA-48A5-4969-A83F-149175AADAB5}"/>
    <cellStyle name="Normal 5 2 2 2 3 2 4 3" xfId="6028" xr:uid="{00000000-0005-0000-0000-000055170000}"/>
    <cellStyle name="Normal 5 2 2 2 3 2 4 3 2" xfId="14467" xr:uid="{77CB3F71-0B04-4EDF-9DCB-731549ADBDE2}"/>
    <cellStyle name="Normal 5 2 2 2 3 2 4 4" xfId="10249" xr:uid="{04BDC4D1-6343-41EA-BCE9-8F301CE778EB}"/>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2 2 2" xfId="17025" xr:uid="{AB836629-E998-4178-B9A8-EA0930821022}"/>
    <cellStyle name="Normal 5 2 2 2 3 2 5 2 3" xfId="12807" xr:uid="{1C6FE12E-E1C7-459E-B2A6-6287DDAC065B}"/>
    <cellStyle name="Normal 5 2 2 2 3 2 5 3" xfId="6441" xr:uid="{00000000-0005-0000-0000-000059170000}"/>
    <cellStyle name="Normal 5 2 2 2 3 2 5 3 2" xfId="14880" xr:uid="{C5B17808-F64D-4E68-9B2F-3D385B11194A}"/>
    <cellStyle name="Normal 5 2 2 2 3 2 5 4" xfId="10662" xr:uid="{93E34723-14C6-454D-BDF0-A62385FB87BB}"/>
    <cellStyle name="Normal 5 2 2 2 3 2 6" xfId="2570" xr:uid="{00000000-0005-0000-0000-00005A170000}"/>
    <cellStyle name="Normal 5 2 2 2 3 2 6 2" xfId="6854" xr:uid="{00000000-0005-0000-0000-00005B170000}"/>
    <cellStyle name="Normal 5 2 2 2 3 2 6 2 2" xfId="15293" xr:uid="{B4BC57CD-0633-4151-9AFB-A68F039DB052}"/>
    <cellStyle name="Normal 5 2 2 2 3 2 6 3" xfId="11075" xr:uid="{6EAD18EE-78BA-4027-B55F-4458A4BCDED4}"/>
    <cellStyle name="Normal 5 2 2 2 3 2 7" xfId="4789" xr:uid="{00000000-0005-0000-0000-00005C170000}"/>
    <cellStyle name="Normal 5 2 2 2 3 2 7 2" xfId="13228" xr:uid="{BF302337-C627-4F84-B22F-1DF04E913CD6}"/>
    <cellStyle name="Normal 5 2 2 2 3 2 8" xfId="9010" xr:uid="{E518B149-3E35-4D15-9A34-50CB54C6E183}"/>
    <cellStyle name="Normal 5 2 2 2 3 3" xfId="888" xr:uid="{00000000-0005-0000-0000-00005D170000}"/>
    <cellStyle name="Normal 5 2 2 2 3 3 2" xfId="3123" xr:uid="{00000000-0005-0000-0000-00005E170000}"/>
    <cellStyle name="Normal 5 2 2 2 3 3 2 2" xfId="7346" xr:uid="{00000000-0005-0000-0000-00005F170000}"/>
    <cellStyle name="Normal 5 2 2 2 3 3 2 2 2" xfId="15785" xr:uid="{6DB93C7B-6B91-44A1-99AC-884FDABBF6ED}"/>
    <cellStyle name="Normal 5 2 2 2 3 3 2 3" xfId="11567" xr:uid="{2590164E-60BE-4A9E-BB3C-F89737E5AC89}"/>
    <cellStyle name="Normal 5 2 2 2 3 3 3" xfId="5201" xr:uid="{00000000-0005-0000-0000-000060170000}"/>
    <cellStyle name="Normal 5 2 2 2 3 3 3 2" xfId="13640" xr:uid="{CEE9B5E9-DAF4-4D23-9D09-5BC9A4CB99DE}"/>
    <cellStyle name="Normal 5 2 2 2 3 3 4" xfId="9422" xr:uid="{5982521D-9B17-4237-99CF-A3A52415D8B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2 2 2" xfId="16198" xr:uid="{933B2A03-2D40-40A0-A4B0-829C69B1376E}"/>
    <cellStyle name="Normal 5 2 2 2 3 4 2 3" xfId="11980" xr:uid="{F9257E4C-B685-42F3-A583-759A088DAEB3}"/>
    <cellStyle name="Normal 5 2 2 2 3 4 3" xfId="5614" xr:uid="{00000000-0005-0000-0000-000064170000}"/>
    <cellStyle name="Normal 5 2 2 2 3 4 3 2" xfId="14053" xr:uid="{1FB34E7E-4617-4F7B-B5B7-AB08B8A6106D}"/>
    <cellStyle name="Normal 5 2 2 2 3 4 4" xfId="9835" xr:uid="{E3F2CC28-01C9-4E6B-B315-E01A98582234}"/>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2 2 2" xfId="16611" xr:uid="{F11CB039-C421-41E0-9146-CF5EBE482DF7}"/>
    <cellStyle name="Normal 5 2 2 2 3 5 2 3" xfId="12393" xr:uid="{B3C5A333-E007-4AF2-8CA6-C53C3B059AA8}"/>
    <cellStyle name="Normal 5 2 2 2 3 5 3" xfId="6027" xr:uid="{00000000-0005-0000-0000-000068170000}"/>
    <cellStyle name="Normal 5 2 2 2 3 5 3 2" xfId="14466" xr:uid="{B25CAF50-36EC-4291-9BA7-A8F7A3BA2C83}"/>
    <cellStyle name="Normal 5 2 2 2 3 5 4" xfId="10248" xr:uid="{012FB522-CD82-4A28-9527-36C231F4E017}"/>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2 2 2" xfId="17024" xr:uid="{30994E80-80C0-49B2-B2DA-558BD243618F}"/>
    <cellStyle name="Normal 5 2 2 2 3 6 2 3" xfId="12806" xr:uid="{103392FF-F8A6-4A6F-8466-DA33DE0882AF}"/>
    <cellStyle name="Normal 5 2 2 2 3 6 3" xfId="6440" xr:uid="{00000000-0005-0000-0000-00006C170000}"/>
    <cellStyle name="Normal 5 2 2 2 3 6 3 2" xfId="14879" xr:uid="{495AFCF6-21DC-4C33-8000-FE6F407B350B}"/>
    <cellStyle name="Normal 5 2 2 2 3 6 4" xfId="10661" xr:uid="{99F88ADF-BB4E-4665-BA31-73AF57359438}"/>
    <cellStyle name="Normal 5 2 2 2 3 7" xfId="2569" xr:uid="{00000000-0005-0000-0000-00006D170000}"/>
    <cellStyle name="Normal 5 2 2 2 3 7 2" xfId="6853" xr:uid="{00000000-0005-0000-0000-00006E170000}"/>
    <cellStyle name="Normal 5 2 2 2 3 7 2 2" xfId="15292" xr:uid="{2997E647-53D6-4E91-9362-7FE4DAFADC97}"/>
    <cellStyle name="Normal 5 2 2 2 3 7 3" xfId="11074" xr:uid="{85D205A6-1202-4E17-B9B5-E407267F4958}"/>
    <cellStyle name="Normal 5 2 2 2 3 8" xfId="4788" xr:uid="{00000000-0005-0000-0000-00006F170000}"/>
    <cellStyle name="Normal 5 2 2 2 3 8 2" xfId="13227" xr:uid="{90DDBE84-F84A-46A6-99DF-52E51368E715}"/>
    <cellStyle name="Normal 5 2 2 2 3 9" xfId="9009" xr:uid="{C89908F9-33AF-4CA9-885E-7C26EE99B3EF}"/>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2 2 2" xfId="15787" xr:uid="{670FB79F-87F0-478A-B12A-1F8232F0D644}"/>
    <cellStyle name="Normal 5 2 2 2 4 2 2 3" xfId="11569" xr:uid="{EF1ED7FA-71EE-461F-AE1F-E1999CBEC853}"/>
    <cellStyle name="Normal 5 2 2 2 4 2 3" xfId="5203" xr:uid="{00000000-0005-0000-0000-000074170000}"/>
    <cellStyle name="Normal 5 2 2 2 4 2 3 2" xfId="13642" xr:uid="{748A9430-7C62-4444-820A-3E5EA6ACA833}"/>
    <cellStyle name="Normal 5 2 2 2 4 2 4" xfId="9424" xr:uid="{16514905-F293-4C3B-9BEE-6BDE3DD406AE}"/>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2 2 2" xfId="16200" xr:uid="{06D97CD8-24F7-4A0F-8E19-4A5911ED3FB1}"/>
    <cellStyle name="Normal 5 2 2 2 4 3 2 3" xfId="11982" xr:uid="{73F2AB2F-072B-4531-A390-E10E4760418B}"/>
    <cellStyle name="Normal 5 2 2 2 4 3 3" xfId="5616" xr:uid="{00000000-0005-0000-0000-000078170000}"/>
    <cellStyle name="Normal 5 2 2 2 4 3 3 2" xfId="14055" xr:uid="{4CE9C977-CAB4-49E6-865F-8193AD4733F8}"/>
    <cellStyle name="Normal 5 2 2 2 4 3 4" xfId="9837" xr:uid="{ED166469-9AEC-44BD-B77D-7E36647A66B9}"/>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2 2 2" xfId="16613" xr:uid="{4F526843-29B3-47FD-ADB9-5F7038453120}"/>
    <cellStyle name="Normal 5 2 2 2 4 4 2 3" xfId="12395" xr:uid="{042791AD-D5D8-40C5-A89E-57C11086F350}"/>
    <cellStyle name="Normal 5 2 2 2 4 4 3" xfId="6029" xr:uid="{00000000-0005-0000-0000-00007C170000}"/>
    <cellStyle name="Normal 5 2 2 2 4 4 3 2" xfId="14468" xr:uid="{CB2B9C80-562F-43CE-92A0-87C15F2CA490}"/>
    <cellStyle name="Normal 5 2 2 2 4 4 4" xfId="10250" xr:uid="{E177DAEF-DCD1-4424-99DA-FACD006D3664}"/>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2 2 2" xfId="17026" xr:uid="{09F7602C-14C3-41A1-88A6-2E63C3381283}"/>
    <cellStyle name="Normal 5 2 2 2 4 5 2 3" xfId="12808" xr:uid="{891FB904-34FF-4ED6-969E-92D41486930A}"/>
    <cellStyle name="Normal 5 2 2 2 4 5 3" xfId="6442" xr:uid="{00000000-0005-0000-0000-000080170000}"/>
    <cellStyle name="Normal 5 2 2 2 4 5 3 2" xfId="14881" xr:uid="{EB649CC9-6A70-43D4-B666-BB1C05747A57}"/>
    <cellStyle name="Normal 5 2 2 2 4 5 4" xfId="10663" xr:uid="{03521FB8-232B-455B-92BA-53634E9C8255}"/>
    <cellStyle name="Normal 5 2 2 2 4 6" xfId="2571" xr:uid="{00000000-0005-0000-0000-000081170000}"/>
    <cellStyle name="Normal 5 2 2 2 4 6 2" xfId="6855" xr:uid="{00000000-0005-0000-0000-000082170000}"/>
    <cellStyle name="Normal 5 2 2 2 4 6 2 2" xfId="15294" xr:uid="{74E0813D-05CC-4B56-A141-211F18807B3A}"/>
    <cellStyle name="Normal 5 2 2 2 4 6 3" xfId="11076" xr:uid="{14EEAD91-7CD4-48C4-946A-A4D5C57A3C87}"/>
    <cellStyle name="Normal 5 2 2 2 4 7" xfId="4790" xr:uid="{00000000-0005-0000-0000-000083170000}"/>
    <cellStyle name="Normal 5 2 2 2 4 7 2" xfId="13229" xr:uid="{61C2AEC4-12AE-4836-A989-0AA8E292C538}"/>
    <cellStyle name="Normal 5 2 2 2 4 8" xfId="9011" xr:uid="{28C54012-17F5-4D2D-9E8D-5F32B7CE8F3F}"/>
    <cellStyle name="Normal 5 2 2 2 5" xfId="883" xr:uid="{00000000-0005-0000-0000-000084170000}"/>
    <cellStyle name="Normal 5 2 2 2 5 2" xfId="3118" xr:uid="{00000000-0005-0000-0000-000085170000}"/>
    <cellStyle name="Normal 5 2 2 2 5 2 2" xfId="7341" xr:uid="{00000000-0005-0000-0000-000086170000}"/>
    <cellStyle name="Normal 5 2 2 2 5 2 2 2" xfId="15780" xr:uid="{E49E43E0-F833-4A33-9A91-C35AB2178027}"/>
    <cellStyle name="Normal 5 2 2 2 5 2 3" xfId="11562" xr:uid="{D27F3A5A-6526-49B8-BFD8-3A8E81AFA865}"/>
    <cellStyle name="Normal 5 2 2 2 5 3" xfId="5196" xr:uid="{00000000-0005-0000-0000-000087170000}"/>
    <cellStyle name="Normal 5 2 2 2 5 3 2" xfId="13635" xr:uid="{3C8546B6-D5F2-4482-9C0D-E4C9EFA451B5}"/>
    <cellStyle name="Normal 5 2 2 2 5 4" xfId="9417" xr:uid="{5CEBCE67-E0DE-4E0C-9DB8-B56CDA21657D}"/>
    <cellStyle name="Normal 5 2 2 2 6" xfId="1301" xr:uid="{00000000-0005-0000-0000-000088170000}"/>
    <cellStyle name="Normal 5 2 2 2 6 2" xfId="3531" xr:uid="{00000000-0005-0000-0000-000089170000}"/>
    <cellStyle name="Normal 5 2 2 2 6 2 2" xfId="7754" xr:uid="{00000000-0005-0000-0000-00008A170000}"/>
    <cellStyle name="Normal 5 2 2 2 6 2 2 2" xfId="16193" xr:uid="{40F83FE9-BCE8-4956-8EA5-0F8AB8334A0B}"/>
    <cellStyle name="Normal 5 2 2 2 6 2 3" xfId="11975" xr:uid="{690E3BB7-3A36-419E-932B-3F49F72C275C}"/>
    <cellStyle name="Normal 5 2 2 2 6 3" xfId="5609" xr:uid="{00000000-0005-0000-0000-00008B170000}"/>
    <cellStyle name="Normal 5 2 2 2 6 3 2" xfId="14048" xr:uid="{75B34E65-6249-4EE3-99F5-D1F90C8943BF}"/>
    <cellStyle name="Normal 5 2 2 2 6 4" xfId="9830" xr:uid="{AA9E5A2F-7771-496B-9D37-A720C747E79B}"/>
    <cellStyle name="Normal 5 2 2 2 7" xfId="1714" xr:uid="{00000000-0005-0000-0000-00008C170000}"/>
    <cellStyle name="Normal 5 2 2 2 7 2" xfId="3944" xr:uid="{00000000-0005-0000-0000-00008D170000}"/>
    <cellStyle name="Normal 5 2 2 2 7 2 2" xfId="8167" xr:uid="{00000000-0005-0000-0000-00008E170000}"/>
    <cellStyle name="Normal 5 2 2 2 7 2 2 2" xfId="16606" xr:uid="{82510D05-E867-4CC8-97EB-EC6F3E15A03E}"/>
    <cellStyle name="Normal 5 2 2 2 7 2 3" xfId="12388" xr:uid="{B8B7A395-1A08-49A0-BC94-76D30E8473D3}"/>
    <cellStyle name="Normal 5 2 2 2 7 3" xfId="6022" xr:uid="{00000000-0005-0000-0000-00008F170000}"/>
    <cellStyle name="Normal 5 2 2 2 7 3 2" xfId="14461" xr:uid="{373CE965-9757-4785-9FA0-AF28BAC7DB68}"/>
    <cellStyle name="Normal 5 2 2 2 7 4" xfId="10243" xr:uid="{B4D7D846-A82D-4292-9716-0C2A8779509F}"/>
    <cellStyle name="Normal 5 2 2 2 8" xfId="2128" xr:uid="{00000000-0005-0000-0000-000090170000}"/>
    <cellStyle name="Normal 5 2 2 2 8 2" xfId="4357" xr:uid="{00000000-0005-0000-0000-000091170000}"/>
    <cellStyle name="Normal 5 2 2 2 8 2 2" xfId="8580" xr:uid="{00000000-0005-0000-0000-000092170000}"/>
    <cellStyle name="Normal 5 2 2 2 8 2 2 2" xfId="17019" xr:uid="{934D5070-DA78-4CFE-B6F4-2D94D0CBB02E}"/>
    <cellStyle name="Normal 5 2 2 2 8 2 3" xfId="12801" xr:uid="{ADB486B8-64F9-4F9F-BC45-B603C147020F}"/>
    <cellStyle name="Normal 5 2 2 2 8 3" xfId="6435" xr:uid="{00000000-0005-0000-0000-000093170000}"/>
    <cellStyle name="Normal 5 2 2 2 8 3 2" xfId="14874" xr:uid="{DD710188-659E-4276-9F5F-E3FDA3D4B2AC}"/>
    <cellStyle name="Normal 5 2 2 2 8 4" xfId="10656" xr:uid="{97AF1292-48CD-4714-AA55-0D20F38BF8A5}"/>
    <cellStyle name="Normal 5 2 2 2 9" xfId="2564" xr:uid="{00000000-0005-0000-0000-000094170000}"/>
    <cellStyle name="Normal 5 2 2 2 9 2" xfId="6848" xr:uid="{00000000-0005-0000-0000-000095170000}"/>
    <cellStyle name="Normal 5 2 2 2 9 2 2" xfId="15287" xr:uid="{D0E04FBB-8F09-403C-92E7-78F73303A22A}"/>
    <cellStyle name="Normal 5 2 2 2 9 3" xfId="11069" xr:uid="{4C6F7B51-BBE9-45C1-8631-024A4DC55790}"/>
    <cellStyle name="Normal 5 2 2 3" xfId="417" xr:uid="{00000000-0005-0000-0000-000096170000}"/>
    <cellStyle name="Normal 5 2 2 3 10" xfId="9012" xr:uid="{567F68B9-DF4A-4E81-A8BF-C0C347E3EFBA}"/>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2 2 2" xfId="15790" xr:uid="{6406B41A-CAF7-46AA-83D9-E7AB5A131C03}"/>
    <cellStyle name="Normal 5 2 2 3 2 2 2 2 3" xfId="11572" xr:uid="{E4BCB117-9EB4-4F44-95BC-0D093C1D1870}"/>
    <cellStyle name="Normal 5 2 2 3 2 2 2 3" xfId="5206" xr:uid="{00000000-0005-0000-0000-00009C170000}"/>
    <cellStyle name="Normal 5 2 2 3 2 2 2 3 2" xfId="13645" xr:uid="{5B5F33FB-70FF-4576-ABFC-15A46BAE5D22}"/>
    <cellStyle name="Normal 5 2 2 3 2 2 2 4" xfId="9427" xr:uid="{4E449BD5-40E8-48CC-B96C-3D60BB3F3359}"/>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2 2 2" xfId="16203" xr:uid="{BDB0523A-7305-4DA3-9723-F714D66EB24D}"/>
    <cellStyle name="Normal 5 2 2 3 2 2 3 2 3" xfId="11985" xr:uid="{748DD576-7187-4C49-80DD-925E5431B753}"/>
    <cellStyle name="Normal 5 2 2 3 2 2 3 3" xfId="5619" xr:uid="{00000000-0005-0000-0000-0000A0170000}"/>
    <cellStyle name="Normal 5 2 2 3 2 2 3 3 2" xfId="14058" xr:uid="{5AC409E0-2013-49F0-B536-A40823BD525E}"/>
    <cellStyle name="Normal 5 2 2 3 2 2 3 4" xfId="9840" xr:uid="{4670A898-94D8-4652-B271-06244AFD0E88}"/>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2 2 2" xfId="16616" xr:uid="{9C4B80BB-893A-47DD-96FA-54C0814B0B21}"/>
    <cellStyle name="Normal 5 2 2 3 2 2 4 2 3" xfId="12398" xr:uid="{34D149AA-541D-41CC-A9A9-6A2F4A79B10F}"/>
    <cellStyle name="Normal 5 2 2 3 2 2 4 3" xfId="6032" xr:uid="{00000000-0005-0000-0000-0000A4170000}"/>
    <cellStyle name="Normal 5 2 2 3 2 2 4 3 2" xfId="14471" xr:uid="{B43CEDE9-4DD7-4BF8-A87C-35780E3C1071}"/>
    <cellStyle name="Normal 5 2 2 3 2 2 4 4" xfId="10253" xr:uid="{141900C0-2366-47E1-B735-0C3856CA69CD}"/>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2 2 2" xfId="17029" xr:uid="{B06AF975-3BCB-4F67-B6F1-5D798BC64611}"/>
    <cellStyle name="Normal 5 2 2 3 2 2 5 2 3" xfId="12811" xr:uid="{D235DEAB-9AA6-4520-AF02-BE4A1A834088}"/>
    <cellStyle name="Normal 5 2 2 3 2 2 5 3" xfId="6445" xr:uid="{00000000-0005-0000-0000-0000A8170000}"/>
    <cellStyle name="Normal 5 2 2 3 2 2 5 3 2" xfId="14884" xr:uid="{70AD5B2E-1A27-44C2-9BC3-C2A584C9F2FA}"/>
    <cellStyle name="Normal 5 2 2 3 2 2 5 4" xfId="10666" xr:uid="{7A7CDA35-D1E5-4C00-A2DA-F432D3CF041D}"/>
    <cellStyle name="Normal 5 2 2 3 2 2 6" xfId="2574" xr:uid="{00000000-0005-0000-0000-0000A9170000}"/>
    <cellStyle name="Normal 5 2 2 3 2 2 6 2" xfId="6858" xr:uid="{00000000-0005-0000-0000-0000AA170000}"/>
    <cellStyle name="Normal 5 2 2 3 2 2 6 2 2" xfId="15297" xr:uid="{11FA0BF8-D1ED-4633-8109-DA03388C6F52}"/>
    <cellStyle name="Normal 5 2 2 3 2 2 6 3" xfId="11079" xr:uid="{E5887BBD-5BF2-4C68-9908-D4FA92BA93DB}"/>
    <cellStyle name="Normal 5 2 2 3 2 2 7" xfId="4793" xr:uid="{00000000-0005-0000-0000-0000AB170000}"/>
    <cellStyle name="Normal 5 2 2 3 2 2 7 2" xfId="13232" xr:uid="{74A29407-27DC-4016-8BE3-D0129900CE80}"/>
    <cellStyle name="Normal 5 2 2 3 2 2 8" xfId="9014" xr:uid="{F2733D3A-2420-4B0B-A7C3-E80E00D763C4}"/>
    <cellStyle name="Normal 5 2 2 3 2 3" xfId="892" xr:uid="{00000000-0005-0000-0000-0000AC170000}"/>
    <cellStyle name="Normal 5 2 2 3 2 3 2" xfId="3127" xr:uid="{00000000-0005-0000-0000-0000AD170000}"/>
    <cellStyle name="Normal 5 2 2 3 2 3 2 2" xfId="7350" xr:uid="{00000000-0005-0000-0000-0000AE170000}"/>
    <cellStyle name="Normal 5 2 2 3 2 3 2 2 2" xfId="15789" xr:uid="{A0BC9A5D-707D-42EA-BBA1-005874852DD3}"/>
    <cellStyle name="Normal 5 2 2 3 2 3 2 3" xfId="11571" xr:uid="{6EA3A482-C0C5-4850-BD2C-274C44140DDD}"/>
    <cellStyle name="Normal 5 2 2 3 2 3 3" xfId="5205" xr:uid="{00000000-0005-0000-0000-0000AF170000}"/>
    <cellStyle name="Normal 5 2 2 3 2 3 3 2" xfId="13644" xr:uid="{A5B57277-2B83-4E14-8799-4558386D7C59}"/>
    <cellStyle name="Normal 5 2 2 3 2 3 4" xfId="9426" xr:uid="{6E0F4153-A681-419E-A2FD-A1629B4C9716}"/>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2 2 2" xfId="16202" xr:uid="{5105365E-C4DA-4A34-B711-0A797B3951FB}"/>
    <cellStyle name="Normal 5 2 2 3 2 4 2 3" xfId="11984" xr:uid="{13AC80E3-836B-47A3-AC2A-62BAA9BA7903}"/>
    <cellStyle name="Normal 5 2 2 3 2 4 3" xfId="5618" xr:uid="{00000000-0005-0000-0000-0000B3170000}"/>
    <cellStyle name="Normal 5 2 2 3 2 4 3 2" xfId="14057" xr:uid="{9A6057F2-0FF6-4DA7-A7A0-D83E9285B384}"/>
    <cellStyle name="Normal 5 2 2 3 2 4 4" xfId="9839" xr:uid="{F9F09F7C-0045-4EA5-B132-8D1AD54DC94C}"/>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2 2 2" xfId="16615" xr:uid="{E6AE029A-4EC6-4F1D-BEE3-229A63348CDE}"/>
    <cellStyle name="Normal 5 2 2 3 2 5 2 3" xfId="12397" xr:uid="{B2D0E7BE-1E6D-43D1-860F-F3DAE5BA7661}"/>
    <cellStyle name="Normal 5 2 2 3 2 5 3" xfId="6031" xr:uid="{00000000-0005-0000-0000-0000B7170000}"/>
    <cellStyle name="Normal 5 2 2 3 2 5 3 2" xfId="14470" xr:uid="{C3473C08-C9E8-4A7D-B607-754657885322}"/>
    <cellStyle name="Normal 5 2 2 3 2 5 4" xfId="10252" xr:uid="{215541E1-2C94-4AEE-BF58-EBEA89B728AE}"/>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2 2 2" xfId="17028" xr:uid="{552CD652-0F99-4185-9B01-14B1FC352905}"/>
    <cellStyle name="Normal 5 2 2 3 2 6 2 3" xfId="12810" xr:uid="{64B948DA-A076-4F8D-A48E-21E5F81C1FB4}"/>
    <cellStyle name="Normal 5 2 2 3 2 6 3" xfId="6444" xr:uid="{00000000-0005-0000-0000-0000BB170000}"/>
    <cellStyle name="Normal 5 2 2 3 2 6 3 2" xfId="14883" xr:uid="{CEE3B342-55B4-475F-9387-06AC9DAB0F9D}"/>
    <cellStyle name="Normal 5 2 2 3 2 6 4" xfId="10665" xr:uid="{0128D8B7-3213-4EF1-8CE1-97484BC24E29}"/>
    <cellStyle name="Normal 5 2 2 3 2 7" xfId="2573" xr:uid="{00000000-0005-0000-0000-0000BC170000}"/>
    <cellStyle name="Normal 5 2 2 3 2 7 2" xfId="6857" xr:uid="{00000000-0005-0000-0000-0000BD170000}"/>
    <cellStyle name="Normal 5 2 2 3 2 7 2 2" xfId="15296" xr:uid="{96293A68-3E2F-4E3C-9AD4-53FA1C43F6DF}"/>
    <cellStyle name="Normal 5 2 2 3 2 7 3" xfId="11078" xr:uid="{E5D0B2E0-60A8-4E24-83AE-A1F06013AA70}"/>
    <cellStyle name="Normal 5 2 2 3 2 8" xfId="4792" xr:uid="{00000000-0005-0000-0000-0000BE170000}"/>
    <cellStyle name="Normal 5 2 2 3 2 8 2" xfId="13231" xr:uid="{E8AF4A3C-7826-43B5-96F9-DD6EBF4839A9}"/>
    <cellStyle name="Normal 5 2 2 3 2 9" xfId="9013" xr:uid="{F30F10BA-A74A-4A68-8E00-E7ED5C2789D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2 2 2" xfId="15791" xr:uid="{2332BEF7-E428-419F-8E01-70C27A7BF52D}"/>
    <cellStyle name="Normal 5 2 2 3 3 2 2 3" xfId="11573" xr:uid="{DF1DEB44-FAE1-4582-8E48-E5C22107BA91}"/>
    <cellStyle name="Normal 5 2 2 3 3 2 3" xfId="5207" xr:uid="{00000000-0005-0000-0000-0000C3170000}"/>
    <cellStyle name="Normal 5 2 2 3 3 2 3 2" xfId="13646" xr:uid="{9DA354C0-ADFB-4DC8-817D-494052A5345B}"/>
    <cellStyle name="Normal 5 2 2 3 3 2 4" xfId="9428" xr:uid="{04380236-5731-4BB6-87A5-598632F91A7A}"/>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2 2 2" xfId="16204" xr:uid="{CC3D290D-54F1-4B10-BDF0-9B5E3C7B60BB}"/>
    <cellStyle name="Normal 5 2 2 3 3 3 2 3" xfId="11986" xr:uid="{DDCD1499-0F25-41B1-B14D-AEBF954F42F5}"/>
    <cellStyle name="Normal 5 2 2 3 3 3 3" xfId="5620" xr:uid="{00000000-0005-0000-0000-0000C7170000}"/>
    <cellStyle name="Normal 5 2 2 3 3 3 3 2" xfId="14059" xr:uid="{FF8062DD-561A-4A9B-8C65-3F6F6C96933B}"/>
    <cellStyle name="Normal 5 2 2 3 3 3 4" xfId="9841" xr:uid="{BC0E873F-8BEA-411F-804B-68AA4652926F}"/>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2 2 2" xfId="16617" xr:uid="{AC333284-A4CE-4200-A2CB-B36289BE7561}"/>
    <cellStyle name="Normal 5 2 2 3 3 4 2 3" xfId="12399" xr:uid="{7DD98829-14EF-442F-A32D-A303C1E7D1B7}"/>
    <cellStyle name="Normal 5 2 2 3 3 4 3" xfId="6033" xr:uid="{00000000-0005-0000-0000-0000CB170000}"/>
    <cellStyle name="Normal 5 2 2 3 3 4 3 2" xfId="14472" xr:uid="{72497996-4EA7-4EB6-97FC-CA544C9FD3E5}"/>
    <cellStyle name="Normal 5 2 2 3 3 4 4" xfId="10254" xr:uid="{424EAA69-835C-42FB-947A-0712DDA4B167}"/>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2 2 2" xfId="17030" xr:uid="{E6153478-1923-4F89-A846-68315C945C00}"/>
    <cellStyle name="Normal 5 2 2 3 3 5 2 3" xfId="12812" xr:uid="{0486F5EA-C6BB-4A4A-B886-665E7084DE5E}"/>
    <cellStyle name="Normal 5 2 2 3 3 5 3" xfId="6446" xr:uid="{00000000-0005-0000-0000-0000CF170000}"/>
    <cellStyle name="Normal 5 2 2 3 3 5 3 2" xfId="14885" xr:uid="{DD6E2292-FB14-4B3B-8C27-5C0C8301E07A}"/>
    <cellStyle name="Normal 5 2 2 3 3 5 4" xfId="10667" xr:uid="{D9758A44-DD10-4D62-BE42-2F00D6796981}"/>
    <cellStyle name="Normal 5 2 2 3 3 6" xfId="2575" xr:uid="{00000000-0005-0000-0000-0000D0170000}"/>
    <cellStyle name="Normal 5 2 2 3 3 6 2" xfId="6859" xr:uid="{00000000-0005-0000-0000-0000D1170000}"/>
    <cellStyle name="Normal 5 2 2 3 3 6 2 2" xfId="15298" xr:uid="{6A5AC1DE-2044-4231-A7D1-1C027FD90DA6}"/>
    <cellStyle name="Normal 5 2 2 3 3 6 3" xfId="11080" xr:uid="{A1D86C22-3710-4FE3-9A26-330C9BC375D0}"/>
    <cellStyle name="Normal 5 2 2 3 3 7" xfId="4794" xr:uid="{00000000-0005-0000-0000-0000D2170000}"/>
    <cellStyle name="Normal 5 2 2 3 3 7 2" xfId="13233" xr:uid="{FFF31D7A-621C-4C57-B703-E85EEA82C95E}"/>
    <cellStyle name="Normal 5 2 2 3 3 8" xfId="9015" xr:uid="{0CE01DF8-23C9-4DC4-9D7E-F2068A37D75D}"/>
    <cellStyle name="Normal 5 2 2 3 4" xfId="891" xr:uid="{00000000-0005-0000-0000-0000D3170000}"/>
    <cellStyle name="Normal 5 2 2 3 4 2" xfId="3126" xr:uid="{00000000-0005-0000-0000-0000D4170000}"/>
    <cellStyle name="Normal 5 2 2 3 4 2 2" xfId="7349" xr:uid="{00000000-0005-0000-0000-0000D5170000}"/>
    <cellStyle name="Normal 5 2 2 3 4 2 2 2" xfId="15788" xr:uid="{42104605-F079-40A0-AC9E-B79ED093AAF5}"/>
    <cellStyle name="Normal 5 2 2 3 4 2 3" xfId="11570" xr:uid="{C68D0906-11DF-4F02-9F5B-EB938A2E7F6C}"/>
    <cellStyle name="Normal 5 2 2 3 4 3" xfId="5204" xr:uid="{00000000-0005-0000-0000-0000D6170000}"/>
    <cellStyle name="Normal 5 2 2 3 4 3 2" xfId="13643" xr:uid="{87206524-B1AD-46D4-9016-06171AB9B8D1}"/>
    <cellStyle name="Normal 5 2 2 3 4 4" xfId="9425" xr:uid="{31B74A7C-9BE0-4914-959F-D5A93C64E936}"/>
    <cellStyle name="Normal 5 2 2 3 5" xfId="1309" xr:uid="{00000000-0005-0000-0000-0000D7170000}"/>
    <cellStyle name="Normal 5 2 2 3 5 2" xfId="3539" xr:uid="{00000000-0005-0000-0000-0000D8170000}"/>
    <cellStyle name="Normal 5 2 2 3 5 2 2" xfId="7762" xr:uid="{00000000-0005-0000-0000-0000D9170000}"/>
    <cellStyle name="Normal 5 2 2 3 5 2 2 2" xfId="16201" xr:uid="{F0E63579-F350-4113-9F25-9C99002F32B9}"/>
    <cellStyle name="Normal 5 2 2 3 5 2 3" xfId="11983" xr:uid="{D3D599AF-B06D-4411-BD7D-1494CC42E10E}"/>
    <cellStyle name="Normal 5 2 2 3 5 3" xfId="5617" xr:uid="{00000000-0005-0000-0000-0000DA170000}"/>
    <cellStyle name="Normal 5 2 2 3 5 3 2" xfId="14056" xr:uid="{08B2F11C-BF7C-4CA3-85E3-C684A96234DE}"/>
    <cellStyle name="Normal 5 2 2 3 5 4" xfId="9838" xr:uid="{D4E88906-2F2A-44B1-8958-C6FE1B6E4C8E}"/>
    <cellStyle name="Normal 5 2 2 3 6" xfId="1722" xr:uid="{00000000-0005-0000-0000-0000DB170000}"/>
    <cellStyle name="Normal 5 2 2 3 6 2" xfId="3952" xr:uid="{00000000-0005-0000-0000-0000DC170000}"/>
    <cellStyle name="Normal 5 2 2 3 6 2 2" xfId="8175" xr:uid="{00000000-0005-0000-0000-0000DD170000}"/>
    <cellStyle name="Normal 5 2 2 3 6 2 2 2" xfId="16614" xr:uid="{7EB41540-C248-4300-84FD-568B131A1994}"/>
    <cellStyle name="Normal 5 2 2 3 6 2 3" xfId="12396" xr:uid="{49D63A80-B1A7-4706-8093-34F5041D6867}"/>
    <cellStyle name="Normal 5 2 2 3 6 3" xfId="6030" xr:uid="{00000000-0005-0000-0000-0000DE170000}"/>
    <cellStyle name="Normal 5 2 2 3 6 3 2" xfId="14469" xr:uid="{9397059D-3702-476D-9C55-1DCF5DF539E3}"/>
    <cellStyle name="Normal 5 2 2 3 6 4" xfId="10251" xr:uid="{60BCFDDE-41CC-44D2-92DD-F7E072C94A9F}"/>
    <cellStyle name="Normal 5 2 2 3 7" xfId="2136" xr:uid="{00000000-0005-0000-0000-0000DF170000}"/>
    <cellStyle name="Normal 5 2 2 3 7 2" xfId="4365" xr:uid="{00000000-0005-0000-0000-0000E0170000}"/>
    <cellStyle name="Normal 5 2 2 3 7 2 2" xfId="8588" xr:uid="{00000000-0005-0000-0000-0000E1170000}"/>
    <cellStyle name="Normal 5 2 2 3 7 2 2 2" xfId="17027" xr:uid="{36269D76-F05D-4584-8C0A-74F076AD6EE3}"/>
    <cellStyle name="Normal 5 2 2 3 7 2 3" xfId="12809" xr:uid="{D41306FC-608F-4B1E-BBB2-A36A286127CD}"/>
    <cellStyle name="Normal 5 2 2 3 7 3" xfId="6443" xr:uid="{00000000-0005-0000-0000-0000E2170000}"/>
    <cellStyle name="Normal 5 2 2 3 7 3 2" xfId="14882" xr:uid="{1DEF6F02-5BDB-4754-8F7C-A837799038AA}"/>
    <cellStyle name="Normal 5 2 2 3 7 4" xfId="10664" xr:uid="{58B964B2-49B1-4430-B612-19331AE56D7E}"/>
    <cellStyle name="Normal 5 2 2 3 8" xfId="2572" xr:uid="{00000000-0005-0000-0000-0000E3170000}"/>
    <cellStyle name="Normal 5 2 2 3 8 2" xfId="6856" xr:uid="{00000000-0005-0000-0000-0000E4170000}"/>
    <cellStyle name="Normal 5 2 2 3 8 2 2" xfId="15295" xr:uid="{FDAB5798-3F85-4630-BB49-499E3A562952}"/>
    <cellStyle name="Normal 5 2 2 3 8 3" xfId="11077" xr:uid="{C9809D03-3099-46E9-87FA-124AD82AA0B7}"/>
    <cellStyle name="Normal 5 2 2 3 9" xfId="4791" xr:uid="{00000000-0005-0000-0000-0000E5170000}"/>
    <cellStyle name="Normal 5 2 2 3 9 2" xfId="13230" xr:uid="{B8FEC963-C321-44B4-B150-0C9268C4D6E8}"/>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2 2 2" xfId="15793" xr:uid="{D1DF3DF4-536A-4E67-8B63-13ABD19C970A}"/>
    <cellStyle name="Normal 5 2 2 4 2 2 2 3" xfId="11575" xr:uid="{443B1763-690A-44EA-9D2B-ADF3F1EAF27B}"/>
    <cellStyle name="Normal 5 2 2 4 2 2 3" xfId="5209" xr:uid="{00000000-0005-0000-0000-0000EB170000}"/>
    <cellStyle name="Normal 5 2 2 4 2 2 3 2" xfId="13648" xr:uid="{987FB315-ED31-4BFF-8D5E-98D9F9521066}"/>
    <cellStyle name="Normal 5 2 2 4 2 2 4" xfId="9430" xr:uid="{46257B29-B5D1-4DD8-8DB2-0DB886F46753}"/>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2 2 2" xfId="16206" xr:uid="{94969624-2F4C-4379-87E7-3B9681543CF2}"/>
    <cellStyle name="Normal 5 2 2 4 2 3 2 3" xfId="11988" xr:uid="{7A5C79E7-616B-4803-BBF5-C3C3C0DF3E1E}"/>
    <cellStyle name="Normal 5 2 2 4 2 3 3" xfId="5622" xr:uid="{00000000-0005-0000-0000-0000EF170000}"/>
    <cellStyle name="Normal 5 2 2 4 2 3 3 2" xfId="14061" xr:uid="{6D97B8AB-BDD6-426F-9153-14C32FCF76A0}"/>
    <cellStyle name="Normal 5 2 2 4 2 3 4" xfId="9843" xr:uid="{EA02ABE7-AD21-4868-B2AE-E79E4582A811}"/>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2 2 2" xfId="16619" xr:uid="{15E3219E-4B22-46EB-A79E-7DA3B80D1AC5}"/>
    <cellStyle name="Normal 5 2 2 4 2 4 2 3" xfId="12401" xr:uid="{415856C4-FA3C-4921-BD05-F194B7F362CC}"/>
    <cellStyle name="Normal 5 2 2 4 2 4 3" xfId="6035" xr:uid="{00000000-0005-0000-0000-0000F3170000}"/>
    <cellStyle name="Normal 5 2 2 4 2 4 3 2" xfId="14474" xr:uid="{722FB6B0-E0F5-49A7-81E8-86E49A702F01}"/>
    <cellStyle name="Normal 5 2 2 4 2 4 4" xfId="10256" xr:uid="{C3FAC60B-A18C-45A6-8880-D7B42F9B4604}"/>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2 2 2" xfId="17032" xr:uid="{28CE4E0A-BBD6-4D7E-9283-0A4B1DA06072}"/>
    <cellStyle name="Normal 5 2 2 4 2 5 2 3" xfId="12814" xr:uid="{0272BBB8-7F15-4AB9-B7D7-56EC7A58ABB2}"/>
    <cellStyle name="Normal 5 2 2 4 2 5 3" xfId="6448" xr:uid="{00000000-0005-0000-0000-0000F7170000}"/>
    <cellStyle name="Normal 5 2 2 4 2 5 3 2" xfId="14887" xr:uid="{D6BADB87-C69E-43C8-9BD2-1D8FC1E86D89}"/>
    <cellStyle name="Normal 5 2 2 4 2 5 4" xfId="10669" xr:uid="{F9666BEA-EBDF-4585-94AB-F51A9939E1FB}"/>
    <cellStyle name="Normal 5 2 2 4 2 6" xfId="2577" xr:uid="{00000000-0005-0000-0000-0000F8170000}"/>
    <cellStyle name="Normal 5 2 2 4 2 6 2" xfId="6861" xr:uid="{00000000-0005-0000-0000-0000F9170000}"/>
    <cellStyle name="Normal 5 2 2 4 2 6 2 2" xfId="15300" xr:uid="{45267B0A-6624-40DB-B926-BEE1B0E73913}"/>
    <cellStyle name="Normal 5 2 2 4 2 6 3" xfId="11082" xr:uid="{E9791E05-39D1-4D02-A989-E912864F10D1}"/>
    <cellStyle name="Normal 5 2 2 4 2 7" xfId="4796" xr:uid="{00000000-0005-0000-0000-0000FA170000}"/>
    <cellStyle name="Normal 5 2 2 4 2 7 2" xfId="13235" xr:uid="{85AB9609-8F1A-43C1-8D31-3785D5009D91}"/>
    <cellStyle name="Normal 5 2 2 4 2 8" xfId="9017" xr:uid="{AFA045C6-1580-409F-B7A8-4E4C03611E82}"/>
    <cellStyle name="Normal 5 2 2 4 3" xfId="895" xr:uid="{00000000-0005-0000-0000-0000FB170000}"/>
    <cellStyle name="Normal 5 2 2 4 3 2" xfId="3130" xr:uid="{00000000-0005-0000-0000-0000FC170000}"/>
    <cellStyle name="Normal 5 2 2 4 3 2 2" xfId="7353" xr:uid="{00000000-0005-0000-0000-0000FD170000}"/>
    <cellStyle name="Normal 5 2 2 4 3 2 2 2" xfId="15792" xr:uid="{0CD5A151-33D0-4705-A39E-7F68AE1C48D7}"/>
    <cellStyle name="Normal 5 2 2 4 3 2 3" xfId="11574" xr:uid="{11120232-8209-49CE-8712-7CF64324E8F0}"/>
    <cellStyle name="Normal 5 2 2 4 3 3" xfId="5208" xr:uid="{00000000-0005-0000-0000-0000FE170000}"/>
    <cellStyle name="Normal 5 2 2 4 3 3 2" xfId="13647" xr:uid="{BE7E17C6-739D-4901-956C-BF15396B583F}"/>
    <cellStyle name="Normal 5 2 2 4 3 4" xfId="9429" xr:uid="{283778E5-97AE-425F-84F7-61F2099DF282}"/>
    <cellStyle name="Normal 5 2 2 4 4" xfId="1313" xr:uid="{00000000-0005-0000-0000-0000FF170000}"/>
    <cellStyle name="Normal 5 2 2 4 4 2" xfId="3543" xr:uid="{00000000-0005-0000-0000-000000180000}"/>
    <cellStyle name="Normal 5 2 2 4 4 2 2" xfId="7766" xr:uid="{00000000-0005-0000-0000-000001180000}"/>
    <cellStyle name="Normal 5 2 2 4 4 2 2 2" xfId="16205" xr:uid="{7EF267EE-F461-48E9-B819-E69DF0922059}"/>
    <cellStyle name="Normal 5 2 2 4 4 2 3" xfId="11987" xr:uid="{FC1622BB-C3DA-4A50-9316-9A27774B5258}"/>
    <cellStyle name="Normal 5 2 2 4 4 3" xfId="5621" xr:uid="{00000000-0005-0000-0000-000002180000}"/>
    <cellStyle name="Normal 5 2 2 4 4 3 2" xfId="14060" xr:uid="{32FEA4EB-0660-4293-B8A8-4E06266444E3}"/>
    <cellStyle name="Normal 5 2 2 4 4 4" xfId="9842" xr:uid="{051A2DC7-80E9-4D3B-91C6-3349D9FAD5B1}"/>
    <cellStyle name="Normal 5 2 2 4 5" xfId="1726" xr:uid="{00000000-0005-0000-0000-000003180000}"/>
    <cellStyle name="Normal 5 2 2 4 5 2" xfId="3956" xr:uid="{00000000-0005-0000-0000-000004180000}"/>
    <cellStyle name="Normal 5 2 2 4 5 2 2" xfId="8179" xr:uid="{00000000-0005-0000-0000-000005180000}"/>
    <cellStyle name="Normal 5 2 2 4 5 2 2 2" xfId="16618" xr:uid="{3686965C-6D5F-4225-8F44-3F674A07A755}"/>
    <cellStyle name="Normal 5 2 2 4 5 2 3" xfId="12400" xr:uid="{3D058FF1-5520-442A-AE6E-6F08E2A17E69}"/>
    <cellStyle name="Normal 5 2 2 4 5 3" xfId="6034" xr:uid="{00000000-0005-0000-0000-000006180000}"/>
    <cellStyle name="Normal 5 2 2 4 5 3 2" xfId="14473" xr:uid="{1531A731-D58E-44CA-8E88-AEBFF6C4E2EB}"/>
    <cellStyle name="Normal 5 2 2 4 5 4" xfId="10255" xr:uid="{385D452C-75CB-4F73-9FB9-72676BC8DCD5}"/>
    <cellStyle name="Normal 5 2 2 4 6" xfId="2140" xr:uid="{00000000-0005-0000-0000-000007180000}"/>
    <cellStyle name="Normal 5 2 2 4 6 2" xfId="4369" xr:uid="{00000000-0005-0000-0000-000008180000}"/>
    <cellStyle name="Normal 5 2 2 4 6 2 2" xfId="8592" xr:uid="{00000000-0005-0000-0000-000009180000}"/>
    <cellStyle name="Normal 5 2 2 4 6 2 2 2" xfId="17031" xr:uid="{A27DC367-9CF6-4426-8FB9-94945A42380D}"/>
    <cellStyle name="Normal 5 2 2 4 6 2 3" xfId="12813" xr:uid="{35E63B78-9E5A-4D53-9159-B054665252DB}"/>
    <cellStyle name="Normal 5 2 2 4 6 3" xfId="6447" xr:uid="{00000000-0005-0000-0000-00000A180000}"/>
    <cellStyle name="Normal 5 2 2 4 6 3 2" xfId="14886" xr:uid="{D9AB7CCE-0CF4-44F5-8AAC-5806C5ED1BCD}"/>
    <cellStyle name="Normal 5 2 2 4 6 4" xfId="10668" xr:uid="{5E488529-035E-48C9-93BD-6BB893E2F779}"/>
    <cellStyle name="Normal 5 2 2 4 7" xfId="2576" xr:uid="{00000000-0005-0000-0000-00000B180000}"/>
    <cellStyle name="Normal 5 2 2 4 7 2" xfId="6860" xr:uid="{00000000-0005-0000-0000-00000C180000}"/>
    <cellStyle name="Normal 5 2 2 4 7 2 2" xfId="15299" xr:uid="{D4BE67A1-B70F-432D-A90F-B701F3443F29}"/>
    <cellStyle name="Normal 5 2 2 4 7 3" xfId="11081" xr:uid="{3A024EFB-78E2-4DF2-960F-DC586B136673}"/>
    <cellStyle name="Normal 5 2 2 4 8" xfId="4795" xr:uid="{00000000-0005-0000-0000-00000D180000}"/>
    <cellStyle name="Normal 5 2 2 4 8 2" xfId="13234" xr:uid="{13821F5E-6997-4F1B-AF21-1DC525BB5B2A}"/>
    <cellStyle name="Normal 5 2 2 4 9" xfId="9016" xr:uid="{1E85E5F2-273E-451E-B7CD-7AC514874432}"/>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2 2 2" xfId="15794" xr:uid="{0564DF70-B6BC-49D4-B270-9425558F31F7}"/>
    <cellStyle name="Normal 5 2 2 5 2 2 3" xfId="11576" xr:uid="{D544FA61-7356-4C6F-907B-03329EAC9135}"/>
    <cellStyle name="Normal 5 2 2 5 2 3" xfId="5210" xr:uid="{00000000-0005-0000-0000-000012180000}"/>
    <cellStyle name="Normal 5 2 2 5 2 3 2" xfId="13649" xr:uid="{4A3082D3-AFB9-4AC8-955F-D614A90CBEB7}"/>
    <cellStyle name="Normal 5 2 2 5 2 4" xfId="9431" xr:uid="{16B72E5E-70FB-4D86-9732-0F04A2FFEEE1}"/>
    <cellStyle name="Normal 5 2 2 5 3" xfId="1315" xr:uid="{00000000-0005-0000-0000-000013180000}"/>
    <cellStyle name="Normal 5 2 2 5 3 2" xfId="3545" xr:uid="{00000000-0005-0000-0000-000014180000}"/>
    <cellStyle name="Normal 5 2 2 5 3 2 2" xfId="7768" xr:uid="{00000000-0005-0000-0000-000015180000}"/>
    <cellStyle name="Normal 5 2 2 5 3 2 2 2" xfId="16207" xr:uid="{588683EE-C6BC-4803-8B5D-6287C9817EB0}"/>
    <cellStyle name="Normal 5 2 2 5 3 2 3" xfId="11989" xr:uid="{F82587C6-1F7E-4DA7-8049-5B68647FF1D7}"/>
    <cellStyle name="Normal 5 2 2 5 3 3" xfId="5623" xr:uid="{00000000-0005-0000-0000-000016180000}"/>
    <cellStyle name="Normal 5 2 2 5 3 3 2" xfId="14062" xr:uid="{8D7359BD-5F66-4ACB-B83F-938F60C42B1F}"/>
    <cellStyle name="Normal 5 2 2 5 3 4" xfId="9844" xr:uid="{7DC2B8D7-AC38-4797-A005-AA18A0AF0274}"/>
    <cellStyle name="Normal 5 2 2 5 4" xfId="1728" xr:uid="{00000000-0005-0000-0000-000017180000}"/>
    <cellStyle name="Normal 5 2 2 5 4 2" xfId="3958" xr:uid="{00000000-0005-0000-0000-000018180000}"/>
    <cellStyle name="Normal 5 2 2 5 4 2 2" xfId="8181" xr:uid="{00000000-0005-0000-0000-000019180000}"/>
    <cellStyle name="Normal 5 2 2 5 4 2 2 2" xfId="16620" xr:uid="{44C9032A-67E8-4450-A9F8-0A00C86F84A4}"/>
    <cellStyle name="Normal 5 2 2 5 4 2 3" xfId="12402" xr:uid="{30C32953-05A4-4BAC-A4F9-E9A00A350901}"/>
    <cellStyle name="Normal 5 2 2 5 4 3" xfId="6036" xr:uid="{00000000-0005-0000-0000-00001A180000}"/>
    <cellStyle name="Normal 5 2 2 5 4 3 2" xfId="14475" xr:uid="{6454D773-E7B9-49DC-BFC7-32D1A895CBC2}"/>
    <cellStyle name="Normal 5 2 2 5 4 4" xfId="10257" xr:uid="{CD965FB4-FCBC-4544-82EB-4EE9E8099B9F}"/>
    <cellStyle name="Normal 5 2 2 5 5" xfId="2142" xr:uid="{00000000-0005-0000-0000-00001B180000}"/>
    <cellStyle name="Normal 5 2 2 5 5 2" xfId="4371" xr:uid="{00000000-0005-0000-0000-00001C180000}"/>
    <cellStyle name="Normal 5 2 2 5 5 2 2" xfId="8594" xr:uid="{00000000-0005-0000-0000-00001D180000}"/>
    <cellStyle name="Normal 5 2 2 5 5 2 2 2" xfId="17033" xr:uid="{42AD4CE0-8595-409C-92BC-94DF00585A92}"/>
    <cellStyle name="Normal 5 2 2 5 5 2 3" xfId="12815" xr:uid="{B4666789-8D58-47D7-8DAD-C71DC0689191}"/>
    <cellStyle name="Normal 5 2 2 5 5 3" xfId="6449" xr:uid="{00000000-0005-0000-0000-00001E180000}"/>
    <cellStyle name="Normal 5 2 2 5 5 3 2" xfId="14888" xr:uid="{DF7764DB-8B92-4EB3-9DE6-FC2C94896F5D}"/>
    <cellStyle name="Normal 5 2 2 5 5 4" xfId="10670" xr:uid="{86AE70C5-81D7-4A8B-8A0D-87E52047015B}"/>
    <cellStyle name="Normal 5 2 2 5 6" xfId="2578" xr:uid="{00000000-0005-0000-0000-00001F180000}"/>
    <cellStyle name="Normal 5 2 2 5 6 2" xfId="6862" xr:uid="{00000000-0005-0000-0000-000020180000}"/>
    <cellStyle name="Normal 5 2 2 5 6 2 2" xfId="15301" xr:uid="{C3FB2B05-4173-4803-9B7F-0FB1DB87A9B4}"/>
    <cellStyle name="Normal 5 2 2 5 6 3" xfId="11083" xr:uid="{BF59B67E-04EA-4546-89E8-3CCAE772BB40}"/>
    <cellStyle name="Normal 5 2 2 5 7" xfId="4797" xr:uid="{00000000-0005-0000-0000-000021180000}"/>
    <cellStyle name="Normal 5 2 2 5 7 2" xfId="13236" xr:uid="{16E889AE-10BB-4504-BEF2-6AE73E62CD01}"/>
    <cellStyle name="Normal 5 2 2 5 8" xfId="9018" xr:uid="{7A59A032-7FA4-478A-8F55-16CF3DAABEB0}"/>
    <cellStyle name="Normal 5 2 2 6" xfId="882" xr:uid="{00000000-0005-0000-0000-000022180000}"/>
    <cellStyle name="Normal 5 2 2 6 2" xfId="3117" xr:uid="{00000000-0005-0000-0000-000023180000}"/>
    <cellStyle name="Normal 5 2 2 6 2 2" xfId="7340" xr:uid="{00000000-0005-0000-0000-000024180000}"/>
    <cellStyle name="Normal 5 2 2 6 2 2 2" xfId="15779" xr:uid="{F5F72492-8C76-465F-ABD8-F71911DC3C18}"/>
    <cellStyle name="Normal 5 2 2 6 2 3" xfId="11561" xr:uid="{987AE542-87F8-4728-BEAF-11099331C61E}"/>
    <cellStyle name="Normal 5 2 2 6 3" xfId="5195" xr:uid="{00000000-0005-0000-0000-000025180000}"/>
    <cellStyle name="Normal 5 2 2 6 3 2" xfId="13634" xr:uid="{87F2DC88-4143-4CED-B321-F31B7FD5A375}"/>
    <cellStyle name="Normal 5 2 2 6 4" xfId="9416" xr:uid="{408AC49E-5A7D-4E6F-B09D-887BEEE9B191}"/>
    <cellStyle name="Normal 5 2 2 7" xfId="1300" xr:uid="{00000000-0005-0000-0000-000026180000}"/>
    <cellStyle name="Normal 5 2 2 7 2" xfId="3530" xr:uid="{00000000-0005-0000-0000-000027180000}"/>
    <cellStyle name="Normal 5 2 2 7 2 2" xfId="7753" xr:uid="{00000000-0005-0000-0000-000028180000}"/>
    <cellStyle name="Normal 5 2 2 7 2 2 2" xfId="16192" xr:uid="{A7554417-D2A4-4DC2-9C34-BC8FA44B58B4}"/>
    <cellStyle name="Normal 5 2 2 7 2 3" xfId="11974" xr:uid="{0DC64041-820B-4199-BF31-348FEE4D6863}"/>
    <cellStyle name="Normal 5 2 2 7 3" xfId="5608" xr:uid="{00000000-0005-0000-0000-000029180000}"/>
    <cellStyle name="Normal 5 2 2 7 3 2" xfId="14047" xr:uid="{60FB19FD-FEE8-45C1-A05E-0649B9CACCBE}"/>
    <cellStyle name="Normal 5 2 2 7 4" xfId="9829" xr:uid="{1EE908D3-8BFC-468C-8280-4BD9B94C8CA3}"/>
    <cellStyle name="Normal 5 2 2 8" xfId="1713" xr:uid="{00000000-0005-0000-0000-00002A180000}"/>
    <cellStyle name="Normal 5 2 2 8 2" xfId="3943" xr:uid="{00000000-0005-0000-0000-00002B180000}"/>
    <cellStyle name="Normal 5 2 2 8 2 2" xfId="8166" xr:uid="{00000000-0005-0000-0000-00002C180000}"/>
    <cellStyle name="Normal 5 2 2 8 2 2 2" xfId="16605" xr:uid="{19A99000-36AE-4AB6-BEBB-3BE32522DF9B}"/>
    <cellStyle name="Normal 5 2 2 8 2 3" xfId="12387" xr:uid="{0DEB9089-A59D-464F-8314-23FA182FDDD1}"/>
    <cellStyle name="Normal 5 2 2 8 3" xfId="6021" xr:uid="{00000000-0005-0000-0000-00002D180000}"/>
    <cellStyle name="Normal 5 2 2 8 3 2" xfId="14460" xr:uid="{79E602FD-08F7-4A77-9712-95EC2E358974}"/>
    <cellStyle name="Normal 5 2 2 8 4" xfId="10242" xr:uid="{CB4F0614-A658-468A-B95D-B135630BAD9D}"/>
    <cellStyle name="Normal 5 2 2 9" xfId="2127" xr:uid="{00000000-0005-0000-0000-00002E180000}"/>
    <cellStyle name="Normal 5 2 2 9 2" xfId="4356" xr:uid="{00000000-0005-0000-0000-00002F180000}"/>
    <cellStyle name="Normal 5 2 2 9 2 2" xfId="8579" xr:uid="{00000000-0005-0000-0000-000030180000}"/>
    <cellStyle name="Normal 5 2 2 9 2 2 2" xfId="17018" xr:uid="{AF44ECFA-2568-4DCC-B0A0-AB9815B57826}"/>
    <cellStyle name="Normal 5 2 2 9 2 3" xfId="12800" xr:uid="{3403E89B-C708-4DB5-A735-BC093D241CDE}"/>
    <cellStyle name="Normal 5 2 2 9 3" xfId="6434" xr:uid="{00000000-0005-0000-0000-000031180000}"/>
    <cellStyle name="Normal 5 2 2 9 3 2" xfId="14873" xr:uid="{4A246F37-4113-4C23-953D-3B6F35B7D939}"/>
    <cellStyle name="Normal 5 2 2 9 4" xfId="10655" xr:uid="{3F3B16FA-262A-402B-8164-BDFA72EA938D}"/>
    <cellStyle name="Normal 5 2 3" xfId="424" xr:uid="{00000000-0005-0000-0000-000032180000}"/>
    <cellStyle name="Normal 5 2 3 10" xfId="4798" xr:uid="{00000000-0005-0000-0000-000033180000}"/>
    <cellStyle name="Normal 5 2 3 10 2" xfId="13237" xr:uid="{E6717E10-87FC-4478-9B9C-151BC479532C}"/>
    <cellStyle name="Normal 5 2 3 11" xfId="9019" xr:uid="{1446868F-E041-4278-B7FC-D724D9D73B93}"/>
    <cellStyle name="Normal 5 2 3 2" xfId="425" xr:uid="{00000000-0005-0000-0000-000034180000}"/>
    <cellStyle name="Normal 5 2 3 2 10" xfId="9020" xr:uid="{67FEDB09-A279-4067-8370-76B6069D5B8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2 2 2" xfId="15798" xr:uid="{B8351677-B95C-4D5A-8B60-2263EF5A71C0}"/>
    <cellStyle name="Normal 5 2 3 2 2 2 2 2 3" xfId="11580" xr:uid="{2C536B27-27F4-4AF0-B652-A055E1C1C023}"/>
    <cellStyle name="Normal 5 2 3 2 2 2 2 3" xfId="5214" xr:uid="{00000000-0005-0000-0000-00003A180000}"/>
    <cellStyle name="Normal 5 2 3 2 2 2 2 3 2" xfId="13653" xr:uid="{E231CBA3-6E71-4CC8-AF90-881F4B703F84}"/>
    <cellStyle name="Normal 5 2 3 2 2 2 2 4" xfId="9435" xr:uid="{FE8EF84D-C5F1-4159-9927-D60BC536B18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2 2 2" xfId="16211" xr:uid="{6BA33964-1CAB-4F38-82C9-EC58B4FD27F8}"/>
    <cellStyle name="Normal 5 2 3 2 2 2 3 2 3" xfId="11993" xr:uid="{9FB2345D-B7CD-42E6-8C39-742687C692BC}"/>
    <cellStyle name="Normal 5 2 3 2 2 2 3 3" xfId="5627" xr:uid="{00000000-0005-0000-0000-00003E180000}"/>
    <cellStyle name="Normal 5 2 3 2 2 2 3 3 2" xfId="14066" xr:uid="{48EC9EFB-87D2-4BC2-9989-82905424005A}"/>
    <cellStyle name="Normal 5 2 3 2 2 2 3 4" xfId="9848" xr:uid="{0F2DA0F1-1562-4D41-B879-8415C14F839F}"/>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2 2 2" xfId="16624" xr:uid="{4542CDA9-34B0-493C-8FDE-E5D58CFFBF48}"/>
    <cellStyle name="Normal 5 2 3 2 2 2 4 2 3" xfId="12406" xr:uid="{7D2A3F60-D081-4F9A-80F2-B707888EE155}"/>
    <cellStyle name="Normal 5 2 3 2 2 2 4 3" xfId="6040" xr:uid="{00000000-0005-0000-0000-000042180000}"/>
    <cellStyle name="Normal 5 2 3 2 2 2 4 3 2" xfId="14479" xr:uid="{81331A5D-98B3-4C8E-B3E0-A6E8016B3620}"/>
    <cellStyle name="Normal 5 2 3 2 2 2 4 4" xfId="10261" xr:uid="{1F3012F4-0104-4586-A237-8C84A2B75381}"/>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2 2 2" xfId="17037" xr:uid="{1E2808F6-667D-4E1B-9ACA-41F48EBDC0AD}"/>
    <cellStyle name="Normal 5 2 3 2 2 2 5 2 3" xfId="12819" xr:uid="{071407C6-9D42-409B-BAA7-7738A7FEBB6A}"/>
    <cellStyle name="Normal 5 2 3 2 2 2 5 3" xfId="6453" xr:uid="{00000000-0005-0000-0000-000046180000}"/>
    <cellStyle name="Normal 5 2 3 2 2 2 5 3 2" xfId="14892" xr:uid="{F34DFC8F-B9A5-4631-B54B-155EB4384597}"/>
    <cellStyle name="Normal 5 2 3 2 2 2 5 4" xfId="10674" xr:uid="{FE9B8DA5-39A6-4FE5-87DF-EA02CF88D26F}"/>
    <cellStyle name="Normal 5 2 3 2 2 2 6" xfId="2582" xr:uid="{00000000-0005-0000-0000-000047180000}"/>
    <cellStyle name="Normal 5 2 3 2 2 2 6 2" xfId="6866" xr:uid="{00000000-0005-0000-0000-000048180000}"/>
    <cellStyle name="Normal 5 2 3 2 2 2 6 2 2" xfId="15305" xr:uid="{E987D3F2-7E93-401A-8334-85F8D7F49FDB}"/>
    <cellStyle name="Normal 5 2 3 2 2 2 6 3" xfId="11087" xr:uid="{7C010FD2-B6F9-4A69-8D5C-3F965E2EF280}"/>
    <cellStyle name="Normal 5 2 3 2 2 2 7" xfId="4801" xr:uid="{00000000-0005-0000-0000-000049180000}"/>
    <cellStyle name="Normal 5 2 3 2 2 2 7 2" xfId="13240" xr:uid="{91026B8A-3F49-4B03-9B45-F46C4FF58A34}"/>
    <cellStyle name="Normal 5 2 3 2 2 2 8" xfId="9022" xr:uid="{5E088B9A-0731-4E83-84EA-2D29FB9138F9}"/>
    <cellStyle name="Normal 5 2 3 2 2 3" xfId="900" xr:uid="{00000000-0005-0000-0000-00004A180000}"/>
    <cellStyle name="Normal 5 2 3 2 2 3 2" xfId="3135" xr:uid="{00000000-0005-0000-0000-00004B180000}"/>
    <cellStyle name="Normal 5 2 3 2 2 3 2 2" xfId="7358" xr:uid="{00000000-0005-0000-0000-00004C180000}"/>
    <cellStyle name="Normal 5 2 3 2 2 3 2 2 2" xfId="15797" xr:uid="{B2BB9757-6F77-493B-9E0B-3D554731002D}"/>
    <cellStyle name="Normal 5 2 3 2 2 3 2 3" xfId="11579" xr:uid="{7217866E-3273-4997-ADBC-55C1F1083912}"/>
    <cellStyle name="Normal 5 2 3 2 2 3 3" xfId="5213" xr:uid="{00000000-0005-0000-0000-00004D180000}"/>
    <cellStyle name="Normal 5 2 3 2 2 3 3 2" xfId="13652" xr:uid="{0079CE42-926A-4996-8FF4-C819442AFEF7}"/>
    <cellStyle name="Normal 5 2 3 2 2 3 4" xfId="9434" xr:uid="{3FD2AFA4-3ADB-4B41-BBD9-884818049AEE}"/>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2 2 2" xfId="16210" xr:uid="{3BA2EDCF-6440-4122-8D8D-1B60D0506823}"/>
    <cellStyle name="Normal 5 2 3 2 2 4 2 3" xfId="11992" xr:uid="{B116F225-4A1E-46DE-B741-33284481E80D}"/>
    <cellStyle name="Normal 5 2 3 2 2 4 3" xfId="5626" xr:uid="{00000000-0005-0000-0000-000051180000}"/>
    <cellStyle name="Normal 5 2 3 2 2 4 3 2" xfId="14065" xr:uid="{FB82DEBF-D758-4103-879F-1AA51A7BCEDE}"/>
    <cellStyle name="Normal 5 2 3 2 2 4 4" xfId="9847" xr:uid="{AA8FC15F-77D1-40EB-89D3-01EF4E92EB97}"/>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2 2 2" xfId="16623" xr:uid="{E4DE3329-62C0-45E1-BE6C-5CBB6A48DAC7}"/>
    <cellStyle name="Normal 5 2 3 2 2 5 2 3" xfId="12405" xr:uid="{190FB719-0234-453D-8CC9-EC2523954B28}"/>
    <cellStyle name="Normal 5 2 3 2 2 5 3" xfId="6039" xr:uid="{00000000-0005-0000-0000-000055180000}"/>
    <cellStyle name="Normal 5 2 3 2 2 5 3 2" xfId="14478" xr:uid="{A40AD86C-6DF5-444A-9D0B-F83157E843EB}"/>
    <cellStyle name="Normal 5 2 3 2 2 5 4" xfId="10260" xr:uid="{6728A0CB-648E-4D3B-A5F7-0FA89EA74F9F}"/>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2 2 2" xfId="17036" xr:uid="{A4386393-9F48-4DB2-891E-3282D8B23016}"/>
    <cellStyle name="Normal 5 2 3 2 2 6 2 3" xfId="12818" xr:uid="{E474AC22-E19E-44D0-BBDD-088654061FE1}"/>
    <cellStyle name="Normal 5 2 3 2 2 6 3" xfId="6452" xr:uid="{00000000-0005-0000-0000-000059180000}"/>
    <cellStyle name="Normal 5 2 3 2 2 6 3 2" xfId="14891" xr:uid="{DB915888-75DF-47E7-A958-93617039E59B}"/>
    <cellStyle name="Normal 5 2 3 2 2 6 4" xfId="10673" xr:uid="{EEAF79C1-5C16-4D0A-987B-24D21E8A131B}"/>
    <cellStyle name="Normal 5 2 3 2 2 7" xfId="2581" xr:uid="{00000000-0005-0000-0000-00005A180000}"/>
    <cellStyle name="Normal 5 2 3 2 2 7 2" xfId="6865" xr:uid="{00000000-0005-0000-0000-00005B180000}"/>
    <cellStyle name="Normal 5 2 3 2 2 7 2 2" xfId="15304" xr:uid="{C706B194-5293-4821-B3B8-17CAF7A4C1FA}"/>
    <cellStyle name="Normal 5 2 3 2 2 7 3" xfId="11086" xr:uid="{8925FAAA-696B-47BD-BEAA-CE48B1257FF4}"/>
    <cellStyle name="Normal 5 2 3 2 2 8" xfId="4800" xr:uid="{00000000-0005-0000-0000-00005C180000}"/>
    <cellStyle name="Normal 5 2 3 2 2 8 2" xfId="13239" xr:uid="{2ED8AC67-E861-4EC7-ABBD-A7C401B3C4FC}"/>
    <cellStyle name="Normal 5 2 3 2 2 9" xfId="9021" xr:uid="{9F0756EE-71CE-478E-848B-48DBCD11EB6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2 2 2" xfId="15799" xr:uid="{B1E63F51-41C5-43B4-9055-85B2AC02ABF4}"/>
    <cellStyle name="Normal 5 2 3 2 3 2 2 3" xfId="11581" xr:uid="{370CF021-6DE9-427C-9531-1721C731CBDE}"/>
    <cellStyle name="Normal 5 2 3 2 3 2 3" xfId="5215" xr:uid="{00000000-0005-0000-0000-000061180000}"/>
    <cellStyle name="Normal 5 2 3 2 3 2 3 2" xfId="13654" xr:uid="{FF1E8B48-DC82-4DA0-99B0-E338B25E19B3}"/>
    <cellStyle name="Normal 5 2 3 2 3 2 4" xfId="9436" xr:uid="{BAD17EDE-9FEE-427E-8D12-6EAFCC41675E}"/>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2 2 2" xfId="16212" xr:uid="{88B5060E-C4B5-4FDF-A1B0-F25A2FECCE6E}"/>
    <cellStyle name="Normal 5 2 3 2 3 3 2 3" xfId="11994" xr:uid="{479555E0-3CB5-4AD7-AF3F-37A9A1DCBA05}"/>
    <cellStyle name="Normal 5 2 3 2 3 3 3" xfId="5628" xr:uid="{00000000-0005-0000-0000-000065180000}"/>
    <cellStyle name="Normal 5 2 3 2 3 3 3 2" xfId="14067" xr:uid="{4A16AF14-0B59-4885-893F-28E3ACBDD667}"/>
    <cellStyle name="Normal 5 2 3 2 3 3 4" xfId="9849" xr:uid="{190EF95B-E218-4B34-B528-A8ADDA9D723A}"/>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2 2 2" xfId="16625" xr:uid="{7340A8C1-F482-41BD-86B2-4878C2367049}"/>
    <cellStyle name="Normal 5 2 3 2 3 4 2 3" xfId="12407" xr:uid="{2D4150A3-6E03-4D13-AB87-7D2A68A6EAEC}"/>
    <cellStyle name="Normal 5 2 3 2 3 4 3" xfId="6041" xr:uid="{00000000-0005-0000-0000-000069180000}"/>
    <cellStyle name="Normal 5 2 3 2 3 4 3 2" xfId="14480" xr:uid="{BAD33858-84D5-4750-A8F2-505E5DF0704C}"/>
    <cellStyle name="Normal 5 2 3 2 3 4 4" xfId="10262" xr:uid="{1027E88E-E519-46EC-B8BE-9A86EF17609A}"/>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2 2 2" xfId="17038" xr:uid="{55EAE538-B392-4978-9308-A7A2E59E6CAA}"/>
    <cellStyle name="Normal 5 2 3 2 3 5 2 3" xfId="12820" xr:uid="{369F570F-BC11-4E9F-99BF-507AF346E5FC}"/>
    <cellStyle name="Normal 5 2 3 2 3 5 3" xfId="6454" xr:uid="{00000000-0005-0000-0000-00006D180000}"/>
    <cellStyle name="Normal 5 2 3 2 3 5 3 2" xfId="14893" xr:uid="{0656A004-B695-4AA8-BD2D-937A73623AA2}"/>
    <cellStyle name="Normal 5 2 3 2 3 5 4" xfId="10675" xr:uid="{240F86B5-20C3-4F88-88F1-D513AE1F7DF5}"/>
    <cellStyle name="Normal 5 2 3 2 3 6" xfId="2583" xr:uid="{00000000-0005-0000-0000-00006E180000}"/>
    <cellStyle name="Normal 5 2 3 2 3 6 2" xfId="6867" xr:uid="{00000000-0005-0000-0000-00006F180000}"/>
    <cellStyle name="Normal 5 2 3 2 3 6 2 2" xfId="15306" xr:uid="{56EBB396-2BA7-4F43-B5B2-5AC054AA96C6}"/>
    <cellStyle name="Normal 5 2 3 2 3 6 3" xfId="11088" xr:uid="{1E207ABD-FC5F-47BF-8C01-5A491715FF10}"/>
    <cellStyle name="Normal 5 2 3 2 3 7" xfId="4802" xr:uid="{00000000-0005-0000-0000-000070180000}"/>
    <cellStyle name="Normal 5 2 3 2 3 7 2" xfId="13241" xr:uid="{BF620291-DBAC-431C-998C-EE6925FF1939}"/>
    <cellStyle name="Normal 5 2 3 2 3 8" xfId="9023" xr:uid="{CB64C3DC-C53A-4D12-8C93-4EAC141DD83F}"/>
    <cellStyle name="Normal 5 2 3 2 4" xfId="899" xr:uid="{00000000-0005-0000-0000-000071180000}"/>
    <cellStyle name="Normal 5 2 3 2 4 2" xfId="3134" xr:uid="{00000000-0005-0000-0000-000072180000}"/>
    <cellStyle name="Normal 5 2 3 2 4 2 2" xfId="7357" xr:uid="{00000000-0005-0000-0000-000073180000}"/>
    <cellStyle name="Normal 5 2 3 2 4 2 2 2" xfId="15796" xr:uid="{C1A56562-9BD7-48D3-B194-4BA6137C63EF}"/>
    <cellStyle name="Normal 5 2 3 2 4 2 3" xfId="11578" xr:uid="{7F6C4F74-884E-4200-9C22-57F79D9FD411}"/>
    <cellStyle name="Normal 5 2 3 2 4 3" xfId="5212" xr:uid="{00000000-0005-0000-0000-000074180000}"/>
    <cellStyle name="Normal 5 2 3 2 4 3 2" xfId="13651" xr:uid="{8A02D060-93ED-44C6-AAF6-E72E606C6DC4}"/>
    <cellStyle name="Normal 5 2 3 2 4 4" xfId="9433" xr:uid="{EA844143-0184-47F9-B9B8-D89E44658CD2}"/>
    <cellStyle name="Normal 5 2 3 2 5" xfId="1317" xr:uid="{00000000-0005-0000-0000-000075180000}"/>
    <cellStyle name="Normal 5 2 3 2 5 2" xfId="3547" xr:uid="{00000000-0005-0000-0000-000076180000}"/>
    <cellStyle name="Normal 5 2 3 2 5 2 2" xfId="7770" xr:uid="{00000000-0005-0000-0000-000077180000}"/>
    <cellStyle name="Normal 5 2 3 2 5 2 2 2" xfId="16209" xr:uid="{CCAAAC3A-A637-43D7-BB0F-DA6297EDD4D8}"/>
    <cellStyle name="Normal 5 2 3 2 5 2 3" xfId="11991" xr:uid="{CAA48466-0F36-4A5E-8955-0FB9F670C3AE}"/>
    <cellStyle name="Normal 5 2 3 2 5 3" xfId="5625" xr:uid="{00000000-0005-0000-0000-000078180000}"/>
    <cellStyle name="Normal 5 2 3 2 5 3 2" xfId="14064" xr:uid="{BD42126B-09C9-4835-852F-2BF1F9F9F504}"/>
    <cellStyle name="Normal 5 2 3 2 5 4" xfId="9846" xr:uid="{264A95D3-17C3-48DE-9BA9-BAFB5892998E}"/>
    <cellStyle name="Normal 5 2 3 2 6" xfId="1730" xr:uid="{00000000-0005-0000-0000-000079180000}"/>
    <cellStyle name="Normal 5 2 3 2 6 2" xfId="3960" xr:uid="{00000000-0005-0000-0000-00007A180000}"/>
    <cellStyle name="Normal 5 2 3 2 6 2 2" xfId="8183" xr:uid="{00000000-0005-0000-0000-00007B180000}"/>
    <cellStyle name="Normal 5 2 3 2 6 2 2 2" xfId="16622" xr:uid="{B9CBA63B-003E-4393-A84C-3860F3E302DD}"/>
    <cellStyle name="Normal 5 2 3 2 6 2 3" xfId="12404" xr:uid="{E8A52610-3128-45B4-9A1B-34DFE3AAF6B3}"/>
    <cellStyle name="Normal 5 2 3 2 6 3" xfId="6038" xr:uid="{00000000-0005-0000-0000-00007C180000}"/>
    <cellStyle name="Normal 5 2 3 2 6 3 2" xfId="14477" xr:uid="{E52BEC42-40B9-4F9A-9773-BF894A27DD57}"/>
    <cellStyle name="Normal 5 2 3 2 6 4" xfId="10259" xr:uid="{DE6F3314-534A-43FA-99C6-9696AF28B373}"/>
    <cellStyle name="Normal 5 2 3 2 7" xfId="2144" xr:uid="{00000000-0005-0000-0000-00007D180000}"/>
    <cellStyle name="Normal 5 2 3 2 7 2" xfId="4373" xr:uid="{00000000-0005-0000-0000-00007E180000}"/>
    <cellStyle name="Normal 5 2 3 2 7 2 2" xfId="8596" xr:uid="{00000000-0005-0000-0000-00007F180000}"/>
    <cellStyle name="Normal 5 2 3 2 7 2 2 2" xfId="17035" xr:uid="{D2C155C9-3246-425F-8ED2-23AFA773ECE8}"/>
    <cellStyle name="Normal 5 2 3 2 7 2 3" xfId="12817" xr:uid="{705FEBEC-0460-41D3-A5C3-89C1EFCF361F}"/>
    <cellStyle name="Normal 5 2 3 2 7 3" xfId="6451" xr:uid="{00000000-0005-0000-0000-000080180000}"/>
    <cellStyle name="Normal 5 2 3 2 7 3 2" xfId="14890" xr:uid="{94D89D39-6C91-4AAD-9E8E-40768A059DE8}"/>
    <cellStyle name="Normal 5 2 3 2 7 4" xfId="10672" xr:uid="{74D39BE1-A24A-498C-9EBA-41E9DF59DAE7}"/>
    <cellStyle name="Normal 5 2 3 2 8" xfId="2580" xr:uid="{00000000-0005-0000-0000-000081180000}"/>
    <cellStyle name="Normal 5 2 3 2 8 2" xfId="6864" xr:uid="{00000000-0005-0000-0000-000082180000}"/>
    <cellStyle name="Normal 5 2 3 2 8 2 2" xfId="15303" xr:uid="{C9008206-A9DD-45DB-BBEC-AC25E7D65E3D}"/>
    <cellStyle name="Normal 5 2 3 2 8 3" xfId="11085" xr:uid="{9EF334D7-7A57-4C88-8AEA-5B9F577DDC23}"/>
    <cellStyle name="Normal 5 2 3 2 9" xfId="4799" xr:uid="{00000000-0005-0000-0000-000083180000}"/>
    <cellStyle name="Normal 5 2 3 2 9 2" xfId="13238" xr:uid="{67E51C7C-E089-4D4E-8D4B-C6F83E47B271}"/>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2 2 2" xfId="15801" xr:uid="{80273B15-1A2E-4D45-B8AD-65E1300A4257}"/>
    <cellStyle name="Normal 5 2 3 3 2 2 2 3" xfId="11583" xr:uid="{034807DE-3A96-407D-BC65-0CCB3DA0C6B2}"/>
    <cellStyle name="Normal 5 2 3 3 2 2 3" xfId="5217" xr:uid="{00000000-0005-0000-0000-000089180000}"/>
    <cellStyle name="Normal 5 2 3 3 2 2 3 2" xfId="13656" xr:uid="{DF9A8297-B677-4C7A-8229-958E87E0CD08}"/>
    <cellStyle name="Normal 5 2 3 3 2 2 4" xfId="9438" xr:uid="{898C76E4-B960-4752-932B-5C8AE2D50407}"/>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2 2 2" xfId="16214" xr:uid="{FC97D60D-E5FA-4B28-A2CB-443EC8BB3433}"/>
    <cellStyle name="Normal 5 2 3 3 2 3 2 3" xfId="11996" xr:uid="{B07A1406-48D2-417E-86EC-48CE989B7B3D}"/>
    <cellStyle name="Normal 5 2 3 3 2 3 3" xfId="5630" xr:uid="{00000000-0005-0000-0000-00008D180000}"/>
    <cellStyle name="Normal 5 2 3 3 2 3 3 2" xfId="14069" xr:uid="{B68B8CF8-8A02-4A9C-B773-BC8C6784EB9C}"/>
    <cellStyle name="Normal 5 2 3 3 2 3 4" xfId="9851" xr:uid="{7E7C5601-B711-48D0-9D7D-F06C132C9CEC}"/>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2 2 2" xfId="16627" xr:uid="{E5DAD3A9-3C79-419A-8FDD-A19224E0C790}"/>
    <cellStyle name="Normal 5 2 3 3 2 4 2 3" xfId="12409" xr:uid="{608B95E2-0451-4FD3-8EFF-7139960EC520}"/>
    <cellStyle name="Normal 5 2 3 3 2 4 3" xfId="6043" xr:uid="{00000000-0005-0000-0000-000091180000}"/>
    <cellStyle name="Normal 5 2 3 3 2 4 3 2" xfId="14482" xr:uid="{AAE6CE9F-BB50-4585-A89D-833AE1F6B7CF}"/>
    <cellStyle name="Normal 5 2 3 3 2 4 4" xfId="10264" xr:uid="{82E811B0-8F7B-4D68-88A9-93C148594FD4}"/>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2 2 2" xfId="17040" xr:uid="{E772B471-0F79-4C6A-9657-86DC1CC4B547}"/>
    <cellStyle name="Normal 5 2 3 3 2 5 2 3" xfId="12822" xr:uid="{989AE1CC-29BC-4A5D-8DDB-859A0EB66838}"/>
    <cellStyle name="Normal 5 2 3 3 2 5 3" xfId="6456" xr:uid="{00000000-0005-0000-0000-000095180000}"/>
    <cellStyle name="Normal 5 2 3 3 2 5 3 2" xfId="14895" xr:uid="{7D83D00E-3737-470D-A712-9163BC215DFE}"/>
    <cellStyle name="Normal 5 2 3 3 2 5 4" xfId="10677" xr:uid="{6C89EA18-8A4A-4F12-A3A6-B169D0FC3740}"/>
    <cellStyle name="Normal 5 2 3 3 2 6" xfId="2585" xr:uid="{00000000-0005-0000-0000-000096180000}"/>
    <cellStyle name="Normal 5 2 3 3 2 6 2" xfId="6869" xr:uid="{00000000-0005-0000-0000-000097180000}"/>
    <cellStyle name="Normal 5 2 3 3 2 6 2 2" xfId="15308" xr:uid="{6352409B-E1A4-44E2-91E3-E24B4A263C15}"/>
    <cellStyle name="Normal 5 2 3 3 2 6 3" xfId="11090" xr:uid="{7006E3B1-6686-46B0-A737-625A5A3C7AF5}"/>
    <cellStyle name="Normal 5 2 3 3 2 7" xfId="4804" xr:uid="{00000000-0005-0000-0000-000098180000}"/>
    <cellStyle name="Normal 5 2 3 3 2 7 2" xfId="13243" xr:uid="{29036155-98DE-4BBA-B0F4-1DD8AAEDE7BD}"/>
    <cellStyle name="Normal 5 2 3 3 2 8" xfId="9025" xr:uid="{30435869-F5F8-4940-AC11-8F46720B9DCD}"/>
    <cellStyle name="Normal 5 2 3 3 3" xfId="903" xr:uid="{00000000-0005-0000-0000-000099180000}"/>
    <cellStyle name="Normal 5 2 3 3 3 2" xfId="3138" xr:uid="{00000000-0005-0000-0000-00009A180000}"/>
    <cellStyle name="Normal 5 2 3 3 3 2 2" xfId="7361" xr:uid="{00000000-0005-0000-0000-00009B180000}"/>
    <cellStyle name="Normal 5 2 3 3 3 2 2 2" xfId="15800" xr:uid="{118AC4B3-A158-4438-AEC8-F000661C8199}"/>
    <cellStyle name="Normal 5 2 3 3 3 2 3" xfId="11582" xr:uid="{3AA15798-7A72-4712-B144-9276B3043ABB}"/>
    <cellStyle name="Normal 5 2 3 3 3 3" xfId="5216" xr:uid="{00000000-0005-0000-0000-00009C180000}"/>
    <cellStyle name="Normal 5 2 3 3 3 3 2" xfId="13655" xr:uid="{AAE7A290-6D94-4842-9B9D-48426FBC7F79}"/>
    <cellStyle name="Normal 5 2 3 3 3 4" xfId="9437" xr:uid="{AE26A2BD-DD36-45AC-8051-DAF2129DABE2}"/>
    <cellStyle name="Normal 5 2 3 3 4" xfId="1321" xr:uid="{00000000-0005-0000-0000-00009D180000}"/>
    <cellStyle name="Normal 5 2 3 3 4 2" xfId="3551" xr:uid="{00000000-0005-0000-0000-00009E180000}"/>
    <cellStyle name="Normal 5 2 3 3 4 2 2" xfId="7774" xr:uid="{00000000-0005-0000-0000-00009F180000}"/>
    <cellStyle name="Normal 5 2 3 3 4 2 2 2" xfId="16213" xr:uid="{BC1D2212-C9C4-475B-99BC-51B4DC26FB99}"/>
    <cellStyle name="Normal 5 2 3 3 4 2 3" xfId="11995" xr:uid="{033D38CD-72E6-4230-A892-3355FCD3E466}"/>
    <cellStyle name="Normal 5 2 3 3 4 3" xfId="5629" xr:uid="{00000000-0005-0000-0000-0000A0180000}"/>
    <cellStyle name="Normal 5 2 3 3 4 3 2" xfId="14068" xr:uid="{3F02C377-076C-4CD1-A8E3-61970DA2533F}"/>
    <cellStyle name="Normal 5 2 3 3 4 4" xfId="9850" xr:uid="{EB7A03A5-82CE-427A-AD5B-DDFF88919481}"/>
    <cellStyle name="Normal 5 2 3 3 5" xfId="1734" xr:uid="{00000000-0005-0000-0000-0000A1180000}"/>
    <cellStyle name="Normal 5 2 3 3 5 2" xfId="3964" xr:uid="{00000000-0005-0000-0000-0000A2180000}"/>
    <cellStyle name="Normal 5 2 3 3 5 2 2" xfId="8187" xr:uid="{00000000-0005-0000-0000-0000A3180000}"/>
    <cellStyle name="Normal 5 2 3 3 5 2 2 2" xfId="16626" xr:uid="{D91F66DB-49B6-4EBB-9818-E6D0FF4E96BD}"/>
    <cellStyle name="Normal 5 2 3 3 5 2 3" xfId="12408" xr:uid="{29F1BEBA-2A41-4F64-AC1E-52800954224C}"/>
    <cellStyle name="Normal 5 2 3 3 5 3" xfId="6042" xr:uid="{00000000-0005-0000-0000-0000A4180000}"/>
    <cellStyle name="Normal 5 2 3 3 5 3 2" xfId="14481" xr:uid="{7CC71D09-AB90-4C91-A02F-D5C6DA52F451}"/>
    <cellStyle name="Normal 5 2 3 3 5 4" xfId="10263" xr:uid="{C64DC0E5-6491-4FC9-AA00-0D58041D26FC}"/>
    <cellStyle name="Normal 5 2 3 3 6" xfId="2148" xr:uid="{00000000-0005-0000-0000-0000A5180000}"/>
    <cellStyle name="Normal 5 2 3 3 6 2" xfId="4377" xr:uid="{00000000-0005-0000-0000-0000A6180000}"/>
    <cellStyle name="Normal 5 2 3 3 6 2 2" xfId="8600" xr:uid="{00000000-0005-0000-0000-0000A7180000}"/>
    <cellStyle name="Normal 5 2 3 3 6 2 2 2" xfId="17039" xr:uid="{116F118C-9E0C-40BE-AAFB-0650A592077A}"/>
    <cellStyle name="Normal 5 2 3 3 6 2 3" xfId="12821" xr:uid="{7A005E9E-3F79-4A15-BE94-57DBEEEA6E53}"/>
    <cellStyle name="Normal 5 2 3 3 6 3" xfId="6455" xr:uid="{00000000-0005-0000-0000-0000A8180000}"/>
    <cellStyle name="Normal 5 2 3 3 6 3 2" xfId="14894" xr:uid="{20873F52-E97E-4651-96FD-B1E1A613058B}"/>
    <cellStyle name="Normal 5 2 3 3 6 4" xfId="10676" xr:uid="{2FF637E0-FB4F-4D25-9306-9EC60A1A1A17}"/>
    <cellStyle name="Normal 5 2 3 3 7" xfId="2584" xr:uid="{00000000-0005-0000-0000-0000A9180000}"/>
    <cellStyle name="Normal 5 2 3 3 7 2" xfId="6868" xr:uid="{00000000-0005-0000-0000-0000AA180000}"/>
    <cellStyle name="Normal 5 2 3 3 7 2 2" xfId="15307" xr:uid="{6A6FD0E0-1DCD-4131-A3CE-3F8FE96BEBE9}"/>
    <cellStyle name="Normal 5 2 3 3 7 3" xfId="11089" xr:uid="{8093B15C-7555-4742-A8E3-0D4B74684A53}"/>
    <cellStyle name="Normal 5 2 3 3 8" xfId="4803" xr:uid="{00000000-0005-0000-0000-0000AB180000}"/>
    <cellStyle name="Normal 5 2 3 3 8 2" xfId="13242" xr:uid="{233584E5-61DC-41A4-99F3-90D42A29E580}"/>
    <cellStyle name="Normal 5 2 3 3 9" xfId="9024" xr:uid="{DD62F06F-FCDC-4635-978E-C41D1C3D415F}"/>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2 2 2" xfId="15802" xr:uid="{AAEF75D5-A4BA-4EF9-841F-C4E66DD2070D}"/>
    <cellStyle name="Normal 5 2 3 4 2 2 3" xfId="11584" xr:uid="{07A063AD-3570-4883-B574-02B99D523D86}"/>
    <cellStyle name="Normal 5 2 3 4 2 3" xfId="5218" xr:uid="{00000000-0005-0000-0000-0000B0180000}"/>
    <cellStyle name="Normal 5 2 3 4 2 3 2" xfId="13657" xr:uid="{310CEFDD-EB35-4849-A568-D9EE7483DC5F}"/>
    <cellStyle name="Normal 5 2 3 4 2 4" xfId="9439" xr:uid="{CCECF1AF-0F67-4D6B-AD49-602B05036B35}"/>
    <cellStyle name="Normal 5 2 3 4 3" xfId="1323" xr:uid="{00000000-0005-0000-0000-0000B1180000}"/>
    <cellStyle name="Normal 5 2 3 4 3 2" xfId="3553" xr:uid="{00000000-0005-0000-0000-0000B2180000}"/>
    <cellStyle name="Normal 5 2 3 4 3 2 2" xfId="7776" xr:uid="{00000000-0005-0000-0000-0000B3180000}"/>
    <cellStyle name="Normal 5 2 3 4 3 2 2 2" xfId="16215" xr:uid="{0C773488-2DC8-4769-B3FA-6E33DC188510}"/>
    <cellStyle name="Normal 5 2 3 4 3 2 3" xfId="11997" xr:uid="{A9530DF8-3D12-4D7F-B7DF-4DCA50533CF1}"/>
    <cellStyle name="Normal 5 2 3 4 3 3" xfId="5631" xr:uid="{00000000-0005-0000-0000-0000B4180000}"/>
    <cellStyle name="Normal 5 2 3 4 3 3 2" xfId="14070" xr:uid="{809B97D6-92A6-42D5-84C8-C5E0CC36D7BD}"/>
    <cellStyle name="Normal 5 2 3 4 3 4" xfId="9852" xr:uid="{E1B97F43-F6CC-4E7D-9F5B-E8CACF347A80}"/>
    <cellStyle name="Normal 5 2 3 4 4" xfId="1736" xr:uid="{00000000-0005-0000-0000-0000B5180000}"/>
    <cellStyle name="Normal 5 2 3 4 4 2" xfId="3966" xr:uid="{00000000-0005-0000-0000-0000B6180000}"/>
    <cellStyle name="Normal 5 2 3 4 4 2 2" xfId="8189" xr:uid="{00000000-0005-0000-0000-0000B7180000}"/>
    <cellStyle name="Normal 5 2 3 4 4 2 2 2" xfId="16628" xr:uid="{AFC21913-A129-4444-BBF4-0B73929FB817}"/>
    <cellStyle name="Normal 5 2 3 4 4 2 3" xfId="12410" xr:uid="{49FBD33E-25F3-4C33-94E9-345B695CED9D}"/>
    <cellStyle name="Normal 5 2 3 4 4 3" xfId="6044" xr:uid="{00000000-0005-0000-0000-0000B8180000}"/>
    <cellStyle name="Normal 5 2 3 4 4 3 2" xfId="14483" xr:uid="{A09F1574-A36D-41A8-8FE3-9D91854C5BD8}"/>
    <cellStyle name="Normal 5 2 3 4 4 4" xfId="10265" xr:uid="{C40A0BFE-1463-4C5D-BAA4-54760AE871F8}"/>
    <cellStyle name="Normal 5 2 3 4 5" xfId="2150" xr:uid="{00000000-0005-0000-0000-0000B9180000}"/>
    <cellStyle name="Normal 5 2 3 4 5 2" xfId="4379" xr:uid="{00000000-0005-0000-0000-0000BA180000}"/>
    <cellStyle name="Normal 5 2 3 4 5 2 2" xfId="8602" xr:uid="{00000000-0005-0000-0000-0000BB180000}"/>
    <cellStyle name="Normal 5 2 3 4 5 2 2 2" xfId="17041" xr:uid="{C6365CE5-796A-4A33-B817-B90951764DAA}"/>
    <cellStyle name="Normal 5 2 3 4 5 2 3" xfId="12823" xr:uid="{B528AE9D-240B-427F-B129-740FEE1DF3ED}"/>
    <cellStyle name="Normal 5 2 3 4 5 3" xfId="6457" xr:uid="{00000000-0005-0000-0000-0000BC180000}"/>
    <cellStyle name="Normal 5 2 3 4 5 3 2" xfId="14896" xr:uid="{52190B59-469F-46E6-92D8-943463907E00}"/>
    <cellStyle name="Normal 5 2 3 4 5 4" xfId="10678" xr:uid="{ECAD4952-2F30-4B8B-8999-D5219EE592EC}"/>
    <cellStyle name="Normal 5 2 3 4 6" xfId="2586" xr:uid="{00000000-0005-0000-0000-0000BD180000}"/>
    <cellStyle name="Normal 5 2 3 4 6 2" xfId="6870" xr:uid="{00000000-0005-0000-0000-0000BE180000}"/>
    <cellStyle name="Normal 5 2 3 4 6 2 2" xfId="15309" xr:uid="{84FA3295-6ECC-484D-9302-3B7A83087CBD}"/>
    <cellStyle name="Normal 5 2 3 4 6 3" xfId="11091" xr:uid="{4572289D-F12B-4BB7-B230-9067CC8EE529}"/>
    <cellStyle name="Normal 5 2 3 4 7" xfId="4805" xr:uid="{00000000-0005-0000-0000-0000BF180000}"/>
    <cellStyle name="Normal 5 2 3 4 7 2" xfId="13244" xr:uid="{68903B3B-1038-48C6-B6F1-70F6B77200BD}"/>
    <cellStyle name="Normal 5 2 3 4 8" xfId="9026" xr:uid="{33E96497-616C-484A-BE9E-A3D553325092}"/>
    <cellStyle name="Normal 5 2 3 5" xfId="898" xr:uid="{00000000-0005-0000-0000-0000C0180000}"/>
    <cellStyle name="Normal 5 2 3 5 2" xfId="3133" xr:uid="{00000000-0005-0000-0000-0000C1180000}"/>
    <cellStyle name="Normal 5 2 3 5 2 2" xfId="7356" xr:uid="{00000000-0005-0000-0000-0000C2180000}"/>
    <cellStyle name="Normal 5 2 3 5 2 2 2" xfId="15795" xr:uid="{5C755AA3-BBFB-461F-8B39-958AE6DCA0F7}"/>
    <cellStyle name="Normal 5 2 3 5 2 3" xfId="11577" xr:uid="{4149CD3E-51A5-430E-83E2-AE1B5EBF3B2A}"/>
    <cellStyle name="Normal 5 2 3 5 3" xfId="5211" xr:uid="{00000000-0005-0000-0000-0000C3180000}"/>
    <cellStyle name="Normal 5 2 3 5 3 2" xfId="13650" xr:uid="{B2403A25-AB84-40F8-BD80-3259FFBDE55F}"/>
    <cellStyle name="Normal 5 2 3 5 4" xfId="9432" xr:uid="{4167227F-CCDB-4469-9BC1-F66BF7220819}"/>
    <cellStyle name="Normal 5 2 3 6" xfId="1316" xr:uid="{00000000-0005-0000-0000-0000C4180000}"/>
    <cellStyle name="Normal 5 2 3 6 2" xfId="3546" xr:uid="{00000000-0005-0000-0000-0000C5180000}"/>
    <cellStyle name="Normal 5 2 3 6 2 2" xfId="7769" xr:uid="{00000000-0005-0000-0000-0000C6180000}"/>
    <cellStyle name="Normal 5 2 3 6 2 2 2" xfId="16208" xr:uid="{8C0F4AB2-262E-43D8-87AB-7A80878D1D0C}"/>
    <cellStyle name="Normal 5 2 3 6 2 3" xfId="11990" xr:uid="{2E32E14F-61DF-4601-AF86-90A7FC9F7609}"/>
    <cellStyle name="Normal 5 2 3 6 3" xfId="5624" xr:uid="{00000000-0005-0000-0000-0000C7180000}"/>
    <cellStyle name="Normal 5 2 3 6 3 2" xfId="14063" xr:uid="{B167AC85-631D-4A21-A363-B4CB0C13B3C8}"/>
    <cellStyle name="Normal 5 2 3 6 4" xfId="9845" xr:uid="{6B72A219-1A58-4E0C-B914-EE89A52721E6}"/>
    <cellStyle name="Normal 5 2 3 7" xfId="1729" xr:uid="{00000000-0005-0000-0000-0000C8180000}"/>
    <cellStyle name="Normal 5 2 3 7 2" xfId="3959" xr:uid="{00000000-0005-0000-0000-0000C9180000}"/>
    <cellStyle name="Normal 5 2 3 7 2 2" xfId="8182" xr:uid="{00000000-0005-0000-0000-0000CA180000}"/>
    <cellStyle name="Normal 5 2 3 7 2 2 2" xfId="16621" xr:uid="{35146B07-10F7-42D6-8940-635C66F14133}"/>
    <cellStyle name="Normal 5 2 3 7 2 3" xfId="12403" xr:uid="{7F88304B-1D28-491A-AD58-C0134231085E}"/>
    <cellStyle name="Normal 5 2 3 7 3" xfId="6037" xr:uid="{00000000-0005-0000-0000-0000CB180000}"/>
    <cellStyle name="Normal 5 2 3 7 3 2" xfId="14476" xr:uid="{AB7527B3-BFC6-4FF0-875C-1D9CEE0C385F}"/>
    <cellStyle name="Normal 5 2 3 7 4" xfId="10258" xr:uid="{822012B4-1C2A-4724-8A46-8F7F452928BF}"/>
    <cellStyle name="Normal 5 2 3 8" xfId="2143" xr:uid="{00000000-0005-0000-0000-0000CC180000}"/>
    <cellStyle name="Normal 5 2 3 8 2" xfId="4372" xr:uid="{00000000-0005-0000-0000-0000CD180000}"/>
    <cellStyle name="Normal 5 2 3 8 2 2" xfId="8595" xr:uid="{00000000-0005-0000-0000-0000CE180000}"/>
    <cellStyle name="Normal 5 2 3 8 2 2 2" xfId="17034" xr:uid="{26604CB6-F724-4814-8540-4F751846BF25}"/>
    <cellStyle name="Normal 5 2 3 8 2 3" xfId="12816" xr:uid="{B0CF7B39-5C99-4CE7-903E-D0DF2C2DB5BC}"/>
    <cellStyle name="Normal 5 2 3 8 3" xfId="6450" xr:uid="{00000000-0005-0000-0000-0000CF180000}"/>
    <cellStyle name="Normal 5 2 3 8 3 2" xfId="14889" xr:uid="{8BAA95CF-D761-41D9-B19F-91EB91E60088}"/>
    <cellStyle name="Normal 5 2 3 8 4" xfId="10671" xr:uid="{F01E4937-DBFB-4970-943E-58E6EA0FF782}"/>
    <cellStyle name="Normal 5 2 3 9" xfId="2579" xr:uid="{00000000-0005-0000-0000-0000D0180000}"/>
    <cellStyle name="Normal 5 2 3 9 2" xfId="6863" xr:uid="{00000000-0005-0000-0000-0000D1180000}"/>
    <cellStyle name="Normal 5 2 3 9 2 2" xfId="15302" xr:uid="{3118113E-F8C1-4171-B03E-5092C14CF9C7}"/>
    <cellStyle name="Normal 5 2 3 9 3" xfId="11084" xr:uid="{16F1B91B-CA42-43F9-B338-DE71040E1B52}"/>
    <cellStyle name="Normal 5 2 4" xfId="432" xr:uid="{00000000-0005-0000-0000-0000D2180000}"/>
    <cellStyle name="Normal 5 2 4 10" xfId="9027" xr:uid="{F85A5C5F-0F1F-4EBD-9F17-7F9F65CD1AE6}"/>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2 2 2" xfId="15805" xr:uid="{7F9A5CE1-1C15-4A85-A5B6-F64212A47745}"/>
    <cellStyle name="Normal 5 2 4 2 2 2 2 3" xfId="11587" xr:uid="{1DF37EF4-077E-4B0B-873F-55F79AF04E80}"/>
    <cellStyle name="Normal 5 2 4 2 2 2 3" xfId="5221" xr:uid="{00000000-0005-0000-0000-0000D8180000}"/>
    <cellStyle name="Normal 5 2 4 2 2 2 3 2" xfId="13660" xr:uid="{87943331-87A0-474E-A2E1-49A60FB65B16}"/>
    <cellStyle name="Normal 5 2 4 2 2 2 4" xfId="9442" xr:uid="{7AB2BC76-C10B-47FA-ADA5-B30EC8F9DC6F}"/>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2 2 2" xfId="16218" xr:uid="{0CC3C900-60BF-4452-96DE-F0070CF8A457}"/>
    <cellStyle name="Normal 5 2 4 2 2 3 2 3" xfId="12000" xr:uid="{66205E92-06F5-4FD4-A59C-24BA9E0B376E}"/>
    <cellStyle name="Normal 5 2 4 2 2 3 3" xfId="5634" xr:uid="{00000000-0005-0000-0000-0000DC180000}"/>
    <cellStyle name="Normal 5 2 4 2 2 3 3 2" xfId="14073" xr:uid="{F9C1DCFA-C86A-4118-9E33-297D0A62EF2E}"/>
    <cellStyle name="Normal 5 2 4 2 2 3 4" xfId="9855" xr:uid="{12F597F7-1010-4E3D-97A3-AE81C0F6C73C}"/>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2 2 2" xfId="16631" xr:uid="{39D3B82A-4E2D-4BD5-AB1B-BBE138950B68}"/>
    <cellStyle name="Normal 5 2 4 2 2 4 2 3" xfId="12413" xr:uid="{9CDFB5BE-CF29-41EF-8F75-12BE937F3CCD}"/>
    <cellStyle name="Normal 5 2 4 2 2 4 3" xfId="6047" xr:uid="{00000000-0005-0000-0000-0000E0180000}"/>
    <cellStyle name="Normal 5 2 4 2 2 4 3 2" xfId="14486" xr:uid="{72EFFE0B-BA37-4A6D-8710-911936BEFA37}"/>
    <cellStyle name="Normal 5 2 4 2 2 4 4" xfId="10268" xr:uid="{4CDAEC69-9EA5-4AB2-BF01-9DF14290B561}"/>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2 2 2" xfId="17044" xr:uid="{AF7E1777-11EC-4BB5-B850-331105CD9D1B}"/>
    <cellStyle name="Normal 5 2 4 2 2 5 2 3" xfId="12826" xr:uid="{67CBFDF8-2D54-481D-8F36-4948B0D3D350}"/>
    <cellStyle name="Normal 5 2 4 2 2 5 3" xfId="6460" xr:uid="{00000000-0005-0000-0000-0000E4180000}"/>
    <cellStyle name="Normal 5 2 4 2 2 5 3 2" xfId="14899" xr:uid="{FAFF2255-07D5-4C62-B9BC-5454E2663DC1}"/>
    <cellStyle name="Normal 5 2 4 2 2 5 4" xfId="10681" xr:uid="{D1C655D5-7816-46A2-A872-087CFFFD5B8A}"/>
    <cellStyle name="Normal 5 2 4 2 2 6" xfId="2589" xr:uid="{00000000-0005-0000-0000-0000E5180000}"/>
    <cellStyle name="Normal 5 2 4 2 2 6 2" xfId="6873" xr:uid="{00000000-0005-0000-0000-0000E6180000}"/>
    <cellStyle name="Normal 5 2 4 2 2 6 2 2" xfId="15312" xr:uid="{1D1E96AD-FA6A-4CA5-B55C-EBBBB01B8B00}"/>
    <cellStyle name="Normal 5 2 4 2 2 6 3" xfId="11094" xr:uid="{44ADCC7B-FE28-41A4-BC88-69E6923419BD}"/>
    <cellStyle name="Normal 5 2 4 2 2 7" xfId="4808" xr:uid="{00000000-0005-0000-0000-0000E7180000}"/>
    <cellStyle name="Normal 5 2 4 2 2 7 2" xfId="13247" xr:uid="{54BDA3D0-BF77-467F-9386-74205A98B1AB}"/>
    <cellStyle name="Normal 5 2 4 2 2 8" xfId="9029" xr:uid="{BC223663-224A-492E-8E9E-807ABD86C9A3}"/>
    <cellStyle name="Normal 5 2 4 2 3" xfId="907" xr:uid="{00000000-0005-0000-0000-0000E8180000}"/>
    <cellStyle name="Normal 5 2 4 2 3 2" xfId="3142" xr:uid="{00000000-0005-0000-0000-0000E9180000}"/>
    <cellStyle name="Normal 5 2 4 2 3 2 2" xfId="7365" xr:uid="{00000000-0005-0000-0000-0000EA180000}"/>
    <cellStyle name="Normal 5 2 4 2 3 2 2 2" xfId="15804" xr:uid="{7A86AB3F-9CDD-4B29-88E0-FF869A4B2D95}"/>
    <cellStyle name="Normal 5 2 4 2 3 2 3" xfId="11586" xr:uid="{B0DA4F7C-B82D-4BC1-BBBF-9A6220A8569A}"/>
    <cellStyle name="Normal 5 2 4 2 3 3" xfId="5220" xr:uid="{00000000-0005-0000-0000-0000EB180000}"/>
    <cellStyle name="Normal 5 2 4 2 3 3 2" xfId="13659" xr:uid="{0228B0B5-B07F-4EFE-B556-F2109EFE84F7}"/>
    <cellStyle name="Normal 5 2 4 2 3 4" xfId="9441" xr:uid="{15401FAD-6803-4303-9199-438A6733A9AC}"/>
    <cellStyle name="Normal 5 2 4 2 4" xfId="1325" xr:uid="{00000000-0005-0000-0000-0000EC180000}"/>
    <cellStyle name="Normal 5 2 4 2 4 2" xfId="3555" xr:uid="{00000000-0005-0000-0000-0000ED180000}"/>
    <cellStyle name="Normal 5 2 4 2 4 2 2" xfId="7778" xr:uid="{00000000-0005-0000-0000-0000EE180000}"/>
    <cellStyle name="Normal 5 2 4 2 4 2 2 2" xfId="16217" xr:uid="{81849F4C-D8AF-4545-971A-FDEACFDD208D}"/>
    <cellStyle name="Normal 5 2 4 2 4 2 3" xfId="11999" xr:uid="{4B68719A-4F01-4E1F-88B8-0F05665C1594}"/>
    <cellStyle name="Normal 5 2 4 2 4 3" xfId="5633" xr:uid="{00000000-0005-0000-0000-0000EF180000}"/>
    <cellStyle name="Normal 5 2 4 2 4 3 2" xfId="14072" xr:uid="{16F60BDB-ACBF-4C0B-BA9D-926280084EA3}"/>
    <cellStyle name="Normal 5 2 4 2 4 4" xfId="9854" xr:uid="{8ABCDBF1-96FA-445A-A77C-13818346D65A}"/>
    <cellStyle name="Normal 5 2 4 2 5" xfId="1738" xr:uid="{00000000-0005-0000-0000-0000F0180000}"/>
    <cellStyle name="Normal 5 2 4 2 5 2" xfId="3968" xr:uid="{00000000-0005-0000-0000-0000F1180000}"/>
    <cellStyle name="Normal 5 2 4 2 5 2 2" xfId="8191" xr:uid="{00000000-0005-0000-0000-0000F2180000}"/>
    <cellStyle name="Normal 5 2 4 2 5 2 2 2" xfId="16630" xr:uid="{8E4922EF-95F7-4295-874D-6BD05F3C551D}"/>
    <cellStyle name="Normal 5 2 4 2 5 2 3" xfId="12412" xr:uid="{558ADD19-BD8B-4EAC-9471-7CCAA7BE3B81}"/>
    <cellStyle name="Normal 5 2 4 2 5 3" xfId="6046" xr:uid="{00000000-0005-0000-0000-0000F3180000}"/>
    <cellStyle name="Normal 5 2 4 2 5 3 2" xfId="14485" xr:uid="{9411293F-5E08-440E-9D18-70AAD21C7A8F}"/>
    <cellStyle name="Normal 5 2 4 2 5 4" xfId="10267" xr:uid="{63AE79C4-CAFA-430B-A03D-C6F676996CE0}"/>
    <cellStyle name="Normal 5 2 4 2 6" xfId="2152" xr:uid="{00000000-0005-0000-0000-0000F4180000}"/>
    <cellStyle name="Normal 5 2 4 2 6 2" xfId="4381" xr:uid="{00000000-0005-0000-0000-0000F5180000}"/>
    <cellStyle name="Normal 5 2 4 2 6 2 2" xfId="8604" xr:uid="{00000000-0005-0000-0000-0000F6180000}"/>
    <cellStyle name="Normal 5 2 4 2 6 2 2 2" xfId="17043" xr:uid="{457485C3-C60A-435F-885A-24F20E34CA20}"/>
    <cellStyle name="Normal 5 2 4 2 6 2 3" xfId="12825" xr:uid="{D7F2C34F-E914-4AF1-9F89-147EA74413ED}"/>
    <cellStyle name="Normal 5 2 4 2 6 3" xfId="6459" xr:uid="{00000000-0005-0000-0000-0000F7180000}"/>
    <cellStyle name="Normal 5 2 4 2 6 3 2" xfId="14898" xr:uid="{BD45CB5F-B42E-4E6B-9039-C291C6798E7F}"/>
    <cellStyle name="Normal 5 2 4 2 6 4" xfId="10680" xr:uid="{9F7EEDD5-DDDC-41CF-AEAA-BA475F0C571A}"/>
    <cellStyle name="Normal 5 2 4 2 7" xfId="2588" xr:uid="{00000000-0005-0000-0000-0000F8180000}"/>
    <cellStyle name="Normal 5 2 4 2 7 2" xfId="6872" xr:uid="{00000000-0005-0000-0000-0000F9180000}"/>
    <cellStyle name="Normal 5 2 4 2 7 2 2" xfId="15311" xr:uid="{67ED9A93-7E8D-4388-B4A3-B1A75E7A510C}"/>
    <cellStyle name="Normal 5 2 4 2 7 3" xfId="11093" xr:uid="{CB1CF674-B27F-49B1-9DB1-605F47EFDC2B}"/>
    <cellStyle name="Normal 5 2 4 2 8" xfId="4807" xr:uid="{00000000-0005-0000-0000-0000FA180000}"/>
    <cellStyle name="Normal 5 2 4 2 8 2" xfId="13246" xr:uid="{9606D0D3-DD0C-46F4-B13C-37ECD54EC8D9}"/>
    <cellStyle name="Normal 5 2 4 2 9" xfId="9028" xr:uid="{63E7440C-AC37-4560-A55F-B1F989DE0983}"/>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2 2 2" xfId="15806" xr:uid="{4AF6EB50-69ED-43D0-836A-64D26E99E78C}"/>
    <cellStyle name="Normal 5 2 4 3 2 2 3" xfId="11588" xr:uid="{CF90DB5D-58B9-4E89-A359-ADE8A322F485}"/>
    <cellStyle name="Normal 5 2 4 3 2 3" xfId="5222" xr:uid="{00000000-0005-0000-0000-0000FF180000}"/>
    <cellStyle name="Normal 5 2 4 3 2 3 2" xfId="13661" xr:uid="{F34B2728-B51D-4CDB-A50E-1F500F3D57ED}"/>
    <cellStyle name="Normal 5 2 4 3 2 4" xfId="9443" xr:uid="{2B26D9B2-B996-4243-BA76-425454B35A0E}"/>
    <cellStyle name="Normal 5 2 4 3 3" xfId="1327" xr:uid="{00000000-0005-0000-0000-000000190000}"/>
    <cellStyle name="Normal 5 2 4 3 3 2" xfId="3557" xr:uid="{00000000-0005-0000-0000-000001190000}"/>
    <cellStyle name="Normal 5 2 4 3 3 2 2" xfId="7780" xr:uid="{00000000-0005-0000-0000-000002190000}"/>
    <cellStyle name="Normal 5 2 4 3 3 2 2 2" xfId="16219" xr:uid="{1FE9F144-9118-4036-AFBF-16B593C654FD}"/>
    <cellStyle name="Normal 5 2 4 3 3 2 3" xfId="12001" xr:uid="{05EB2E32-154C-43C5-8815-84592D0AA36E}"/>
    <cellStyle name="Normal 5 2 4 3 3 3" xfId="5635" xr:uid="{00000000-0005-0000-0000-000003190000}"/>
    <cellStyle name="Normal 5 2 4 3 3 3 2" xfId="14074" xr:uid="{7A4A0161-C9FD-40E6-A13D-0F66801F2494}"/>
    <cellStyle name="Normal 5 2 4 3 3 4" xfId="9856" xr:uid="{1BB5742E-B2CB-4727-91E2-E871590529E4}"/>
    <cellStyle name="Normal 5 2 4 3 4" xfId="1740" xr:uid="{00000000-0005-0000-0000-000004190000}"/>
    <cellStyle name="Normal 5 2 4 3 4 2" xfId="3970" xr:uid="{00000000-0005-0000-0000-000005190000}"/>
    <cellStyle name="Normal 5 2 4 3 4 2 2" xfId="8193" xr:uid="{00000000-0005-0000-0000-000006190000}"/>
    <cellStyle name="Normal 5 2 4 3 4 2 2 2" xfId="16632" xr:uid="{7A2D9941-20A5-4058-B419-DD736E9521FF}"/>
    <cellStyle name="Normal 5 2 4 3 4 2 3" xfId="12414" xr:uid="{BA934DFF-E05B-4491-90F2-E88FF831A544}"/>
    <cellStyle name="Normal 5 2 4 3 4 3" xfId="6048" xr:uid="{00000000-0005-0000-0000-000007190000}"/>
    <cellStyle name="Normal 5 2 4 3 4 3 2" xfId="14487" xr:uid="{43DC52F3-ADFA-4E42-8C4D-3DCCC0AB1E05}"/>
    <cellStyle name="Normal 5 2 4 3 4 4" xfId="10269" xr:uid="{314D8F1C-DA68-49BF-977B-18E99A515EFE}"/>
    <cellStyle name="Normal 5 2 4 3 5" xfId="2154" xr:uid="{00000000-0005-0000-0000-000008190000}"/>
    <cellStyle name="Normal 5 2 4 3 5 2" xfId="4383" xr:uid="{00000000-0005-0000-0000-000009190000}"/>
    <cellStyle name="Normal 5 2 4 3 5 2 2" xfId="8606" xr:uid="{00000000-0005-0000-0000-00000A190000}"/>
    <cellStyle name="Normal 5 2 4 3 5 2 2 2" xfId="17045" xr:uid="{30D9CBD4-F34A-44F2-B1D8-C475494EC0A9}"/>
    <cellStyle name="Normal 5 2 4 3 5 2 3" xfId="12827" xr:uid="{ED969237-738F-4C1F-8A2C-B982F1FF1506}"/>
    <cellStyle name="Normal 5 2 4 3 5 3" xfId="6461" xr:uid="{00000000-0005-0000-0000-00000B190000}"/>
    <cellStyle name="Normal 5 2 4 3 5 3 2" xfId="14900" xr:uid="{C9AEABBE-06BA-4A01-9595-7088B3308A94}"/>
    <cellStyle name="Normal 5 2 4 3 5 4" xfId="10682" xr:uid="{430BB82D-CCB8-4B3D-ADD7-F66BDD45162D}"/>
    <cellStyle name="Normal 5 2 4 3 6" xfId="2590" xr:uid="{00000000-0005-0000-0000-00000C190000}"/>
    <cellStyle name="Normal 5 2 4 3 6 2" xfId="6874" xr:uid="{00000000-0005-0000-0000-00000D190000}"/>
    <cellStyle name="Normal 5 2 4 3 6 2 2" xfId="15313" xr:uid="{4005A17B-C379-4642-AFF2-06B0D8437DC6}"/>
    <cellStyle name="Normal 5 2 4 3 6 3" xfId="11095" xr:uid="{D030770F-0F8A-46AA-B9E8-7FA44054BFC1}"/>
    <cellStyle name="Normal 5 2 4 3 7" xfId="4809" xr:uid="{00000000-0005-0000-0000-00000E190000}"/>
    <cellStyle name="Normal 5 2 4 3 7 2" xfId="13248" xr:uid="{DC7961F1-CD1B-4FF8-8C98-E157FA34A06A}"/>
    <cellStyle name="Normal 5 2 4 3 8" xfId="9030" xr:uid="{4C19FA77-EBEF-46E0-B5F3-2DDD7C3C3BF5}"/>
    <cellStyle name="Normal 5 2 4 4" xfId="906" xr:uid="{00000000-0005-0000-0000-00000F190000}"/>
    <cellStyle name="Normal 5 2 4 4 2" xfId="3141" xr:uid="{00000000-0005-0000-0000-000010190000}"/>
    <cellStyle name="Normal 5 2 4 4 2 2" xfId="7364" xr:uid="{00000000-0005-0000-0000-000011190000}"/>
    <cellStyle name="Normal 5 2 4 4 2 2 2" xfId="15803" xr:uid="{E01342E9-A99C-4AF6-B832-A69A5D0226B1}"/>
    <cellStyle name="Normal 5 2 4 4 2 3" xfId="11585" xr:uid="{0C1DC9CD-AB1C-46E4-848D-893C69F75814}"/>
    <cellStyle name="Normal 5 2 4 4 3" xfId="5219" xr:uid="{00000000-0005-0000-0000-000012190000}"/>
    <cellStyle name="Normal 5 2 4 4 3 2" xfId="13658" xr:uid="{46F89F2D-3AF4-46C1-AE36-585B26273CEB}"/>
    <cellStyle name="Normal 5 2 4 4 4" xfId="9440" xr:uid="{0E974A1B-88E9-415D-BAA1-623FEFF5BA6E}"/>
    <cellStyle name="Normal 5 2 4 5" xfId="1324" xr:uid="{00000000-0005-0000-0000-000013190000}"/>
    <cellStyle name="Normal 5 2 4 5 2" xfId="3554" xr:uid="{00000000-0005-0000-0000-000014190000}"/>
    <cellStyle name="Normal 5 2 4 5 2 2" xfId="7777" xr:uid="{00000000-0005-0000-0000-000015190000}"/>
    <cellStyle name="Normal 5 2 4 5 2 2 2" xfId="16216" xr:uid="{94172538-0DE5-439F-AABC-62C943B042F2}"/>
    <cellStyle name="Normal 5 2 4 5 2 3" xfId="11998" xr:uid="{2418CE69-CDD9-49F6-BB94-E39827E82339}"/>
    <cellStyle name="Normal 5 2 4 5 3" xfId="5632" xr:uid="{00000000-0005-0000-0000-000016190000}"/>
    <cellStyle name="Normal 5 2 4 5 3 2" xfId="14071" xr:uid="{63C03934-8FDC-4AFF-A0FD-C9D32CA624F3}"/>
    <cellStyle name="Normal 5 2 4 5 4" xfId="9853" xr:uid="{BCE40748-60FB-4F75-820B-230C7159BC51}"/>
    <cellStyle name="Normal 5 2 4 6" xfId="1737" xr:uid="{00000000-0005-0000-0000-000017190000}"/>
    <cellStyle name="Normal 5 2 4 6 2" xfId="3967" xr:uid="{00000000-0005-0000-0000-000018190000}"/>
    <cellStyle name="Normal 5 2 4 6 2 2" xfId="8190" xr:uid="{00000000-0005-0000-0000-000019190000}"/>
    <cellStyle name="Normal 5 2 4 6 2 2 2" xfId="16629" xr:uid="{A18CDF15-37AD-481D-8A1B-ABF90B2F5399}"/>
    <cellStyle name="Normal 5 2 4 6 2 3" xfId="12411" xr:uid="{3CE82C74-0EA3-4031-854C-39A896603290}"/>
    <cellStyle name="Normal 5 2 4 6 3" xfId="6045" xr:uid="{00000000-0005-0000-0000-00001A190000}"/>
    <cellStyle name="Normal 5 2 4 6 3 2" xfId="14484" xr:uid="{B5D4F8ED-EBF6-441E-B609-6C2788FAD7AB}"/>
    <cellStyle name="Normal 5 2 4 6 4" xfId="10266" xr:uid="{823F8850-5E97-4A10-8E39-167A508ED000}"/>
    <cellStyle name="Normal 5 2 4 7" xfId="2151" xr:uid="{00000000-0005-0000-0000-00001B190000}"/>
    <cellStyle name="Normal 5 2 4 7 2" xfId="4380" xr:uid="{00000000-0005-0000-0000-00001C190000}"/>
    <cellStyle name="Normal 5 2 4 7 2 2" xfId="8603" xr:uid="{00000000-0005-0000-0000-00001D190000}"/>
    <cellStyle name="Normal 5 2 4 7 2 2 2" xfId="17042" xr:uid="{909EFACD-4529-40ED-8A08-E29D882CBF13}"/>
    <cellStyle name="Normal 5 2 4 7 2 3" xfId="12824" xr:uid="{2A179D11-F35A-4F3D-90D1-AFD52B5B6022}"/>
    <cellStyle name="Normal 5 2 4 7 3" xfId="6458" xr:uid="{00000000-0005-0000-0000-00001E190000}"/>
    <cellStyle name="Normal 5 2 4 7 3 2" xfId="14897" xr:uid="{E18099F3-79FA-4D49-B910-5083BF7168D2}"/>
    <cellStyle name="Normal 5 2 4 7 4" xfId="10679" xr:uid="{B779AFCA-93AE-4E71-A576-92579FE9E914}"/>
    <cellStyle name="Normal 5 2 4 8" xfId="2587" xr:uid="{00000000-0005-0000-0000-00001F190000}"/>
    <cellStyle name="Normal 5 2 4 8 2" xfId="6871" xr:uid="{00000000-0005-0000-0000-000020190000}"/>
    <cellStyle name="Normal 5 2 4 8 2 2" xfId="15310" xr:uid="{95CDF1AE-F2E8-407F-B409-55C3854BA8F8}"/>
    <cellStyle name="Normal 5 2 4 8 3" xfId="11092" xr:uid="{39426AE0-FBBC-47F4-A107-F0A048650CD8}"/>
    <cellStyle name="Normal 5 2 4 9" xfId="4806" xr:uid="{00000000-0005-0000-0000-000021190000}"/>
    <cellStyle name="Normal 5 2 4 9 2" xfId="13245" xr:uid="{1977FD7E-1B03-4260-B016-97DF746B316A}"/>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2 2 2" xfId="15808" xr:uid="{A32B8D5D-D1AA-497F-8ADB-EA0194F70616}"/>
    <cellStyle name="Normal 5 2 5 2 2 2 3" xfId="11590" xr:uid="{C5DC45BB-BB4D-4D51-A512-B2CFDA254D58}"/>
    <cellStyle name="Normal 5 2 5 2 2 3" xfId="5224" xr:uid="{00000000-0005-0000-0000-000027190000}"/>
    <cellStyle name="Normal 5 2 5 2 2 3 2" xfId="13663" xr:uid="{F547BAEA-103C-4F3A-81F7-AA6DB26DDE98}"/>
    <cellStyle name="Normal 5 2 5 2 2 4" xfId="9445" xr:uid="{D8216E4A-477A-40B0-9121-A48F184D0905}"/>
    <cellStyle name="Normal 5 2 5 2 3" xfId="1329" xr:uid="{00000000-0005-0000-0000-000028190000}"/>
    <cellStyle name="Normal 5 2 5 2 3 2" xfId="3559" xr:uid="{00000000-0005-0000-0000-000029190000}"/>
    <cellStyle name="Normal 5 2 5 2 3 2 2" xfId="7782" xr:uid="{00000000-0005-0000-0000-00002A190000}"/>
    <cellStyle name="Normal 5 2 5 2 3 2 2 2" xfId="16221" xr:uid="{92A3A5F4-BC4B-4505-AF3B-DA52F4396226}"/>
    <cellStyle name="Normal 5 2 5 2 3 2 3" xfId="12003" xr:uid="{FF2EBACC-22BD-4B2F-8864-2F7A73D56156}"/>
    <cellStyle name="Normal 5 2 5 2 3 3" xfId="5637" xr:uid="{00000000-0005-0000-0000-00002B190000}"/>
    <cellStyle name="Normal 5 2 5 2 3 3 2" xfId="14076" xr:uid="{54A9D2F3-44B5-4DD0-A05C-FB7EDEDBE589}"/>
    <cellStyle name="Normal 5 2 5 2 3 4" xfId="9858" xr:uid="{ADEA0CE5-FE44-4058-8159-DE4F796A3F08}"/>
    <cellStyle name="Normal 5 2 5 2 4" xfId="1742" xr:uid="{00000000-0005-0000-0000-00002C190000}"/>
    <cellStyle name="Normal 5 2 5 2 4 2" xfId="3972" xr:uid="{00000000-0005-0000-0000-00002D190000}"/>
    <cellStyle name="Normal 5 2 5 2 4 2 2" xfId="8195" xr:uid="{00000000-0005-0000-0000-00002E190000}"/>
    <cellStyle name="Normal 5 2 5 2 4 2 2 2" xfId="16634" xr:uid="{330D1D07-375A-4615-AEA6-3E8FC6075FF2}"/>
    <cellStyle name="Normal 5 2 5 2 4 2 3" xfId="12416" xr:uid="{A06D8F26-0038-4B78-9BB7-272E72543EB5}"/>
    <cellStyle name="Normal 5 2 5 2 4 3" xfId="6050" xr:uid="{00000000-0005-0000-0000-00002F190000}"/>
    <cellStyle name="Normal 5 2 5 2 4 3 2" xfId="14489" xr:uid="{F84AA1A2-834D-439D-A4D6-6A2137174992}"/>
    <cellStyle name="Normal 5 2 5 2 4 4" xfId="10271" xr:uid="{B03F65FB-0D5B-432C-B745-4B576CAC4513}"/>
    <cellStyle name="Normal 5 2 5 2 5" xfId="2156" xr:uid="{00000000-0005-0000-0000-000030190000}"/>
    <cellStyle name="Normal 5 2 5 2 5 2" xfId="4385" xr:uid="{00000000-0005-0000-0000-000031190000}"/>
    <cellStyle name="Normal 5 2 5 2 5 2 2" xfId="8608" xr:uid="{00000000-0005-0000-0000-000032190000}"/>
    <cellStyle name="Normal 5 2 5 2 5 2 2 2" xfId="17047" xr:uid="{FDF960EE-67C4-443F-9319-48BEE4807633}"/>
    <cellStyle name="Normal 5 2 5 2 5 2 3" xfId="12829" xr:uid="{349F5D1E-83FC-44B5-8392-4F1847DD4F49}"/>
    <cellStyle name="Normal 5 2 5 2 5 3" xfId="6463" xr:uid="{00000000-0005-0000-0000-000033190000}"/>
    <cellStyle name="Normal 5 2 5 2 5 3 2" xfId="14902" xr:uid="{47675E22-79FE-4FE6-97C5-25A96BBFD68B}"/>
    <cellStyle name="Normal 5 2 5 2 5 4" xfId="10684" xr:uid="{678A2AC9-BEEC-437C-9C7C-D991D168ADA0}"/>
    <cellStyle name="Normal 5 2 5 2 6" xfId="2592" xr:uid="{00000000-0005-0000-0000-000034190000}"/>
    <cellStyle name="Normal 5 2 5 2 6 2" xfId="6876" xr:uid="{00000000-0005-0000-0000-000035190000}"/>
    <cellStyle name="Normal 5 2 5 2 6 2 2" xfId="15315" xr:uid="{07981B2D-6C09-4CFF-B8F5-0D593A1FAC0B}"/>
    <cellStyle name="Normal 5 2 5 2 6 3" xfId="11097" xr:uid="{DC3DD113-752F-4613-856B-1B40198FAE0D}"/>
    <cellStyle name="Normal 5 2 5 2 7" xfId="4811" xr:uid="{00000000-0005-0000-0000-000036190000}"/>
    <cellStyle name="Normal 5 2 5 2 7 2" xfId="13250" xr:uid="{D451A1FA-6B7F-4CD7-AFF1-BBCC63C9DB2C}"/>
    <cellStyle name="Normal 5 2 5 2 8" xfId="9032" xr:uid="{01B14DB5-82EB-4B2A-9826-B98FC74B66BC}"/>
    <cellStyle name="Normal 5 2 5 3" xfId="910" xr:uid="{00000000-0005-0000-0000-000037190000}"/>
    <cellStyle name="Normal 5 2 5 3 2" xfId="3145" xr:uid="{00000000-0005-0000-0000-000038190000}"/>
    <cellStyle name="Normal 5 2 5 3 2 2" xfId="7368" xr:uid="{00000000-0005-0000-0000-000039190000}"/>
    <cellStyle name="Normal 5 2 5 3 2 2 2" xfId="15807" xr:uid="{627C1F15-DA09-415A-A9F3-F31FF7A6F141}"/>
    <cellStyle name="Normal 5 2 5 3 2 3" xfId="11589" xr:uid="{14A6255C-B165-46BD-B7B0-F33804D98B59}"/>
    <cellStyle name="Normal 5 2 5 3 3" xfId="5223" xr:uid="{00000000-0005-0000-0000-00003A190000}"/>
    <cellStyle name="Normal 5 2 5 3 3 2" xfId="13662" xr:uid="{23FCB462-B6B5-466C-A054-E08EA2B9A7D6}"/>
    <cellStyle name="Normal 5 2 5 3 4" xfId="9444" xr:uid="{D54D4744-74CD-49E0-B42F-92754723BF7B}"/>
    <cellStyle name="Normal 5 2 5 4" xfId="1328" xr:uid="{00000000-0005-0000-0000-00003B190000}"/>
    <cellStyle name="Normal 5 2 5 4 2" xfId="3558" xr:uid="{00000000-0005-0000-0000-00003C190000}"/>
    <cellStyle name="Normal 5 2 5 4 2 2" xfId="7781" xr:uid="{00000000-0005-0000-0000-00003D190000}"/>
    <cellStyle name="Normal 5 2 5 4 2 2 2" xfId="16220" xr:uid="{782F973E-78EA-4774-9D9A-D5E502136F58}"/>
    <cellStyle name="Normal 5 2 5 4 2 3" xfId="12002" xr:uid="{7EF2D7E3-83D2-48BA-B4B1-F2EB89948934}"/>
    <cellStyle name="Normal 5 2 5 4 3" xfId="5636" xr:uid="{00000000-0005-0000-0000-00003E190000}"/>
    <cellStyle name="Normal 5 2 5 4 3 2" xfId="14075" xr:uid="{F934B77B-D5B2-4E58-9F2B-9E9EB69C6E9D}"/>
    <cellStyle name="Normal 5 2 5 4 4" xfId="9857" xr:uid="{9590BF2F-3C33-4B43-A85E-9E9E2D9506C2}"/>
    <cellStyle name="Normal 5 2 5 5" xfId="1741" xr:uid="{00000000-0005-0000-0000-00003F190000}"/>
    <cellStyle name="Normal 5 2 5 5 2" xfId="3971" xr:uid="{00000000-0005-0000-0000-000040190000}"/>
    <cellStyle name="Normal 5 2 5 5 2 2" xfId="8194" xr:uid="{00000000-0005-0000-0000-000041190000}"/>
    <cellStyle name="Normal 5 2 5 5 2 2 2" xfId="16633" xr:uid="{1FEEFF11-9B23-4C8C-BFB4-45DEB469AEF7}"/>
    <cellStyle name="Normal 5 2 5 5 2 3" xfId="12415" xr:uid="{89B292EF-04D6-4371-AB0E-A68FBDB987A8}"/>
    <cellStyle name="Normal 5 2 5 5 3" xfId="6049" xr:uid="{00000000-0005-0000-0000-000042190000}"/>
    <cellStyle name="Normal 5 2 5 5 3 2" xfId="14488" xr:uid="{681E495B-8C20-4A94-894A-4D9724A44C29}"/>
    <cellStyle name="Normal 5 2 5 5 4" xfId="10270" xr:uid="{DA5CDB5F-62C1-40EC-BFCF-5AF84DCB715D}"/>
    <cellStyle name="Normal 5 2 5 6" xfId="2155" xr:uid="{00000000-0005-0000-0000-000043190000}"/>
    <cellStyle name="Normal 5 2 5 6 2" xfId="4384" xr:uid="{00000000-0005-0000-0000-000044190000}"/>
    <cellStyle name="Normal 5 2 5 6 2 2" xfId="8607" xr:uid="{00000000-0005-0000-0000-000045190000}"/>
    <cellStyle name="Normal 5 2 5 6 2 2 2" xfId="17046" xr:uid="{ACC422F3-BD3E-45FA-9EBF-81F23D072DB8}"/>
    <cellStyle name="Normal 5 2 5 6 2 3" xfId="12828" xr:uid="{BC80D737-CCC6-4767-933D-415C0116A222}"/>
    <cellStyle name="Normal 5 2 5 6 3" xfId="6462" xr:uid="{00000000-0005-0000-0000-000046190000}"/>
    <cellStyle name="Normal 5 2 5 6 3 2" xfId="14901" xr:uid="{94F3BE58-5ACB-4621-8B64-4A50D9264469}"/>
    <cellStyle name="Normal 5 2 5 6 4" xfId="10683" xr:uid="{26DEE052-3091-45DB-AF96-F60097860EBB}"/>
    <cellStyle name="Normal 5 2 5 7" xfId="2591" xr:uid="{00000000-0005-0000-0000-000047190000}"/>
    <cellStyle name="Normal 5 2 5 7 2" xfId="6875" xr:uid="{00000000-0005-0000-0000-000048190000}"/>
    <cellStyle name="Normal 5 2 5 7 2 2" xfId="15314" xr:uid="{1480F651-6E27-4B20-BCC0-2CBD89F22592}"/>
    <cellStyle name="Normal 5 2 5 7 3" xfId="11096" xr:uid="{CFA302D4-E97B-4705-A327-45DF6F8145AC}"/>
    <cellStyle name="Normal 5 2 5 8" xfId="4810" xr:uid="{00000000-0005-0000-0000-000049190000}"/>
    <cellStyle name="Normal 5 2 5 8 2" xfId="13249" xr:uid="{957EA318-A0B5-4051-859F-D3F8C257E291}"/>
    <cellStyle name="Normal 5 2 5 9" xfId="9031" xr:uid="{56A025A2-10BD-4787-BC49-72781573A154}"/>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2 2 2" xfId="15809" xr:uid="{7AF7FA41-B213-4A4C-B854-ACB01859585F}"/>
    <cellStyle name="Normal 5 2 6 2 2 3" xfId="11591" xr:uid="{78B0997D-68FC-4112-940B-B57196573653}"/>
    <cellStyle name="Normal 5 2 6 2 3" xfId="5225" xr:uid="{00000000-0005-0000-0000-00004E190000}"/>
    <cellStyle name="Normal 5 2 6 2 3 2" xfId="13664" xr:uid="{73A9E629-09F0-4893-BC71-860F7667015F}"/>
    <cellStyle name="Normal 5 2 6 2 4" xfId="9446" xr:uid="{EB8DD9B2-82DD-4534-BC2F-F48A118B0345}"/>
    <cellStyle name="Normal 5 2 6 3" xfId="1330" xr:uid="{00000000-0005-0000-0000-00004F190000}"/>
    <cellStyle name="Normal 5 2 6 3 2" xfId="3560" xr:uid="{00000000-0005-0000-0000-000050190000}"/>
    <cellStyle name="Normal 5 2 6 3 2 2" xfId="7783" xr:uid="{00000000-0005-0000-0000-000051190000}"/>
    <cellStyle name="Normal 5 2 6 3 2 2 2" xfId="16222" xr:uid="{5A816D69-B254-499C-9DCE-927D58EC6F91}"/>
    <cellStyle name="Normal 5 2 6 3 2 3" xfId="12004" xr:uid="{4298777B-7AB1-4FAA-AA26-4ADAAF68D050}"/>
    <cellStyle name="Normal 5 2 6 3 3" xfId="5638" xr:uid="{00000000-0005-0000-0000-000052190000}"/>
    <cellStyle name="Normal 5 2 6 3 3 2" xfId="14077" xr:uid="{D6676B4B-19CA-4E9B-B338-26778590FFEF}"/>
    <cellStyle name="Normal 5 2 6 3 4" xfId="9859" xr:uid="{CAEF51C7-4431-49DC-B003-45C9D9951E2D}"/>
    <cellStyle name="Normal 5 2 6 4" xfId="1743" xr:uid="{00000000-0005-0000-0000-000053190000}"/>
    <cellStyle name="Normal 5 2 6 4 2" xfId="3973" xr:uid="{00000000-0005-0000-0000-000054190000}"/>
    <cellStyle name="Normal 5 2 6 4 2 2" xfId="8196" xr:uid="{00000000-0005-0000-0000-000055190000}"/>
    <cellStyle name="Normal 5 2 6 4 2 2 2" xfId="16635" xr:uid="{CFE3AECF-6666-44F1-ADF6-1277498BC49C}"/>
    <cellStyle name="Normal 5 2 6 4 2 3" xfId="12417" xr:uid="{37CDA5D2-15FB-467D-AE3A-E1AE1F7D8E0C}"/>
    <cellStyle name="Normal 5 2 6 4 3" xfId="6051" xr:uid="{00000000-0005-0000-0000-000056190000}"/>
    <cellStyle name="Normal 5 2 6 4 3 2" xfId="14490" xr:uid="{A048C652-3E33-4751-86B9-93D79CD55014}"/>
    <cellStyle name="Normal 5 2 6 4 4" xfId="10272" xr:uid="{13878E88-E374-4933-ABED-D0E30E483681}"/>
    <cellStyle name="Normal 5 2 6 5" xfId="2157" xr:uid="{00000000-0005-0000-0000-000057190000}"/>
    <cellStyle name="Normal 5 2 6 5 2" xfId="4386" xr:uid="{00000000-0005-0000-0000-000058190000}"/>
    <cellStyle name="Normal 5 2 6 5 2 2" xfId="8609" xr:uid="{00000000-0005-0000-0000-000059190000}"/>
    <cellStyle name="Normal 5 2 6 5 2 2 2" xfId="17048" xr:uid="{2CF03667-6088-47B9-984B-B6AD231514C9}"/>
    <cellStyle name="Normal 5 2 6 5 2 3" xfId="12830" xr:uid="{DD105AC6-3EB1-4EA6-A771-35313002D5A3}"/>
    <cellStyle name="Normal 5 2 6 5 3" xfId="6464" xr:uid="{00000000-0005-0000-0000-00005A190000}"/>
    <cellStyle name="Normal 5 2 6 5 3 2" xfId="14903" xr:uid="{A9D99E3A-AEA4-49A1-A2EA-8BA3648FEEF9}"/>
    <cellStyle name="Normal 5 2 6 5 4" xfId="10685" xr:uid="{E22215A7-3983-4010-A3F4-1CE87E5E88E9}"/>
    <cellStyle name="Normal 5 2 6 6" xfId="2593" xr:uid="{00000000-0005-0000-0000-00005B190000}"/>
    <cellStyle name="Normal 5 2 6 6 2" xfId="6877" xr:uid="{00000000-0005-0000-0000-00005C190000}"/>
    <cellStyle name="Normal 5 2 6 6 2 2" xfId="15316" xr:uid="{86110B6D-2D52-43D8-A387-BAE8E364F3DA}"/>
    <cellStyle name="Normal 5 2 6 6 3" xfId="11098" xr:uid="{9C608801-1572-432E-8EA3-A9A2173EB81A}"/>
    <cellStyle name="Normal 5 2 6 7" xfId="4812" xr:uid="{00000000-0005-0000-0000-00005D190000}"/>
    <cellStyle name="Normal 5 2 6 7 2" xfId="13251" xr:uid="{7BB43000-B809-4012-917E-A2B971A5CB5B}"/>
    <cellStyle name="Normal 5 2 6 8" xfId="9033" xr:uid="{C993BF17-E918-406A-85CB-A05B944D645E}"/>
    <cellStyle name="Normal 5 2 7" xfId="881" xr:uid="{00000000-0005-0000-0000-00005E190000}"/>
    <cellStyle name="Normal 5 2 7 2" xfId="3116" xr:uid="{00000000-0005-0000-0000-00005F190000}"/>
    <cellStyle name="Normal 5 2 7 2 2" xfId="7339" xr:uid="{00000000-0005-0000-0000-000060190000}"/>
    <cellStyle name="Normal 5 2 7 2 2 2" xfId="15778" xr:uid="{0AFBE951-6251-4FCB-ACF2-6CB7B22749F0}"/>
    <cellStyle name="Normal 5 2 7 2 3" xfId="11560" xr:uid="{1B417BAB-BE3C-4684-B370-9FEC273BFA46}"/>
    <cellStyle name="Normal 5 2 7 3" xfId="5194" xr:uid="{00000000-0005-0000-0000-000061190000}"/>
    <cellStyle name="Normal 5 2 7 3 2" xfId="13633" xr:uid="{B72F5115-3183-4819-875D-7880AF58AA55}"/>
    <cellStyle name="Normal 5 2 7 4" xfId="9415" xr:uid="{F5F1BA47-0ABC-47B4-A95F-51130EDB1499}"/>
    <cellStyle name="Normal 5 2 8" xfId="1299" xr:uid="{00000000-0005-0000-0000-000062190000}"/>
    <cellStyle name="Normal 5 2 8 2" xfId="3529" xr:uid="{00000000-0005-0000-0000-000063190000}"/>
    <cellStyle name="Normal 5 2 8 2 2" xfId="7752" xr:uid="{00000000-0005-0000-0000-000064190000}"/>
    <cellStyle name="Normal 5 2 8 2 2 2" xfId="16191" xr:uid="{2093F477-0D93-4562-8C31-5DDC5FE04E45}"/>
    <cellStyle name="Normal 5 2 8 2 3" xfId="11973" xr:uid="{339CE7F3-40EB-44E3-A26C-53DE80F85F1E}"/>
    <cellStyle name="Normal 5 2 8 3" xfId="5607" xr:uid="{00000000-0005-0000-0000-000065190000}"/>
    <cellStyle name="Normal 5 2 8 3 2" xfId="14046" xr:uid="{6E31F659-F1A2-4386-8E83-CE7AC92AEA73}"/>
    <cellStyle name="Normal 5 2 8 4" xfId="9828" xr:uid="{EA84226B-1971-41B7-84B5-F43D612ECA86}"/>
    <cellStyle name="Normal 5 2 9" xfId="1712" xr:uid="{00000000-0005-0000-0000-000066190000}"/>
    <cellStyle name="Normal 5 2 9 2" xfId="3942" xr:uid="{00000000-0005-0000-0000-000067190000}"/>
    <cellStyle name="Normal 5 2 9 2 2" xfId="8165" xr:uid="{00000000-0005-0000-0000-000068190000}"/>
    <cellStyle name="Normal 5 2 9 2 2 2" xfId="16604" xr:uid="{99DEE021-50E1-4960-97DA-D729C9660294}"/>
    <cellStyle name="Normal 5 2 9 2 3" xfId="12386" xr:uid="{5A5B602F-2FAC-4FFC-A4E0-7A06AC4D162A}"/>
    <cellStyle name="Normal 5 2 9 3" xfId="6020" xr:uid="{00000000-0005-0000-0000-000069190000}"/>
    <cellStyle name="Normal 5 2 9 3 2" xfId="14459" xr:uid="{F43346CB-76FD-4AAC-8A2F-70742F2E9461}"/>
    <cellStyle name="Normal 5 2 9 4" xfId="10241" xr:uid="{665891DD-AFA4-4361-91DE-A57B3AD45F8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2 2 2" xfId="17049" xr:uid="{FFB6F3B9-538F-47A9-9169-114DBBE1F02A}"/>
    <cellStyle name="Normal 5 3 10 2 3" xfId="12831" xr:uid="{821960E9-4A20-4FEE-9A48-0BCF25BD45DD}"/>
    <cellStyle name="Normal 5 3 10 3" xfId="6465" xr:uid="{00000000-0005-0000-0000-00006E190000}"/>
    <cellStyle name="Normal 5 3 10 3 2" xfId="14904" xr:uid="{6204F300-DE4B-45D6-9E1B-1478C0889674}"/>
    <cellStyle name="Normal 5 3 10 4" xfId="10686" xr:uid="{81F5CC7D-B6A3-48F9-8D73-68E74244D93F}"/>
    <cellStyle name="Normal 5 3 11" xfId="2594" xr:uid="{00000000-0005-0000-0000-00006F190000}"/>
    <cellStyle name="Normal 5 3 11 2" xfId="6878" xr:uid="{00000000-0005-0000-0000-000070190000}"/>
    <cellStyle name="Normal 5 3 11 2 2" xfId="15317" xr:uid="{F012A224-20B7-42A9-88C3-9484269EED11}"/>
    <cellStyle name="Normal 5 3 11 3" xfId="11099" xr:uid="{F3F98DC8-3D7B-4F7A-87A9-FF60374306A5}"/>
    <cellStyle name="Normal 5 3 12" xfId="4813" xr:uid="{00000000-0005-0000-0000-000071190000}"/>
    <cellStyle name="Normal 5 3 12 2" xfId="13252" xr:uid="{A9A2E858-6485-452D-B802-63646EB9E8D1}"/>
    <cellStyle name="Normal 5 3 13" xfId="9034" xr:uid="{CA5ACB79-502C-44FD-8D11-B1C6E7EA7AC1}"/>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10 2" xfId="13253" xr:uid="{5279BA70-3A80-487B-B0B9-BC2955A2597C}"/>
    <cellStyle name="Normal 5 3 3 11" xfId="9035" xr:uid="{4F41E3FD-30A3-4421-A7B6-C80A5B8D29E3}"/>
    <cellStyle name="Normal 5 3 3 2" xfId="442" xr:uid="{00000000-0005-0000-0000-000076190000}"/>
    <cellStyle name="Normal 5 3 3 2 10" xfId="9036" xr:uid="{0F25A523-07A4-447D-B363-58520AE15C87}"/>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2 2 2" xfId="15814" xr:uid="{4B994311-5912-484F-A55A-96585A2E38DE}"/>
    <cellStyle name="Normal 5 3 3 2 2 2 2 2 3" xfId="11596" xr:uid="{E925E009-6FE2-4111-B41D-A11C914BE82E}"/>
    <cellStyle name="Normal 5 3 3 2 2 2 2 3" xfId="5230" xr:uid="{00000000-0005-0000-0000-00007C190000}"/>
    <cellStyle name="Normal 5 3 3 2 2 2 2 3 2" xfId="13669" xr:uid="{8503C792-9C04-45F9-9B5B-9ABEED609ECA}"/>
    <cellStyle name="Normal 5 3 3 2 2 2 2 4" xfId="9451" xr:uid="{4B67D815-3B10-45EE-B822-58C7D28DC71B}"/>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2 2 2" xfId="16227" xr:uid="{0829DFC2-3EA5-4B16-9452-0A96BFC79808}"/>
    <cellStyle name="Normal 5 3 3 2 2 2 3 2 3" xfId="12009" xr:uid="{86DBB5A2-DC57-49FE-88D0-4674C6419B59}"/>
    <cellStyle name="Normal 5 3 3 2 2 2 3 3" xfId="5643" xr:uid="{00000000-0005-0000-0000-000080190000}"/>
    <cellStyle name="Normal 5 3 3 2 2 2 3 3 2" xfId="14082" xr:uid="{5437405A-4859-4683-8BB7-398F6042039E}"/>
    <cellStyle name="Normal 5 3 3 2 2 2 3 4" xfId="9864" xr:uid="{B3A0077F-BD62-4B7D-9438-2B8BFE65F35D}"/>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2 2 2" xfId="16640" xr:uid="{A41438B6-30A8-4DE0-BAE9-940F74F21CDC}"/>
    <cellStyle name="Normal 5 3 3 2 2 2 4 2 3" xfId="12422" xr:uid="{852328F9-BB8F-4B80-AAF2-C296CE376B6E}"/>
    <cellStyle name="Normal 5 3 3 2 2 2 4 3" xfId="6056" xr:uid="{00000000-0005-0000-0000-000084190000}"/>
    <cellStyle name="Normal 5 3 3 2 2 2 4 3 2" xfId="14495" xr:uid="{31E359AC-CC30-44BA-B4A2-B6D99F320D52}"/>
    <cellStyle name="Normal 5 3 3 2 2 2 4 4" xfId="10277" xr:uid="{4906A0B6-D23B-4EC7-ADA9-96EF1492BCE2}"/>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2 2 2" xfId="17053" xr:uid="{AA5EED45-6370-4009-965C-FB528CA83F7F}"/>
    <cellStyle name="Normal 5 3 3 2 2 2 5 2 3" xfId="12835" xr:uid="{2FD72D0E-98EB-43F7-A49F-625C6093E152}"/>
    <cellStyle name="Normal 5 3 3 2 2 2 5 3" xfId="6469" xr:uid="{00000000-0005-0000-0000-000088190000}"/>
    <cellStyle name="Normal 5 3 3 2 2 2 5 3 2" xfId="14908" xr:uid="{A0BB99D2-FF6C-4D3A-B17D-B073803F17C2}"/>
    <cellStyle name="Normal 5 3 3 2 2 2 5 4" xfId="10690" xr:uid="{754DD326-AD83-4850-A134-F3F72AF04A7F}"/>
    <cellStyle name="Normal 5 3 3 2 2 2 6" xfId="2598" xr:uid="{00000000-0005-0000-0000-000089190000}"/>
    <cellStyle name="Normal 5 3 3 2 2 2 6 2" xfId="6882" xr:uid="{00000000-0005-0000-0000-00008A190000}"/>
    <cellStyle name="Normal 5 3 3 2 2 2 6 2 2" xfId="15321" xr:uid="{64C0872E-A783-4990-86AA-451E25430988}"/>
    <cellStyle name="Normal 5 3 3 2 2 2 6 3" xfId="11103" xr:uid="{5C97CB98-592B-4BAE-BB85-85114D8E9D50}"/>
    <cellStyle name="Normal 5 3 3 2 2 2 7" xfId="4817" xr:uid="{00000000-0005-0000-0000-00008B190000}"/>
    <cellStyle name="Normal 5 3 3 2 2 2 7 2" xfId="13256" xr:uid="{C56A5CA2-1482-4ADA-9036-035974AD420D}"/>
    <cellStyle name="Normal 5 3 3 2 2 2 8" xfId="9038" xr:uid="{6CD0D177-32F6-40C1-8AD0-6A0F9278E1DA}"/>
    <cellStyle name="Normal 5 3 3 2 2 3" xfId="917" xr:uid="{00000000-0005-0000-0000-00008C190000}"/>
    <cellStyle name="Normal 5 3 3 2 2 3 2" xfId="3151" xr:uid="{00000000-0005-0000-0000-00008D190000}"/>
    <cellStyle name="Normal 5 3 3 2 2 3 2 2" xfId="7374" xr:uid="{00000000-0005-0000-0000-00008E190000}"/>
    <cellStyle name="Normal 5 3 3 2 2 3 2 2 2" xfId="15813" xr:uid="{BB8FD12F-944C-478F-A64F-412CAF8993C3}"/>
    <cellStyle name="Normal 5 3 3 2 2 3 2 3" xfId="11595" xr:uid="{DE28BCF2-49FB-40FE-9D2A-5DAFB56A4876}"/>
    <cellStyle name="Normal 5 3 3 2 2 3 3" xfId="5229" xr:uid="{00000000-0005-0000-0000-00008F190000}"/>
    <cellStyle name="Normal 5 3 3 2 2 3 3 2" xfId="13668" xr:uid="{CA96233B-08DE-4F2D-8492-BA1CABAE2D68}"/>
    <cellStyle name="Normal 5 3 3 2 2 3 4" xfId="9450" xr:uid="{AD127481-DE23-4BF2-A8CF-39EABFB5B6B1}"/>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2 2 2" xfId="16226" xr:uid="{68BB3327-4C84-45E6-BB15-BE98526A88F8}"/>
    <cellStyle name="Normal 5 3 3 2 2 4 2 3" xfId="12008" xr:uid="{D931C9A3-7417-455C-BD81-8AE85F5D3004}"/>
    <cellStyle name="Normal 5 3 3 2 2 4 3" xfId="5642" xr:uid="{00000000-0005-0000-0000-000093190000}"/>
    <cellStyle name="Normal 5 3 3 2 2 4 3 2" xfId="14081" xr:uid="{777E2256-D3FD-4B75-BE73-0BB4E25716AC}"/>
    <cellStyle name="Normal 5 3 3 2 2 4 4" xfId="9863" xr:uid="{6A017E14-D16F-43F1-9F31-3051FFBD5843}"/>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2 2 2" xfId="16639" xr:uid="{2D6A46AC-3064-4583-8133-A37E72B1CFBF}"/>
    <cellStyle name="Normal 5 3 3 2 2 5 2 3" xfId="12421" xr:uid="{9EEB5D59-3B48-4BE8-A19E-8C043631CDE8}"/>
    <cellStyle name="Normal 5 3 3 2 2 5 3" xfId="6055" xr:uid="{00000000-0005-0000-0000-000097190000}"/>
    <cellStyle name="Normal 5 3 3 2 2 5 3 2" xfId="14494" xr:uid="{38B8BF23-395C-4456-BF22-F164FBCA9FD7}"/>
    <cellStyle name="Normal 5 3 3 2 2 5 4" xfId="10276" xr:uid="{33AE73F5-0BEA-42CB-9FAB-23F4855C57F5}"/>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2 2 2" xfId="17052" xr:uid="{55067B06-4389-4DFB-8141-6D47E735BA02}"/>
    <cellStyle name="Normal 5 3 3 2 2 6 2 3" xfId="12834" xr:uid="{5ADD9479-7860-46C9-8D98-CC3513E92F20}"/>
    <cellStyle name="Normal 5 3 3 2 2 6 3" xfId="6468" xr:uid="{00000000-0005-0000-0000-00009B190000}"/>
    <cellStyle name="Normal 5 3 3 2 2 6 3 2" xfId="14907" xr:uid="{CBFF63C3-98A8-47E7-B1A5-FF3508FC693D}"/>
    <cellStyle name="Normal 5 3 3 2 2 6 4" xfId="10689" xr:uid="{D81EFD9D-6947-4465-B97D-62A5D9CCDFF5}"/>
    <cellStyle name="Normal 5 3 3 2 2 7" xfId="2597" xr:uid="{00000000-0005-0000-0000-00009C190000}"/>
    <cellStyle name="Normal 5 3 3 2 2 7 2" xfId="6881" xr:uid="{00000000-0005-0000-0000-00009D190000}"/>
    <cellStyle name="Normal 5 3 3 2 2 7 2 2" xfId="15320" xr:uid="{EE4F3321-C1DE-4843-9501-8BD71AF091EC}"/>
    <cellStyle name="Normal 5 3 3 2 2 7 3" xfId="11102" xr:uid="{B29D8C20-E486-48FE-8391-A7CF32D2531C}"/>
    <cellStyle name="Normal 5 3 3 2 2 8" xfId="4816" xr:uid="{00000000-0005-0000-0000-00009E190000}"/>
    <cellStyle name="Normal 5 3 3 2 2 8 2" xfId="13255" xr:uid="{FF04650D-C07A-46D0-BADA-37A1CD2160C1}"/>
    <cellStyle name="Normal 5 3 3 2 2 9" xfId="9037" xr:uid="{C0208567-BD4E-412D-9E5B-DD972792C019}"/>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2 2 2" xfId="15815" xr:uid="{BB52EA6D-C932-46FC-9BAD-07D4E8F14A1B}"/>
    <cellStyle name="Normal 5 3 3 2 3 2 2 3" xfId="11597" xr:uid="{EAB06537-C093-4911-BA4A-BDD3A68CEBC0}"/>
    <cellStyle name="Normal 5 3 3 2 3 2 3" xfId="5231" xr:uid="{00000000-0005-0000-0000-0000A3190000}"/>
    <cellStyle name="Normal 5 3 3 2 3 2 3 2" xfId="13670" xr:uid="{09B01B23-7FE9-41F4-AEEF-9A78AC22899F}"/>
    <cellStyle name="Normal 5 3 3 2 3 2 4" xfId="9452" xr:uid="{63D7883E-720A-4B5A-B611-5752095E0B13}"/>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2 2 2" xfId="16228" xr:uid="{8385093D-3C6D-4886-9228-9D27A136374B}"/>
    <cellStyle name="Normal 5 3 3 2 3 3 2 3" xfId="12010" xr:uid="{572E7835-F569-43C2-BAAD-09D2D0A0A8EF}"/>
    <cellStyle name="Normal 5 3 3 2 3 3 3" xfId="5644" xr:uid="{00000000-0005-0000-0000-0000A7190000}"/>
    <cellStyle name="Normal 5 3 3 2 3 3 3 2" xfId="14083" xr:uid="{09D1C92C-7C07-4B8E-B685-513A269CA4FA}"/>
    <cellStyle name="Normal 5 3 3 2 3 3 4" xfId="9865" xr:uid="{7BF19F30-AC3E-425C-A1B2-619C0C594458}"/>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2 2 2" xfId="16641" xr:uid="{C3B089CE-88B9-486A-9808-76BEBDB3C563}"/>
    <cellStyle name="Normal 5 3 3 2 3 4 2 3" xfId="12423" xr:uid="{4165D64B-5D29-4AF0-95E6-8AEAAF82B5EB}"/>
    <cellStyle name="Normal 5 3 3 2 3 4 3" xfId="6057" xr:uid="{00000000-0005-0000-0000-0000AB190000}"/>
    <cellStyle name="Normal 5 3 3 2 3 4 3 2" xfId="14496" xr:uid="{986B21E9-C080-41B9-8204-8BA9788D3D1C}"/>
    <cellStyle name="Normal 5 3 3 2 3 4 4" xfId="10278" xr:uid="{5285BBD3-8785-4B7F-8FA1-F018995C019F}"/>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2 2 2" xfId="17054" xr:uid="{326545B7-0CA3-4C2E-A48A-845563424411}"/>
    <cellStyle name="Normal 5 3 3 2 3 5 2 3" xfId="12836" xr:uid="{64ED0551-6B31-4052-8FA3-1875A5009F23}"/>
    <cellStyle name="Normal 5 3 3 2 3 5 3" xfId="6470" xr:uid="{00000000-0005-0000-0000-0000AF190000}"/>
    <cellStyle name="Normal 5 3 3 2 3 5 3 2" xfId="14909" xr:uid="{3DF7BA50-E1C7-4C84-97E7-F8FBF1563CFB}"/>
    <cellStyle name="Normal 5 3 3 2 3 5 4" xfId="10691" xr:uid="{461E374E-36A0-48D2-B38A-C986A18B2952}"/>
    <cellStyle name="Normal 5 3 3 2 3 6" xfId="2599" xr:uid="{00000000-0005-0000-0000-0000B0190000}"/>
    <cellStyle name="Normal 5 3 3 2 3 6 2" xfId="6883" xr:uid="{00000000-0005-0000-0000-0000B1190000}"/>
    <cellStyle name="Normal 5 3 3 2 3 6 2 2" xfId="15322" xr:uid="{CA0D2E4E-22ED-4180-B389-655CD8976812}"/>
    <cellStyle name="Normal 5 3 3 2 3 6 3" xfId="11104" xr:uid="{1909C533-A3B3-451E-9CA9-B9A73C4DAB47}"/>
    <cellStyle name="Normal 5 3 3 2 3 7" xfId="4818" xr:uid="{00000000-0005-0000-0000-0000B2190000}"/>
    <cellStyle name="Normal 5 3 3 2 3 7 2" xfId="13257" xr:uid="{7266E7B4-58BE-474C-954B-356F9292B1C8}"/>
    <cellStyle name="Normal 5 3 3 2 3 8" xfId="9039" xr:uid="{74487089-FB65-40CA-AEE6-A113361C42AB}"/>
    <cellStyle name="Normal 5 3 3 2 4" xfId="916" xr:uid="{00000000-0005-0000-0000-0000B3190000}"/>
    <cellStyle name="Normal 5 3 3 2 4 2" xfId="3150" xr:uid="{00000000-0005-0000-0000-0000B4190000}"/>
    <cellStyle name="Normal 5 3 3 2 4 2 2" xfId="7373" xr:uid="{00000000-0005-0000-0000-0000B5190000}"/>
    <cellStyle name="Normal 5 3 3 2 4 2 2 2" xfId="15812" xr:uid="{A574F4AF-8E7A-4259-A7DC-FD9F4B766FC7}"/>
    <cellStyle name="Normal 5 3 3 2 4 2 3" xfId="11594" xr:uid="{47A6FC72-1D42-4EF5-9FC8-5D9A805E107D}"/>
    <cellStyle name="Normal 5 3 3 2 4 3" xfId="5228" xr:uid="{00000000-0005-0000-0000-0000B6190000}"/>
    <cellStyle name="Normal 5 3 3 2 4 3 2" xfId="13667" xr:uid="{80454C64-24BE-4C07-9BD9-CA2B2889030A}"/>
    <cellStyle name="Normal 5 3 3 2 4 4" xfId="9449" xr:uid="{0C4F6A0F-7BC1-40C1-B100-151DFBEECD80}"/>
    <cellStyle name="Normal 5 3 3 2 5" xfId="1333" xr:uid="{00000000-0005-0000-0000-0000B7190000}"/>
    <cellStyle name="Normal 5 3 3 2 5 2" xfId="3563" xr:uid="{00000000-0005-0000-0000-0000B8190000}"/>
    <cellStyle name="Normal 5 3 3 2 5 2 2" xfId="7786" xr:uid="{00000000-0005-0000-0000-0000B9190000}"/>
    <cellStyle name="Normal 5 3 3 2 5 2 2 2" xfId="16225" xr:uid="{A415C4A6-E0DA-4A22-B02E-6D9B3705D6FB}"/>
    <cellStyle name="Normal 5 3 3 2 5 2 3" xfId="12007" xr:uid="{A8039049-799E-48BB-A0D9-F3DAFEF43E9D}"/>
    <cellStyle name="Normal 5 3 3 2 5 3" xfId="5641" xr:uid="{00000000-0005-0000-0000-0000BA190000}"/>
    <cellStyle name="Normal 5 3 3 2 5 3 2" xfId="14080" xr:uid="{2DFA6F78-F143-4F37-9054-44FE38C8FA35}"/>
    <cellStyle name="Normal 5 3 3 2 5 4" xfId="9862" xr:uid="{EC7ADFF7-0465-4B6F-AB00-3C4EDA36C974}"/>
    <cellStyle name="Normal 5 3 3 2 6" xfId="1746" xr:uid="{00000000-0005-0000-0000-0000BB190000}"/>
    <cellStyle name="Normal 5 3 3 2 6 2" xfId="3976" xr:uid="{00000000-0005-0000-0000-0000BC190000}"/>
    <cellStyle name="Normal 5 3 3 2 6 2 2" xfId="8199" xr:uid="{00000000-0005-0000-0000-0000BD190000}"/>
    <cellStyle name="Normal 5 3 3 2 6 2 2 2" xfId="16638" xr:uid="{9DBE0C08-2D95-4AFD-9F01-420C5C82DD0E}"/>
    <cellStyle name="Normal 5 3 3 2 6 2 3" xfId="12420" xr:uid="{55FF3AE6-C0A3-45F2-9023-EA9C843234E0}"/>
    <cellStyle name="Normal 5 3 3 2 6 3" xfId="6054" xr:uid="{00000000-0005-0000-0000-0000BE190000}"/>
    <cellStyle name="Normal 5 3 3 2 6 3 2" xfId="14493" xr:uid="{BAB5139D-4AC7-466A-9883-7DD0AFF6A19E}"/>
    <cellStyle name="Normal 5 3 3 2 6 4" xfId="10275" xr:uid="{59E0BB0E-1DFD-4313-A6B9-C7A1EB8C3F83}"/>
    <cellStyle name="Normal 5 3 3 2 7" xfId="2160" xr:uid="{00000000-0005-0000-0000-0000BF190000}"/>
    <cellStyle name="Normal 5 3 3 2 7 2" xfId="4389" xr:uid="{00000000-0005-0000-0000-0000C0190000}"/>
    <cellStyle name="Normal 5 3 3 2 7 2 2" xfId="8612" xr:uid="{00000000-0005-0000-0000-0000C1190000}"/>
    <cellStyle name="Normal 5 3 3 2 7 2 2 2" xfId="17051" xr:uid="{9E345400-368E-421F-936A-345ABD38C88F}"/>
    <cellStyle name="Normal 5 3 3 2 7 2 3" xfId="12833" xr:uid="{C611B0FA-191B-4303-AE40-606DC2180909}"/>
    <cellStyle name="Normal 5 3 3 2 7 3" xfId="6467" xr:uid="{00000000-0005-0000-0000-0000C2190000}"/>
    <cellStyle name="Normal 5 3 3 2 7 3 2" xfId="14906" xr:uid="{BF61C0E6-1364-470D-9B6F-4F7048857531}"/>
    <cellStyle name="Normal 5 3 3 2 7 4" xfId="10688" xr:uid="{CC7714BF-E4C1-4065-89AD-D9F940D68046}"/>
    <cellStyle name="Normal 5 3 3 2 8" xfId="2596" xr:uid="{00000000-0005-0000-0000-0000C3190000}"/>
    <cellStyle name="Normal 5 3 3 2 8 2" xfId="6880" xr:uid="{00000000-0005-0000-0000-0000C4190000}"/>
    <cellStyle name="Normal 5 3 3 2 8 2 2" xfId="15319" xr:uid="{1F357B84-3CBA-4760-96BB-29B32885C402}"/>
    <cellStyle name="Normal 5 3 3 2 8 3" xfId="11101" xr:uid="{274938BE-411F-4C79-B57C-20F214DEC35E}"/>
    <cellStyle name="Normal 5 3 3 2 9" xfId="4815" xr:uid="{00000000-0005-0000-0000-0000C5190000}"/>
    <cellStyle name="Normal 5 3 3 2 9 2" xfId="13254" xr:uid="{DA99CA1A-9161-4C7B-9C6C-E7670F157FCB}"/>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2 2 2" xfId="15817" xr:uid="{11D77017-0BE4-4283-AEA2-78A0A69FE6DE}"/>
    <cellStyle name="Normal 5 3 3 3 2 2 2 3" xfId="11599" xr:uid="{B9027D52-A542-4DAD-8FC1-DD5CCFD01045}"/>
    <cellStyle name="Normal 5 3 3 3 2 2 3" xfId="5233" xr:uid="{00000000-0005-0000-0000-0000CB190000}"/>
    <cellStyle name="Normal 5 3 3 3 2 2 3 2" xfId="13672" xr:uid="{9271F6FA-B476-4262-8745-E065706CF554}"/>
    <cellStyle name="Normal 5 3 3 3 2 2 4" xfId="9454" xr:uid="{D5470ADE-4250-41C7-85BF-85B1BF0E29BB}"/>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2 2 2" xfId="16230" xr:uid="{8CE0B2A2-B289-4713-B967-3DB6B1136A22}"/>
    <cellStyle name="Normal 5 3 3 3 2 3 2 3" xfId="12012" xr:uid="{B032D9DB-ED5A-49AD-959E-C2E72442D8D9}"/>
    <cellStyle name="Normal 5 3 3 3 2 3 3" xfId="5646" xr:uid="{00000000-0005-0000-0000-0000CF190000}"/>
    <cellStyle name="Normal 5 3 3 3 2 3 3 2" xfId="14085" xr:uid="{EDE118B3-CE55-4273-8BC1-8FF181BD5B1C}"/>
    <cellStyle name="Normal 5 3 3 3 2 3 4" xfId="9867" xr:uid="{15740441-31B7-4D9D-9058-00BA20FC06AB}"/>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2 2 2" xfId="16643" xr:uid="{25806CCD-3CA1-4156-AEA1-8C5B7B5ACC0D}"/>
    <cellStyle name="Normal 5 3 3 3 2 4 2 3" xfId="12425" xr:uid="{D2EE7600-9673-4FCB-A5CF-584E560693ED}"/>
    <cellStyle name="Normal 5 3 3 3 2 4 3" xfId="6059" xr:uid="{00000000-0005-0000-0000-0000D3190000}"/>
    <cellStyle name="Normal 5 3 3 3 2 4 3 2" xfId="14498" xr:uid="{65EE02C5-AD12-4346-A63F-123A204D441B}"/>
    <cellStyle name="Normal 5 3 3 3 2 4 4" xfId="10280" xr:uid="{1474FA68-34C5-4F07-845E-C394BC455B7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2 2 2" xfId="17056" xr:uid="{73A3EE84-8D15-4CDE-9513-85E55A65442D}"/>
    <cellStyle name="Normal 5 3 3 3 2 5 2 3" xfId="12838" xr:uid="{3A3FCD27-C490-416C-89E5-A9D6052C6606}"/>
    <cellStyle name="Normal 5 3 3 3 2 5 3" xfId="6472" xr:uid="{00000000-0005-0000-0000-0000D7190000}"/>
    <cellStyle name="Normal 5 3 3 3 2 5 3 2" xfId="14911" xr:uid="{06D306F0-B8CF-4748-A513-942CA755CB2A}"/>
    <cellStyle name="Normal 5 3 3 3 2 5 4" xfId="10693" xr:uid="{51E37AD3-F674-4436-B859-925506C8C063}"/>
    <cellStyle name="Normal 5 3 3 3 2 6" xfId="2601" xr:uid="{00000000-0005-0000-0000-0000D8190000}"/>
    <cellStyle name="Normal 5 3 3 3 2 6 2" xfId="6885" xr:uid="{00000000-0005-0000-0000-0000D9190000}"/>
    <cellStyle name="Normal 5 3 3 3 2 6 2 2" xfId="15324" xr:uid="{6A48434F-B413-47E0-9D57-58C9F1869580}"/>
    <cellStyle name="Normal 5 3 3 3 2 6 3" xfId="11106" xr:uid="{DBFCB505-CE4E-4E69-B548-3DBCD26449A5}"/>
    <cellStyle name="Normal 5 3 3 3 2 7" xfId="4820" xr:uid="{00000000-0005-0000-0000-0000DA190000}"/>
    <cellStyle name="Normal 5 3 3 3 2 7 2" xfId="13259" xr:uid="{BB4313E7-FBCD-484D-B4D6-2037792EEDFE}"/>
    <cellStyle name="Normal 5 3 3 3 2 8" xfId="9041" xr:uid="{579DFCCD-C15B-421B-9D1D-595813E5B8B4}"/>
    <cellStyle name="Normal 5 3 3 3 3" xfId="920" xr:uid="{00000000-0005-0000-0000-0000DB190000}"/>
    <cellStyle name="Normal 5 3 3 3 3 2" xfId="3154" xr:uid="{00000000-0005-0000-0000-0000DC190000}"/>
    <cellStyle name="Normal 5 3 3 3 3 2 2" xfId="7377" xr:uid="{00000000-0005-0000-0000-0000DD190000}"/>
    <cellStyle name="Normal 5 3 3 3 3 2 2 2" xfId="15816" xr:uid="{EC4A9E43-A2DF-4C63-9C9E-8CA4F60FBA8D}"/>
    <cellStyle name="Normal 5 3 3 3 3 2 3" xfId="11598" xr:uid="{98CDA0EC-2B42-4AD6-B8DF-0DB2A2C102D4}"/>
    <cellStyle name="Normal 5 3 3 3 3 3" xfId="5232" xr:uid="{00000000-0005-0000-0000-0000DE190000}"/>
    <cellStyle name="Normal 5 3 3 3 3 3 2" xfId="13671" xr:uid="{A937B82A-975C-4EDF-9EB6-883F216EF2D5}"/>
    <cellStyle name="Normal 5 3 3 3 3 4" xfId="9453" xr:uid="{D8D5E390-2479-4D0D-94EE-7811862A4BC9}"/>
    <cellStyle name="Normal 5 3 3 3 4" xfId="1337" xr:uid="{00000000-0005-0000-0000-0000DF190000}"/>
    <cellStyle name="Normal 5 3 3 3 4 2" xfId="3567" xr:uid="{00000000-0005-0000-0000-0000E0190000}"/>
    <cellStyle name="Normal 5 3 3 3 4 2 2" xfId="7790" xr:uid="{00000000-0005-0000-0000-0000E1190000}"/>
    <cellStyle name="Normal 5 3 3 3 4 2 2 2" xfId="16229" xr:uid="{6FE42CA9-DED4-4D93-AA8E-0702EDDEAE3E}"/>
    <cellStyle name="Normal 5 3 3 3 4 2 3" xfId="12011" xr:uid="{C6227240-F7B4-4B36-A488-D37718B806A3}"/>
    <cellStyle name="Normal 5 3 3 3 4 3" xfId="5645" xr:uid="{00000000-0005-0000-0000-0000E2190000}"/>
    <cellStyle name="Normal 5 3 3 3 4 3 2" xfId="14084" xr:uid="{985BFC4C-61C2-4961-B9B2-575BFB72565A}"/>
    <cellStyle name="Normal 5 3 3 3 4 4" xfId="9866" xr:uid="{5841AA57-A76F-402B-BE04-B1D03ED8993C}"/>
    <cellStyle name="Normal 5 3 3 3 5" xfId="1750" xr:uid="{00000000-0005-0000-0000-0000E3190000}"/>
    <cellStyle name="Normal 5 3 3 3 5 2" xfId="3980" xr:uid="{00000000-0005-0000-0000-0000E4190000}"/>
    <cellStyle name="Normal 5 3 3 3 5 2 2" xfId="8203" xr:uid="{00000000-0005-0000-0000-0000E5190000}"/>
    <cellStyle name="Normal 5 3 3 3 5 2 2 2" xfId="16642" xr:uid="{CA4DCF44-2381-4AAB-8E03-58E310264942}"/>
    <cellStyle name="Normal 5 3 3 3 5 2 3" xfId="12424" xr:uid="{732294ED-B670-4073-8C31-1962F7D0E820}"/>
    <cellStyle name="Normal 5 3 3 3 5 3" xfId="6058" xr:uid="{00000000-0005-0000-0000-0000E6190000}"/>
    <cellStyle name="Normal 5 3 3 3 5 3 2" xfId="14497" xr:uid="{721CC959-72E3-41D4-B94A-AAB3F4BC9FE3}"/>
    <cellStyle name="Normal 5 3 3 3 5 4" xfId="10279" xr:uid="{E0D4FDF8-4CEB-4895-BDFF-A631E5D23E2D}"/>
    <cellStyle name="Normal 5 3 3 3 6" xfId="2164" xr:uid="{00000000-0005-0000-0000-0000E7190000}"/>
    <cellStyle name="Normal 5 3 3 3 6 2" xfId="4393" xr:uid="{00000000-0005-0000-0000-0000E8190000}"/>
    <cellStyle name="Normal 5 3 3 3 6 2 2" xfId="8616" xr:uid="{00000000-0005-0000-0000-0000E9190000}"/>
    <cellStyle name="Normal 5 3 3 3 6 2 2 2" xfId="17055" xr:uid="{5753D81D-CD67-426C-B131-D9597479F9D7}"/>
    <cellStyle name="Normal 5 3 3 3 6 2 3" xfId="12837" xr:uid="{5F54E27C-EB8F-4620-8109-08A36860953D}"/>
    <cellStyle name="Normal 5 3 3 3 6 3" xfId="6471" xr:uid="{00000000-0005-0000-0000-0000EA190000}"/>
    <cellStyle name="Normal 5 3 3 3 6 3 2" xfId="14910" xr:uid="{5A482D52-C562-4396-B141-B181798661CD}"/>
    <cellStyle name="Normal 5 3 3 3 6 4" xfId="10692" xr:uid="{DB6E48B3-A9B2-45CE-8802-0F5905423D81}"/>
    <cellStyle name="Normal 5 3 3 3 7" xfId="2600" xr:uid="{00000000-0005-0000-0000-0000EB190000}"/>
    <cellStyle name="Normal 5 3 3 3 7 2" xfId="6884" xr:uid="{00000000-0005-0000-0000-0000EC190000}"/>
    <cellStyle name="Normal 5 3 3 3 7 2 2" xfId="15323" xr:uid="{C430D5BC-4303-4219-96C1-085C69D32E96}"/>
    <cellStyle name="Normal 5 3 3 3 7 3" xfId="11105" xr:uid="{0B68BC74-0286-4619-BE28-EA2A147FA3BF}"/>
    <cellStyle name="Normal 5 3 3 3 8" xfId="4819" xr:uid="{00000000-0005-0000-0000-0000ED190000}"/>
    <cellStyle name="Normal 5 3 3 3 8 2" xfId="13258" xr:uid="{023654F0-7B03-4A94-9E69-ECA6554A2244}"/>
    <cellStyle name="Normal 5 3 3 3 9" xfId="9040" xr:uid="{470B5C09-2982-4C88-9B3B-2C0594F459FB}"/>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2 2 2" xfId="15818" xr:uid="{1679E564-B439-42E7-88CB-FB5723173E4F}"/>
    <cellStyle name="Normal 5 3 3 4 2 2 3" xfId="11600" xr:uid="{9A66991C-14BE-49BE-B136-64C8D51CC9EE}"/>
    <cellStyle name="Normal 5 3 3 4 2 3" xfId="5234" xr:uid="{00000000-0005-0000-0000-0000F2190000}"/>
    <cellStyle name="Normal 5 3 3 4 2 3 2" xfId="13673" xr:uid="{234B007B-D390-468F-98DA-1E55DE6F5F7A}"/>
    <cellStyle name="Normal 5 3 3 4 2 4" xfId="9455" xr:uid="{770F0BC0-7420-40ED-823A-608D1AA091B7}"/>
    <cellStyle name="Normal 5 3 3 4 3" xfId="1339" xr:uid="{00000000-0005-0000-0000-0000F3190000}"/>
    <cellStyle name="Normal 5 3 3 4 3 2" xfId="3569" xr:uid="{00000000-0005-0000-0000-0000F4190000}"/>
    <cellStyle name="Normal 5 3 3 4 3 2 2" xfId="7792" xr:uid="{00000000-0005-0000-0000-0000F5190000}"/>
    <cellStyle name="Normal 5 3 3 4 3 2 2 2" xfId="16231" xr:uid="{EDA41935-B035-4C5C-9266-0CD972B1B9BC}"/>
    <cellStyle name="Normal 5 3 3 4 3 2 3" xfId="12013" xr:uid="{79888084-4330-4D3D-8227-D26359DEDF07}"/>
    <cellStyle name="Normal 5 3 3 4 3 3" xfId="5647" xr:uid="{00000000-0005-0000-0000-0000F6190000}"/>
    <cellStyle name="Normal 5 3 3 4 3 3 2" xfId="14086" xr:uid="{30444CF4-FCE1-4ED4-B004-261AB2802C86}"/>
    <cellStyle name="Normal 5 3 3 4 3 4" xfId="9868" xr:uid="{EA28CD0F-FA86-4CBA-A288-830055EA3436}"/>
    <cellStyle name="Normal 5 3 3 4 4" xfId="1752" xr:uid="{00000000-0005-0000-0000-0000F7190000}"/>
    <cellStyle name="Normal 5 3 3 4 4 2" xfId="3982" xr:uid="{00000000-0005-0000-0000-0000F8190000}"/>
    <cellStyle name="Normal 5 3 3 4 4 2 2" xfId="8205" xr:uid="{00000000-0005-0000-0000-0000F9190000}"/>
    <cellStyle name="Normal 5 3 3 4 4 2 2 2" xfId="16644" xr:uid="{17678324-5091-4DB7-9803-367C782254A7}"/>
    <cellStyle name="Normal 5 3 3 4 4 2 3" xfId="12426" xr:uid="{BFF22554-94BD-46E5-AE06-FB07CFB4C622}"/>
    <cellStyle name="Normal 5 3 3 4 4 3" xfId="6060" xr:uid="{00000000-0005-0000-0000-0000FA190000}"/>
    <cellStyle name="Normal 5 3 3 4 4 3 2" xfId="14499" xr:uid="{F527ACDD-3D12-4239-999C-0C62ABBEB147}"/>
    <cellStyle name="Normal 5 3 3 4 4 4" xfId="10281" xr:uid="{0AAA72B3-468D-4434-A43D-E140E845B4A5}"/>
    <cellStyle name="Normal 5 3 3 4 5" xfId="2166" xr:uid="{00000000-0005-0000-0000-0000FB190000}"/>
    <cellStyle name="Normal 5 3 3 4 5 2" xfId="4395" xr:uid="{00000000-0005-0000-0000-0000FC190000}"/>
    <cellStyle name="Normal 5 3 3 4 5 2 2" xfId="8618" xr:uid="{00000000-0005-0000-0000-0000FD190000}"/>
    <cellStyle name="Normal 5 3 3 4 5 2 2 2" xfId="17057" xr:uid="{BD3140D7-B0DC-4F9D-AA27-1B777E5B9757}"/>
    <cellStyle name="Normal 5 3 3 4 5 2 3" xfId="12839" xr:uid="{90A39A14-0C87-4815-9FD0-34D45319EC47}"/>
    <cellStyle name="Normal 5 3 3 4 5 3" xfId="6473" xr:uid="{00000000-0005-0000-0000-0000FE190000}"/>
    <cellStyle name="Normal 5 3 3 4 5 3 2" xfId="14912" xr:uid="{31ECE43D-7C73-40AE-BC11-440B363945D9}"/>
    <cellStyle name="Normal 5 3 3 4 5 4" xfId="10694" xr:uid="{66041A4B-24DB-4291-A321-499D9A8F221C}"/>
    <cellStyle name="Normal 5 3 3 4 6" xfId="2602" xr:uid="{00000000-0005-0000-0000-0000FF190000}"/>
    <cellStyle name="Normal 5 3 3 4 6 2" xfId="6886" xr:uid="{00000000-0005-0000-0000-0000001A0000}"/>
    <cellStyle name="Normal 5 3 3 4 6 2 2" xfId="15325" xr:uid="{580CC3D8-ADF1-4221-88D8-F8AA579255D2}"/>
    <cellStyle name="Normal 5 3 3 4 6 3" xfId="11107" xr:uid="{B73AA4FC-43D5-42AE-905C-38FF53E93928}"/>
    <cellStyle name="Normal 5 3 3 4 7" xfId="4821" xr:uid="{00000000-0005-0000-0000-0000011A0000}"/>
    <cellStyle name="Normal 5 3 3 4 7 2" xfId="13260" xr:uid="{325A05EA-1233-4F67-912D-4DED4E5F7708}"/>
    <cellStyle name="Normal 5 3 3 4 8" xfId="9042" xr:uid="{4E8197C1-1D34-4958-A7BE-54916F1CD057}"/>
    <cellStyle name="Normal 5 3 3 5" xfId="915" xr:uid="{00000000-0005-0000-0000-0000021A0000}"/>
    <cellStyle name="Normal 5 3 3 5 2" xfId="3149" xr:uid="{00000000-0005-0000-0000-0000031A0000}"/>
    <cellStyle name="Normal 5 3 3 5 2 2" xfId="7372" xr:uid="{00000000-0005-0000-0000-0000041A0000}"/>
    <cellStyle name="Normal 5 3 3 5 2 2 2" xfId="15811" xr:uid="{1BAE1FAC-201C-4B03-ADAD-4250A918562C}"/>
    <cellStyle name="Normal 5 3 3 5 2 3" xfId="11593" xr:uid="{F07B9F02-7183-41D4-BE75-A3AB26B0F32B}"/>
    <cellStyle name="Normal 5 3 3 5 3" xfId="5227" xr:uid="{00000000-0005-0000-0000-0000051A0000}"/>
    <cellStyle name="Normal 5 3 3 5 3 2" xfId="13666" xr:uid="{B1289017-8070-41C4-A25F-4CA4B5E2CA08}"/>
    <cellStyle name="Normal 5 3 3 5 4" xfId="9448" xr:uid="{E2F0995A-01EE-474A-B3E3-43EA43D92543}"/>
    <cellStyle name="Normal 5 3 3 6" xfId="1332" xr:uid="{00000000-0005-0000-0000-0000061A0000}"/>
    <cellStyle name="Normal 5 3 3 6 2" xfId="3562" xr:uid="{00000000-0005-0000-0000-0000071A0000}"/>
    <cellStyle name="Normal 5 3 3 6 2 2" xfId="7785" xr:uid="{00000000-0005-0000-0000-0000081A0000}"/>
    <cellStyle name="Normal 5 3 3 6 2 2 2" xfId="16224" xr:uid="{FDA78E87-DE74-4B13-A728-A3C61A48F430}"/>
    <cellStyle name="Normal 5 3 3 6 2 3" xfId="12006" xr:uid="{009BB62C-9884-4274-A288-5C6325756D2C}"/>
    <cellStyle name="Normal 5 3 3 6 3" xfId="5640" xr:uid="{00000000-0005-0000-0000-0000091A0000}"/>
    <cellStyle name="Normal 5 3 3 6 3 2" xfId="14079" xr:uid="{85DB5EF2-BA2E-4339-95D0-12B5DCE95EAB}"/>
    <cellStyle name="Normal 5 3 3 6 4" xfId="9861" xr:uid="{12C5B166-A718-474C-BCA9-BCEE5F11D8FC}"/>
    <cellStyle name="Normal 5 3 3 7" xfId="1745" xr:uid="{00000000-0005-0000-0000-00000A1A0000}"/>
    <cellStyle name="Normal 5 3 3 7 2" xfId="3975" xr:uid="{00000000-0005-0000-0000-00000B1A0000}"/>
    <cellStyle name="Normal 5 3 3 7 2 2" xfId="8198" xr:uid="{00000000-0005-0000-0000-00000C1A0000}"/>
    <cellStyle name="Normal 5 3 3 7 2 2 2" xfId="16637" xr:uid="{6FEF20D8-32FE-4567-9184-41169A3B9C94}"/>
    <cellStyle name="Normal 5 3 3 7 2 3" xfId="12419" xr:uid="{CCD6B71D-5D67-4C68-996C-79C3C2A03752}"/>
    <cellStyle name="Normal 5 3 3 7 3" xfId="6053" xr:uid="{00000000-0005-0000-0000-00000D1A0000}"/>
    <cellStyle name="Normal 5 3 3 7 3 2" xfId="14492" xr:uid="{9BE25E32-0DE7-4F97-92CA-0454D489D340}"/>
    <cellStyle name="Normal 5 3 3 7 4" xfId="10274" xr:uid="{B5705AC8-ECF9-4AD0-AFD7-38B064759676}"/>
    <cellStyle name="Normal 5 3 3 8" xfId="2159" xr:uid="{00000000-0005-0000-0000-00000E1A0000}"/>
    <cellStyle name="Normal 5 3 3 8 2" xfId="4388" xr:uid="{00000000-0005-0000-0000-00000F1A0000}"/>
    <cellStyle name="Normal 5 3 3 8 2 2" xfId="8611" xr:uid="{00000000-0005-0000-0000-0000101A0000}"/>
    <cellStyle name="Normal 5 3 3 8 2 2 2" xfId="17050" xr:uid="{8C1E92F3-4579-4DB7-A013-B290DA551E46}"/>
    <cellStyle name="Normal 5 3 3 8 2 3" xfId="12832" xr:uid="{D62D0D6F-BBB4-44BA-9946-3EA14F9EEB47}"/>
    <cellStyle name="Normal 5 3 3 8 3" xfId="6466" xr:uid="{00000000-0005-0000-0000-0000111A0000}"/>
    <cellStyle name="Normal 5 3 3 8 3 2" xfId="14905" xr:uid="{B66FE731-C033-4454-B7CE-01F1EF7DF91E}"/>
    <cellStyle name="Normal 5 3 3 8 4" xfId="10687" xr:uid="{92FCFAC5-FE41-4A83-8E1A-57E1A23A849D}"/>
    <cellStyle name="Normal 5 3 3 9" xfId="2595" xr:uid="{00000000-0005-0000-0000-0000121A0000}"/>
    <cellStyle name="Normal 5 3 3 9 2" xfId="6879" xr:uid="{00000000-0005-0000-0000-0000131A0000}"/>
    <cellStyle name="Normal 5 3 3 9 2 2" xfId="15318" xr:uid="{EDF70A6A-6C93-444B-877C-DEB41325D0FC}"/>
    <cellStyle name="Normal 5 3 3 9 3" xfId="11100" xr:uid="{F5B7AB7B-17B4-453C-A37E-2F1E4F6580B2}"/>
    <cellStyle name="Normal 5 3 4" xfId="449" xr:uid="{00000000-0005-0000-0000-0000141A0000}"/>
    <cellStyle name="Normal 5 3 4 10" xfId="9043" xr:uid="{8A60788E-950E-4AE6-BBBB-E99C127CD551}"/>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2 2 2" xfId="15821" xr:uid="{D7E1D3AB-B17E-430D-9D5E-CA117A9F50E0}"/>
    <cellStyle name="Normal 5 3 4 2 2 2 2 3" xfId="11603" xr:uid="{41C9EBEA-93A8-4C57-AC89-93231ADBBAF5}"/>
    <cellStyle name="Normal 5 3 4 2 2 2 3" xfId="5237" xr:uid="{00000000-0005-0000-0000-00001A1A0000}"/>
    <cellStyle name="Normal 5 3 4 2 2 2 3 2" xfId="13676" xr:uid="{0FE90069-8528-4A4A-8DAD-C216B2C637BC}"/>
    <cellStyle name="Normal 5 3 4 2 2 2 4" xfId="9458" xr:uid="{88FB4AA3-47C5-4331-9F8D-3C46A47B5539}"/>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2 2 2" xfId="16234" xr:uid="{3590C3D9-2592-4940-AF4D-984FE3BC9626}"/>
    <cellStyle name="Normal 5 3 4 2 2 3 2 3" xfId="12016" xr:uid="{D7EDD29B-F118-4B60-9757-253BA7716731}"/>
    <cellStyle name="Normal 5 3 4 2 2 3 3" xfId="5650" xr:uid="{00000000-0005-0000-0000-00001E1A0000}"/>
    <cellStyle name="Normal 5 3 4 2 2 3 3 2" xfId="14089" xr:uid="{90FF4D28-6E80-44B7-9F57-8FCFB4F38477}"/>
    <cellStyle name="Normal 5 3 4 2 2 3 4" xfId="9871" xr:uid="{9525ADB8-BEF2-4E25-93B1-855FE3A53B8C}"/>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2 2 2" xfId="16647" xr:uid="{E8BDD484-C26F-4E4D-B057-774BE76FE7F4}"/>
    <cellStyle name="Normal 5 3 4 2 2 4 2 3" xfId="12429" xr:uid="{FD4B07B8-2FE6-45EB-8218-F142DAC13797}"/>
    <cellStyle name="Normal 5 3 4 2 2 4 3" xfId="6063" xr:uid="{00000000-0005-0000-0000-0000221A0000}"/>
    <cellStyle name="Normal 5 3 4 2 2 4 3 2" xfId="14502" xr:uid="{8AF82E25-09D1-4388-8734-CB2184A126F8}"/>
    <cellStyle name="Normal 5 3 4 2 2 4 4" xfId="10284" xr:uid="{C51911C6-96C2-4782-86B1-A90CCC9E7B0C}"/>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2 2 2" xfId="17060" xr:uid="{C494AE32-23E0-4604-BB40-BBEAC353F337}"/>
    <cellStyle name="Normal 5 3 4 2 2 5 2 3" xfId="12842" xr:uid="{48B82797-335B-4986-8FC3-0B833E2C5B76}"/>
    <cellStyle name="Normal 5 3 4 2 2 5 3" xfId="6476" xr:uid="{00000000-0005-0000-0000-0000261A0000}"/>
    <cellStyle name="Normal 5 3 4 2 2 5 3 2" xfId="14915" xr:uid="{4789D12F-2896-4F49-AB5F-67FA3A03B1EB}"/>
    <cellStyle name="Normal 5 3 4 2 2 5 4" xfId="10697" xr:uid="{A6713376-4B9A-445D-94CE-FC6C7F921C66}"/>
    <cellStyle name="Normal 5 3 4 2 2 6" xfId="2605" xr:uid="{00000000-0005-0000-0000-0000271A0000}"/>
    <cellStyle name="Normal 5 3 4 2 2 6 2" xfId="6889" xr:uid="{00000000-0005-0000-0000-0000281A0000}"/>
    <cellStyle name="Normal 5 3 4 2 2 6 2 2" xfId="15328" xr:uid="{4CFC6AA5-9819-49CB-B63E-6A87E5C475E4}"/>
    <cellStyle name="Normal 5 3 4 2 2 6 3" xfId="11110" xr:uid="{4FAA93B6-A039-4F88-92DD-3605BAE8FA73}"/>
    <cellStyle name="Normal 5 3 4 2 2 7" xfId="4824" xr:uid="{00000000-0005-0000-0000-0000291A0000}"/>
    <cellStyle name="Normal 5 3 4 2 2 7 2" xfId="13263" xr:uid="{D23CD60B-36AF-4523-BEC4-F0FA4CF48413}"/>
    <cellStyle name="Normal 5 3 4 2 2 8" xfId="9045" xr:uid="{35AD269F-BF10-40D3-8531-0175ABE701B4}"/>
    <cellStyle name="Normal 5 3 4 2 3" xfId="924" xr:uid="{00000000-0005-0000-0000-00002A1A0000}"/>
    <cellStyle name="Normal 5 3 4 2 3 2" xfId="3158" xr:uid="{00000000-0005-0000-0000-00002B1A0000}"/>
    <cellStyle name="Normal 5 3 4 2 3 2 2" xfId="7381" xr:uid="{00000000-0005-0000-0000-00002C1A0000}"/>
    <cellStyle name="Normal 5 3 4 2 3 2 2 2" xfId="15820" xr:uid="{FD7BFE7D-999B-46D6-819E-ECDCD4F10056}"/>
    <cellStyle name="Normal 5 3 4 2 3 2 3" xfId="11602" xr:uid="{C074D871-6849-44EA-BD92-151440DFED9B}"/>
    <cellStyle name="Normal 5 3 4 2 3 3" xfId="5236" xr:uid="{00000000-0005-0000-0000-00002D1A0000}"/>
    <cellStyle name="Normal 5 3 4 2 3 3 2" xfId="13675" xr:uid="{D4AD7265-75C3-4D28-8B8E-CFF052C1B921}"/>
    <cellStyle name="Normal 5 3 4 2 3 4" xfId="9457" xr:uid="{5CF2A821-23E9-4E1A-BD57-1C3B91B19354}"/>
    <cellStyle name="Normal 5 3 4 2 4" xfId="1341" xr:uid="{00000000-0005-0000-0000-00002E1A0000}"/>
    <cellStyle name="Normal 5 3 4 2 4 2" xfId="3571" xr:uid="{00000000-0005-0000-0000-00002F1A0000}"/>
    <cellStyle name="Normal 5 3 4 2 4 2 2" xfId="7794" xr:uid="{00000000-0005-0000-0000-0000301A0000}"/>
    <cellStyle name="Normal 5 3 4 2 4 2 2 2" xfId="16233" xr:uid="{4EAC4181-550F-416D-A2C0-4E75817DD177}"/>
    <cellStyle name="Normal 5 3 4 2 4 2 3" xfId="12015" xr:uid="{50344A6D-D900-4821-AC27-0D2DED6C701B}"/>
    <cellStyle name="Normal 5 3 4 2 4 3" xfId="5649" xr:uid="{00000000-0005-0000-0000-0000311A0000}"/>
    <cellStyle name="Normal 5 3 4 2 4 3 2" xfId="14088" xr:uid="{745F3325-2F58-4220-B79B-299BFCD685B0}"/>
    <cellStyle name="Normal 5 3 4 2 4 4" xfId="9870" xr:uid="{92CEAB8F-7FBD-4167-95C2-9BC6C7814584}"/>
    <cellStyle name="Normal 5 3 4 2 5" xfId="1754" xr:uid="{00000000-0005-0000-0000-0000321A0000}"/>
    <cellStyle name="Normal 5 3 4 2 5 2" xfId="3984" xr:uid="{00000000-0005-0000-0000-0000331A0000}"/>
    <cellStyle name="Normal 5 3 4 2 5 2 2" xfId="8207" xr:uid="{00000000-0005-0000-0000-0000341A0000}"/>
    <cellStyle name="Normal 5 3 4 2 5 2 2 2" xfId="16646" xr:uid="{CAC2C7EE-E329-4D60-9D6F-A2FB7EA58B4F}"/>
    <cellStyle name="Normal 5 3 4 2 5 2 3" xfId="12428" xr:uid="{4E2468CB-E41D-42AD-998F-EA22D1F7AE87}"/>
    <cellStyle name="Normal 5 3 4 2 5 3" xfId="6062" xr:uid="{00000000-0005-0000-0000-0000351A0000}"/>
    <cellStyle name="Normal 5 3 4 2 5 3 2" xfId="14501" xr:uid="{F470D704-068A-4B6B-831D-155E10F1EB7E}"/>
    <cellStyle name="Normal 5 3 4 2 5 4" xfId="10283" xr:uid="{84819416-70E1-47BA-85F7-1589AC1D10DF}"/>
    <cellStyle name="Normal 5 3 4 2 6" xfId="2168" xr:uid="{00000000-0005-0000-0000-0000361A0000}"/>
    <cellStyle name="Normal 5 3 4 2 6 2" xfId="4397" xr:uid="{00000000-0005-0000-0000-0000371A0000}"/>
    <cellStyle name="Normal 5 3 4 2 6 2 2" xfId="8620" xr:uid="{00000000-0005-0000-0000-0000381A0000}"/>
    <cellStyle name="Normal 5 3 4 2 6 2 2 2" xfId="17059" xr:uid="{A25BE36E-1CDE-411F-A089-8352E9AD085E}"/>
    <cellStyle name="Normal 5 3 4 2 6 2 3" xfId="12841" xr:uid="{3B2E6336-3039-47CE-AD89-874485316DBA}"/>
    <cellStyle name="Normal 5 3 4 2 6 3" xfId="6475" xr:uid="{00000000-0005-0000-0000-0000391A0000}"/>
    <cellStyle name="Normal 5 3 4 2 6 3 2" xfId="14914" xr:uid="{C7590F01-AFFB-4BBF-A31B-A49B43850221}"/>
    <cellStyle name="Normal 5 3 4 2 6 4" xfId="10696" xr:uid="{B0689F4D-D0A7-4F4B-87B7-450076659C25}"/>
    <cellStyle name="Normal 5 3 4 2 7" xfId="2604" xr:uid="{00000000-0005-0000-0000-00003A1A0000}"/>
    <cellStyle name="Normal 5 3 4 2 7 2" xfId="6888" xr:uid="{00000000-0005-0000-0000-00003B1A0000}"/>
    <cellStyle name="Normal 5 3 4 2 7 2 2" xfId="15327" xr:uid="{43AEC150-EB15-4070-A754-BC7BE2042079}"/>
    <cellStyle name="Normal 5 3 4 2 7 3" xfId="11109" xr:uid="{EF376FFD-F104-44FF-943B-4E4C07E76924}"/>
    <cellStyle name="Normal 5 3 4 2 8" xfId="4823" xr:uid="{00000000-0005-0000-0000-00003C1A0000}"/>
    <cellStyle name="Normal 5 3 4 2 8 2" xfId="13262" xr:uid="{A57450B4-8659-4B9F-B670-CB80D30153D9}"/>
    <cellStyle name="Normal 5 3 4 2 9" xfId="9044" xr:uid="{D6888111-41A9-43CB-AE19-EAF7D1F96C7A}"/>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2 2 2" xfId="15822" xr:uid="{ED913A74-E789-4C75-A1D5-F858F9F84E41}"/>
    <cellStyle name="Normal 5 3 4 3 2 2 3" xfId="11604" xr:uid="{9F376B20-877F-4742-A065-02E9265C9872}"/>
    <cellStyle name="Normal 5 3 4 3 2 3" xfId="5238" xr:uid="{00000000-0005-0000-0000-0000411A0000}"/>
    <cellStyle name="Normal 5 3 4 3 2 3 2" xfId="13677" xr:uid="{AAFB61AB-8E4A-4657-A256-BE811825F37D}"/>
    <cellStyle name="Normal 5 3 4 3 2 4" xfId="9459" xr:uid="{494B37CE-287B-4B48-BE0F-7CA815416197}"/>
    <cellStyle name="Normal 5 3 4 3 3" xfId="1343" xr:uid="{00000000-0005-0000-0000-0000421A0000}"/>
    <cellStyle name="Normal 5 3 4 3 3 2" xfId="3573" xr:uid="{00000000-0005-0000-0000-0000431A0000}"/>
    <cellStyle name="Normal 5 3 4 3 3 2 2" xfId="7796" xr:uid="{00000000-0005-0000-0000-0000441A0000}"/>
    <cellStyle name="Normal 5 3 4 3 3 2 2 2" xfId="16235" xr:uid="{0A653322-B0DC-47AB-B99C-83277837BD5B}"/>
    <cellStyle name="Normal 5 3 4 3 3 2 3" xfId="12017" xr:uid="{74391778-792C-4340-8D71-7A906C8537A6}"/>
    <cellStyle name="Normal 5 3 4 3 3 3" xfId="5651" xr:uid="{00000000-0005-0000-0000-0000451A0000}"/>
    <cellStyle name="Normal 5 3 4 3 3 3 2" xfId="14090" xr:uid="{F61A92E6-5B8F-493D-962C-9B1869CF8041}"/>
    <cellStyle name="Normal 5 3 4 3 3 4" xfId="9872" xr:uid="{4A7B22F9-9BCC-45B4-A014-405B45B27B48}"/>
    <cellStyle name="Normal 5 3 4 3 4" xfId="1756" xr:uid="{00000000-0005-0000-0000-0000461A0000}"/>
    <cellStyle name="Normal 5 3 4 3 4 2" xfId="3986" xr:uid="{00000000-0005-0000-0000-0000471A0000}"/>
    <cellStyle name="Normal 5 3 4 3 4 2 2" xfId="8209" xr:uid="{00000000-0005-0000-0000-0000481A0000}"/>
    <cellStyle name="Normal 5 3 4 3 4 2 2 2" xfId="16648" xr:uid="{16A18165-4F5D-498B-AAA6-0DB8A0C717CE}"/>
    <cellStyle name="Normal 5 3 4 3 4 2 3" xfId="12430" xr:uid="{498D1B9F-B3A0-40E3-BEC9-78DAF1CEEC39}"/>
    <cellStyle name="Normal 5 3 4 3 4 3" xfId="6064" xr:uid="{00000000-0005-0000-0000-0000491A0000}"/>
    <cellStyle name="Normal 5 3 4 3 4 3 2" xfId="14503" xr:uid="{2654F4DC-D407-4817-9F0F-D455218943FA}"/>
    <cellStyle name="Normal 5 3 4 3 4 4" xfId="10285" xr:uid="{261AF061-0872-4307-91EA-369AF7CC9065}"/>
    <cellStyle name="Normal 5 3 4 3 5" xfId="2170" xr:uid="{00000000-0005-0000-0000-00004A1A0000}"/>
    <cellStyle name="Normal 5 3 4 3 5 2" xfId="4399" xr:uid="{00000000-0005-0000-0000-00004B1A0000}"/>
    <cellStyle name="Normal 5 3 4 3 5 2 2" xfId="8622" xr:uid="{00000000-0005-0000-0000-00004C1A0000}"/>
    <cellStyle name="Normal 5 3 4 3 5 2 2 2" xfId="17061" xr:uid="{F08065CB-FA97-4FE9-A826-FBF54729F99E}"/>
    <cellStyle name="Normal 5 3 4 3 5 2 3" xfId="12843" xr:uid="{C23634EC-CF94-487D-8C3A-762B45DFA1BB}"/>
    <cellStyle name="Normal 5 3 4 3 5 3" xfId="6477" xr:uid="{00000000-0005-0000-0000-00004D1A0000}"/>
    <cellStyle name="Normal 5 3 4 3 5 3 2" xfId="14916" xr:uid="{1A24B451-625C-4C15-B790-999BF6CAB4A7}"/>
    <cellStyle name="Normal 5 3 4 3 5 4" xfId="10698" xr:uid="{25DE0895-CDB9-43E8-BBE7-6B1A2BE05E72}"/>
    <cellStyle name="Normal 5 3 4 3 6" xfId="2606" xr:uid="{00000000-0005-0000-0000-00004E1A0000}"/>
    <cellStyle name="Normal 5 3 4 3 6 2" xfId="6890" xr:uid="{00000000-0005-0000-0000-00004F1A0000}"/>
    <cellStyle name="Normal 5 3 4 3 6 2 2" xfId="15329" xr:uid="{BF749A53-B33E-4EEA-BDC9-67A4C17BD026}"/>
    <cellStyle name="Normal 5 3 4 3 6 3" xfId="11111" xr:uid="{1128E57F-57D0-414E-AEFC-C590B9245DCC}"/>
    <cellStyle name="Normal 5 3 4 3 7" xfId="4825" xr:uid="{00000000-0005-0000-0000-0000501A0000}"/>
    <cellStyle name="Normal 5 3 4 3 7 2" xfId="13264" xr:uid="{B026FC26-1ADF-446B-B19D-CCDF2B6E9E2E}"/>
    <cellStyle name="Normal 5 3 4 3 8" xfId="9046" xr:uid="{D33709A7-7574-40D0-B0B5-1A978A34FF7B}"/>
    <cellStyle name="Normal 5 3 4 4" xfId="923" xr:uid="{00000000-0005-0000-0000-0000511A0000}"/>
    <cellStyle name="Normal 5 3 4 4 2" xfId="3157" xr:uid="{00000000-0005-0000-0000-0000521A0000}"/>
    <cellStyle name="Normal 5 3 4 4 2 2" xfId="7380" xr:uid="{00000000-0005-0000-0000-0000531A0000}"/>
    <cellStyle name="Normal 5 3 4 4 2 2 2" xfId="15819" xr:uid="{33A08402-FCFF-4D61-80D5-5AB3B1DD51C3}"/>
    <cellStyle name="Normal 5 3 4 4 2 3" xfId="11601" xr:uid="{4BEC9BAE-EB15-494F-BB8A-945E6917C4BB}"/>
    <cellStyle name="Normal 5 3 4 4 3" xfId="5235" xr:uid="{00000000-0005-0000-0000-0000541A0000}"/>
    <cellStyle name="Normal 5 3 4 4 3 2" xfId="13674" xr:uid="{2F212E70-2BD8-4E99-9ED4-B2770CF74F04}"/>
    <cellStyle name="Normal 5 3 4 4 4" xfId="9456" xr:uid="{9D1302C0-C2A7-4C99-BC2A-15C4FE437015}"/>
    <cellStyle name="Normal 5 3 4 5" xfId="1340" xr:uid="{00000000-0005-0000-0000-0000551A0000}"/>
    <cellStyle name="Normal 5 3 4 5 2" xfId="3570" xr:uid="{00000000-0005-0000-0000-0000561A0000}"/>
    <cellStyle name="Normal 5 3 4 5 2 2" xfId="7793" xr:uid="{00000000-0005-0000-0000-0000571A0000}"/>
    <cellStyle name="Normal 5 3 4 5 2 2 2" xfId="16232" xr:uid="{74431931-0FAD-4CFC-9580-BD9427B2C475}"/>
    <cellStyle name="Normal 5 3 4 5 2 3" xfId="12014" xr:uid="{78D1F0BA-9C61-4237-857B-12FCAD908FDA}"/>
    <cellStyle name="Normal 5 3 4 5 3" xfId="5648" xr:uid="{00000000-0005-0000-0000-0000581A0000}"/>
    <cellStyle name="Normal 5 3 4 5 3 2" xfId="14087" xr:uid="{71B350F9-376F-4DD5-9A90-AED8CBFB4A4F}"/>
    <cellStyle name="Normal 5 3 4 5 4" xfId="9869" xr:uid="{40CEA3F8-1276-47CA-BAF4-9A1E934AC222}"/>
    <cellStyle name="Normal 5 3 4 6" xfId="1753" xr:uid="{00000000-0005-0000-0000-0000591A0000}"/>
    <cellStyle name="Normal 5 3 4 6 2" xfId="3983" xr:uid="{00000000-0005-0000-0000-00005A1A0000}"/>
    <cellStyle name="Normal 5 3 4 6 2 2" xfId="8206" xr:uid="{00000000-0005-0000-0000-00005B1A0000}"/>
    <cellStyle name="Normal 5 3 4 6 2 2 2" xfId="16645" xr:uid="{8B1F4184-04F1-4C65-AE06-704B7773A615}"/>
    <cellStyle name="Normal 5 3 4 6 2 3" xfId="12427" xr:uid="{26BD68E5-EC4B-4A90-945F-EF5D418352B0}"/>
    <cellStyle name="Normal 5 3 4 6 3" xfId="6061" xr:uid="{00000000-0005-0000-0000-00005C1A0000}"/>
    <cellStyle name="Normal 5 3 4 6 3 2" xfId="14500" xr:uid="{DD59539D-893B-4FF0-999B-07D38094052E}"/>
    <cellStyle name="Normal 5 3 4 6 4" xfId="10282" xr:uid="{D188D3F4-A9D0-4B4B-B3E9-BAA61CD31102}"/>
    <cellStyle name="Normal 5 3 4 7" xfId="2167" xr:uid="{00000000-0005-0000-0000-00005D1A0000}"/>
    <cellStyle name="Normal 5 3 4 7 2" xfId="4396" xr:uid="{00000000-0005-0000-0000-00005E1A0000}"/>
    <cellStyle name="Normal 5 3 4 7 2 2" xfId="8619" xr:uid="{00000000-0005-0000-0000-00005F1A0000}"/>
    <cellStyle name="Normal 5 3 4 7 2 2 2" xfId="17058" xr:uid="{0A999ED8-1430-4A85-A3D9-60100B636892}"/>
    <cellStyle name="Normal 5 3 4 7 2 3" xfId="12840" xr:uid="{8A99F8A3-99BA-4732-AF0F-82B6D66D0C94}"/>
    <cellStyle name="Normal 5 3 4 7 3" xfId="6474" xr:uid="{00000000-0005-0000-0000-0000601A0000}"/>
    <cellStyle name="Normal 5 3 4 7 3 2" xfId="14913" xr:uid="{76E7CEC5-60AF-4188-AF10-6F2A4D626D60}"/>
    <cellStyle name="Normal 5 3 4 7 4" xfId="10695" xr:uid="{27900558-C66D-4F95-860F-3772C44FB593}"/>
    <cellStyle name="Normal 5 3 4 8" xfId="2603" xr:uid="{00000000-0005-0000-0000-0000611A0000}"/>
    <cellStyle name="Normal 5 3 4 8 2" xfId="6887" xr:uid="{00000000-0005-0000-0000-0000621A0000}"/>
    <cellStyle name="Normal 5 3 4 8 2 2" xfId="15326" xr:uid="{56E0842E-8EFD-443C-BBEB-91ADB828FEED}"/>
    <cellStyle name="Normal 5 3 4 8 3" xfId="11108" xr:uid="{7FCB1DFF-D474-4378-A1D2-75EB2A91E471}"/>
    <cellStyle name="Normal 5 3 4 9" xfId="4822" xr:uid="{00000000-0005-0000-0000-0000631A0000}"/>
    <cellStyle name="Normal 5 3 4 9 2" xfId="13261" xr:uid="{EA7F4337-8989-4586-BBE6-3F6EE64D3657}"/>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2 2 2" xfId="15824" xr:uid="{37D560EE-BB78-4D0E-AE95-A6F1ED8EF1C0}"/>
    <cellStyle name="Normal 5 3 5 2 2 2 3" xfId="11606" xr:uid="{3837BD64-AE18-4CC0-B4CD-9AAC531FE6C8}"/>
    <cellStyle name="Normal 5 3 5 2 2 3" xfId="5240" xr:uid="{00000000-0005-0000-0000-0000691A0000}"/>
    <cellStyle name="Normal 5 3 5 2 2 3 2" xfId="13679" xr:uid="{F529D414-898A-4457-9D3F-708EC91737B2}"/>
    <cellStyle name="Normal 5 3 5 2 2 4" xfId="9461" xr:uid="{B9E2118C-CF21-4E9B-9F9B-D6941A7E87FD}"/>
    <cellStyle name="Normal 5 3 5 2 3" xfId="1345" xr:uid="{00000000-0005-0000-0000-00006A1A0000}"/>
    <cellStyle name="Normal 5 3 5 2 3 2" xfId="3575" xr:uid="{00000000-0005-0000-0000-00006B1A0000}"/>
    <cellStyle name="Normal 5 3 5 2 3 2 2" xfId="7798" xr:uid="{00000000-0005-0000-0000-00006C1A0000}"/>
    <cellStyle name="Normal 5 3 5 2 3 2 2 2" xfId="16237" xr:uid="{495B5943-C2A0-4570-B07C-77A96448A000}"/>
    <cellStyle name="Normal 5 3 5 2 3 2 3" xfId="12019" xr:uid="{300D178E-D83D-4DF6-A758-5E59159978AD}"/>
    <cellStyle name="Normal 5 3 5 2 3 3" xfId="5653" xr:uid="{00000000-0005-0000-0000-00006D1A0000}"/>
    <cellStyle name="Normal 5 3 5 2 3 3 2" xfId="14092" xr:uid="{66A10C23-432C-4A35-9748-0EE9ED0198E9}"/>
    <cellStyle name="Normal 5 3 5 2 3 4" xfId="9874" xr:uid="{F551F24C-EE3F-47C3-AF59-26737F414F4E}"/>
    <cellStyle name="Normal 5 3 5 2 4" xfId="1758" xr:uid="{00000000-0005-0000-0000-00006E1A0000}"/>
    <cellStyle name="Normal 5 3 5 2 4 2" xfId="3988" xr:uid="{00000000-0005-0000-0000-00006F1A0000}"/>
    <cellStyle name="Normal 5 3 5 2 4 2 2" xfId="8211" xr:uid="{00000000-0005-0000-0000-0000701A0000}"/>
    <cellStyle name="Normal 5 3 5 2 4 2 2 2" xfId="16650" xr:uid="{D31DF0AB-5949-4480-BBF2-E136FD041358}"/>
    <cellStyle name="Normal 5 3 5 2 4 2 3" xfId="12432" xr:uid="{288DCA10-0BC1-4502-BC79-EDDAC09B1705}"/>
    <cellStyle name="Normal 5 3 5 2 4 3" xfId="6066" xr:uid="{00000000-0005-0000-0000-0000711A0000}"/>
    <cellStyle name="Normal 5 3 5 2 4 3 2" xfId="14505" xr:uid="{9F762BA5-DD60-4927-A3AC-CECD32101F60}"/>
    <cellStyle name="Normal 5 3 5 2 4 4" xfId="10287" xr:uid="{48BAE382-6AB7-4DF6-960F-38FEE144F80C}"/>
    <cellStyle name="Normal 5 3 5 2 5" xfId="2172" xr:uid="{00000000-0005-0000-0000-0000721A0000}"/>
    <cellStyle name="Normal 5 3 5 2 5 2" xfId="4401" xr:uid="{00000000-0005-0000-0000-0000731A0000}"/>
    <cellStyle name="Normal 5 3 5 2 5 2 2" xfId="8624" xr:uid="{00000000-0005-0000-0000-0000741A0000}"/>
    <cellStyle name="Normal 5 3 5 2 5 2 2 2" xfId="17063" xr:uid="{F2F2B796-6129-49A1-AC0D-F48F5D4F9FFA}"/>
    <cellStyle name="Normal 5 3 5 2 5 2 3" xfId="12845" xr:uid="{FCED8068-00D2-4E8D-A715-D42453573AE8}"/>
    <cellStyle name="Normal 5 3 5 2 5 3" xfId="6479" xr:uid="{00000000-0005-0000-0000-0000751A0000}"/>
    <cellStyle name="Normal 5 3 5 2 5 3 2" xfId="14918" xr:uid="{AC43B883-DCA9-4A79-B296-7D4A3D594971}"/>
    <cellStyle name="Normal 5 3 5 2 5 4" xfId="10700" xr:uid="{C93910BD-DC5C-4A03-9FB1-93FD04315DBB}"/>
    <cellStyle name="Normal 5 3 5 2 6" xfId="2608" xr:uid="{00000000-0005-0000-0000-0000761A0000}"/>
    <cellStyle name="Normal 5 3 5 2 6 2" xfId="6892" xr:uid="{00000000-0005-0000-0000-0000771A0000}"/>
    <cellStyle name="Normal 5 3 5 2 6 2 2" xfId="15331" xr:uid="{973E73FA-B2CC-43AE-A9C9-2E02C02CAF33}"/>
    <cellStyle name="Normal 5 3 5 2 6 3" xfId="11113" xr:uid="{EFD4BB47-0B5E-4D38-A38A-DCDC3CB017C3}"/>
    <cellStyle name="Normal 5 3 5 2 7" xfId="4827" xr:uid="{00000000-0005-0000-0000-0000781A0000}"/>
    <cellStyle name="Normal 5 3 5 2 7 2" xfId="13266" xr:uid="{A1B373CC-16B0-4C15-8E09-AF6CAC761822}"/>
    <cellStyle name="Normal 5 3 5 2 8" xfId="9048" xr:uid="{5027660A-8FE6-499B-90C4-2871961ECF85}"/>
    <cellStyle name="Normal 5 3 5 3" xfId="927" xr:uid="{00000000-0005-0000-0000-0000791A0000}"/>
    <cellStyle name="Normal 5 3 5 3 2" xfId="3161" xr:uid="{00000000-0005-0000-0000-00007A1A0000}"/>
    <cellStyle name="Normal 5 3 5 3 2 2" xfId="7384" xr:uid="{00000000-0005-0000-0000-00007B1A0000}"/>
    <cellStyle name="Normal 5 3 5 3 2 2 2" xfId="15823" xr:uid="{B063E05E-2615-4CDA-9308-1E315A3E0392}"/>
    <cellStyle name="Normal 5 3 5 3 2 3" xfId="11605" xr:uid="{C758AABC-65E6-4EA0-829E-CB5364570428}"/>
    <cellStyle name="Normal 5 3 5 3 3" xfId="5239" xr:uid="{00000000-0005-0000-0000-00007C1A0000}"/>
    <cellStyle name="Normal 5 3 5 3 3 2" xfId="13678" xr:uid="{9E7D0177-1AAE-4DBC-A98A-A4D06A8EE2E7}"/>
    <cellStyle name="Normal 5 3 5 3 4" xfId="9460" xr:uid="{D3BFE35E-8A84-43C5-8B86-D06BA8A35059}"/>
    <cellStyle name="Normal 5 3 5 4" xfId="1344" xr:uid="{00000000-0005-0000-0000-00007D1A0000}"/>
    <cellStyle name="Normal 5 3 5 4 2" xfId="3574" xr:uid="{00000000-0005-0000-0000-00007E1A0000}"/>
    <cellStyle name="Normal 5 3 5 4 2 2" xfId="7797" xr:uid="{00000000-0005-0000-0000-00007F1A0000}"/>
    <cellStyle name="Normal 5 3 5 4 2 2 2" xfId="16236" xr:uid="{3B46536D-556E-4585-BCC9-D73E7135365C}"/>
    <cellStyle name="Normal 5 3 5 4 2 3" xfId="12018" xr:uid="{8F743A9F-B339-44FF-A1CC-4889CED0F9F5}"/>
    <cellStyle name="Normal 5 3 5 4 3" xfId="5652" xr:uid="{00000000-0005-0000-0000-0000801A0000}"/>
    <cellStyle name="Normal 5 3 5 4 3 2" xfId="14091" xr:uid="{5C14A5E1-629D-4BFB-9D63-46FEED0F772F}"/>
    <cellStyle name="Normal 5 3 5 4 4" xfId="9873" xr:uid="{DA029684-78FE-4FAC-977B-EFAACAEDB043}"/>
    <cellStyle name="Normal 5 3 5 5" xfId="1757" xr:uid="{00000000-0005-0000-0000-0000811A0000}"/>
    <cellStyle name="Normal 5 3 5 5 2" xfId="3987" xr:uid="{00000000-0005-0000-0000-0000821A0000}"/>
    <cellStyle name="Normal 5 3 5 5 2 2" xfId="8210" xr:uid="{00000000-0005-0000-0000-0000831A0000}"/>
    <cellStyle name="Normal 5 3 5 5 2 2 2" xfId="16649" xr:uid="{FAA68529-1E4C-4BDB-99A8-AAAD7D521F0E}"/>
    <cellStyle name="Normal 5 3 5 5 2 3" xfId="12431" xr:uid="{9319F320-E93A-4348-B54B-0E3573B153F8}"/>
    <cellStyle name="Normal 5 3 5 5 3" xfId="6065" xr:uid="{00000000-0005-0000-0000-0000841A0000}"/>
    <cellStyle name="Normal 5 3 5 5 3 2" xfId="14504" xr:uid="{ED654014-41D0-4B7D-9F48-CC49A39FABA3}"/>
    <cellStyle name="Normal 5 3 5 5 4" xfId="10286" xr:uid="{37476D48-CF63-4A57-AE24-E14A0393B073}"/>
    <cellStyle name="Normal 5 3 5 6" xfId="2171" xr:uid="{00000000-0005-0000-0000-0000851A0000}"/>
    <cellStyle name="Normal 5 3 5 6 2" xfId="4400" xr:uid="{00000000-0005-0000-0000-0000861A0000}"/>
    <cellStyle name="Normal 5 3 5 6 2 2" xfId="8623" xr:uid="{00000000-0005-0000-0000-0000871A0000}"/>
    <cellStyle name="Normal 5 3 5 6 2 2 2" xfId="17062" xr:uid="{A01A614D-8B1C-4775-B7BA-7EF218EF781A}"/>
    <cellStyle name="Normal 5 3 5 6 2 3" xfId="12844" xr:uid="{70356E7A-EDFC-4090-91E0-645AB7406330}"/>
    <cellStyle name="Normal 5 3 5 6 3" xfId="6478" xr:uid="{00000000-0005-0000-0000-0000881A0000}"/>
    <cellStyle name="Normal 5 3 5 6 3 2" xfId="14917" xr:uid="{0EF330AD-DA54-486F-8B2F-25746349C3A8}"/>
    <cellStyle name="Normal 5 3 5 6 4" xfId="10699" xr:uid="{26794A8F-E3CA-45BC-8A16-CAC7D5C55387}"/>
    <cellStyle name="Normal 5 3 5 7" xfId="2607" xr:uid="{00000000-0005-0000-0000-0000891A0000}"/>
    <cellStyle name="Normal 5 3 5 7 2" xfId="6891" xr:uid="{00000000-0005-0000-0000-00008A1A0000}"/>
    <cellStyle name="Normal 5 3 5 7 2 2" xfId="15330" xr:uid="{0016CA85-5FD8-47CC-9C00-D64EA5599401}"/>
    <cellStyle name="Normal 5 3 5 7 3" xfId="11112" xr:uid="{B8B08D9E-0E04-4EFA-B366-582C72EAED36}"/>
    <cellStyle name="Normal 5 3 5 8" xfId="4826" xr:uid="{00000000-0005-0000-0000-00008B1A0000}"/>
    <cellStyle name="Normal 5 3 5 8 2" xfId="13265" xr:uid="{741D1CE4-F94B-4D5E-B03A-A44899E611EE}"/>
    <cellStyle name="Normal 5 3 5 9" xfId="9047" xr:uid="{31B1A7D2-84B0-4223-977D-8C824061D34A}"/>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2 2 2" xfId="15825" xr:uid="{7B72F8A8-F05A-4BBA-AFD8-91B0FFA4C174}"/>
    <cellStyle name="Normal 5 3 6 2 2 3" xfId="11607" xr:uid="{237B4410-40BC-4BE6-806D-DDBABE8BC4A8}"/>
    <cellStyle name="Normal 5 3 6 2 3" xfId="5241" xr:uid="{00000000-0005-0000-0000-0000901A0000}"/>
    <cellStyle name="Normal 5 3 6 2 3 2" xfId="13680" xr:uid="{C6300EE0-EEC7-4B68-AC7B-6180D0A55A49}"/>
    <cellStyle name="Normal 5 3 6 2 4" xfId="9462" xr:uid="{337F965B-D8F5-4E99-A63C-B65D41C8F249}"/>
    <cellStyle name="Normal 5 3 6 3" xfId="1346" xr:uid="{00000000-0005-0000-0000-0000911A0000}"/>
    <cellStyle name="Normal 5 3 6 3 2" xfId="3576" xr:uid="{00000000-0005-0000-0000-0000921A0000}"/>
    <cellStyle name="Normal 5 3 6 3 2 2" xfId="7799" xr:uid="{00000000-0005-0000-0000-0000931A0000}"/>
    <cellStyle name="Normal 5 3 6 3 2 2 2" xfId="16238" xr:uid="{26AB7AF4-5866-44C5-831D-454DDE60A51C}"/>
    <cellStyle name="Normal 5 3 6 3 2 3" xfId="12020" xr:uid="{7A5E0500-461B-4A26-9DB9-4EF413EF1AD7}"/>
    <cellStyle name="Normal 5 3 6 3 3" xfId="5654" xr:uid="{00000000-0005-0000-0000-0000941A0000}"/>
    <cellStyle name="Normal 5 3 6 3 3 2" xfId="14093" xr:uid="{C8F0A3EF-72E1-4314-8C93-188D74703D94}"/>
    <cellStyle name="Normal 5 3 6 3 4" xfId="9875" xr:uid="{7C8A2C5E-12C8-4F6F-8603-7EE8505DF0F1}"/>
    <cellStyle name="Normal 5 3 6 4" xfId="1759" xr:uid="{00000000-0005-0000-0000-0000951A0000}"/>
    <cellStyle name="Normal 5 3 6 4 2" xfId="3989" xr:uid="{00000000-0005-0000-0000-0000961A0000}"/>
    <cellStyle name="Normal 5 3 6 4 2 2" xfId="8212" xr:uid="{00000000-0005-0000-0000-0000971A0000}"/>
    <cellStyle name="Normal 5 3 6 4 2 2 2" xfId="16651" xr:uid="{B84D852F-226A-4D43-AA4A-45DF7F31C204}"/>
    <cellStyle name="Normal 5 3 6 4 2 3" xfId="12433" xr:uid="{4CA37F86-A75A-4D56-91DF-A828786B2CD8}"/>
    <cellStyle name="Normal 5 3 6 4 3" xfId="6067" xr:uid="{00000000-0005-0000-0000-0000981A0000}"/>
    <cellStyle name="Normal 5 3 6 4 3 2" xfId="14506" xr:uid="{4942D926-455B-4DC7-816D-D9B770D49839}"/>
    <cellStyle name="Normal 5 3 6 4 4" xfId="10288" xr:uid="{13B45161-B09C-4B48-A67C-303AF43A4C75}"/>
    <cellStyle name="Normal 5 3 6 5" xfId="2173" xr:uid="{00000000-0005-0000-0000-0000991A0000}"/>
    <cellStyle name="Normal 5 3 6 5 2" xfId="4402" xr:uid="{00000000-0005-0000-0000-00009A1A0000}"/>
    <cellStyle name="Normal 5 3 6 5 2 2" xfId="8625" xr:uid="{00000000-0005-0000-0000-00009B1A0000}"/>
    <cellStyle name="Normal 5 3 6 5 2 2 2" xfId="17064" xr:uid="{DEA4A2D2-E74D-445E-A732-3E4AA601A1F5}"/>
    <cellStyle name="Normal 5 3 6 5 2 3" xfId="12846" xr:uid="{BDE67F30-9C38-4FD8-A3A5-4B20CE1A60D0}"/>
    <cellStyle name="Normal 5 3 6 5 3" xfId="6480" xr:uid="{00000000-0005-0000-0000-00009C1A0000}"/>
    <cellStyle name="Normal 5 3 6 5 3 2" xfId="14919" xr:uid="{DA4200DD-6860-4935-AA25-77F1FF1C95BC}"/>
    <cellStyle name="Normal 5 3 6 5 4" xfId="10701" xr:uid="{C8F0C9BE-7406-430A-90FC-931D2EDF3031}"/>
    <cellStyle name="Normal 5 3 6 6" xfId="2609" xr:uid="{00000000-0005-0000-0000-00009D1A0000}"/>
    <cellStyle name="Normal 5 3 6 6 2" xfId="6893" xr:uid="{00000000-0005-0000-0000-00009E1A0000}"/>
    <cellStyle name="Normal 5 3 6 6 2 2" xfId="15332" xr:uid="{EA43A48D-77E4-41D7-B127-DE6FEB16A9CB}"/>
    <cellStyle name="Normal 5 3 6 6 3" xfId="11114" xr:uid="{789D68C1-EBCE-4078-9CAE-FE5E021BD07F}"/>
    <cellStyle name="Normal 5 3 6 7" xfId="4828" xr:uid="{00000000-0005-0000-0000-00009F1A0000}"/>
    <cellStyle name="Normal 5 3 6 7 2" xfId="13267" xr:uid="{0E18B5B3-0CC2-4C00-87A7-48055765B018}"/>
    <cellStyle name="Normal 5 3 6 8" xfId="9049" xr:uid="{96C0F928-4681-4968-A9A5-46488466C44F}"/>
    <cellStyle name="Normal 5 3 7" xfId="913" xr:uid="{00000000-0005-0000-0000-0000A01A0000}"/>
    <cellStyle name="Normal 5 3 7 2" xfId="3148" xr:uid="{00000000-0005-0000-0000-0000A11A0000}"/>
    <cellStyle name="Normal 5 3 7 2 2" xfId="7371" xr:uid="{00000000-0005-0000-0000-0000A21A0000}"/>
    <cellStyle name="Normal 5 3 7 2 2 2" xfId="15810" xr:uid="{121BFB30-5999-487E-926B-5B40D48D26B7}"/>
    <cellStyle name="Normal 5 3 7 2 3" xfId="11592" xr:uid="{F3C6DB5B-7760-4B55-AB39-725D0083CFEA}"/>
    <cellStyle name="Normal 5 3 7 3" xfId="5226" xr:uid="{00000000-0005-0000-0000-0000A31A0000}"/>
    <cellStyle name="Normal 5 3 7 3 2" xfId="13665" xr:uid="{918CC0E2-6FF7-4470-92C0-59A109C7AB44}"/>
    <cellStyle name="Normal 5 3 7 4" xfId="9447" xr:uid="{AC3AD5E6-1222-4B4D-86BE-D7D92E9C997C}"/>
    <cellStyle name="Normal 5 3 8" xfId="1331" xr:uid="{00000000-0005-0000-0000-0000A41A0000}"/>
    <cellStyle name="Normal 5 3 8 2" xfId="3561" xr:uid="{00000000-0005-0000-0000-0000A51A0000}"/>
    <cellStyle name="Normal 5 3 8 2 2" xfId="7784" xr:uid="{00000000-0005-0000-0000-0000A61A0000}"/>
    <cellStyle name="Normal 5 3 8 2 2 2" xfId="16223" xr:uid="{11A48A6F-9D80-4EA9-A271-536AB4338DCE}"/>
    <cellStyle name="Normal 5 3 8 2 3" xfId="12005" xr:uid="{00FB98D6-F847-48A1-A357-1B20F25D43EB}"/>
    <cellStyle name="Normal 5 3 8 3" xfId="5639" xr:uid="{00000000-0005-0000-0000-0000A71A0000}"/>
    <cellStyle name="Normal 5 3 8 3 2" xfId="14078" xr:uid="{A856C018-28C1-47AB-8813-484BAB0CD5FD}"/>
    <cellStyle name="Normal 5 3 8 4" xfId="9860" xr:uid="{F67F6453-5DB2-4FDB-B7F6-5E51F0D9DA69}"/>
    <cellStyle name="Normal 5 3 9" xfId="1744" xr:uid="{00000000-0005-0000-0000-0000A81A0000}"/>
    <cellStyle name="Normal 5 3 9 2" xfId="3974" xr:uid="{00000000-0005-0000-0000-0000A91A0000}"/>
    <cellStyle name="Normal 5 3 9 2 2" xfId="8197" xr:uid="{00000000-0005-0000-0000-0000AA1A0000}"/>
    <cellStyle name="Normal 5 3 9 2 2 2" xfId="16636" xr:uid="{94EDB65B-BD9C-4371-94E4-BD0A2E8ADAF4}"/>
    <cellStyle name="Normal 5 3 9 2 3" xfId="12418" xr:uid="{C5836B2C-2DE3-4C41-B550-0B49643C9758}"/>
    <cellStyle name="Normal 5 3 9 3" xfId="6052" xr:uid="{00000000-0005-0000-0000-0000AB1A0000}"/>
    <cellStyle name="Normal 5 3 9 3 2" xfId="14491" xr:uid="{3B187746-E7A9-4F2A-AEA1-79952FF576A0}"/>
    <cellStyle name="Normal 5 3 9 4" xfId="10273" xr:uid="{8455C1C5-CDF6-4EAE-8371-6D7436BE988E}"/>
    <cellStyle name="Normal 5 4" xfId="456" xr:uid="{00000000-0005-0000-0000-0000AC1A0000}"/>
    <cellStyle name="Normal 5 4 10" xfId="4829" xr:uid="{00000000-0005-0000-0000-0000AD1A0000}"/>
    <cellStyle name="Normal 5 4 10 2" xfId="13268" xr:uid="{9BE39527-B0AD-4C8E-AC44-0503A8C45294}"/>
    <cellStyle name="Normal 5 4 11" xfId="9050" xr:uid="{4AD3E0D5-0B85-4187-AAED-15E1D9216E59}"/>
    <cellStyle name="Normal 5 4 2" xfId="457" xr:uid="{00000000-0005-0000-0000-0000AE1A0000}"/>
    <cellStyle name="Normal 5 4 2 10" xfId="9051" xr:uid="{9AAAA914-E685-4972-9012-FDA7277DCBC8}"/>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2 2 2" xfId="15829" xr:uid="{B62DCE75-4F3E-4CAD-8DD9-368E942877D2}"/>
    <cellStyle name="Normal 5 4 2 2 2 2 2 3" xfId="11611" xr:uid="{B56E36D1-C6E2-48F7-8007-4166879D8138}"/>
    <cellStyle name="Normal 5 4 2 2 2 2 3" xfId="5245" xr:uid="{00000000-0005-0000-0000-0000B41A0000}"/>
    <cellStyle name="Normal 5 4 2 2 2 2 3 2" xfId="13684" xr:uid="{F4F1D4A0-FEC7-49D6-98B6-594B2B5E0B1F}"/>
    <cellStyle name="Normal 5 4 2 2 2 2 4" xfId="9466" xr:uid="{6DF88260-8D13-4AB8-B277-59E4DFB1645A}"/>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2 2 2" xfId="16242" xr:uid="{22D1355D-48D3-47ED-A345-94137241C107}"/>
    <cellStyle name="Normal 5 4 2 2 2 3 2 3" xfId="12024" xr:uid="{8AC97F91-FE2A-42ED-A6DB-695A4747776D}"/>
    <cellStyle name="Normal 5 4 2 2 2 3 3" xfId="5658" xr:uid="{00000000-0005-0000-0000-0000B81A0000}"/>
    <cellStyle name="Normal 5 4 2 2 2 3 3 2" xfId="14097" xr:uid="{2A4A1B5B-2960-4D19-B152-EF952063E62B}"/>
    <cellStyle name="Normal 5 4 2 2 2 3 4" xfId="9879" xr:uid="{E52E816F-B1CD-49DC-8319-433CC38C70E6}"/>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2 2 2" xfId="16655" xr:uid="{CDFC4B5F-3204-4D8E-8428-92828DFB4A5C}"/>
    <cellStyle name="Normal 5 4 2 2 2 4 2 3" xfId="12437" xr:uid="{9FDF3A62-4E6A-4A61-B2E2-B6DD6ACB9F36}"/>
    <cellStyle name="Normal 5 4 2 2 2 4 3" xfId="6071" xr:uid="{00000000-0005-0000-0000-0000BC1A0000}"/>
    <cellStyle name="Normal 5 4 2 2 2 4 3 2" xfId="14510" xr:uid="{859A017C-48C8-4B58-BD64-74FC60C18B22}"/>
    <cellStyle name="Normal 5 4 2 2 2 4 4" xfId="10292" xr:uid="{9B516D7E-8551-49B4-A3A1-A114A8791D25}"/>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2 2 2" xfId="17068" xr:uid="{2C0E8551-D076-43ED-A9D3-A10054495BBA}"/>
    <cellStyle name="Normal 5 4 2 2 2 5 2 3" xfId="12850" xr:uid="{AABF62A2-C9FD-43DF-BC83-DAB1BA58CA16}"/>
    <cellStyle name="Normal 5 4 2 2 2 5 3" xfId="6484" xr:uid="{00000000-0005-0000-0000-0000C01A0000}"/>
    <cellStyle name="Normal 5 4 2 2 2 5 3 2" xfId="14923" xr:uid="{B9BE55E7-E4EE-4952-B5FC-61F30F04CF4F}"/>
    <cellStyle name="Normal 5 4 2 2 2 5 4" xfId="10705" xr:uid="{16222117-FB2A-4732-91D6-C977DD9E6FB2}"/>
    <cellStyle name="Normal 5 4 2 2 2 6" xfId="2613" xr:uid="{00000000-0005-0000-0000-0000C11A0000}"/>
    <cellStyle name="Normal 5 4 2 2 2 6 2" xfId="6897" xr:uid="{00000000-0005-0000-0000-0000C21A0000}"/>
    <cellStyle name="Normal 5 4 2 2 2 6 2 2" xfId="15336" xr:uid="{632A740D-A581-44A8-B602-20AF7DADCA61}"/>
    <cellStyle name="Normal 5 4 2 2 2 6 3" xfId="11118" xr:uid="{86665031-E90F-4123-A373-FBC1FC54B37D}"/>
    <cellStyle name="Normal 5 4 2 2 2 7" xfId="4832" xr:uid="{00000000-0005-0000-0000-0000C31A0000}"/>
    <cellStyle name="Normal 5 4 2 2 2 7 2" xfId="13271" xr:uid="{BACAA9CF-7C6A-4F82-95E0-4ADC68DC1EA1}"/>
    <cellStyle name="Normal 5 4 2 2 2 8" xfId="9053" xr:uid="{3639E9C5-7289-4BBC-BEF4-84C1CB489EB6}"/>
    <cellStyle name="Normal 5 4 2 2 3" xfId="932" xr:uid="{00000000-0005-0000-0000-0000C41A0000}"/>
    <cellStyle name="Normal 5 4 2 2 3 2" xfId="3166" xr:uid="{00000000-0005-0000-0000-0000C51A0000}"/>
    <cellStyle name="Normal 5 4 2 2 3 2 2" xfId="7389" xr:uid="{00000000-0005-0000-0000-0000C61A0000}"/>
    <cellStyle name="Normal 5 4 2 2 3 2 2 2" xfId="15828" xr:uid="{ACCC1417-2776-4684-8E37-E0A0C65B75A9}"/>
    <cellStyle name="Normal 5 4 2 2 3 2 3" xfId="11610" xr:uid="{06492A01-9E1D-42C4-9A44-5827ACE421A8}"/>
    <cellStyle name="Normal 5 4 2 2 3 3" xfId="5244" xr:uid="{00000000-0005-0000-0000-0000C71A0000}"/>
    <cellStyle name="Normal 5 4 2 2 3 3 2" xfId="13683" xr:uid="{BB9890F1-93FA-4CCF-AE3C-B28B16CDD6DF}"/>
    <cellStyle name="Normal 5 4 2 2 3 4" xfId="9465" xr:uid="{82F9C661-4352-419F-9F15-67B6F9925298}"/>
    <cellStyle name="Normal 5 4 2 2 4" xfId="1349" xr:uid="{00000000-0005-0000-0000-0000C81A0000}"/>
    <cellStyle name="Normal 5 4 2 2 4 2" xfId="3579" xr:uid="{00000000-0005-0000-0000-0000C91A0000}"/>
    <cellStyle name="Normal 5 4 2 2 4 2 2" xfId="7802" xr:uid="{00000000-0005-0000-0000-0000CA1A0000}"/>
    <cellStyle name="Normal 5 4 2 2 4 2 2 2" xfId="16241" xr:uid="{FDBFA09C-3C58-449C-819B-3F5642BD0FD0}"/>
    <cellStyle name="Normal 5 4 2 2 4 2 3" xfId="12023" xr:uid="{054E487E-4483-480E-B42C-99D0DBF2AC88}"/>
    <cellStyle name="Normal 5 4 2 2 4 3" xfId="5657" xr:uid="{00000000-0005-0000-0000-0000CB1A0000}"/>
    <cellStyle name="Normal 5 4 2 2 4 3 2" xfId="14096" xr:uid="{0AF862EA-AF98-40EA-B527-AD2BC62A163C}"/>
    <cellStyle name="Normal 5 4 2 2 4 4" xfId="9878" xr:uid="{86D8DC85-E6B0-40F5-9263-758D13D75854}"/>
    <cellStyle name="Normal 5 4 2 2 5" xfId="1762" xr:uid="{00000000-0005-0000-0000-0000CC1A0000}"/>
    <cellStyle name="Normal 5 4 2 2 5 2" xfId="3992" xr:uid="{00000000-0005-0000-0000-0000CD1A0000}"/>
    <cellStyle name="Normal 5 4 2 2 5 2 2" xfId="8215" xr:uid="{00000000-0005-0000-0000-0000CE1A0000}"/>
    <cellStyle name="Normal 5 4 2 2 5 2 2 2" xfId="16654" xr:uid="{B1A6654F-D006-4D9C-8CE8-9A5E9E60B710}"/>
    <cellStyle name="Normal 5 4 2 2 5 2 3" xfId="12436" xr:uid="{2E70DE95-8ED9-4CA0-9054-CB7CD5C3ED13}"/>
    <cellStyle name="Normal 5 4 2 2 5 3" xfId="6070" xr:uid="{00000000-0005-0000-0000-0000CF1A0000}"/>
    <cellStyle name="Normal 5 4 2 2 5 3 2" xfId="14509" xr:uid="{2F6753D5-28F6-443A-B6AC-23603A07822A}"/>
    <cellStyle name="Normal 5 4 2 2 5 4" xfId="10291" xr:uid="{522E8DB7-8057-43D1-B7AB-6179FE9B761D}"/>
    <cellStyle name="Normal 5 4 2 2 6" xfId="2176" xr:uid="{00000000-0005-0000-0000-0000D01A0000}"/>
    <cellStyle name="Normal 5 4 2 2 6 2" xfId="4405" xr:uid="{00000000-0005-0000-0000-0000D11A0000}"/>
    <cellStyle name="Normal 5 4 2 2 6 2 2" xfId="8628" xr:uid="{00000000-0005-0000-0000-0000D21A0000}"/>
    <cellStyle name="Normal 5 4 2 2 6 2 2 2" xfId="17067" xr:uid="{26D67092-587B-47FB-90D5-D45A0B358FAF}"/>
    <cellStyle name="Normal 5 4 2 2 6 2 3" xfId="12849" xr:uid="{64E09F2F-F0F1-4EA8-9ABF-440F1A33C521}"/>
    <cellStyle name="Normal 5 4 2 2 6 3" xfId="6483" xr:uid="{00000000-0005-0000-0000-0000D31A0000}"/>
    <cellStyle name="Normal 5 4 2 2 6 3 2" xfId="14922" xr:uid="{18510E18-D83E-420D-88FC-414562DC27DB}"/>
    <cellStyle name="Normal 5 4 2 2 6 4" xfId="10704" xr:uid="{E6B8231C-1D43-4AB4-96FE-05E0AB58A0B8}"/>
    <cellStyle name="Normal 5 4 2 2 7" xfId="2612" xr:uid="{00000000-0005-0000-0000-0000D41A0000}"/>
    <cellStyle name="Normal 5 4 2 2 7 2" xfId="6896" xr:uid="{00000000-0005-0000-0000-0000D51A0000}"/>
    <cellStyle name="Normal 5 4 2 2 7 2 2" xfId="15335" xr:uid="{E246F1F1-A204-45B7-926F-3C64667EFAFD}"/>
    <cellStyle name="Normal 5 4 2 2 7 3" xfId="11117" xr:uid="{353302C6-1F5C-4E55-B2C0-58FD3699331C}"/>
    <cellStyle name="Normal 5 4 2 2 8" xfId="4831" xr:uid="{00000000-0005-0000-0000-0000D61A0000}"/>
    <cellStyle name="Normal 5 4 2 2 8 2" xfId="13270" xr:uid="{DA07D425-25F4-4FB8-B2DB-5B36BB7FE6AE}"/>
    <cellStyle name="Normal 5 4 2 2 9" xfId="9052" xr:uid="{CA57FBC2-B54C-4483-89E6-4EB841119374}"/>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2 2 2" xfId="15830" xr:uid="{F6EC0129-ED2C-4C19-AC14-5B41399F37C7}"/>
    <cellStyle name="Normal 5 4 2 3 2 2 3" xfId="11612" xr:uid="{553ACEBB-E01D-4352-897E-BCE9B122127D}"/>
    <cellStyle name="Normal 5 4 2 3 2 3" xfId="5246" xr:uid="{00000000-0005-0000-0000-0000DB1A0000}"/>
    <cellStyle name="Normal 5 4 2 3 2 3 2" xfId="13685" xr:uid="{8C0065CF-8F73-4719-AE3F-176A0D7C5CE9}"/>
    <cellStyle name="Normal 5 4 2 3 2 4" xfId="9467" xr:uid="{3AEDFE55-B1DA-4664-8AFC-DD2DD0ABB98F}"/>
    <cellStyle name="Normal 5 4 2 3 3" xfId="1351" xr:uid="{00000000-0005-0000-0000-0000DC1A0000}"/>
    <cellStyle name="Normal 5 4 2 3 3 2" xfId="3581" xr:uid="{00000000-0005-0000-0000-0000DD1A0000}"/>
    <cellStyle name="Normal 5 4 2 3 3 2 2" xfId="7804" xr:uid="{00000000-0005-0000-0000-0000DE1A0000}"/>
    <cellStyle name="Normal 5 4 2 3 3 2 2 2" xfId="16243" xr:uid="{C14C6D34-9D49-4021-9A61-2EC81463F1DD}"/>
    <cellStyle name="Normal 5 4 2 3 3 2 3" xfId="12025" xr:uid="{A89741C5-98BA-4810-8518-E6A50E6F78FA}"/>
    <cellStyle name="Normal 5 4 2 3 3 3" xfId="5659" xr:uid="{00000000-0005-0000-0000-0000DF1A0000}"/>
    <cellStyle name="Normal 5 4 2 3 3 3 2" xfId="14098" xr:uid="{6671F42D-EBE8-42DE-8854-C58C5051FA62}"/>
    <cellStyle name="Normal 5 4 2 3 3 4" xfId="9880" xr:uid="{DE6EB65D-176B-43E8-A27D-C93E6C9A89D7}"/>
    <cellStyle name="Normal 5 4 2 3 4" xfId="1764" xr:uid="{00000000-0005-0000-0000-0000E01A0000}"/>
    <cellStyle name="Normal 5 4 2 3 4 2" xfId="3994" xr:uid="{00000000-0005-0000-0000-0000E11A0000}"/>
    <cellStyle name="Normal 5 4 2 3 4 2 2" xfId="8217" xr:uid="{00000000-0005-0000-0000-0000E21A0000}"/>
    <cellStyle name="Normal 5 4 2 3 4 2 2 2" xfId="16656" xr:uid="{08B92539-F2FF-446E-8ED8-E024DD757264}"/>
    <cellStyle name="Normal 5 4 2 3 4 2 3" xfId="12438" xr:uid="{E98166AC-F0F2-4C43-82BA-A62F091BD0AF}"/>
    <cellStyle name="Normal 5 4 2 3 4 3" xfId="6072" xr:uid="{00000000-0005-0000-0000-0000E31A0000}"/>
    <cellStyle name="Normal 5 4 2 3 4 3 2" xfId="14511" xr:uid="{3A3F26A7-FFE2-44A8-8617-ACC6D6B59A1C}"/>
    <cellStyle name="Normal 5 4 2 3 4 4" xfId="10293" xr:uid="{B10A0EBF-DB3D-43D4-B741-4CE4DB1CEA84}"/>
    <cellStyle name="Normal 5 4 2 3 5" xfId="2178" xr:uid="{00000000-0005-0000-0000-0000E41A0000}"/>
    <cellStyle name="Normal 5 4 2 3 5 2" xfId="4407" xr:uid="{00000000-0005-0000-0000-0000E51A0000}"/>
    <cellStyle name="Normal 5 4 2 3 5 2 2" xfId="8630" xr:uid="{00000000-0005-0000-0000-0000E61A0000}"/>
    <cellStyle name="Normal 5 4 2 3 5 2 2 2" xfId="17069" xr:uid="{537DA013-0096-4DE6-9620-E026098FCD70}"/>
    <cellStyle name="Normal 5 4 2 3 5 2 3" xfId="12851" xr:uid="{3D55E50F-B5B9-41C7-B85E-A266A378C874}"/>
    <cellStyle name="Normal 5 4 2 3 5 3" xfId="6485" xr:uid="{00000000-0005-0000-0000-0000E71A0000}"/>
    <cellStyle name="Normal 5 4 2 3 5 3 2" xfId="14924" xr:uid="{EC9FEC58-AE75-4A73-B2D2-412D31794F1D}"/>
    <cellStyle name="Normal 5 4 2 3 5 4" xfId="10706" xr:uid="{B87D9975-4666-40F2-BB4C-DE79B18DA7BD}"/>
    <cellStyle name="Normal 5 4 2 3 6" xfId="2614" xr:uid="{00000000-0005-0000-0000-0000E81A0000}"/>
    <cellStyle name="Normal 5 4 2 3 6 2" xfId="6898" xr:uid="{00000000-0005-0000-0000-0000E91A0000}"/>
    <cellStyle name="Normal 5 4 2 3 6 2 2" xfId="15337" xr:uid="{A2EBE510-2C79-485B-B0A4-34798F0CDDB5}"/>
    <cellStyle name="Normal 5 4 2 3 6 3" xfId="11119" xr:uid="{7238C0D5-2D35-4EA0-93A0-14B517E40A6E}"/>
    <cellStyle name="Normal 5 4 2 3 7" xfId="4833" xr:uid="{00000000-0005-0000-0000-0000EA1A0000}"/>
    <cellStyle name="Normal 5 4 2 3 7 2" xfId="13272" xr:uid="{1612EAEA-5BC4-4CD0-9DE7-725E5173F930}"/>
    <cellStyle name="Normal 5 4 2 3 8" xfId="9054" xr:uid="{EB01317A-7F1A-49CF-B18A-5F88DDB02337}"/>
    <cellStyle name="Normal 5 4 2 4" xfId="931" xr:uid="{00000000-0005-0000-0000-0000EB1A0000}"/>
    <cellStyle name="Normal 5 4 2 4 2" xfId="3165" xr:uid="{00000000-0005-0000-0000-0000EC1A0000}"/>
    <cellStyle name="Normal 5 4 2 4 2 2" xfId="7388" xr:uid="{00000000-0005-0000-0000-0000ED1A0000}"/>
    <cellStyle name="Normal 5 4 2 4 2 2 2" xfId="15827" xr:uid="{CE5AFE49-F2F0-48C3-9578-39927F189FF1}"/>
    <cellStyle name="Normal 5 4 2 4 2 3" xfId="11609" xr:uid="{630B2DF3-BAF9-4EB4-8E4C-92A25E641A56}"/>
    <cellStyle name="Normal 5 4 2 4 3" xfId="5243" xr:uid="{00000000-0005-0000-0000-0000EE1A0000}"/>
    <cellStyle name="Normal 5 4 2 4 3 2" xfId="13682" xr:uid="{E9F83475-2F67-47E7-8DFC-B3F5A870DA83}"/>
    <cellStyle name="Normal 5 4 2 4 4" xfId="9464" xr:uid="{7914C0B4-0096-46F1-9DCD-D0CB8C0A5CB5}"/>
    <cellStyle name="Normal 5 4 2 5" xfId="1348" xr:uid="{00000000-0005-0000-0000-0000EF1A0000}"/>
    <cellStyle name="Normal 5 4 2 5 2" xfId="3578" xr:uid="{00000000-0005-0000-0000-0000F01A0000}"/>
    <cellStyle name="Normal 5 4 2 5 2 2" xfId="7801" xr:uid="{00000000-0005-0000-0000-0000F11A0000}"/>
    <cellStyle name="Normal 5 4 2 5 2 2 2" xfId="16240" xr:uid="{9189A0AD-F59F-4607-AC74-B5515F4E5136}"/>
    <cellStyle name="Normal 5 4 2 5 2 3" xfId="12022" xr:uid="{7134A9EB-5917-43A7-9C59-DF09E7C5559E}"/>
    <cellStyle name="Normal 5 4 2 5 3" xfId="5656" xr:uid="{00000000-0005-0000-0000-0000F21A0000}"/>
    <cellStyle name="Normal 5 4 2 5 3 2" xfId="14095" xr:uid="{FE586105-411C-4E7F-9640-2923DF9B33F6}"/>
    <cellStyle name="Normal 5 4 2 5 4" xfId="9877" xr:uid="{FCA4E450-8CB1-4312-84D4-A1E68AB0D3CD}"/>
    <cellStyle name="Normal 5 4 2 6" xfId="1761" xr:uid="{00000000-0005-0000-0000-0000F31A0000}"/>
    <cellStyle name="Normal 5 4 2 6 2" xfId="3991" xr:uid="{00000000-0005-0000-0000-0000F41A0000}"/>
    <cellStyle name="Normal 5 4 2 6 2 2" xfId="8214" xr:uid="{00000000-0005-0000-0000-0000F51A0000}"/>
    <cellStyle name="Normal 5 4 2 6 2 2 2" xfId="16653" xr:uid="{30ACF29B-ECB1-400E-8429-1572204FB978}"/>
    <cellStyle name="Normal 5 4 2 6 2 3" xfId="12435" xr:uid="{99062E00-CCF7-4EEC-9B2C-69144CA243A4}"/>
    <cellStyle name="Normal 5 4 2 6 3" xfId="6069" xr:uid="{00000000-0005-0000-0000-0000F61A0000}"/>
    <cellStyle name="Normal 5 4 2 6 3 2" xfId="14508" xr:uid="{8DD83652-57C7-4974-B1AF-B7651CEA81D6}"/>
    <cellStyle name="Normal 5 4 2 6 4" xfId="10290" xr:uid="{F0D60374-1AFE-423F-8AF7-4D38939BAC8C}"/>
    <cellStyle name="Normal 5 4 2 7" xfId="2175" xr:uid="{00000000-0005-0000-0000-0000F71A0000}"/>
    <cellStyle name="Normal 5 4 2 7 2" xfId="4404" xr:uid="{00000000-0005-0000-0000-0000F81A0000}"/>
    <cellStyle name="Normal 5 4 2 7 2 2" xfId="8627" xr:uid="{00000000-0005-0000-0000-0000F91A0000}"/>
    <cellStyle name="Normal 5 4 2 7 2 2 2" xfId="17066" xr:uid="{AC4DC4E6-3AE0-4346-8F78-40BA60078F30}"/>
    <cellStyle name="Normal 5 4 2 7 2 3" xfId="12848" xr:uid="{2820698A-DC70-45CA-B293-5DF0B4103137}"/>
    <cellStyle name="Normal 5 4 2 7 3" xfId="6482" xr:uid="{00000000-0005-0000-0000-0000FA1A0000}"/>
    <cellStyle name="Normal 5 4 2 7 3 2" xfId="14921" xr:uid="{07E9AB9D-859A-4F54-B2D4-A4CCE4D0F110}"/>
    <cellStyle name="Normal 5 4 2 7 4" xfId="10703" xr:uid="{A493EE39-A8F0-4725-A90E-54DF8D725F05}"/>
    <cellStyle name="Normal 5 4 2 8" xfId="2611" xr:uid="{00000000-0005-0000-0000-0000FB1A0000}"/>
    <cellStyle name="Normal 5 4 2 8 2" xfId="6895" xr:uid="{00000000-0005-0000-0000-0000FC1A0000}"/>
    <cellStyle name="Normal 5 4 2 8 2 2" xfId="15334" xr:uid="{E33F1DEA-806A-4D84-BA36-FA2F7E021F7E}"/>
    <cellStyle name="Normal 5 4 2 8 3" xfId="11116" xr:uid="{64A2120E-47BE-4AD5-A43F-7E6DF5518D5B}"/>
    <cellStyle name="Normal 5 4 2 9" xfId="4830" xr:uid="{00000000-0005-0000-0000-0000FD1A0000}"/>
    <cellStyle name="Normal 5 4 2 9 2" xfId="13269" xr:uid="{4367F07A-7045-45F2-8A63-2CDBF36C1B4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2 2 2" xfId="15832" xr:uid="{0990E92D-7934-4938-95D8-0AD3F3B328E3}"/>
    <cellStyle name="Normal 5 4 3 2 2 2 3" xfId="11614" xr:uid="{0393712A-6990-4158-BAE3-13B9684A03D6}"/>
    <cellStyle name="Normal 5 4 3 2 2 3" xfId="5248" xr:uid="{00000000-0005-0000-0000-0000031B0000}"/>
    <cellStyle name="Normal 5 4 3 2 2 3 2" xfId="13687" xr:uid="{40C790E7-9766-492D-9C78-F4CA3619FDCA}"/>
    <cellStyle name="Normal 5 4 3 2 2 4" xfId="9469" xr:uid="{5AFEDD51-F188-4B02-A451-83F12E53A1FF}"/>
    <cellStyle name="Normal 5 4 3 2 3" xfId="1353" xr:uid="{00000000-0005-0000-0000-0000041B0000}"/>
    <cellStyle name="Normal 5 4 3 2 3 2" xfId="3583" xr:uid="{00000000-0005-0000-0000-0000051B0000}"/>
    <cellStyle name="Normal 5 4 3 2 3 2 2" xfId="7806" xr:uid="{00000000-0005-0000-0000-0000061B0000}"/>
    <cellStyle name="Normal 5 4 3 2 3 2 2 2" xfId="16245" xr:uid="{FC31647E-04C0-4572-931D-88465B212973}"/>
    <cellStyle name="Normal 5 4 3 2 3 2 3" xfId="12027" xr:uid="{B292E111-F493-4B12-A066-490E73B67D40}"/>
    <cellStyle name="Normal 5 4 3 2 3 3" xfId="5661" xr:uid="{00000000-0005-0000-0000-0000071B0000}"/>
    <cellStyle name="Normal 5 4 3 2 3 3 2" xfId="14100" xr:uid="{5DF8840B-6323-49EB-8DC5-7484B52CAE97}"/>
    <cellStyle name="Normal 5 4 3 2 3 4" xfId="9882" xr:uid="{2BAB2E39-715C-4F88-A1A9-00EA7A1D4C9B}"/>
    <cellStyle name="Normal 5 4 3 2 4" xfId="1766" xr:uid="{00000000-0005-0000-0000-0000081B0000}"/>
    <cellStyle name="Normal 5 4 3 2 4 2" xfId="3996" xr:uid="{00000000-0005-0000-0000-0000091B0000}"/>
    <cellStyle name="Normal 5 4 3 2 4 2 2" xfId="8219" xr:uid="{00000000-0005-0000-0000-00000A1B0000}"/>
    <cellStyle name="Normal 5 4 3 2 4 2 2 2" xfId="16658" xr:uid="{D5A899B4-2D82-4708-A80F-42C8560B0DBA}"/>
    <cellStyle name="Normal 5 4 3 2 4 2 3" xfId="12440" xr:uid="{956DE446-0AFC-467B-A836-B18288A95060}"/>
    <cellStyle name="Normal 5 4 3 2 4 3" xfId="6074" xr:uid="{00000000-0005-0000-0000-00000B1B0000}"/>
    <cellStyle name="Normal 5 4 3 2 4 3 2" xfId="14513" xr:uid="{D0D65B21-FC9B-488F-AE36-D7EB6EE9F5C6}"/>
    <cellStyle name="Normal 5 4 3 2 4 4" xfId="10295" xr:uid="{79957DDD-0FE7-43B3-B8BB-71D0659C7F7C}"/>
    <cellStyle name="Normal 5 4 3 2 5" xfId="2180" xr:uid="{00000000-0005-0000-0000-00000C1B0000}"/>
    <cellStyle name="Normal 5 4 3 2 5 2" xfId="4409" xr:uid="{00000000-0005-0000-0000-00000D1B0000}"/>
    <cellStyle name="Normal 5 4 3 2 5 2 2" xfId="8632" xr:uid="{00000000-0005-0000-0000-00000E1B0000}"/>
    <cellStyle name="Normal 5 4 3 2 5 2 2 2" xfId="17071" xr:uid="{DFFD0FF1-E6B0-4F73-BB1D-8DAFD9B6FB25}"/>
    <cellStyle name="Normal 5 4 3 2 5 2 3" xfId="12853" xr:uid="{EFC5CDC4-98D4-4862-928A-550C90347A20}"/>
    <cellStyle name="Normal 5 4 3 2 5 3" xfId="6487" xr:uid="{00000000-0005-0000-0000-00000F1B0000}"/>
    <cellStyle name="Normal 5 4 3 2 5 3 2" xfId="14926" xr:uid="{4C35A20D-0616-4C64-99D4-E8D2D3BE5518}"/>
    <cellStyle name="Normal 5 4 3 2 5 4" xfId="10708" xr:uid="{D6389AE5-4E89-4786-BD6A-AA08E998BC1D}"/>
    <cellStyle name="Normal 5 4 3 2 6" xfId="2616" xr:uid="{00000000-0005-0000-0000-0000101B0000}"/>
    <cellStyle name="Normal 5 4 3 2 6 2" xfId="6900" xr:uid="{00000000-0005-0000-0000-0000111B0000}"/>
    <cellStyle name="Normal 5 4 3 2 6 2 2" xfId="15339" xr:uid="{F845D66D-CA02-43F4-903D-EC2EC741D3F6}"/>
    <cellStyle name="Normal 5 4 3 2 6 3" xfId="11121" xr:uid="{DB74E50C-79C6-47A7-8592-EA1051A4D1A3}"/>
    <cellStyle name="Normal 5 4 3 2 7" xfId="4835" xr:uid="{00000000-0005-0000-0000-0000121B0000}"/>
    <cellStyle name="Normal 5 4 3 2 7 2" xfId="13274" xr:uid="{F23420B6-C15C-43F0-9FF8-18A5F86E5921}"/>
    <cellStyle name="Normal 5 4 3 2 8" xfId="9056" xr:uid="{E53AA314-7E44-45CE-A9A2-D007B86360B7}"/>
    <cellStyle name="Normal 5 4 3 3" xfId="935" xr:uid="{00000000-0005-0000-0000-0000131B0000}"/>
    <cellStyle name="Normal 5 4 3 3 2" xfId="3169" xr:uid="{00000000-0005-0000-0000-0000141B0000}"/>
    <cellStyle name="Normal 5 4 3 3 2 2" xfId="7392" xr:uid="{00000000-0005-0000-0000-0000151B0000}"/>
    <cellStyle name="Normal 5 4 3 3 2 2 2" xfId="15831" xr:uid="{01F326C0-328C-4FE3-ADF5-1C29C73057FC}"/>
    <cellStyle name="Normal 5 4 3 3 2 3" xfId="11613" xr:uid="{ECB29C33-F87F-4AFF-B0FA-EB37B30A4BED}"/>
    <cellStyle name="Normal 5 4 3 3 3" xfId="5247" xr:uid="{00000000-0005-0000-0000-0000161B0000}"/>
    <cellStyle name="Normal 5 4 3 3 3 2" xfId="13686" xr:uid="{3E0C4B92-F1E9-4291-96F1-288F5269776A}"/>
    <cellStyle name="Normal 5 4 3 3 4" xfId="9468" xr:uid="{6D99FABA-0B49-4F9C-92FD-0B6AA6AE516A}"/>
    <cellStyle name="Normal 5 4 3 4" xfId="1352" xr:uid="{00000000-0005-0000-0000-0000171B0000}"/>
    <cellStyle name="Normal 5 4 3 4 2" xfId="3582" xr:uid="{00000000-0005-0000-0000-0000181B0000}"/>
    <cellStyle name="Normal 5 4 3 4 2 2" xfId="7805" xr:uid="{00000000-0005-0000-0000-0000191B0000}"/>
    <cellStyle name="Normal 5 4 3 4 2 2 2" xfId="16244" xr:uid="{ECA74C5C-2D2A-44AB-815E-D742B090376B}"/>
    <cellStyle name="Normal 5 4 3 4 2 3" xfId="12026" xr:uid="{7A22C054-0695-4674-B945-9FD0AE93ADE0}"/>
    <cellStyle name="Normal 5 4 3 4 3" xfId="5660" xr:uid="{00000000-0005-0000-0000-00001A1B0000}"/>
    <cellStyle name="Normal 5 4 3 4 3 2" xfId="14099" xr:uid="{9518B2C6-9B93-4D4C-91E2-BB09B65C9B7F}"/>
    <cellStyle name="Normal 5 4 3 4 4" xfId="9881" xr:uid="{6A0CD014-8DE7-49C3-ADA6-6B3315764807}"/>
    <cellStyle name="Normal 5 4 3 5" xfId="1765" xr:uid="{00000000-0005-0000-0000-00001B1B0000}"/>
    <cellStyle name="Normal 5 4 3 5 2" xfId="3995" xr:uid="{00000000-0005-0000-0000-00001C1B0000}"/>
    <cellStyle name="Normal 5 4 3 5 2 2" xfId="8218" xr:uid="{00000000-0005-0000-0000-00001D1B0000}"/>
    <cellStyle name="Normal 5 4 3 5 2 2 2" xfId="16657" xr:uid="{562AF5FB-9714-4739-907F-728461962575}"/>
    <cellStyle name="Normal 5 4 3 5 2 3" xfId="12439" xr:uid="{A308A93F-0914-475A-8A2A-6F06CC496DC0}"/>
    <cellStyle name="Normal 5 4 3 5 3" xfId="6073" xr:uid="{00000000-0005-0000-0000-00001E1B0000}"/>
    <cellStyle name="Normal 5 4 3 5 3 2" xfId="14512" xr:uid="{23BBDB4C-6C5F-4E21-8BC6-A899389D2D38}"/>
    <cellStyle name="Normal 5 4 3 5 4" xfId="10294" xr:uid="{3838A797-03B8-4371-89D1-429229D3821F}"/>
    <cellStyle name="Normal 5 4 3 6" xfId="2179" xr:uid="{00000000-0005-0000-0000-00001F1B0000}"/>
    <cellStyle name="Normal 5 4 3 6 2" xfId="4408" xr:uid="{00000000-0005-0000-0000-0000201B0000}"/>
    <cellStyle name="Normal 5 4 3 6 2 2" xfId="8631" xr:uid="{00000000-0005-0000-0000-0000211B0000}"/>
    <cellStyle name="Normal 5 4 3 6 2 2 2" xfId="17070" xr:uid="{5BB13821-C474-40BC-AD7C-967883705C55}"/>
    <cellStyle name="Normal 5 4 3 6 2 3" xfId="12852" xr:uid="{0B0741BF-E4F0-4C68-A8BE-14AD5F01BF68}"/>
    <cellStyle name="Normal 5 4 3 6 3" xfId="6486" xr:uid="{00000000-0005-0000-0000-0000221B0000}"/>
    <cellStyle name="Normal 5 4 3 6 3 2" xfId="14925" xr:uid="{3A26FF71-92DB-40C2-AD6C-3B5A08DCDBA8}"/>
    <cellStyle name="Normal 5 4 3 6 4" xfId="10707" xr:uid="{6AED12CB-436F-4D8D-94DC-6E22BF238DD4}"/>
    <cellStyle name="Normal 5 4 3 7" xfId="2615" xr:uid="{00000000-0005-0000-0000-0000231B0000}"/>
    <cellStyle name="Normal 5 4 3 7 2" xfId="6899" xr:uid="{00000000-0005-0000-0000-0000241B0000}"/>
    <cellStyle name="Normal 5 4 3 7 2 2" xfId="15338" xr:uid="{01A6B74E-D18B-42C9-9DE8-EDAE479DBBDF}"/>
    <cellStyle name="Normal 5 4 3 7 3" xfId="11120" xr:uid="{03CBAF83-0B60-452B-A029-95004E9A8061}"/>
    <cellStyle name="Normal 5 4 3 8" xfId="4834" xr:uid="{00000000-0005-0000-0000-0000251B0000}"/>
    <cellStyle name="Normal 5 4 3 8 2" xfId="13273" xr:uid="{821E9933-D155-4739-8356-5FADC6CAACFB}"/>
    <cellStyle name="Normal 5 4 3 9" xfId="9055" xr:uid="{417B6CAE-FA02-40BC-A120-C364BE803975}"/>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2 2 2" xfId="15833" xr:uid="{3938EA4C-5486-4CF4-8BD4-0F82C93FF5DB}"/>
    <cellStyle name="Normal 5 4 4 2 2 3" xfId="11615" xr:uid="{C112D288-CBD4-4EE2-91DB-247EBD634ADA}"/>
    <cellStyle name="Normal 5 4 4 2 3" xfId="5249" xr:uid="{00000000-0005-0000-0000-00002A1B0000}"/>
    <cellStyle name="Normal 5 4 4 2 3 2" xfId="13688" xr:uid="{6EB158E4-2D44-4292-8ADE-AFEB38FD0008}"/>
    <cellStyle name="Normal 5 4 4 2 4" xfId="9470" xr:uid="{0F658042-E6C7-474E-A66F-0E64AD43CB2B}"/>
    <cellStyle name="Normal 5 4 4 3" xfId="1354" xr:uid="{00000000-0005-0000-0000-00002B1B0000}"/>
    <cellStyle name="Normal 5 4 4 3 2" xfId="3584" xr:uid="{00000000-0005-0000-0000-00002C1B0000}"/>
    <cellStyle name="Normal 5 4 4 3 2 2" xfId="7807" xr:uid="{00000000-0005-0000-0000-00002D1B0000}"/>
    <cellStyle name="Normal 5 4 4 3 2 2 2" xfId="16246" xr:uid="{01B206D8-572D-477E-99D3-2EAEB96B60B7}"/>
    <cellStyle name="Normal 5 4 4 3 2 3" xfId="12028" xr:uid="{9391E010-80A0-4B73-A73D-B29ECB137E28}"/>
    <cellStyle name="Normal 5 4 4 3 3" xfId="5662" xr:uid="{00000000-0005-0000-0000-00002E1B0000}"/>
    <cellStyle name="Normal 5 4 4 3 3 2" xfId="14101" xr:uid="{11558D43-F0CE-4CA4-BB7D-E0F0E62218ED}"/>
    <cellStyle name="Normal 5 4 4 3 4" xfId="9883" xr:uid="{97DA75AA-19C0-4FB3-96FA-B6A63E10042E}"/>
    <cellStyle name="Normal 5 4 4 4" xfId="1767" xr:uid="{00000000-0005-0000-0000-00002F1B0000}"/>
    <cellStyle name="Normal 5 4 4 4 2" xfId="3997" xr:uid="{00000000-0005-0000-0000-0000301B0000}"/>
    <cellStyle name="Normal 5 4 4 4 2 2" xfId="8220" xr:uid="{00000000-0005-0000-0000-0000311B0000}"/>
    <cellStyle name="Normal 5 4 4 4 2 2 2" xfId="16659" xr:uid="{7F9C4215-6ECB-41C8-89B4-181A205D835C}"/>
    <cellStyle name="Normal 5 4 4 4 2 3" xfId="12441" xr:uid="{691DB5C4-6F0B-415B-B48A-B062DC2442D1}"/>
    <cellStyle name="Normal 5 4 4 4 3" xfId="6075" xr:uid="{00000000-0005-0000-0000-0000321B0000}"/>
    <cellStyle name="Normal 5 4 4 4 3 2" xfId="14514" xr:uid="{16F0C63F-4099-4795-AB9F-70E9F2A706F0}"/>
    <cellStyle name="Normal 5 4 4 4 4" xfId="10296" xr:uid="{203FF67F-C3F6-442A-AA15-C4C8E267E7EC}"/>
    <cellStyle name="Normal 5 4 4 5" xfId="2181" xr:uid="{00000000-0005-0000-0000-0000331B0000}"/>
    <cellStyle name="Normal 5 4 4 5 2" xfId="4410" xr:uid="{00000000-0005-0000-0000-0000341B0000}"/>
    <cellStyle name="Normal 5 4 4 5 2 2" xfId="8633" xr:uid="{00000000-0005-0000-0000-0000351B0000}"/>
    <cellStyle name="Normal 5 4 4 5 2 2 2" xfId="17072" xr:uid="{E07D30DF-5180-463A-BD7D-8088C69566BC}"/>
    <cellStyle name="Normal 5 4 4 5 2 3" xfId="12854" xr:uid="{C8BA55CE-9B96-4703-BEA1-DDDD7CAC41CF}"/>
    <cellStyle name="Normal 5 4 4 5 3" xfId="6488" xr:uid="{00000000-0005-0000-0000-0000361B0000}"/>
    <cellStyle name="Normal 5 4 4 5 3 2" xfId="14927" xr:uid="{1CDA84DB-CA85-451E-980D-3489580E3F6D}"/>
    <cellStyle name="Normal 5 4 4 5 4" xfId="10709" xr:uid="{DC67A861-BF69-483C-B438-1FB837F3E17C}"/>
    <cellStyle name="Normal 5 4 4 6" xfId="2617" xr:uid="{00000000-0005-0000-0000-0000371B0000}"/>
    <cellStyle name="Normal 5 4 4 6 2" xfId="6901" xr:uid="{00000000-0005-0000-0000-0000381B0000}"/>
    <cellStyle name="Normal 5 4 4 6 2 2" xfId="15340" xr:uid="{D2B55CE5-D741-48B5-AB2A-4D64AD4A83BD}"/>
    <cellStyle name="Normal 5 4 4 6 3" xfId="11122" xr:uid="{B5410E36-7511-488F-A9F6-EAF348325A9C}"/>
    <cellStyle name="Normal 5 4 4 7" xfId="4836" xr:uid="{00000000-0005-0000-0000-0000391B0000}"/>
    <cellStyle name="Normal 5 4 4 7 2" xfId="13275" xr:uid="{A28E33FC-BEA1-4D86-89B0-7048BC077A5B}"/>
    <cellStyle name="Normal 5 4 4 8" xfId="9057" xr:uid="{727F0E61-A9E2-4D29-BDA1-89F64A9EF5F3}"/>
    <cellStyle name="Normal 5 4 5" xfId="930" xr:uid="{00000000-0005-0000-0000-00003A1B0000}"/>
    <cellStyle name="Normal 5 4 5 2" xfId="3164" xr:uid="{00000000-0005-0000-0000-00003B1B0000}"/>
    <cellStyle name="Normal 5 4 5 2 2" xfId="7387" xr:uid="{00000000-0005-0000-0000-00003C1B0000}"/>
    <cellStyle name="Normal 5 4 5 2 2 2" xfId="15826" xr:uid="{D8B8A86E-ECB8-4272-AA6B-D20B8187E49D}"/>
    <cellStyle name="Normal 5 4 5 2 3" xfId="11608" xr:uid="{AA0092F9-D5F9-4A77-9B0E-EC5135377811}"/>
    <cellStyle name="Normal 5 4 5 3" xfId="5242" xr:uid="{00000000-0005-0000-0000-00003D1B0000}"/>
    <cellStyle name="Normal 5 4 5 3 2" xfId="13681" xr:uid="{413FA93B-B844-4980-9BD5-301A523B2570}"/>
    <cellStyle name="Normal 5 4 5 4" xfId="9463" xr:uid="{0D74BECE-5566-451B-87DD-DC523A442270}"/>
    <cellStyle name="Normal 5 4 6" xfId="1347" xr:uid="{00000000-0005-0000-0000-00003E1B0000}"/>
    <cellStyle name="Normal 5 4 6 2" xfId="3577" xr:uid="{00000000-0005-0000-0000-00003F1B0000}"/>
    <cellStyle name="Normal 5 4 6 2 2" xfId="7800" xr:uid="{00000000-0005-0000-0000-0000401B0000}"/>
    <cellStyle name="Normal 5 4 6 2 2 2" xfId="16239" xr:uid="{AD2C192A-E3AD-4FF5-B6A1-A31FB2C5C7B9}"/>
    <cellStyle name="Normal 5 4 6 2 3" xfId="12021" xr:uid="{146F2CFF-9370-40FB-8D94-8D8924F642B7}"/>
    <cellStyle name="Normal 5 4 6 3" xfId="5655" xr:uid="{00000000-0005-0000-0000-0000411B0000}"/>
    <cellStyle name="Normal 5 4 6 3 2" xfId="14094" xr:uid="{DE25F4F9-DDBB-457F-B362-8D03EE6C17D1}"/>
    <cellStyle name="Normal 5 4 6 4" xfId="9876" xr:uid="{11A25DC0-992A-4BE3-8E0B-ED2137A27397}"/>
    <cellStyle name="Normal 5 4 7" xfId="1760" xr:uid="{00000000-0005-0000-0000-0000421B0000}"/>
    <cellStyle name="Normal 5 4 7 2" xfId="3990" xr:uid="{00000000-0005-0000-0000-0000431B0000}"/>
    <cellStyle name="Normal 5 4 7 2 2" xfId="8213" xr:uid="{00000000-0005-0000-0000-0000441B0000}"/>
    <cellStyle name="Normal 5 4 7 2 2 2" xfId="16652" xr:uid="{65264519-D00D-4B7C-9898-80C61D14B8B0}"/>
    <cellStyle name="Normal 5 4 7 2 3" xfId="12434" xr:uid="{828BDE0B-9E66-4E78-985B-77C668DA3084}"/>
    <cellStyle name="Normal 5 4 7 3" xfId="6068" xr:uid="{00000000-0005-0000-0000-0000451B0000}"/>
    <cellStyle name="Normal 5 4 7 3 2" xfId="14507" xr:uid="{405BEA92-426A-4EB8-AC6D-1A57FDAA0580}"/>
    <cellStyle name="Normal 5 4 7 4" xfId="10289" xr:uid="{9E66F969-D86B-4DDE-A472-D71C6CAF9DD3}"/>
    <cellStyle name="Normal 5 4 8" xfId="2174" xr:uid="{00000000-0005-0000-0000-0000461B0000}"/>
    <cellStyle name="Normal 5 4 8 2" xfId="4403" xr:uid="{00000000-0005-0000-0000-0000471B0000}"/>
    <cellStyle name="Normal 5 4 8 2 2" xfId="8626" xr:uid="{00000000-0005-0000-0000-0000481B0000}"/>
    <cellStyle name="Normal 5 4 8 2 2 2" xfId="17065" xr:uid="{7D2B7A79-3E26-4BA7-AF60-D2117F139959}"/>
    <cellStyle name="Normal 5 4 8 2 3" xfId="12847" xr:uid="{96B36B53-98DC-4FEC-8D4E-7DAFE61E39C1}"/>
    <cellStyle name="Normal 5 4 8 3" xfId="6481" xr:uid="{00000000-0005-0000-0000-0000491B0000}"/>
    <cellStyle name="Normal 5 4 8 3 2" xfId="14920" xr:uid="{A9419391-A902-468D-8C00-06C75FB0A8D8}"/>
    <cellStyle name="Normal 5 4 8 4" xfId="10702" xr:uid="{9B89F6C9-CC16-46C1-B3D5-4E9972EF81D8}"/>
    <cellStyle name="Normal 5 4 9" xfId="2610" xr:uid="{00000000-0005-0000-0000-00004A1B0000}"/>
    <cellStyle name="Normal 5 4 9 2" xfId="6894" xr:uid="{00000000-0005-0000-0000-00004B1B0000}"/>
    <cellStyle name="Normal 5 4 9 2 2" xfId="15333" xr:uid="{053CC39B-58B0-4B6A-AD22-FC1C10D07DA4}"/>
    <cellStyle name="Normal 5 4 9 3" xfId="11115" xr:uid="{5CBAD78D-572B-471C-8EF8-F47A9A191F0D}"/>
    <cellStyle name="Normal 5 5" xfId="464" xr:uid="{00000000-0005-0000-0000-00004C1B0000}"/>
    <cellStyle name="Normal 5 5 10" xfId="9058" xr:uid="{00001B9D-5755-4AAC-A40E-608975C05998}"/>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2 2 2" xfId="15836" xr:uid="{18A23768-9179-4B13-8D00-E58504E2C8C2}"/>
    <cellStyle name="Normal 5 5 2 2 2 2 3" xfId="11618" xr:uid="{0E60FD5B-271D-4D07-9F4B-E0BD7FA3F2F4}"/>
    <cellStyle name="Normal 5 5 2 2 2 3" xfId="5252" xr:uid="{00000000-0005-0000-0000-0000521B0000}"/>
    <cellStyle name="Normal 5 5 2 2 2 3 2" xfId="13691" xr:uid="{AEFBA96F-1C04-4940-B237-4EB5F90249EE}"/>
    <cellStyle name="Normal 5 5 2 2 2 4" xfId="9473" xr:uid="{571EF40A-DF81-4B24-A68B-6D46612178C8}"/>
    <cellStyle name="Normal 5 5 2 2 3" xfId="1357" xr:uid="{00000000-0005-0000-0000-0000531B0000}"/>
    <cellStyle name="Normal 5 5 2 2 3 2" xfId="3587" xr:uid="{00000000-0005-0000-0000-0000541B0000}"/>
    <cellStyle name="Normal 5 5 2 2 3 2 2" xfId="7810" xr:uid="{00000000-0005-0000-0000-0000551B0000}"/>
    <cellStyle name="Normal 5 5 2 2 3 2 2 2" xfId="16249" xr:uid="{9B76B058-3CC2-459F-9A34-7C7E1D53CE69}"/>
    <cellStyle name="Normal 5 5 2 2 3 2 3" xfId="12031" xr:uid="{785099DF-3914-4010-81A1-F8DFB6E5DFFD}"/>
    <cellStyle name="Normal 5 5 2 2 3 3" xfId="5665" xr:uid="{00000000-0005-0000-0000-0000561B0000}"/>
    <cellStyle name="Normal 5 5 2 2 3 3 2" xfId="14104" xr:uid="{23336CD0-161B-4100-9E57-AD1AAEF7E30A}"/>
    <cellStyle name="Normal 5 5 2 2 3 4" xfId="9886" xr:uid="{27FC024B-BC8E-4A0C-84CC-59DF1A9765E4}"/>
    <cellStyle name="Normal 5 5 2 2 4" xfId="1770" xr:uid="{00000000-0005-0000-0000-0000571B0000}"/>
    <cellStyle name="Normal 5 5 2 2 4 2" xfId="4000" xr:uid="{00000000-0005-0000-0000-0000581B0000}"/>
    <cellStyle name="Normal 5 5 2 2 4 2 2" xfId="8223" xr:uid="{00000000-0005-0000-0000-0000591B0000}"/>
    <cellStyle name="Normal 5 5 2 2 4 2 2 2" xfId="16662" xr:uid="{BBD142E9-CE5B-4EAE-B12D-2596F4DB64F0}"/>
    <cellStyle name="Normal 5 5 2 2 4 2 3" xfId="12444" xr:uid="{30D65129-3F84-4C20-A27A-968ACFB54A89}"/>
    <cellStyle name="Normal 5 5 2 2 4 3" xfId="6078" xr:uid="{00000000-0005-0000-0000-00005A1B0000}"/>
    <cellStyle name="Normal 5 5 2 2 4 3 2" xfId="14517" xr:uid="{DBF4EDC6-650B-48C7-89B3-FE73974F7A9C}"/>
    <cellStyle name="Normal 5 5 2 2 4 4" xfId="10299" xr:uid="{96F2F579-8A04-41BA-9E9D-8D73A62FEB9F}"/>
    <cellStyle name="Normal 5 5 2 2 5" xfId="2184" xr:uid="{00000000-0005-0000-0000-00005B1B0000}"/>
    <cellStyle name="Normal 5 5 2 2 5 2" xfId="4413" xr:uid="{00000000-0005-0000-0000-00005C1B0000}"/>
    <cellStyle name="Normal 5 5 2 2 5 2 2" xfId="8636" xr:uid="{00000000-0005-0000-0000-00005D1B0000}"/>
    <cellStyle name="Normal 5 5 2 2 5 2 2 2" xfId="17075" xr:uid="{87B5F5B6-C6E2-45F4-A357-7C21226E3205}"/>
    <cellStyle name="Normal 5 5 2 2 5 2 3" xfId="12857" xr:uid="{132EF8B6-C644-44AF-9C23-2F275B3834DB}"/>
    <cellStyle name="Normal 5 5 2 2 5 3" xfId="6491" xr:uid="{00000000-0005-0000-0000-00005E1B0000}"/>
    <cellStyle name="Normal 5 5 2 2 5 3 2" xfId="14930" xr:uid="{8421F3E4-A093-4836-AB6C-1191D75FC613}"/>
    <cellStyle name="Normal 5 5 2 2 5 4" xfId="10712" xr:uid="{EF3F9C5E-3DDB-45D9-A0AF-B9D9466E110A}"/>
    <cellStyle name="Normal 5 5 2 2 6" xfId="2620" xr:uid="{00000000-0005-0000-0000-00005F1B0000}"/>
    <cellStyle name="Normal 5 5 2 2 6 2" xfId="6904" xr:uid="{00000000-0005-0000-0000-0000601B0000}"/>
    <cellStyle name="Normal 5 5 2 2 6 2 2" xfId="15343" xr:uid="{BF758BB1-D0F2-47C4-80DF-DEF959338878}"/>
    <cellStyle name="Normal 5 5 2 2 6 3" xfId="11125" xr:uid="{E9BCDD14-8F72-4B2C-8826-D83610BEE430}"/>
    <cellStyle name="Normal 5 5 2 2 7" xfId="4839" xr:uid="{00000000-0005-0000-0000-0000611B0000}"/>
    <cellStyle name="Normal 5 5 2 2 7 2" xfId="13278" xr:uid="{4696F533-8376-42F5-884D-783FBC09DB3E}"/>
    <cellStyle name="Normal 5 5 2 2 8" xfId="9060" xr:uid="{D49EE267-D281-4D2B-B51A-98BDCBDF106B}"/>
    <cellStyle name="Normal 5 5 2 3" xfId="939" xr:uid="{00000000-0005-0000-0000-0000621B0000}"/>
    <cellStyle name="Normal 5 5 2 3 2" xfId="3173" xr:uid="{00000000-0005-0000-0000-0000631B0000}"/>
    <cellStyle name="Normal 5 5 2 3 2 2" xfId="7396" xr:uid="{00000000-0005-0000-0000-0000641B0000}"/>
    <cellStyle name="Normal 5 5 2 3 2 2 2" xfId="15835" xr:uid="{6CE84B1E-84E0-470C-9992-7CC81BB06C49}"/>
    <cellStyle name="Normal 5 5 2 3 2 3" xfId="11617" xr:uid="{3A7A5655-F466-479A-919E-C7601EF275DE}"/>
    <cellStyle name="Normal 5 5 2 3 3" xfId="5251" xr:uid="{00000000-0005-0000-0000-0000651B0000}"/>
    <cellStyle name="Normal 5 5 2 3 3 2" xfId="13690" xr:uid="{7F131CA0-3B18-4F10-AC21-D75673C31ACC}"/>
    <cellStyle name="Normal 5 5 2 3 4" xfId="9472" xr:uid="{6A84C869-17BA-47FA-8113-0E781864F1BA}"/>
    <cellStyle name="Normal 5 5 2 4" xfId="1356" xr:uid="{00000000-0005-0000-0000-0000661B0000}"/>
    <cellStyle name="Normal 5 5 2 4 2" xfId="3586" xr:uid="{00000000-0005-0000-0000-0000671B0000}"/>
    <cellStyle name="Normal 5 5 2 4 2 2" xfId="7809" xr:uid="{00000000-0005-0000-0000-0000681B0000}"/>
    <cellStyle name="Normal 5 5 2 4 2 2 2" xfId="16248" xr:uid="{458F02D1-E605-45FA-89A4-A903FE56EA00}"/>
    <cellStyle name="Normal 5 5 2 4 2 3" xfId="12030" xr:uid="{08FD7076-E75C-4183-B7EE-791ECBF5905D}"/>
    <cellStyle name="Normal 5 5 2 4 3" xfId="5664" xr:uid="{00000000-0005-0000-0000-0000691B0000}"/>
    <cellStyle name="Normal 5 5 2 4 3 2" xfId="14103" xr:uid="{B3A7F161-BE25-478E-BF5A-D25D9653C107}"/>
    <cellStyle name="Normal 5 5 2 4 4" xfId="9885" xr:uid="{42372C58-B609-46D6-9AA7-80F3C4CBCAEA}"/>
    <cellStyle name="Normal 5 5 2 5" xfId="1769" xr:uid="{00000000-0005-0000-0000-00006A1B0000}"/>
    <cellStyle name="Normal 5 5 2 5 2" xfId="3999" xr:uid="{00000000-0005-0000-0000-00006B1B0000}"/>
    <cellStyle name="Normal 5 5 2 5 2 2" xfId="8222" xr:uid="{00000000-0005-0000-0000-00006C1B0000}"/>
    <cellStyle name="Normal 5 5 2 5 2 2 2" xfId="16661" xr:uid="{3BAC87F7-0F5E-461F-8CBA-0FCBBA564146}"/>
    <cellStyle name="Normal 5 5 2 5 2 3" xfId="12443" xr:uid="{52F88C01-4322-42CD-BFEA-77D5B4827B1C}"/>
    <cellStyle name="Normal 5 5 2 5 3" xfId="6077" xr:uid="{00000000-0005-0000-0000-00006D1B0000}"/>
    <cellStyle name="Normal 5 5 2 5 3 2" xfId="14516" xr:uid="{1859772C-4B76-4AFF-9F05-DF758731A656}"/>
    <cellStyle name="Normal 5 5 2 5 4" xfId="10298" xr:uid="{744AB2EC-C7FC-478B-9AF8-D32808FE87C1}"/>
    <cellStyle name="Normal 5 5 2 6" xfId="2183" xr:uid="{00000000-0005-0000-0000-00006E1B0000}"/>
    <cellStyle name="Normal 5 5 2 6 2" xfId="4412" xr:uid="{00000000-0005-0000-0000-00006F1B0000}"/>
    <cellStyle name="Normal 5 5 2 6 2 2" xfId="8635" xr:uid="{00000000-0005-0000-0000-0000701B0000}"/>
    <cellStyle name="Normal 5 5 2 6 2 2 2" xfId="17074" xr:uid="{33C8EBD1-2E47-46FB-A522-E3981D71EEC7}"/>
    <cellStyle name="Normal 5 5 2 6 2 3" xfId="12856" xr:uid="{2468092F-255F-40D1-A0A6-0CC30A49CDAE}"/>
    <cellStyle name="Normal 5 5 2 6 3" xfId="6490" xr:uid="{00000000-0005-0000-0000-0000711B0000}"/>
    <cellStyle name="Normal 5 5 2 6 3 2" xfId="14929" xr:uid="{460D112B-E6A4-44EB-BFCF-C95EA8E671EE}"/>
    <cellStyle name="Normal 5 5 2 6 4" xfId="10711" xr:uid="{2A7B5291-1774-4851-B16E-8D6BADF516FD}"/>
    <cellStyle name="Normal 5 5 2 7" xfId="2619" xr:uid="{00000000-0005-0000-0000-0000721B0000}"/>
    <cellStyle name="Normal 5 5 2 7 2" xfId="6903" xr:uid="{00000000-0005-0000-0000-0000731B0000}"/>
    <cellStyle name="Normal 5 5 2 7 2 2" xfId="15342" xr:uid="{374855EF-945B-4B8D-93C8-31F10306DAB1}"/>
    <cellStyle name="Normal 5 5 2 7 3" xfId="11124" xr:uid="{A77BEE14-AF1E-4948-8451-21AACD53FF00}"/>
    <cellStyle name="Normal 5 5 2 8" xfId="4838" xr:uid="{00000000-0005-0000-0000-0000741B0000}"/>
    <cellStyle name="Normal 5 5 2 8 2" xfId="13277" xr:uid="{C8FF2C18-797F-4F51-A383-99998DF61129}"/>
    <cellStyle name="Normal 5 5 2 9" xfId="9059" xr:uid="{7F685B9A-2D9C-4EED-9040-61B3AD586E56}"/>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2 2 2" xfId="15837" xr:uid="{8D26AA83-17AF-4CCB-9C44-6BE9C52A605F}"/>
    <cellStyle name="Normal 5 5 3 2 2 3" xfId="11619" xr:uid="{0433FF20-12A6-4148-AE5F-35B0355D59A2}"/>
    <cellStyle name="Normal 5 5 3 2 3" xfId="5253" xr:uid="{00000000-0005-0000-0000-0000791B0000}"/>
    <cellStyle name="Normal 5 5 3 2 3 2" xfId="13692" xr:uid="{E4F0CA58-C7F1-4B3C-AFFF-310D71E61518}"/>
    <cellStyle name="Normal 5 5 3 2 4" xfId="9474" xr:uid="{977F125B-901C-401D-B87D-3F41C4403EC0}"/>
    <cellStyle name="Normal 5 5 3 3" xfId="1358" xr:uid="{00000000-0005-0000-0000-00007A1B0000}"/>
    <cellStyle name="Normal 5 5 3 3 2" xfId="3588" xr:uid="{00000000-0005-0000-0000-00007B1B0000}"/>
    <cellStyle name="Normal 5 5 3 3 2 2" xfId="7811" xr:uid="{00000000-0005-0000-0000-00007C1B0000}"/>
    <cellStyle name="Normal 5 5 3 3 2 2 2" xfId="16250" xr:uid="{CFBFF3D4-7E06-491F-936E-4427514BC2CB}"/>
    <cellStyle name="Normal 5 5 3 3 2 3" xfId="12032" xr:uid="{73438A89-06DF-4CE1-8703-09E095B88BE1}"/>
    <cellStyle name="Normal 5 5 3 3 3" xfId="5666" xr:uid="{00000000-0005-0000-0000-00007D1B0000}"/>
    <cellStyle name="Normal 5 5 3 3 3 2" xfId="14105" xr:uid="{CED4B775-FCF8-4C30-BE93-3D5ECF1D7690}"/>
    <cellStyle name="Normal 5 5 3 3 4" xfId="9887" xr:uid="{36921D3A-2497-46B8-8644-DF09CEAC1E8A}"/>
    <cellStyle name="Normal 5 5 3 4" xfId="1771" xr:uid="{00000000-0005-0000-0000-00007E1B0000}"/>
    <cellStyle name="Normal 5 5 3 4 2" xfId="4001" xr:uid="{00000000-0005-0000-0000-00007F1B0000}"/>
    <cellStyle name="Normal 5 5 3 4 2 2" xfId="8224" xr:uid="{00000000-0005-0000-0000-0000801B0000}"/>
    <cellStyle name="Normal 5 5 3 4 2 2 2" xfId="16663" xr:uid="{AC862A71-2340-45CB-BD8C-3DE4A40C797A}"/>
    <cellStyle name="Normal 5 5 3 4 2 3" xfId="12445" xr:uid="{437049BE-8CB3-4C2B-B1E0-E465D6C88F83}"/>
    <cellStyle name="Normal 5 5 3 4 3" xfId="6079" xr:uid="{00000000-0005-0000-0000-0000811B0000}"/>
    <cellStyle name="Normal 5 5 3 4 3 2" xfId="14518" xr:uid="{67C64625-A0F7-4698-9BE6-AD6D4C29157F}"/>
    <cellStyle name="Normal 5 5 3 4 4" xfId="10300" xr:uid="{34CEDAA7-B524-4987-94DC-2AFC66F18614}"/>
    <cellStyle name="Normal 5 5 3 5" xfId="2185" xr:uid="{00000000-0005-0000-0000-0000821B0000}"/>
    <cellStyle name="Normal 5 5 3 5 2" xfId="4414" xr:uid="{00000000-0005-0000-0000-0000831B0000}"/>
    <cellStyle name="Normal 5 5 3 5 2 2" xfId="8637" xr:uid="{00000000-0005-0000-0000-0000841B0000}"/>
    <cellStyle name="Normal 5 5 3 5 2 2 2" xfId="17076" xr:uid="{6D459D0F-F07C-47BB-90E4-D273F3EA14E2}"/>
    <cellStyle name="Normal 5 5 3 5 2 3" xfId="12858" xr:uid="{28F2CD75-DA75-4C03-8D6F-A443462FB135}"/>
    <cellStyle name="Normal 5 5 3 5 3" xfId="6492" xr:uid="{00000000-0005-0000-0000-0000851B0000}"/>
    <cellStyle name="Normal 5 5 3 5 3 2" xfId="14931" xr:uid="{7C96304E-3A45-45B9-83CA-C50BE36E45B1}"/>
    <cellStyle name="Normal 5 5 3 5 4" xfId="10713" xr:uid="{E245907C-4D83-47E4-B5E8-CDD57B7B47BC}"/>
    <cellStyle name="Normal 5 5 3 6" xfId="2621" xr:uid="{00000000-0005-0000-0000-0000861B0000}"/>
    <cellStyle name="Normal 5 5 3 6 2" xfId="6905" xr:uid="{00000000-0005-0000-0000-0000871B0000}"/>
    <cellStyle name="Normal 5 5 3 6 2 2" xfId="15344" xr:uid="{623D58E4-0E98-47AD-9234-81FA709AB025}"/>
    <cellStyle name="Normal 5 5 3 6 3" xfId="11126" xr:uid="{91431C77-9F34-4210-AA70-C76B28593979}"/>
    <cellStyle name="Normal 5 5 3 7" xfId="4840" xr:uid="{00000000-0005-0000-0000-0000881B0000}"/>
    <cellStyle name="Normal 5 5 3 7 2" xfId="13279" xr:uid="{65EF959F-FDD5-453A-8E75-86462688B9EC}"/>
    <cellStyle name="Normal 5 5 3 8" xfId="9061" xr:uid="{3B664961-B77F-457C-A634-C39C796E8C39}"/>
    <cellStyle name="Normal 5 5 4" xfId="938" xr:uid="{00000000-0005-0000-0000-0000891B0000}"/>
    <cellStyle name="Normal 5 5 4 2" xfId="3172" xr:uid="{00000000-0005-0000-0000-00008A1B0000}"/>
    <cellStyle name="Normal 5 5 4 2 2" xfId="7395" xr:uid="{00000000-0005-0000-0000-00008B1B0000}"/>
    <cellStyle name="Normal 5 5 4 2 2 2" xfId="15834" xr:uid="{85E7950A-5D7B-43A7-9727-88F2C54AC38A}"/>
    <cellStyle name="Normal 5 5 4 2 3" xfId="11616" xr:uid="{BD43E29D-D131-4F82-ACFD-8B241350590D}"/>
    <cellStyle name="Normal 5 5 4 3" xfId="5250" xr:uid="{00000000-0005-0000-0000-00008C1B0000}"/>
    <cellStyle name="Normal 5 5 4 3 2" xfId="13689" xr:uid="{BB3706F6-9182-451D-8A66-54BF52E40F65}"/>
    <cellStyle name="Normal 5 5 4 4" xfId="9471" xr:uid="{FB8D56C1-C072-4E3D-9E3D-E02AD3BE6BC1}"/>
    <cellStyle name="Normal 5 5 5" xfId="1355" xr:uid="{00000000-0005-0000-0000-00008D1B0000}"/>
    <cellStyle name="Normal 5 5 5 2" xfId="3585" xr:uid="{00000000-0005-0000-0000-00008E1B0000}"/>
    <cellStyle name="Normal 5 5 5 2 2" xfId="7808" xr:uid="{00000000-0005-0000-0000-00008F1B0000}"/>
    <cellStyle name="Normal 5 5 5 2 2 2" xfId="16247" xr:uid="{408C1AA6-09F1-483B-A37E-35F0CA061CEE}"/>
    <cellStyle name="Normal 5 5 5 2 3" xfId="12029" xr:uid="{FB6A6F22-CB24-49C7-AFFF-39DE273FB442}"/>
    <cellStyle name="Normal 5 5 5 3" xfId="5663" xr:uid="{00000000-0005-0000-0000-0000901B0000}"/>
    <cellStyle name="Normal 5 5 5 3 2" xfId="14102" xr:uid="{3526135C-B58C-431F-B329-24F17C83EDA8}"/>
    <cellStyle name="Normal 5 5 5 4" xfId="9884" xr:uid="{849D4462-BEED-40F4-B443-BE51CB65AEC9}"/>
    <cellStyle name="Normal 5 5 6" xfId="1768" xr:uid="{00000000-0005-0000-0000-0000911B0000}"/>
    <cellStyle name="Normal 5 5 6 2" xfId="3998" xr:uid="{00000000-0005-0000-0000-0000921B0000}"/>
    <cellStyle name="Normal 5 5 6 2 2" xfId="8221" xr:uid="{00000000-0005-0000-0000-0000931B0000}"/>
    <cellStyle name="Normal 5 5 6 2 2 2" xfId="16660" xr:uid="{B72FAD42-8FEF-4E43-B643-892A9B69062D}"/>
    <cellStyle name="Normal 5 5 6 2 3" xfId="12442" xr:uid="{92720FC6-37C6-4959-BDB6-9A059EA439DF}"/>
    <cellStyle name="Normal 5 5 6 3" xfId="6076" xr:uid="{00000000-0005-0000-0000-0000941B0000}"/>
    <cellStyle name="Normal 5 5 6 3 2" xfId="14515" xr:uid="{25BE85D6-B90E-4799-86B9-4F6B6AF823D2}"/>
    <cellStyle name="Normal 5 5 6 4" xfId="10297" xr:uid="{92037A64-95C6-4085-B7DB-324E32D63D09}"/>
    <cellStyle name="Normal 5 5 7" xfId="2182" xr:uid="{00000000-0005-0000-0000-0000951B0000}"/>
    <cellStyle name="Normal 5 5 7 2" xfId="4411" xr:uid="{00000000-0005-0000-0000-0000961B0000}"/>
    <cellStyle name="Normal 5 5 7 2 2" xfId="8634" xr:uid="{00000000-0005-0000-0000-0000971B0000}"/>
    <cellStyle name="Normal 5 5 7 2 2 2" xfId="17073" xr:uid="{4DCCB744-63F2-4868-B973-03D9713B12BD}"/>
    <cellStyle name="Normal 5 5 7 2 3" xfId="12855" xr:uid="{65706C4E-9981-46AC-8063-D668DB5CE331}"/>
    <cellStyle name="Normal 5 5 7 3" xfId="6489" xr:uid="{00000000-0005-0000-0000-0000981B0000}"/>
    <cellStyle name="Normal 5 5 7 3 2" xfId="14928" xr:uid="{5851B76D-09A1-4A97-BD5C-76D2E3F1F496}"/>
    <cellStyle name="Normal 5 5 7 4" xfId="10710" xr:uid="{F211D2B6-7F99-4ACD-8227-AB523FF58B7E}"/>
    <cellStyle name="Normal 5 5 8" xfId="2618" xr:uid="{00000000-0005-0000-0000-0000991B0000}"/>
    <cellStyle name="Normal 5 5 8 2" xfId="6902" xr:uid="{00000000-0005-0000-0000-00009A1B0000}"/>
    <cellStyle name="Normal 5 5 8 2 2" xfId="15341" xr:uid="{0951F6B0-B5AE-43BD-8B48-7F046EEE648B}"/>
    <cellStyle name="Normal 5 5 8 3" xfId="11123" xr:uid="{E862B2E7-444A-4BED-AE76-BC3635BC646F}"/>
    <cellStyle name="Normal 5 5 9" xfId="4837" xr:uid="{00000000-0005-0000-0000-00009B1B0000}"/>
    <cellStyle name="Normal 5 5 9 2" xfId="13276" xr:uid="{6982FCC9-72F8-4FCE-802C-C7974DC0CE18}"/>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2 2 2" xfId="15839" xr:uid="{CD666EB5-FFB6-4C63-A405-021345A7B5F0}"/>
    <cellStyle name="Normal 5 6 2 2 2 3" xfId="11621" xr:uid="{1F1189B5-B735-42F9-BF54-3AE4140F9F13}"/>
    <cellStyle name="Normal 5 6 2 2 3" xfId="5255" xr:uid="{00000000-0005-0000-0000-0000A11B0000}"/>
    <cellStyle name="Normal 5 6 2 2 3 2" xfId="13694" xr:uid="{3C1D4ECE-9F65-41C0-885F-3B3B9514F221}"/>
    <cellStyle name="Normal 5 6 2 2 4" xfId="9476" xr:uid="{FB914019-54E8-4079-B824-48D1DA5B3BD8}"/>
    <cellStyle name="Normal 5 6 2 3" xfId="1360" xr:uid="{00000000-0005-0000-0000-0000A21B0000}"/>
    <cellStyle name="Normal 5 6 2 3 2" xfId="3590" xr:uid="{00000000-0005-0000-0000-0000A31B0000}"/>
    <cellStyle name="Normal 5 6 2 3 2 2" xfId="7813" xr:uid="{00000000-0005-0000-0000-0000A41B0000}"/>
    <cellStyle name="Normal 5 6 2 3 2 2 2" xfId="16252" xr:uid="{86F00869-1047-46E3-977F-054DBA4959FF}"/>
    <cellStyle name="Normal 5 6 2 3 2 3" xfId="12034" xr:uid="{DC18C92B-3D79-4F90-A7F5-F84F0DD2CDDB}"/>
    <cellStyle name="Normal 5 6 2 3 3" xfId="5668" xr:uid="{00000000-0005-0000-0000-0000A51B0000}"/>
    <cellStyle name="Normal 5 6 2 3 3 2" xfId="14107" xr:uid="{09EACECE-4B10-481C-B110-C29E56A9C82C}"/>
    <cellStyle name="Normal 5 6 2 3 4" xfId="9889" xr:uid="{AC610053-5C2F-4A2E-BB96-839F2F1806F9}"/>
    <cellStyle name="Normal 5 6 2 4" xfId="1773" xr:uid="{00000000-0005-0000-0000-0000A61B0000}"/>
    <cellStyle name="Normal 5 6 2 4 2" xfId="4003" xr:uid="{00000000-0005-0000-0000-0000A71B0000}"/>
    <cellStyle name="Normal 5 6 2 4 2 2" xfId="8226" xr:uid="{00000000-0005-0000-0000-0000A81B0000}"/>
    <cellStyle name="Normal 5 6 2 4 2 2 2" xfId="16665" xr:uid="{5D1EC6B4-AB49-49FD-BE82-5D6565CAD248}"/>
    <cellStyle name="Normal 5 6 2 4 2 3" xfId="12447" xr:uid="{64F27063-9FF6-4617-9836-42D6F4899C90}"/>
    <cellStyle name="Normal 5 6 2 4 3" xfId="6081" xr:uid="{00000000-0005-0000-0000-0000A91B0000}"/>
    <cellStyle name="Normal 5 6 2 4 3 2" xfId="14520" xr:uid="{55EAF5D1-840D-4BEC-A646-D641143A07C3}"/>
    <cellStyle name="Normal 5 6 2 4 4" xfId="10302" xr:uid="{90BAF755-28CC-4061-B9A9-1DBC9ACD232B}"/>
    <cellStyle name="Normal 5 6 2 5" xfId="2187" xr:uid="{00000000-0005-0000-0000-0000AA1B0000}"/>
    <cellStyle name="Normal 5 6 2 5 2" xfId="4416" xr:uid="{00000000-0005-0000-0000-0000AB1B0000}"/>
    <cellStyle name="Normal 5 6 2 5 2 2" xfId="8639" xr:uid="{00000000-0005-0000-0000-0000AC1B0000}"/>
    <cellStyle name="Normal 5 6 2 5 2 2 2" xfId="17078" xr:uid="{1A58C6E1-B91E-4314-A1A5-F02BC3A8504D}"/>
    <cellStyle name="Normal 5 6 2 5 2 3" xfId="12860" xr:uid="{441A962A-8405-48A4-A0B4-AA9329BACF63}"/>
    <cellStyle name="Normal 5 6 2 5 3" xfId="6494" xr:uid="{00000000-0005-0000-0000-0000AD1B0000}"/>
    <cellStyle name="Normal 5 6 2 5 3 2" xfId="14933" xr:uid="{1DFEF1A8-2C5D-441C-A26E-B41B23197F34}"/>
    <cellStyle name="Normal 5 6 2 5 4" xfId="10715" xr:uid="{06B6A079-D1EE-42FF-8CC0-98485B6DD41F}"/>
    <cellStyle name="Normal 5 6 2 6" xfId="2623" xr:uid="{00000000-0005-0000-0000-0000AE1B0000}"/>
    <cellStyle name="Normal 5 6 2 6 2" xfId="6907" xr:uid="{00000000-0005-0000-0000-0000AF1B0000}"/>
    <cellStyle name="Normal 5 6 2 6 2 2" xfId="15346" xr:uid="{7C74E00B-3B02-45FA-AA54-12416902391A}"/>
    <cellStyle name="Normal 5 6 2 6 3" xfId="11128" xr:uid="{FBA7FBEC-CF8D-47DC-958E-CD5DBBA55EF6}"/>
    <cellStyle name="Normal 5 6 2 7" xfId="4842" xr:uid="{00000000-0005-0000-0000-0000B01B0000}"/>
    <cellStyle name="Normal 5 6 2 7 2" xfId="13281" xr:uid="{93A3A102-7578-4C4A-9177-16C70CFC4F14}"/>
    <cellStyle name="Normal 5 6 2 8" xfId="9063" xr:uid="{5BABF97C-EBCB-4DB9-B1DB-9F0E4DA9A867}"/>
    <cellStyle name="Normal 5 6 3" xfId="942" xr:uid="{00000000-0005-0000-0000-0000B11B0000}"/>
    <cellStyle name="Normal 5 6 3 2" xfId="3176" xr:uid="{00000000-0005-0000-0000-0000B21B0000}"/>
    <cellStyle name="Normal 5 6 3 2 2" xfId="7399" xr:uid="{00000000-0005-0000-0000-0000B31B0000}"/>
    <cellStyle name="Normal 5 6 3 2 2 2" xfId="15838" xr:uid="{C77D9F5F-80EA-46F4-80F3-4CC85ED5C468}"/>
    <cellStyle name="Normal 5 6 3 2 3" xfId="11620" xr:uid="{0C805389-20ED-4818-B8AF-362685F509A7}"/>
    <cellStyle name="Normal 5 6 3 3" xfId="5254" xr:uid="{00000000-0005-0000-0000-0000B41B0000}"/>
    <cellStyle name="Normal 5 6 3 3 2" xfId="13693" xr:uid="{8CD6C010-509F-4170-AAA9-5763656E4483}"/>
    <cellStyle name="Normal 5 6 3 4" xfId="9475" xr:uid="{5F7C16E8-C3A7-4E7A-BB26-4B8FA759E731}"/>
    <cellStyle name="Normal 5 6 4" xfId="1359" xr:uid="{00000000-0005-0000-0000-0000B51B0000}"/>
    <cellStyle name="Normal 5 6 4 2" xfId="3589" xr:uid="{00000000-0005-0000-0000-0000B61B0000}"/>
    <cellStyle name="Normal 5 6 4 2 2" xfId="7812" xr:uid="{00000000-0005-0000-0000-0000B71B0000}"/>
    <cellStyle name="Normal 5 6 4 2 2 2" xfId="16251" xr:uid="{5BB64EBC-990C-4411-BDC5-016586FD2C11}"/>
    <cellStyle name="Normal 5 6 4 2 3" xfId="12033" xr:uid="{1A78B9F3-D838-4C1A-9B01-B89D22788B5C}"/>
    <cellStyle name="Normal 5 6 4 3" xfId="5667" xr:uid="{00000000-0005-0000-0000-0000B81B0000}"/>
    <cellStyle name="Normal 5 6 4 3 2" xfId="14106" xr:uid="{7FCD7DD5-89F9-444A-9FEB-E1703CB212EB}"/>
    <cellStyle name="Normal 5 6 4 4" xfId="9888" xr:uid="{4FD82B7D-2FE3-47DF-A107-DEDF0DF64E9C}"/>
    <cellStyle name="Normal 5 6 5" xfId="1772" xr:uid="{00000000-0005-0000-0000-0000B91B0000}"/>
    <cellStyle name="Normal 5 6 5 2" xfId="4002" xr:uid="{00000000-0005-0000-0000-0000BA1B0000}"/>
    <cellStyle name="Normal 5 6 5 2 2" xfId="8225" xr:uid="{00000000-0005-0000-0000-0000BB1B0000}"/>
    <cellStyle name="Normal 5 6 5 2 2 2" xfId="16664" xr:uid="{C9C23EE0-5647-4646-8F8C-DD35809CA3A6}"/>
    <cellStyle name="Normal 5 6 5 2 3" xfId="12446" xr:uid="{408E2D54-0196-4AB8-8819-E233D2204D2D}"/>
    <cellStyle name="Normal 5 6 5 3" xfId="6080" xr:uid="{00000000-0005-0000-0000-0000BC1B0000}"/>
    <cellStyle name="Normal 5 6 5 3 2" xfId="14519" xr:uid="{BD0ED58F-EDF3-46D3-B453-D4C2F258253A}"/>
    <cellStyle name="Normal 5 6 5 4" xfId="10301" xr:uid="{B5066BE4-463A-4180-B5B9-B98922F6D898}"/>
    <cellStyle name="Normal 5 6 6" xfId="2186" xr:uid="{00000000-0005-0000-0000-0000BD1B0000}"/>
    <cellStyle name="Normal 5 6 6 2" xfId="4415" xr:uid="{00000000-0005-0000-0000-0000BE1B0000}"/>
    <cellStyle name="Normal 5 6 6 2 2" xfId="8638" xr:uid="{00000000-0005-0000-0000-0000BF1B0000}"/>
    <cellStyle name="Normal 5 6 6 2 2 2" xfId="17077" xr:uid="{8BD3C969-86A2-4BE9-8FE9-A0889B47B605}"/>
    <cellStyle name="Normal 5 6 6 2 3" xfId="12859" xr:uid="{74AD15FE-1FDB-40BC-8770-530BBF5F48E3}"/>
    <cellStyle name="Normal 5 6 6 3" xfId="6493" xr:uid="{00000000-0005-0000-0000-0000C01B0000}"/>
    <cellStyle name="Normal 5 6 6 3 2" xfId="14932" xr:uid="{8BC4CEF2-D473-4E3B-B9EA-F831318BD58C}"/>
    <cellStyle name="Normal 5 6 6 4" xfId="10714" xr:uid="{AF18B71A-41A1-40B9-9E6B-B188F54BB0A9}"/>
    <cellStyle name="Normal 5 6 7" xfId="2622" xr:uid="{00000000-0005-0000-0000-0000C11B0000}"/>
    <cellStyle name="Normal 5 6 7 2" xfId="6906" xr:uid="{00000000-0005-0000-0000-0000C21B0000}"/>
    <cellStyle name="Normal 5 6 7 2 2" xfId="15345" xr:uid="{6CB69354-DEA2-4792-8A34-12CA3A2B0C99}"/>
    <cellStyle name="Normal 5 6 7 3" xfId="11127" xr:uid="{C73B1200-2C6A-4E92-8E26-CAB75F1C6A4F}"/>
    <cellStyle name="Normal 5 6 8" xfId="4841" xr:uid="{00000000-0005-0000-0000-0000C31B0000}"/>
    <cellStyle name="Normal 5 6 8 2" xfId="13280" xr:uid="{86D9C949-282D-4B17-BE53-7C657885B333}"/>
    <cellStyle name="Normal 5 6 9" xfId="9062" xr:uid="{435C3BD4-B1FD-476E-9DAA-B14566C1EE2E}"/>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2 2 2" xfId="15840" xr:uid="{8376AAED-9078-4380-B829-EAC8CB02BB3C}"/>
    <cellStyle name="Normal 5 7 2 2 3" xfId="11622" xr:uid="{2ABE189B-3999-45E7-A9EA-F10B0FC165AF}"/>
    <cellStyle name="Normal 5 7 2 3" xfId="5256" xr:uid="{00000000-0005-0000-0000-0000C81B0000}"/>
    <cellStyle name="Normal 5 7 2 3 2" xfId="13695" xr:uid="{40D8ECA0-5573-4CDB-8A2F-C79A486460BA}"/>
    <cellStyle name="Normal 5 7 2 4" xfId="9477" xr:uid="{CBF69DE7-41E7-4896-8C5B-ED5F673247DA}"/>
    <cellStyle name="Normal 5 7 3" xfId="1361" xr:uid="{00000000-0005-0000-0000-0000C91B0000}"/>
    <cellStyle name="Normal 5 7 3 2" xfId="3591" xr:uid="{00000000-0005-0000-0000-0000CA1B0000}"/>
    <cellStyle name="Normal 5 7 3 2 2" xfId="7814" xr:uid="{00000000-0005-0000-0000-0000CB1B0000}"/>
    <cellStyle name="Normal 5 7 3 2 2 2" xfId="16253" xr:uid="{AD1A377E-591E-4E87-A0D4-F366582AF373}"/>
    <cellStyle name="Normal 5 7 3 2 3" xfId="12035" xr:uid="{D69F158E-DCBA-456F-978C-9E82AD444393}"/>
    <cellStyle name="Normal 5 7 3 3" xfId="5669" xr:uid="{00000000-0005-0000-0000-0000CC1B0000}"/>
    <cellStyle name="Normal 5 7 3 3 2" xfId="14108" xr:uid="{599F0CD8-735E-45EE-803F-2D1A1FB99B72}"/>
    <cellStyle name="Normal 5 7 3 4" xfId="9890" xr:uid="{D1E45062-06D3-4F37-BF4B-0C324F761FC2}"/>
    <cellStyle name="Normal 5 7 4" xfId="1774" xr:uid="{00000000-0005-0000-0000-0000CD1B0000}"/>
    <cellStyle name="Normal 5 7 4 2" xfId="4004" xr:uid="{00000000-0005-0000-0000-0000CE1B0000}"/>
    <cellStyle name="Normal 5 7 4 2 2" xfId="8227" xr:uid="{00000000-0005-0000-0000-0000CF1B0000}"/>
    <cellStyle name="Normal 5 7 4 2 2 2" xfId="16666" xr:uid="{42C4A94D-BB7A-4436-A1F8-B580C829BE10}"/>
    <cellStyle name="Normal 5 7 4 2 3" xfId="12448" xr:uid="{054775EC-4134-4F2B-9FA0-3C7EBB0BED8A}"/>
    <cellStyle name="Normal 5 7 4 3" xfId="6082" xr:uid="{00000000-0005-0000-0000-0000D01B0000}"/>
    <cellStyle name="Normal 5 7 4 3 2" xfId="14521" xr:uid="{CC33EF7F-8F0A-4C58-9BEE-205871CF2B7D}"/>
    <cellStyle name="Normal 5 7 4 4" xfId="10303" xr:uid="{9378BEC8-6A7E-48D0-818E-BA0AC44036C0}"/>
    <cellStyle name="Normal 5 7 5" xfId="2188" xr:uid="{00000000-0005-0000-0000-0000D11B0000}"/>
    <cellStyle name="Normal 5 7 5 2" xfId="4417" xr:uid="{00000000-0005-0000-0000-0000D21B0000}"/>
    <cellStyle name="Normal 5 7 5 2 2" xfId="8640" xr:uid="{00000000-0005-0000-0000-0000D31B0000}"/>
    <cellStyle name="Normal 5 7 5 2 2 2" xfId="17079" xr:uid="{4AA9F384-8FD4-421C-88FE-0B911CA729AE}"/>
    <cellStyle name="Normal 5 7 5 2 3" xfId="12861" xr:uid="{519A9301-B527-48EA-9291-3A0ACB803ECA}"/>
    <cellStyle name="Normal 5 7 5 3" xfId="6495" xr:uid="{00000000-0005-0000-0000-0000D41B0000}"/>
    <cellStyle name="Normal 5 7 5 3 2" xfId="14934" xr:uid="{A0B072AA-7B03-43BB-9FB6-509389032E36}"/>
    <cellStyle name="Normal 5 7 5 4" xfId="10716" xr:uid="{5A554565-99DF-4968-ACD6-B8F20C577D7F}"/>
    <cellStyle name="Normal 5 7 6" xfId="2624" xr:uid="{00000000-0005-0000-0000-0000D51B0000}"/>
    <cellStyle name="Normal 5 7 6 2" xfId="6908" xr:uid="{00000000-0005-0000-0000-0000D61B0000}"/>
    <cellStyle name="Normal 5 7 6 2 2" xfId="15347" xr:uid="{C7126348-817A-4AE7-9855-30BBF4B9782A}"/>
    <cellStyle name="Normal 5 7 6 3" xfId="11129" xr:uid="{B649F289-C95A-4EF3-834C-039B458FBA7C}"/>
    <cellStyle name="Normal 5 7 7" xfId="4843" xr:uid="{00000000-0005-0000-0000-0000D71B0000}"/>
    <cellStyle name="Normal 5 7 7 2" xfId="13282" xr:uid="{95767DAF-3B0F-4A75-93B8-D6D7E5B80402}"/>
    <cellStyle name="Normal 5 7 8" xfId="9064" xr:uid="{2876EA30-A4FE-467D-B708-EED1887C6518}"/>
    <cellStyle name="Normal 5 8" xfId="880" xr:uid="{00000000-0005-0000-0000-0000D81B0000}"/>
    <cellStyle name="Normal 5 8 2" xfId="3115" xr:uid="{00000000-0005-0000-0000-0000D91B0000}"/>
    <cellStyle name="Normal 5 8 2 2" xfId="7338" xr:uid="{00000000-0005-0000-0000-0000DA1B0000}"/>
    <cellStyle name="Normal 5 8 2 2 2" xfId="15777" xr:uid="{8AD1169B-223B-494D-8691-C38114C22AFA}"/>
    <cellStyle name="Normal 5 8 2 3" xfId="11559" xr:uid="{DED2E8D7-AC9E-43C0-9E4C-F4A2E70ABF56}"/>
    <cellStyle name="Normal 5 8 3" xfId="5193" xr:uid="{00000000-0005-0000-0000-0000DB1B0000}"/>
    <cellStyle name="Normal 5 8 3 2" xfId="13632" xr:uid="{73BE278E-3DA4-451B-B636-217AB1EF3CE2}"/>
    <cellStyle name="Normal 5 8 4" xfId="9414" xr:uid="{86B34D06-3EDE-4E04-BC41-A92A006914B5}"/>
    <cellStyle name="Normal 5 9" xfId="1298" xr:uid="{00000000-0005-0000-0000-0000DC1B0000}"/>
    <cellStyle name="Normal 5 9 2" xfId="3528" xr:uid="{00000000-0005-0000-0000-0000DD1B0000}"/>
    <cellStyle name="Normal 5 9 2 2" xfId="7751" xr:uid="{00000000-0005-0000-0000-0000DE1B0000}"/>
    <cellStyle name="Normal 5 9 2 2 2" xfId="16190" xr:uid="{A3645212-5F6E-4DAF-8A2B-5D83FC2485CB}"/>
    <cellStyle name="Normal 5 9 2 3" xfId="11972" xr:uid="{781A5790-A304-4E19-B123-C6E951253030}"/>
    <cellStyle name="Normal 5 9 3" xfId="5606" xr:uid="{00000000-0005-0000-0000-0000DF1B0000}"/>
    <cellStyle name="Normal 5 9 3 2" xfId="14045" xr:uid="{F1607AC3-A3CC-486A-877D-7DB706E4C4C0}"/>
    <cellStyle name="Normal 5 9 4" xfId="9827" xr:uid="{8B711477-6176-4D11-BCBE-778D62F86A57}"/>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2 2 2" xfId="17080" xr:uid="{B209B29D-A87B-4653-8DC6-B933C3E7DDB6}"/>
    <cellStyle name="Normal 8 10 2 3" xfId="12862" xr:uid="{8B9A7C3A-BCEF-40F7-8731-1BF152670257}"/>
    <cellStyle name="Normal 8 10 3" xfId="6496" xr:uid="{00000000-0005-0000-0000-0000EB1B0000}"/>
    <cellStyle name="Normal 8 10 3 2" xfId="14935" xr:uid="{22E1B627-4422-431D-A4C4-806452B5E4C0}"/>
    <cellStyle name="Normal 8 10 4" xfId="10717" xr:uid="{EE52DC53-951E-45E2-A2B8-8D3756089DC4}"/>
    <cellStyle name="Normal 8 11" xfId="2625" xr:uid="{00000000-0005-0000-0000-0000EC1B0000}"/>
    <cellStyle name="Normal 8 11 2" xfId="6909" xr:uid="{00000000-0005-0000-0000-0000ED1B0000}"/>
    <cellStyle name="Normal 8 11 2 2" xfId="15348" xr:uid="{B2B3E2B0-2B74-4D4C-BB5E-5C986D44CA38}"/>
    <cellStyle name="Normal 8 11 3" xfId="11130" xr:uid="{67EBB297-28AA-4E2C-AF87-5E12238CD828}"/>
    <cellStyle name="Normal 8 12" xfId="4844" xr:uid="{00000000-0005-0000-0000-0000EE1B0000}"/>
    <cellStyle name="Normal 8 12 2" xfId="13283" xr:uid="{C48FE255-C07D-41C3-8D90-1589981E76CB}"/>
    <cellStyle name="Normal 8 13" xfId="9065" xr:uid="{B4E5A10D-36B3-4F17-B9C0-19CA88CE36AC}"/>
    <cellStyle name="Normal 8 2" xfId="479" xr:uid="{00000000-0005-0000-0000-0000EF1B0000}"/>
    <cellStyle name="Normal 8 2 10" xfId="2626" xr:uid="{00000000-0005-0000-0000-0000F01B0000}"/>
    <cellStyle name="Normal 8 2 10 2" xfId="6910" xr:uid="{00000000-0005-0000-0000-0000F11B0000}"/>
    <cellStyle name="Normal 8 2 10 2 2" xfId="15349" xr:uid="{E079FE4E-D673-4681-98D4-AE3CD44BE4B3}"/>
    <cellStyle name="Normal 8 2 10 3" xfId="11131" xr:uid="{28DBB508-481F-4088-873A-F5B2A34974BE}"/>
    <cellStyle name="Normal 8 2 11" xfId="4845" xr:uid="{00000000-0005-0000-0000-0000F21B0000}"/>
    <cellStyle name="Normal 8 2 11 2" xfId="13284" xr:uid="{07D83F6E-9053-4F31-807D-E1EAB88B20B5}"/>
    <cellStyle name="Normal 8 2 12" xfId="9066" xr:uid="{C82F20FE-4415-4ADC-B819-38B04F9B9F1B}"/>
    <cellStyle name="Normal 8 2 2" xfId="480" xr:uid="{00000000-0005-0000-0000-0000F31B0000}"/>
    <cellStyle name="Normal 8 2 2 10" xfId="4846" xr:uid="{00000000-0005-0000-0000-0000F41B0000}"/>
    <cellStyle name="Normal 8 2 2 10 2" xfId="13285" xr:uid="{43BEB521-3496-43AD-8152-680FF5D0F6DA}"/>
    <cellStyle name="Normal 8 2 2 11" xfId="9067" xr:uid="{B3B9AF20-2E48-4169-950E-50C158AE8BA5}"/>
    <cellStyle name="Normal 8 2 2 2" xfId="481" xr:uid="{00000000-0005-0000-0000-0000F51B0000}"/>
    <cellStyle name="Normal 8 2 2 2 10" xfId="9068" xr:uid="{0BAACE56-1BE3-4E38-AC75-D28F01EF48E3}"/>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2 2 2" xfId="15846" xr:uid="{D4441D07-92D6-451C-9237-34A0954E268D}"/>
    <cellStyle name="Normal 8 2 2 2 2 2 2 2 3" xfId="11628" xr:uid="{074F836D-CC4B-4EC5-B851-7ED42F0EADFB}"/>
    <cellStyle name="Normal 8 2 2 2 2 2 2 3" xfId="5262" xr:uid="{00000000-0005-0000-0000-0000FB1B0000}"/>
    <cellStyle name="Normal 8 2 2 2 2 2 2 3 2" xfId="13701" xr:uid="{ECD8CB06-FCF8-40EA-8D3B-F9B80C6ED57D}"/>
    <cellStyle name="Normal 8 2 2 2 2 2 2 4" xfId="9483" xr:uid="{BB16EA28-33E6-46F5-988D-E650EA68C8F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2 2 2" xfId="16259" xr:uid="{AB804C28-B3F2-4FAD-851A-756ED55D3AA8}"/>
    <cellStyle name="Normal 8 2 2 2 2 2 3 2 3" xfId="12041" xr:uid="{52C1975D-EAE2-4912-A4DA-814DE8C17546}"/>
    <cellStyle name="Normal 8 2 2 2 2 2 3 3" xfId="5675" xr:uid="{00000000-0005-0000-0000-0000FF1B0000}"/>
    <cellStyle name="Normal 8 2 2 2 2 2 3 3 2" xfId="14114" xr:uid="{8095E853-BB31-4780-B071-FBBA8894AC00}"/>
    <cellStyle name="Normal 8 2 2 2 2 2 3 4" xfId="9896" xr:uid="{07D5C2A6-EF89-41C8-81AE-3567F12374AE}"/>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2 2 2" xfId="16672" xr:uid="{5EC1D72B-1A9D-4D40-9C1F-C97B8C8B4C91}"/>
    <cellStyle name="Normal 8 2 2 2 2 2 4 2 3" xfId="12454" xr:uid="{7CCD192B-6247-48A1-AA11-DB44F1FEE629}"/>
    <cellStyle name="Normal 8 2 2 2 2 2 4 3" xfId="6088" xr:uid="{00000000-0005-0000-0000-0000031C0000}"/>
    <cellStyle name="Normal 8 2 2 2 2 2 4 3 2" xfId="14527" xr:uid="{AF6BF352-760B-4072-9B48-7BE7666B37CC}"/>
    <cellStyle name="Normal 8 2 2 2 2 2 4 4" xfId="10309" xr:uid="{5E127E41-43B8-4501-B318-881999412D99}"/>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2 2 2" xfId="17085" xr:uid="{F2A19400-3E33-40D2-97FA-89557A1CAB1B}"/>
    <cellStyle name="Normal 8 2 2 2 2 2 5 2 3" xfId="12867" xr:uid="{DA9664A7-93D5-4CF6-AC46-91E519F0D233}"/>
    <cellStyle name="Normal 8 2 2 2 2 2 5 3" xfId="6501" xr:uid="{00000000-0005-0000-0000-0000071C0000}"/>
    <cellStyle name="Normal 8 2 2 2 2 2 5 3 2" xfId="14940" xr:uid="{2C4DFCEB-2519-45FE-9452-58B1404812DA}"/>
    <cellStyle name="Normal 8 2 2 2 2 2 5 4" xfId="10722" xr:uid="{C4CF5C04-DD52-498A-82FA-97B513FC4797}"/>
    <cellStyle name="Normal 8 2 2 2 2 2 6" xfId="2630" xr:uid="{00000000-0005-0000-0000-0000081C0000}"/>
    <cellStyle name="Normal 8 2 2 2 2 2 6 2" xfId="6914" xr:uid="{00000000-0005-0000-0000-0000091C0000}"/>
    <cellStyle name="Normal 8 2 2 2 2 2 6 2 2" xfId="15353" xr:uid="{1CCF7EEF-D2F3-4593-8BD2-CA967BCDCAD1}"/>
    <cellStyle name="Normal 8 2 2 2 2 2 6 3" xfId="11135" xr:uid="{F6E00F09-1048-4B90-9773-37C2A72FD0EE}"/>
    <cellStyle name="Normal 8 2 2 2 2 2 7" xfId="4849" xr:uid="{00000000-0005-0000-0000-00000A1C0000}"/>
    <cellStyle name="Normal 8 2 2 2 2 2 7 2" xfId="13288" xr:uid="{4B719DF1-CA7D-4E3D-B58D-C697C0B4FC9C}"/>
    <cellStyle name="Normal 8 2 2 2 2 2 8" xfId="9070" xr:uid="{0C81037D-7A0B-4560-9DBB-1F861A0551F1}"/>
    <cellStyle name="Normal 8 2 2 2 2 3" xfId="949" xr:uid="{00000000-0005-0000-0000-00000B1C0000}"/>
    <cellStyle name="Normal 8 2 2 2 2 3 2" xfId="3183" xr:uid="{00000000-0005-0000-0000-00000C1C0000}"/>
    <cellStyle name="Normal 8 2 2 2 2 3 2 2" xfId="7406" xr:uid="{00000000-0005-0000-0000-00000D1C0000}"/>
    <cellStyle name="Normal 8 2 2 2 2 3 2 2 2" xfId="15845" xr:uid="{4BAE4C68-5D9D-4147-A78B-1C92A563C326}"/>
    <cellStyle name="Normal 8 2 2 2 2 3 2 3" xfId="11627" xr:uid="{7255626E-8B53-4D2A-B998-6313C6F967F2}"/>
    <cellStyle name="Normal 8 2 2 2 2 3 3" xfId="5261" xr:uid="{00000000-0005-0000-0000-00000E1C0000}"/>
    <cellStyle name="Normal 8 2 2 2 2 3 3 2" xfId="13700" xr:uid="{83616195-239E-414C-B9B2-E7B9F3ED25F4}"/>
    <cellStyle name="Normal 8 2 2 2 2 3 4" xfId="9482" xr:uid="{2594CF3F-5BB6-49A5-B018-B3ACD2F345F6}"/>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2 2 2" xfId="16258" xr:uid="{18A6B8DA-7F86-4673-BBD0-763A728AC1B7}"/>
    <cellStyle name="Normal 8 2 2 2 2 4 2 3" xfId="12040" xr:uid="{7643D565-2E44-4BB2-B943-FC399B506F45}"/>
    <cellStyle name="Normal 8 2 2 2 2 4 3" xfId="5674" xr:uid="{00000000-0005-0000-0000-0000121C0000}"/>
    <cellStyle name="Normal 8 2 2 2 2 4 3 2" xfId="14113" xr:uid="{F33FD863-99B4-4655-8BD1-F69704509699}"/>
    <cellStyle name="Normal 8 2 2 2 2 4 4" xfId="9895" xr:uid="{34457D6B-BB80-4EC4-BCDA-63C3497BF42B}"/>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2 2 2" xfId="16671" xr:uid="{036503CF-A2F0-4ADB-95A4-4B3FB0BBED1E}"/>
    <cellStyle name="Normal 8 2 2 2 2 5 2 3" xfId="12453" xr:uid="{A88E7CAC-6AF5-452D-A479-08CF0E69BCD7}"/>
    <cellStyle name="Normal 8 2 2 2 2 5 3" xfId="6087" xr:uid="{00000000-0005-0000-0000-0000161C0000}"/>
    <cellStyle name="Normal 8 2 2 2 2 5 3 2" xfId="14526" xr:uid="{4A072B03-5E4C-4DD4-A83C-C249EB9D1E33}"/>
    <cellStyle name="Normal 8 2 2 2 2 5 4" xfId="10308" xr:uid="{17785E31-2BFE-4F35-947F-4BC24C1A046B}"/>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2 2 2" xfId="17084" xr:uid="{D1D5B8B3-EDE2-4D3E-965A-F13E82D7BA51}"/>
    <cellStyle name="Normal 8 2 2 2 2 6 2 3" xfId="12866" xr:uid="{F732C73B-68E1-4E9C-84F9-039D31E568F3}"/>
    <cellStyle name="Normal 8 2 2 2 2 6 3" xfId="6500" xr:uid="{00000000-0005-0000-0000-00001A1C0000}"/>
    <cellStyle name="Normal 8 2 2 2 2 6 3 2" xfId="14939" xr:uid="{A5E3BD96-89FF-41CF-A843-481F419C575A}"/>
    <cellStyle name="Normal 8 2 2 2 2 6 4" xfId="10721" xr:uid="{C68EA710-B874-40CE-B861-5947AC4A9ECA}"/>
    <cellStyle name="Normal 8 2 2 2 2 7" xfId="2629" xr:uid="{00000000-0005-0000-0000-00001B1C0000}"/>
    <cellStyle name="Normal 8 2 2 2 2 7 2" xfId="6913" xr:uid="{00000000-0005-0000-0000-00001C1C0000}"/>
    <cellStyle name="Normal 8 2 2 2 2 7 2 2" xfId="15352" xr:uid="{4558A6BF-757C-4304-9F0B-981103B8592D}"/>
    <cellStyle name="Normal 8 2 2 2 2 7 3" xfId="11134" xr:uid="{A0190235-BD7D-49B6-AD6B-767231E6CF12}"/>
    <cellStyle name="Normal 8 2 2 2 2 8" xfId="4848" xr:uid="{00000000-0005-0000-0000-00001D1C0000}"/>
    <cellStyle name="Normal 8 2 2 2 2 8 2" xfId="13287" xr:uid="{6A095917-F9B5-4637-A530-A24120B3FF1E}"/>
    <cellStyle name="Normal 8 2 2 2 2 9" xfId="9069" xr:uid="{E3CB37F4-0A79-4DEB-8E1F-0F7048CE951D}"/>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2 2 2" xfId="15847" xr:uid="{F0E3D211-65CB-467A-AC1B-A986B2C7CFB2}"/>
    <cellStyle name="Normal 8 2 2 2 3 2 2 3" xfId="11629" xr:uid="{B9BCB2B4-E63B-46DF-B076-01DF458C38A4}"/>
    <cellStyle name="Normal 8 2 2 2 3 2 3" xfId="5263" xr:uid="{00000000-0005-0000-0000-0000221C0000}"/>
    <cellStyle name="Normal 8 2 2 2 3 2 3 2" xfId="13702" xr:uid="{1C815381-1DCB-4CF4-B2DE-0A35CF2B1E0E}"/>
    <cellStyle name="Normal 8 2 2 2 3 2 4" xfId="9484" xr:uid="{EA473048-459A-4E53-BA96-F85AE975F8D3}"/>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2 2 2" xfId="16260" xr:uid="{AB18A342-EA20-4747-8122-49E8AC9C8E21}"/>
    <cellStyle name="Normal 8 2 2 2 3 3 2 3" xfId="12042" xr:uid="{6842073A-0393-4841-9835-A12B2D8A62B4}"/>
    <cellStyle name="Normal 8 2 2 2 3 3 3" xfId="5676" xr:uid="{00000000-0005-0000-0000-0000261C0000}"/>
    <cellStyle name="Normal 8 2 2 2 3 3 3 2" xfId="14115" xr:uid="{BDE627EB-61AB-4773-B0F0-2EBE952AC726}"/>
    <cellStyle name="Normal 8 2 2 2 3 3 4" xfId="9897" xr:uid="{5A2CDBA4-3C90-43FB-8CAC-5BC97CFFDA02}"/>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2 2 2" xfId="16673" xr:uid="{CFAD1D68-6159-4250-BCB4-9A2D9E3A371F}"/>
    <cellStyle name="Normal 8 2 2 2 3 4 2 3" xfId="12455" xr:uid="{E3CA7B46-1128-44B4-BCC3-A659FFF5703A}"/>
    <cellStyle name="Normal 8 2 2 2 3 4 3" xfId="6089" xr:uid="{00000000-0005-0000-0000-00002A1C0000}"/>
    <cellStyle name="Normal 8 2 2 2 3 4 3 2" xfId="14528" xr:uid="{778938B5-02B0-4DBD-9226-DD7BA4CF53F0}"/>
    <cellStyle name="Normal 8 2 2 2 3 4 4" xfId="10310" xr:uid="{C0905921-357B-4F79-94C9-B8C56044F2DF}"/>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2 2 2" xfId="17086" xr:uid="{0B28EABE-7EA0-4A95-AE88-18849B54A9EF}"/>
    <cellStyle name="Normal 8 2 2 2 3 5 2 3" xfId="12868" xr:uid="{71EE6C2E-13E2-439C-9067-FCFCA0D992BE}"/>
    <cellStyle name="Normal 8 2 2 2 3 5 3" xfId="6502" xr:uid="{00000000-0005-0000-0000-00002E1C0000}"/>
    <cellStyle name="Normal 8 2 2 2 3 5 3 2" xfId="14941" xr:uid="{F57E9B03-4585-4EA0-A854-C3FD4876D31D}"/>
    <cellStyle name="Normal 8 2 2 2 3 5 4" xfId="10723" xr:uid="{03F6B677-BD46-45E6-BBE1-BA6C057E7B18}"/>
    <cellStyle name="Normal 8 2 2 2 3 6" xfId="2631" xr:uid="{00000000-0005-0000-0000-00002F1C0000}"/>
    <cellStyle name="Normal 8 2 2 2 3 6 2" xfId="6915" xr:uid="{00000000-0005-0000-0000-0000301C0000}"/>
    <cellStyle name="Normal 8 2 2 2 3 6 2 2" xfId="15354" xr:uid="{3AD8DD38-B0A9-4E38-A0E1-BB6145F60949}"/>
    <cellStyle name="Normal 8 2 2 2 3 6 3" xfId="11136" xr:uid="{FFFA1324-0D02-4A3E-8C5F-37CD367E0C02}"/>
    <cellStyle name="Normal 8 2 2 2 3 7" xfId="4850" xr:uid="{00000000-0005-0000-0000-0000311C0000}"/>
    <cellStyle name="Normal 8 2 2 2 3 7 2" xfId="13289" xr:uid="{1B922209-C200-4A68-AC72-64A05A0B3301}"/>
    <cellStyle name="Normal 8 2 2 2 3 8" xfId="9071" xr:uid="{F3EE8428-3AAD-471C-8C7C-C04132788602}"/>
    <cellStyle name="Normal 8 2 2 2 4" xfId="948" xr:uid="{00000000-0005-0000-0000-0000321C0000}"/>
    <cellStyle name="Normal 8 2 2 2 4 2" xfId="3182" xr:uid="{00000000-0005-0000-0000-0000331C0000}"/>
    <cellStyle name="Normal 8 2 2 2 4 2 2" xfId="7405" xr:uid="{00000000-0005-0000-0000-0000341C0000}"/>
    <cellStyle name="Normal 8 2 2 2 4 2 2 2" xfId="15844" xr:uid="{00BC9FDD-3D0B-41FE-A9DB-7333560CD29E}"/>
    <cellStyle name="Normal 8 2 2 2 4 2 3" xfId="11626" xr:uid="{04FD866C-5394-4995-B037-65D2DA9D23D8}"/>
    <cellStyle name="Normal 8 2 2 2 4 3" xfId="5260" xr:uid="{00000000-0005-0000-0000-0000351C0000}"/>
    <cellStyle name="Normal 8 2 2 2 4 3 2" xfId="13699" xr:uid="{C36B657E-5E9E-4483-A30D-F243D9D12965}"/>
    <cellStyle name="Normal 8 2 2 2 4 4" xfId="9481" xr:uid="{B9E43144-2154-4298-8445-A4371AE2D1D4}"/>
    <cellStyle name="Normal 8 2 2 2 5" xfId="1365" xr:uid="{00000000-0005-0000-0000-0000361C0000}"/>
    <cellStyle name="Normal 8 2 2 2 5 2" xfId="3595" xr:uid="{00000000-0005-0000-0000-0000371C0000}"/>
    <cellStyle name="Normal 8 2 2 2 5 2 2" xfId="7818" xr:uid="{00000000-0005-0000-0000-0000381C0000}"/>
    <cellStyle name="Normal 8 2 2 2 5 2 2 2" xfId="16257" xr:uid="{B224F036-4C83-43F5-849F-741D97FF1743}"/>
    <cellStyle name="Normal 8 2 2 2 5 2 3" xfId="12039" xr:uid="{1CA26D86-B547-4B2E-8E92-9C4038F9C8DA}"/>
    <cellStyle name="Normal 8 2 2 2 5 3" xfId="5673" xr:uid="{00000000-0005-0000-0000-0000391C0000}"/>
    <cellStyle name="Normal 8 2 2 2 5 3 2" xfId="14112" xr:uid="{075DA85B-5F1C-4991-859D-5593C052EE48}"/>
    <cellStyle name="Normal 8 2 2 2 5 4" xfId="9894" xr:uid="{A4C18F30-1024-43D9-89C9-C6A8DE463DDF}"/>
    <cellStyle name="Normal 8 2 2 2 6" xfId="1778" xr:uid="{00000000-0005-0000-0000-00003A1C0000}"/>
    <cellStyle name="Normal 8 2 2 2 6 2" xfId="4008" xr:uid="{00000000-0005-0000-0000-00003B1C0000}"/>
    <cellStyle name="Normal 8 2 2 2 6 2 2" xfId="8231" xr:uid="{00000000-0005-0000-0000-00003C1C0000}"/>
    <cellStyle name="Normal 8 2 2 2 6 2 2 2" xfId="16670" xr:uid="{976F2A01-E635-4F8D-87F7-5C2C07271534}"/>
    <cellStyle name="Normal 8 2 2 2 6 2 3" xfId="12452" xr:uid="{7B1B1233-603D-4D41-81FD-0C5FCF024682}"/>
    <cellStyle name="Normal 8 2 2 2 6 3" xfId="6086" xr:uid="{00000000-0005-0000-0000-00003D1C0000}"/>
    <cellStyle name="Normal 8 2 2 2 6 3 2" xfId="14525" xr:uid="{8BEA5045-21DD-44A2-B5C7-2A790B000737}"/>
    <cellStyle name="Normal 8 2 2 2 6 4" xfId="10307" xr:uid="{91C84B74-8067-4C17-A4F0-5391E65EB8CE}"/>
    <cellStyle name="Normal 8 2 2 2 7" xfId="2192" xr:uid="{00000000-0005-0000-0000-00003E1C0000}"/>
    <cellStyle name="Normal 8 2 2 2 7 2" xfId="4421" xr:uid="{00000000-0005-0000-0000-00003F1C0000}"/>
    <cellStyle name="Normal 8 2 2 2 7 2 2" xfId="8644" xr:uid="{00000000-0005-0000-0000-0000401C0000}"/>
    <cellStyle name="Normal 8 2 2 2 7 2 2 2" xfId="17083" xr:uid="{112B0E51-F1E6-492E-9029-CD1239BED75C}"/>
    <cellStyle name="Normal 8 2 2 2 7 2 3" xfId="12865" xr:uid="{A507717D-30B9-42D9-8887-7E7C3E61AC6A}"/>
    <cellStyle name="Normal 8 2 2 2 7 3" xfId="6499" xr:uid="{00000000-0005-0000-0000-0000411C0000}"/>
    <cellStyle name="Normal 8 2 2 2 7 3 2" xfId="14938" xr:uid="{94E22E98-924F-454D-A381-643543E99F71}"/>
    <cellStyle name="Normal 8 2 2 2 7 4" xfId="10720" xr:uid="{B3EA67BA-16D3-437C-ADA9-0EBFC008A92E}"/>
    <cellStyle name="Normal 8 2 2 2 8" xfId="2628" xr:uid="{00000000-0005-0000-0000-0000421C0000}"/>
    <cellStyle name="Normal 8 2 2 2 8 2" xfId="6912" xr:uid="{00000000-0005-0000-0000-0000431C0000}"/>
    <cellStyle name="Normal 8 2 2 2 8 2 2" xfId="15351" xr:uid="{9459C674-37A9-44C4-ABD2-3324E8BB79FA}"/>
    <cellStyle name="Normal 8 2 2 2 8 3" xfId="11133" xr:uid="{278E4B22-532E-4B9B-B9FF-21954BD13D70}"/>
    <cellStyle name="Normal 8 2 2 2 9" xfId="4847" xr:uid="{00000000-0005-0000-0000-0000441C0000}"/>
    <cellStyle name="Normal 8 2 2 2 9 2" xfId="13286" xr:uid="{E0FA4B99-8903-49EA-94EC-3BD8E11714D1}"/>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2 2 2" xfId="15849" xr:uid="{48EC2A82-DEC5-444E-A11B-22F3C9D1F159}"/>
    <cellStyle name="Normal 8 2 2 3 2 2 2 3" xfId="11631" xr:uid="{0CB458A8-D041-426B-AE12-84D7015E1F28}"/>
    <cellStyle name="Normal 8 2 2 3 2 2 3" xfId="5265" xr:uid="{00000000-0005-0000-0000-00004A1C0000}"/>
    <cellStyle name="Normal 8 2 2 3 2 2 3 2" xfId="13704" xr:uid="{347B2A64-D038-4EE3-8162-56A5676A0B10}"/>
    <cellStyle name="Normal 8 2 2 3 2 2 4" xfId="9486" xr:uid="{C21C29BB-B5CF-43EB-BBEB-58E70ED8D07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2 2 2" xfId="16262" xr:uid="{C4DB842E-25D4-4138-A9B4-10DF5401FC68}"/>
    <cellStyle name="Normal 8 2 2 3 2 3 2 3" xfId="12044" xr:uid="{02EFDC1D-3401-426C-B3C1-D28E2593ACA2}"/>
    <cellStyle name="Normal 8 2 2 3 2 3 3" xfId="5678" xr:uid="{00000000-0005-0000-0000-00004E1C0000}"/>
    <cellStyle name="Normal 8 2 2 3 2 3 3 2" xfId="14117" xr:uid="{A85F733A-A757-4BB6-B4C5-95480C657CFD}"/>
    <cellStyle name="Normal 8 2 2 3 2 3 4" xfId="9899" xr:uid="{430414F0-97A7-46D8-A4A0-A028A3136E71}"/>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2 2 2" xfId="16675" xr:uid="{19585352-9206-465E-8796-BFA7837B1D23}"/>
    <cellStyle name="Normal 8 2 2 3 2 4 2 3" xfId="12457" xr:uid="{F3733DD1-0A3C-4A29-96C4-B96D4B3A892A}"/>
    <cellStyle name="Normal 8 2 2 3 2 4 3" xfId="6091" xr:uid="{00000000-0005-0000-0000-0000521C0000}"/>
    <cellStyle name="Normal 8 2 2 3 2 4 3 2" xfId="14530" xr:uid="{3223C85C-3EB2-4E51-9BB3-8423E78E8C25}"/>
    <cellStyle name="Normal 8 2 2 3 2 4 4" xfId="10312" xr:uid="{C4218663-19F5-4806-AB11-9BC255C7C7AE}"/>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2 2 2" xfId="17088" xr:uid="{BF089188-57A2-490D-8A84-A045FE22AE84}"/>
    <cellStyle name="Normal 8 2 2 3 2 5 2 3" xfId="12870" xr:uid="{C021A8AA-4949-400B-94B7-6C0BD2101073}"/>
    <cellStyle name="Normal 8 2 2 3 2 5 3" xfId="6504" xr:uid="{00000000-0005-0000-0000-0000561C0000}"/>
    <cellStyle name="Normal 8 2 2 3 2 5 3 2" xfId="14943" xr:uid="{202CA138-DC40-478C-9678-F63424FA4172}"/>
    <cellStyle name="Normal 8 2 2 3 2 5 4" xfId="10725" xr:uid="{FE8449D0-C3CB-4036-8833-E2D91769FFEC}"/>
    <cellStyle name="Normal 8 2 2 3 2 6" xfId="2633" xr:uid="{00000000-0005-0000-0000-0000571C0000}"/>
    <cellStyle name="Normal 8 2 2 3 2 6 2" xfId="6917" xr:uid="{00000000-0005-0000-0000-0000581C0000}"/>
    <cellStyle name="Normal 8 2 2 3 2 6 2 2" xfId="15356" xr:uid="{12424D09-8DFE-4EE8-8E6E-F0F8FC4690A5}"/>
    <cellStyle name="Normal 8 2 2 3 2 6 3" xfId="11138" xr:uid="{763EB5A1-3230-45D9-90B1-9D46E903F4C4}"/>
    <cellStyle name="Normal 8 2 2 3 2 7" xfId="4852" xr:uid="{00000000-0005-0000-0000-0000591C0000}"/>
    <cellStyle name="Normal 8 2 2 3 2 7 2" xfId="13291" xr:uid="{95DBE327-2BD5-4848-BCB4-73D86F068CFB}"/>
    <cellStyle name="Normal 8 2 2 3 2 8" xfId="9073" xr:uid="{82423551-7472-4DE0-9E9C-C38A99A8DCF0}"/>
    <cellStyle name="Normal 8 2 2 3 3" xfId="952" xr:uid="{00000000-0005-0000-0000-00005A1C0000}"/>
    <cellStyle name="Normal 8 2 2 3 3 2" xfId="3186" xr:uid="{00000000-0005-0000-0000-00005B1C0000}"/>
    <cellStyle name="Normal 8 2 2 3 3 2 2" xfId="7409" xr:uid="{00000000-0005-0000-0000-00005C1C0000}"/>
    <cellStyle name="Normal 8 2 2 3 3 2 2 2" xfId="15848" xr:uid="{C01E4B0A-33F5-49E7-B982-0C1872B83E64}"/>
    <cellStyle name="Normal 8 2 2 3 3 2 3" xfId="11630" xr:uid="{6DF98E32-F89F-4405-8C33-6A4B9C41DC72}"/>
    <cellStyle name="Normal 8 2 2 3 3 3" xfId="5264" xr:uid="{00000000-0005-0000-0000-00005D1C0000}"/>
    <cellStyle name="Normal 8 2 2 3 3 3 2" xfId="13703" xr:uid="{19D3CE5E-61DC-4AB2-A513-6AE3506BEE10}"/>
    <cellStyle name="Normal 8 2 2 3 3 4" xfId="9485" xr:uid="{0FB83486-8348-4B44-AA2A-17BBCD609902}"/>
    <cellStyle name="Normal 8 2 2 3 4" xfId="1369" xr:uid="{00000000-0005-0000-0000-00005E1C0000}"/>
    <cellStyle name="Normal 8 2 2 3 4 2" xfId="3599" xr:uid="{00000000-0005-0000-0000-00005F1C0000}"/>
    <cellStyle name="Normal 8 2 2 3 4 2 2" xfId="7822" xr:uid="{00000000-0005-0000-0000-0000601C0000}"/>
    <cellStyle name="Normal 8 2 2 3 4 2 2 2" xfId="16261" xr:uid="{3877CB58-A7C0-4B0B-8511-999AB3DF6786}"/>
    <cellStyle name="Normal 8 2 2 3 4 2 3" xfId="12043" xr:uid="{BD2F3FC8-3A10-4E66-9DB7-E182A6ED7194}"/>
    <cellStyle name="Normal 8 2 2 3 4 3" xfId="5677" xr:uid="{00000000-0005-0000-0000-0000611C0000}"/>
    <cellStyle name="Normal 8 2 2 3 4 3 2" xfId="14116" xr:uid="{46CBB3CB-9795-42AB-B67B-437132B950DB}"/>
    <cellStyle name="Normal 8 2 2 3 4 4" xfId="9898" xr:uid="{BF275EAD-D0E0-4DDD-9966-C30294B6B189}"/>
    <cellStyle name="Normal 8 2 2 3 5" xfId="1782" xr:uid="{00000000-0005-0000-0000-0000621C0000}"/>
    <cellStyle name="Normal 8 2 2 3 5 2" xfId="4012" xr:uid="{00000000-0005-0000-0000-0000631C0000}"/>
    <cellStyle name="Normal 8 2 2 3 5 2 2" xfId="8235" xr:uid="{00000000-0005-0000-0000-0000641C0000}"/>
    <cellStyle name="Normal 8 2 2 3 5 2 2 2" xfId="16674" xr:uid="{900EAA15-D25B-447A-B2B7-8047BCF2FD62}"/>
    <cellStyle name="Normal 8 2 2 3 5 2 3" xfId="12456" xr:uid="{96045D37-28E5-47B1-B19A-01A6D95735AE}"/>
    <cellStyle name="Normal 8 2 2 3 5 3" xfId="6090" xr:uid="{00000000-0005-0000-0000-0000651C0000}"/>
    <cellStyle name="Normal 8 2 2 3 5 3 2" xfId="14529" xr:uid="{83562073-27E8-48F6-844F-8FA50E6921EE}"/>
    <cellStyle name="Normal 8 2 2 3 5 4" xfId="10311" xr:uid="{FBDE6557-7EE3-429F-AAF8-D2ED7E71A059}"/>
    <cellStyle name="Normal 8 2 2 3 6" xfId="2196" xr:uid="{00000000-0005-0000-0000-0000661C0000}"/>
    <cellStyle name="Normal 8 2 2 3 6 2" xfId="4425" xr:uid="{00000000-0005-0000-0000-0000671C0000}"/>
    <cellStyle name="Normal 8 2 2 3 6 2 2" xfId="8648" xr:uid="{00000000-0005-0000-0000-0000681C0000}"/>
    <cellStyle name="Normal 8 2 2 3 6 2 2 2" xfId="17087" xr:uid="{FA95001C-8FB0-43B7-A493-15BA16D95304}"/>
    <cellStyle name="Normal 8 2 2 3 6 2 3" xfId="12869" xr:uid="{93A02560-0572-4CCC-9DDB-682A1798C485}"/>
    <cellStyle name="Normal 8 2 2 3 6 3" xfId="6503" xr:uid="{00000000-0005-0000-0000-0000691C0000}"/>
    <cellStyle name="Normal 8 2 2 3 6 3 2" xfId="14942" xr:uid="{967CDC24-5024-4C99-B18F-72AE56B6B6EE}"/>
    <cellStyle name="Normal 8 2 2 3 6 4" xfId="10724" xr:uid="{2F4124DE-613F-4B99-841C-2A8F4ED30C1D}"/>
    <cellStyle name="Normal 8 2 2 3 7" xfId="2632" xr:uid="{00000000-0005-0000-0000-00006A1C0000}"/>
    <cellStyle name="Normal 8 2 2 3 7 2" xfId="6916" xr:uid="{00000000-0005-0000-0000-00006B1C0000}"/>
    <cellStyle name="Normal 8 2 2 3 7 2 2" xfId="15355" xr:uid="{6DE3159A-110D-46A3-83AA-40FEB4D9F6F3}"/>
    <cellStyle name="Normal 8 2 2 3 7 3" xfId="11137" xr:uid="{6143DB29-464E-4820-AD0C-510D8243F716}"/>
    <cellStyle name="Normal 8 2 2 3 8" xfId="4851" xr:uid="{00000000-0005-0000-0000-00006C1C0000}"/>
    <cellStyle name="Normal 8 2 2 3 8 2" xfId="13290" xr:uid="{BDA680ED-209E-47BD-A984-3ADFF7C80C74}"/>
    <cellStyle name="Normal 8 2 2 3 9" xfId="9072" xr:uid="{E962E991-6A50-41A1-81C9-26B08B14EA27}"/>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2 2 2" xfId="15850" xr:uid="{ED91177A-58B1-4F5E-B91A-129ECCC97807}"/>
    <cellStyle name="Normal 8 2 2 4 2 2 3" xfId="11632" xr:uid="{6E3AAD7A-8E68-4593-B9B6-D28C37BCB992}"/>
    <cellStyle name="Normal 8 2 2 4 2 3" xfId="5266" xr:uid="{00000000-0005-0000-0000-0000711C0000}"/>
    <cellStyle name="Normal 8 2 2 4 2 3 2" xfId="13705" xr:uid="{50CBF6FD-D3E1-4C9A-9CDE-1C0594156791}"/>
    <cellStyle name="Normal 8 2 2 4 2 4" xfId="9487" xr:uid="{37695D42-5E62-462E-8384-16CE53FAC1E4}"/>
    <cellStyle name="Normal 8 2 2 4 3" xfId="1371" xr:uid="{00000000-0005-0000-0000-0000721C0000}"/>
    <cellStyle name="Normal 8 2 2 4 3 2" xfId="3601" xr:uid="{00000000-0005-0000-0000-0000731C0000}"/>
    <cellStyle name="Normal 8 2 2 4 3 2 2" xfId="7824" xr:uid="{00000000-0005-0000-0000-0000741C0000}"/>
    <cellStyle name="Normal 8 2 2 4 3 2 2 2" xfId="16263" xr:uid="{D094EA5E-0D02-41FD-BF62-ED29303327D8}"/>
    <cellStyle name="Normal 8 2 2 4 3 2 3" xfId="12045" xr:uid="{6CF1A9A1-8D59-4944-A977-29B0D5A9EA3B}"/>
    <cellStyle name="Normal 8 2 2 4 3 3" xfId="5679" xr:uid="{00000000-0005-0000-0000-0000751C0000}"/>
    <cellStyle name="Normal 8 2 2 4 3 3 2" xfId="14118" xr:uid="{3ADF9CA3-1FC4-40BB-9678-ED85FB132E8D}"/>
    <cellStyle name="Normal 8 2 2 4 3 4" xfId="9900" xr:uid="{85E184B6-508E-4D57-A6EC-396F77057212}"/>
    <cellStyle name="Normal 8 2 2 4 4" xfId="1784" xr:uid="{00000000-0005-0000-0000-0000761C0000}"/>
    <cellStyle name="Normal 8 2 2 4 4 2" xfId="4014" xr:uid="{00000000-0005-0000-0000-0000771C0000}"/>
    <cellStyle name="Normal 8 2 2 4 4 2 2" xfId="8237" xr:uid="{00000000-0005-0000-0000-0000781C0000}"/>
    <cellStyle name="Normal 8 2 2 4 4 2 2 2" xfId="16676" xr:uid="{76C064FD-FCAC-4D5D-B946-83BFD3F22117}"/>
    <cellStyle name="Normal 8 2 2 4 4 2 3" xfId="12458" xr:uid="{A819229B-1DA3-4706-9F33-4305570F86E5}"/>
    <cellStyle name="Normal 8 2 2 4 4 3" xfId="6092" xr:uid="{00000000-0005-0000-0000-0000791C0000}"/>
    <cellStyle name="Normal 8 2 2 4 4 3 2" xfId="14531" xr:uid="{D7BDF5C7-1C6F-4DC6-A4DF-293237DB648F}"/>
    <cellStyle name="Normal 8 2 2 4 4 4" xfId="10313" xr:uid="{E44A98BF-FB71-4C0C-B00E-081E5A1B252A}"/>
    <cellStyle name="Normal 8 2 2 4 5" xfId="2198" xr:uid="{00000000-0005-0000-0000-00007A1C0000}"/>
    <cellStyle name="Normal 8 2 2 4 5 2" xfId="4427" xr:uid="{00000000-0005-0000-0000-00007B1C0000}"/>
    <cellStyle name="Normal 8 2 2 4 5 2 2" xfId="8650" xr:uid="{00000000-0005-0000-0000-00007C1C0000}"/>
    <cellStyle name="Normal 8 2 2 4 5 2 2 2" xfId="17089" xr:uid="{A5BCC1F5-2A1A-462B-AE71-FB63BCB1906F}"/>
    <cellStyle name="Normal 8 2 2 4 5 2 3" xfId="12871" xr:uid="{D6BF3C3D-D396-4209-85FB-42C709252C46}"/>
    <cellStyle name="Normal 8 2 2 4 5 3" xfId="6505" xr:uid="{00000000-0005-0000-0000-00007D1C0000}"/>
    <cellStyle name="Normal 8 2 2 4 5 3 2" xfId="14944" xr:uid="{3EAEE836-19D6-4586-AF34-65FEDBE0809A}"/>
    <cellStyle name="Normal 8 2 2 4 5 4" xfId="10726" xr:uid="{42A1BD9A-C0DF-40C6-AA84-AC1A141B3E24}"/>
    <cellStyle name="Normal 8 2 2 4 6" xfId="2634" xr:uid="{00000000-0005-0000-0000-00007E1C0000}"/>
    <cellStyle name="Normal 8 2 2 4 6 2" xfId="6918" xr:uid="{00000000-0005-0000-0000-00007F1C0000}"/>
    <cellStyle name="Normal 8 2 2 4 6 2 2" xfId="15357" xr:uid="{64EBD480-8724-42D6-AAFF-F79F63D071EA}"/>
    <cellStyle name="Normal 8 2 2 4 6 3" xfId="11139" xr:uid="{30806BF2-7AFF-42E6-9EA9-BF9C2853ECDC}"/>
    <cellStyle name="Normal 8 2 2 4 7" xfId="4853" xr:uid="{00000000-0005-0000-0000-0000801C0000}"/>
    <cellStyle name="Normal 8 2 2 4 7 2" xfId="13292" xr:uid="{B9997DD1-CA8B-4763-A676-525AC362D524}"/>
    <cellStyle name="Normal 8 2 2 4 8" xfId="9074" xr:uid="{C767C032-9A82-48FF-ABCF-8D8C37164AC7}"/>
    <cellStyle name="Normal 8 2 2 5" xfId="947" xr:uid="{00000000-0005-0000-0000-0000811C0000}"/>
    <cellStyle name="Normal 8 2 2 5 2" xfId="3181" xr:uid="{00000000-0005-0000-0000-0000821C0000}"/>
    <cellStyle name="Normal 8 2 2 5 2 2" xfId="7404" xr:uid="{00000000-0005-0000-0000-0000831C0000}"/>
    <cellStyle name="Normal 8 2 2 5 2 2 2" xfId="15843" xr:uid="{9888DC46-1ADF-4872-996D-A67F69186F9C}"/>
    <cellStyle name="Normal 8 2 2 5 2 3" xfId="11625" xr:uid="{D8C2B282-2D65-4B07-A0EB-2D1A1CFFBAFA}"/>
    <cellStyle name="Normal 8 2 2 5 3" xfId="5259" xr:uid="{00000000-0005-0000-0000-0000841C0000}"/>
    <cellStyle name="Normal 8 2 2 5 3 2" xfId="13698" xr:uid="{10AB4F24-368B-4CFE-B082-A27DA26AD72E}"/>
    <cellStyle name="Normal 8 2 2 5 4" xfId="9480" xr:uid="{CDBFA593-E880-4C41-8DB3-8C36172CC42D}"/>
    <cellStyle name="Normal 8 2 2 6" xfId="1364" xr:uid="{00000000-0005-0000-0000-0000851C0000}"/>
    <cellStyle name="Normal 8 2 2 6 2" xfId="3594" xr:uid="{00000000-0005-0000-0000-0000861C0000}"/>
    <cellStyle name="Normal 8 2 2 6 2 2" xfId="7817" xr:uid="{00000000-0005-0000-0000-0000871C0000}"/>
    <cellStyle name="Normal 8 2 2 6 2 2 2" xfId="16256" xr:uid="{DA251C75-968F-43F4-B7E9-198E5BB265F8}"/>
    <cellStyle name="Normal 8 2 2 6 2 3" xfId="12038" xr:uid="{D9A82FED-7811-496F-A001-A533AE1C6FEE}"/>
    <cellStyle name="Normal 8 2 2 6 3" xfId="5672" xr:uid="{00000000-0005-0000-0000-0000881C0000}"/>
    <cellStyle name="Normal 8 2 2 6 3 2" xfId="14111" xr:uid="{A9ACDCF0-4384-4120-929A-D7FA369FE312}"/>
    <cellStyle name="Normal 8 2 2 6 4" xfId="9893" xr:uid="{98A4434D-0173-41A1-B0DD-5158F3216283}"/>
    <cellStyle name="Normal 8 2 2 7" xfId="1777" xr:uid="{00000000-0005-0000-0000-0000891C0000}"/>
    <cellStyle name="Normal 8 2 2 7 2" xfId="4007" xr:uid="{00000000-0005-0000-0000-00008A1C0000}"/>
    <cellStyle name="Normal 8 2 2 7 2 2" xfId="8230" xr:uid="{00000000-0005-0000-0000-00008B1C0000}"/>
    <cellStyle name="Normal 8 2 2 7 2 2 2" xfId="16669" xr:uid="{82E9DCDC-4EB9-4D4A-9793-0EB98B4F8691}"/>
    <cellStyle name="Normal 8 2 2 7 2 3" xfId="12451" xr:uid="{AFA93D05-976F-4CC3-BB5C-81CC9E5CF97F}"/>
    <cellStyle name="Normal 8 2 2 7 3" xfId="6085" xr:uid="{00000000-0005-0000-0000-00008C1C0000}"/>
    <cellStyle name="Normal 8 2 2 7 3 2" xfId="14524" xr:uid="{25CED9F0-FF83-40C8-834F-0855467F3F14}"/>
    <cellStyle name="Normal 8 2 2 7 4" xfId="10306" xr:uid="{4CEB9A82-0B59-4E22-84E8-15551DA251AF}"/>
    <cellStyle name="Normal 8 2 2 8" xfId="2191" xr:uid="{00000000-0005-0000-0000-00008D1C0000}"/>
    <cellStyle name="Normal 8 2 2 8 2" xfId="4420" xr:uid="{00000000-0005-0000-0000-00008E1C0000}"/>
    <cellStyle name="Normal 8 2 2 8 2 2" xfId="8643" xr:uid="{00000000-0005-0000-0000-00008F1C0000}"/>
    <cellStyle name="Normal 8 2 2 8 2 2 2" xfId="17082" xr:uid="{336DD488-7CAA-40D1-B843-19B69B04AB52}"/>
    <cellStyle name="Normal 8 2 2 8 2 3" xfId="12864" xr:uid="{5195C767-CBD1-477F-A5DF-617B71118A5B}"/>
    <cellStyle name="Normal 8 2 2 8 3" xfId="6498" xr:uid="{00000000-0005-0000-0000-0000901C0000}"/>
    <cellStyle name="Normal 8 2 2 8 3 2" xfId="14937" xr:uid="{356DDEEC-F56C-4D78-80C9-98A86A6457D4}"/>
    <cellStyle name="Normal 8 2 2 8 4" xfId="10719" xr:uid="{A74C597C-7274-4CC5-9C2C-4253C38184A8}"/>
    <cellStyle name="Normal 8 2 2 9" xfId="2627" xr:uid="{00000000-0005-0000-0000-0000911C0000}"/>
    <cellStyle name="Normal 8 2 2 9 2" xfId="6911" xr:uid="{00000000-0005-0000-0000-0000921C0000}"/>
    <cellStyle name="Normal 8 2 2 9 2 2" xfId="15350" xr:uid="{2161353E-457F-4D5F-8DD5-B5A8D46B9BF3}"/>
    <cellStyle name="Normal 8 2 2 9 3" xfId="11132" xr:uid="{065AF18A-0651-4831-99DF-11430DA3375B}"/>
    <cellStyle name="Normal 8 2 3" xfId="488" xr:uid="{00000000-0005-0000-0000-0000931C0000}"/>
    <cellStyle name="Normal 8 2 3 10" xfId="9075" xr:uid="{AB609FD1-0547-4AE3-84F7-51E1A7DB2728}"/>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2 2 2" xfId="15853" xr:uid="{9F4B69E7-E295-480A-9C3A-92BEB0E896C2}"/>
    <cellStyle name="Normal 8 2 3 2 2 2 2 3" xfId="11635" xr:uid="{6490C24C-BCAF-4660-85D2-663492FDA97D}"/>
    <cellStyle name="Normal 8 2 3 2 2 2 3" xfId="5269" xr:uid="{00000000-0005-0000-0000-0000991C0000}"/>
    <cellStyle name="Normal 8 2 3 2 2 2 3 2" xfId="13708" xr:uid="{9A61D41D-8B56-4028-B55E-C223BEA7669F}"/>
    <cellStyle name="Normal 8 2 3 2 2 2 4" xfId="9490" xr:uid="{3DFC4E19-4E93-464D-B9CB-F322332D9AB4}"/>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2 2 2" xfId="16266" xr:uid="{755A8F8F-30F1-4A57-A74D-D11BEDBE576E}"/>
    <cellStyle name="Normal 8 2 3 2 2 3 2 3" xfId="12048" xr:uid="{B506A164-A7FE-4773-A06E-CA7E62EEAFBB}"/>
    <cellStyle name="Normal 8 2 3 2 2 3 3" xfId="5682" xr:uid="{00000000-0005-0000-0000-00009D1C0000}"/>
    <cellStyle name="Normal 8 2 3 2 2 3 3 2" xfId="14121" xr:uid="{70990277-97C0-4E71-8118-5D1845998088}"/>
    <cellStyle name="Normal 8 2 3 2 2 3 4" xfId="9903" xr:uid="{54540F3C-49BA-41F1-B061-BBE2FA64F2AE}"/>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2 2 2" xfId="16679" xr:uid="{D916C120-A6FD-498B-8B97-507F88383601}"/>
    <cellStyle name="Normal 8 2 3 2 2 4 2 3" xfId="12461" xr:uid="{44EE4BA3-90BD-422F-8C8A-40012E30FD0E}"/>
    <cellStyle name="Normal 8 2 3 2 2 4 3" xfId="6095" xr:uid="{00000000-0005-0000-0000-0000A11C0000}"/>
    <cellStyle name="Normal 8 2 3 2 2 4 3 2" xfId="14534" xr:uid="{17DD34ED-CD78-450C-8B61-54AB33E7EC9D}"/>
    <cellStyle name="Normal 8 2 3 2 2 4 4" xfId="10316" xr:uid="{B970EED6-A6DB-4611-8E55-C93B1A256F3F}"/>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2 2 2" xfId="17092" xr:uid="{6AE3EED8-4BAA-410C-A243-D655ED76F748}"/>
    <cellStyle name="Normal 8 2 3 2 2 5 2 3" xfId="12874" xr:uid="{117F518C-EECC-4D4C-9656-760C0D4EC0C5}"/>
    <cellStyle name="Normal 8 2 3 2 2 5 3" xfId="6508" xr:uid="{00000000-0005-0000-0000-0000A51C0000}"/>
    <cellStyle name="Normal 8 2 3 2 2 5 3 2" xfId="14947" xr:uid="{142C071C-F476-4EFF-AC63-9405644DBC75}"/>
    <cellStyle name="Normal 8 2 3 2 2 5 4" xfId="10729" xr:uid="{4E5E8782-03E7-41E5-8294-7F977F78E691}"/>
    <cellStyle name="Normal 8 2 3 2 2 6" xfId="2637" xr:uid="{00000000-0005-0000-0000-0000A61C0000}"/>
    <cellStyle name="Normal 8 2 3 2 2 6 2" xfId="6921" xr:uid="{00000000-0005-0000-0000-0000A71C0000}"/>
    <cellStyle name="Normal 8 2 3 2 2 6 2 2" xfId="15360" xr:uid="{F2EC5748-884D-4DB9-82EF-8D2AC4D38C94}"/>
    <cellStyle name="Normal 8 2 3 2 2 6 3" xfId="11142" xr:uid="{AAAD75F7-D240-4E6C-91D3-CB8353115929}"/>
    <cellStyle name="Normal 8 2 3 2 2 7" xfId="4856" xr:uid="{00000000-0005-0000-0000-0000A81C0000}"/>
    <cellStyle name="Normal 8 2 3 2 2 7 2" xfId="13295" xr:uid="{EA2A19E5-5919-4D07-899A-837B8EA7BFC5}"/>
    <cellStyle name="Normal 8 2 3 2 2 8" xfId="9077" xr:uid="{59AD7E75-CF58-46FF-9F5C-A97BF6D60656}"/>
    <cellStyle name="Normal 8 2 3 2 3" xfId="956" xr:uid="{00000000-0005-0000-0000-0000A91C0000}"/>
    <cellStyle name="Normal 8 2 3 2 3 2" xfId="3190" xr:uid="{00000000-0005-0000-0000-0000AA1C0000}"/>
    <cellStyle name="Normal 8 2 3 2 3 2 2" xfId="7413" xr:uid="{00000000-0005-0000-0000-0000AB1C0000}"/>
    <cellStyle name="Normal 8 2 3 2 3 2 2 2" xfId="15852" xr:uid="{9BDF848A-1178-47C1-84CC-E1FD21F6B0AF}"/>
    <cellStyle name="Normal 8 2 3 2 3 2 3" xfId="11634" xr:uid="{62A2DB42-6186-4664-BEC4-294585BFA831}"/>
    <cellStyle name="Normal 8 2 3 2 3 3" xfId="5268" xr:uid="{00000000-0005-0000-0000-0000AC1C0000}"/>
    <cellStyle name="Normal 8 2 3 2 3 3 2" xfId="13707" xr:uid="{E85C0134-5EE7-4BCB-8FC5-30ACF47A9E08}"/>
    <cellStyle name="Normal 8 2 3 2 3 4" xfId="9489" xr:uid="{8CC583AB-390A-4E23-A1F4-9504C0934CCE}"/>
    <cellStyle name="Normal 8 2 3 2 4" xfId="1373" xr:uid="{00000000-0005-0000-0000-0000AD1C0000}"/>
    <cellStyle name="Normal 8 2 3 2 4 2" xfId="3603" xr:uid="{00000000-0005-0000-0000-0000AE1C0000}"/>
    <cellStyle name="Normal 8 2 3 2 4 2 2" xfId="7826" xr:uid="{00000000-0005-0000-0000-0000AF1C0000}"/>
    <cellStyle name="Normal 8 2 3 2 4 2 2 2" xfId="16265" xr:uid="{FF0167EA-2AB7-48BA-B869-B9D272BC7838}"/>
    <cellStyle name="Normal 8 2 3 2 4 2 3" xfId="12047" xr:uid="{1A889081-E932-44A1-B4D4-FDACDBDC972A}"/>
    <cellStyle name="Normal 8 2 3 2 4 3" xfId="5681" xr:uid="{00000000-0005-0000-0000-0000B01C0000}"/>
    <cellStyle name="Normal 8 2 3 2 4 3 2" xfId="14120" xr:uid="{4376426A-1C7B-4663-A659-E1571C26EDB6}"/>
    <cellStyle name="Normal 8 2 3 2 4 4" xfId="9902" xr:uid="{DCA57E95-759B-4490-8A60-2CD95BB33ABA}"/>
    <cellStyle name="Normal 8 2 3 2 5" xfId="1786" xr:uid="{00000000-0005-0000-0000-0000B11C0000}"/>
    <cellStyle name="Normal 8 2 3 2 5 2" xfId="4016" xr:uid="{00000000-0005-0000-0000-0000B21C0000}"/>
    <cellStyle name="Normal 8 2 3 2 5 2 2" xfId="8239" xr:uid="{00000000-0005-0000-0000-0000B31C0000}"/>
    <cellStyle name="Normal 8 2 3 2 5 2 2 2" xfId="16678" xr:uid="{FC4B8A6E-A6D2-499A-A62D-CDC46463A5E3}"/>
    <cellStyle name="Normal 8 2 3 2 5 2 3" xfId="12460" xr:uid="{D357B3A7-4D09-4231-ACC9-E512E56AE387}"/>
    <cellStyle name="Normal 8 2 3 2 5 3" xfId="6094" xr:uid="{00000000-0005-0000-0000-0000B41C0000}"/>
    <cellStyle name="Normal 8 2 3 2 5 3 2" xfId="14533" xr:uid="{24D4F1F5-6DA4-47C6-A399-516A664D8E35}"/>
    <cellStyle name="Normal 8 2 3 2 5 4" xfId="10315" xr:uid="{2852A61F-2BFB-45FC-A60A-C812581BD304}"/>
    <cellStyle name="Normal 8 2 3 2 6" xfId="2200" xr:uid="{00000000-0005-0000-0000-0000B51C0000}"/>
    <cellStyle name="Normal 8 2 3 2 6 2" xfId="4429" xr:uid="{00000000-0005-0000-0000-0000B61C0000}"/>
    <cellStyle name="Normal 8 2 3 2 6 2 2" xfId="8652" xr:uid="{00000000-0005-0000-0000-0000B71C0000}"/>
    <cellStyle name="Normal 8 2 3 2 6 2 2 2" xfId="17091" xr:uid="{29CAA5D9-CE08-4E90-BAE7-F08292CEC232}"/>
    <cellStyle name="Normal 8 2 3 2 6 2 3" xfId="12873" xr:uid="{E201EBB4-5308-4C53-8DD5-82882FF2B099}"/>
    <cellStyle name="Normal 8 2 3 2 6 3" xfId="6507" xr:uid="{00000000-0005-0000-0000-0000B81C0000}"/>
    <cellStyle name="Normal 8 2 3 2 6 3 2" xfId="14946" xr:uid="{E0F21A6F-497B-46F4-A013-7EC419E18108}"/>
    <cellStyle name="Normal 8 2 3 2 6 4" xfId="10728" xr:uid="{87763539-52A2-4720-8566-AA98A3A05494}"/>
    <cellStyle name="Normal 8 2 3 2 7" xfId="2636" xr:uid="{00000000-0005-0000-0000-0000B91C0000}"/>
    <cellStyle name="Normal 8 2 3 2 7 2" xfId="6920" xr:uid="{00000000-0005-0000-0000-0000BA1C0000}"/>
    <cellStyle name="Normal 8 2 3 2 7 2 2" xfId="15359" xr:uid="{4AC4B525-871F-467D-9D67-910BF7E76949}"/>
    <cellStyle name="Normal 8 2 3 2 7 3" xfId="11141" xr:uid="{E2D0E6AA-5DEB-4E5F-955E-2E7CE7CA6FD2}"/>
    <cellStyle name="Normal 8 2 3 2 8" xfId="4855" xr:uid="{00000000-0005-0000-0000-0000BB1C0000}"/>
    <cellStyle name="Normal 8 2 3 2 8 2" xfId="13294" xr:uid="{42B532AE-9A6D-4771-8C4F-CCB3D85BE1B7}"/>
    <cellStyle name="Normal 8 2 3 2 9" xfId="9076" xr:uid="{C3BE494E-B0EB-481A-9A6E-7FAE39F308DF}"/>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2 2 2" xfId="15854" xr:uid="{18811A1F-CF2E-4135-B4C6-E34D139C34FE}"/>
    <cellStyle name="Normal 8 2 3 3 2 2 3" xfId="11636" xr:uid="{0A88A7C3-1DBA-460B-BEDB-F4348224F4C3}"/>
    <cellStyle name="Normal 8 2 3 3 2 3" xfId="5270" xr:uid="{00000000-0005-0000-0000-0000C01C0000}"/>
    <cellStyle name="Normal 8 2 3 3 2 3 2" xfId="13709" xr:uid="{966E166F-1501-48EF-857E-A08F457631F2}"/>
    <cellStyle name="Normal 8 2 3 3 2 4" xfId="9491" xr:uid="{D60F4BD1-CAF5-4718-AF95-F450EA3769B4}"/>
    <cellStyle name="Normal 8 2 3 3 3" xfId="1375" xr:uid="{00000000-0005-0000-0000-0000C11C0000}"/>
    <cellStyle name="Normal 8 2 3 3 3 2" xfId="3605" xr:uid="{00000000-0005-0000-0000-0000C21C0000}"/>
    <cellStyle name="Normal 8 2 3 3 3 2 2" xfId="7828" xr:uid="{00000000-0005-0000-0000-0000C31C0000}"/>
    <cellStyle name="Normal 8 2 3 3 3 2 2 2" xfId="16267" xr:uid="{79979A0E-46C0-4E73-8D3C-6760D57070B7}"/>
    <cellStyle name="Normal 8 2 3 3 3 2 3" xfId="12049" xr:uid="{14EB0830-F824-47CA-9ED5-83DDA80B8FED}"/>
    <cellStyle name="Normal 8 2 3 3 3 3" xfId="5683" xr:uid="{00000000-0005-0000-0000-0000C41C0000}"/>
    <cellStyle name="Normal 8 2 3 3 3 3 2" xfId="14122" xr:uid="{929EF6BE-9F40-4FF8-A4BE-1FB7B9A75A74}"/>
    <cellStyle name="Normal 8 2 3 3 3 4" xfId="9904" xr:uid="{9D421A75-891E-4599-8313-56C90973847F}"/>
    <cellStyle name="Normal 8 2 3 3 4" xfId="1788" xr:uid="{00000000-0005-0000-0000-0000C51C0000}"/>
    <cellStyle name="Normal 8 2 3 3 4 2" xfId="4018" xr:uid="{00000000-0005-0000-0000-0000C61C0000}"/>
    <cellStyle name="Normal 8 2 3 3 4 2 2" xfId="8241" xr:uid="{00000000-0005-0000-0000-0000C71C0000}"/>
    <cellStyle name="Normal 8 2 3 3 4 2 2 2" xfId="16680" xr:uid="{1CD9A257-E51D-430F-BAA2-F55F3CD05E65}"/>
    <cellStyle name="Normal 8 2 3 3 4 2 3" xfId="12462" xr:uid="{C4DAA6C9-D75E-4F16-AB2C-1C64387E407C}"/>
    <cellStyle name="Normal 8 2 3 3 4 3" xfId="6096" xr:uid="{00000000-0005-0000-0000-0000C81C0000}"/>
    <cellStyle name="Normal 8 2 3 3 4 3 2" xfId="14535" xr:uid="{C631300F-1162-43D7-A79B-6D39D43F3782}"/>
    <cellStyle name="Normal 8 2 3 3 4 4" xfId="10317" xr:uid="{6A111C40-207C-4F78-993D-11DC8A408C22}"/>
    <cellStyle name="Normal 8 2 3 3 5" xfId="2202" xr:uid="{00000000-0005-0000-0000-0000C91C0000}"/>
    <cellStyle name="Normal 8 2 3 3 5 2" xfId="4431" xr:uid="{00000000-0005-0000-0000-0000CA1C0000}"/>
    <cellStyle name="Normal 8 2 3 3 5 2 2" xfId="8654" xr:uid="{00000000-0005-0000-0000-0000CB1C0000}"/>
    <cellStyle name="Normal 8 2 3 3 5 2 2 2" xfId="17093" xr:uid="{F96832A2-4F02-42A2-AE92-75701805EC21}"/>
    <cellStyle name="Normal 8 2 3 3 5 2 3" xfId="12875" xr:uid="{4C904B8A-350C-4447-87D6-158AF6AD4F3C}"/>
    <cellStyle name="Normal 8 2 3 3 5 3" xfId="6509" xr:uid="{00000000-0005-0000-0000-0000CC1C0000}"/>
    <cellStyle name="Normal 8 2 3 3 5 3 2" xfId="14948" xr:uid="{54389A00-E7CA-490E-9EDE-0F6C27FB1BAC}"/>
    <cellStyle name="Normal 8 2 3 3 5 4" xfId="10730" xr:uid="{ED596FB2-8F88-4509-A3CF-654CC33E461E}"/>
    <cellStyle name="Normal 8 2 3 3 6" xfId="2638" xr:uid="{00000000-0005-0000-0000-0000CD1C0000}"/>
    <cellStyle name="Normal 8 2 3 3 6 2" xfId="6922" xr:uid="{00000000-0005-0000-0000-0000CE1C0000}"/>
    <cellStyle name="Normal 8 2 3 3 6 2 2" xfId="15361" xr:uid="{6E6F102F-EB19-4CED-8DBD-BB28F8742EA5}"/>
    <cellStyle name="Normal 8 2 3 3 6 3" xfId="11143" xr:uid="{E3B9843A-ACBB-44EE-BA03-36B7CD797515}"/>
    <cellStyle name="Normal 8 2 3 3 7" xfId="4857" xr:uid="{00000000-0005-0000-0000-0000CF1C0000}"/>
    <cellStyle name="Normal 8 2 3 3 7 2" xfId="13296" xr:uid="{67DCB452-1FF2-437B-9952-759E06B04D12}"/>
    <cellStyle name="Normal 8 2 3 3 8" xfId="9078" xr:uid="{4EDF1DC2-8C25-43B7-B561-2AEF6CE4DE3D}"/>
    <cellStyle name="Normal 8 2 3 4" xfId="955" xr:uid="{00000000-0005-0000-0000-0000D01C0000}"/>
    <cellStyle name="Normal 8 2 3 4 2" xfId="3189" xr:uid="{00000000-0005-0000-0000-0000D11C0000}"/>
    <cellStyle name="Normal 8 2 3 4 2 2" xfId="7412" xr:uid="{00000000-0005-0000-0000-0000D21C0000}"/>
    <cellStyle name="Normal 8 2 3 4 2 2 2" xfId="15851" xr:uid="{3DEF8145-69B8-4E14-8F1D-3412FCBD6DDF}"/>
    <cellStyle name="Normal 8 2 3 4 2 3" xfId="11633" xr:uid="{EB16DE75-F3D5-4F3C-9D1D-E912C5C4B8A3}"/>
    <cellStyle name="Normal 8 2 3 4 3" xfId="5267" xr:uid="{00000000-0005-0000-0000-0000D31C0000}"/>
    <cellStyle name="Normal 8 2 3 4 3 2" xfId="13706" xr:uid="{75C32F83-D76A-4DF6-B84A-F6AD0EB781FE}"/>
    <cellStyle name="Normal 8 2 3 4 4" xfId="9488" xr:uid="{E1BA3541-9C5A-4F0F-BCC5-80B0B1E05E2E}"/>
    <cellStyle name="Normal 8 2 3 5" xfId="1372" xr:uid="{00000000-0005-0000-0000-0000D41C0000}"/>
    <cellStyle name="Normal 8 2 3 5 2" xfId="3602" xr:uid="{00000000-0005-0000-0000-0000D51C0000}"/>
    <cellStyle name="Normal 8 2 3 5 2 2" xfId="7825" xr:uid="{00000000-0005-0000-0000-0000D61C0000}"/>
    <cellStyle name="Normal 8 2 3 5 2 2 2" xfId="16264" xr:uid="{CA23C3F9-077A-4313-A977-045F269A1D03}"/>
    <cellStyle name="Normal 8 2 3 5 2 3" xfId="12046" xr:uid="{CC9D7208-EF5C-43A1-B691-70A1558ADD45}"/>
    <cellStyle name="Normal 8 2 3 5 3" xfId="5680" xr:uid="{00000000-0005-0000-0000-0000D71C0000}"/>
    <cellStyle name="Normal 8 2 3 5 3 2" xfId="14119" xr:uid="{17FC65FA-2919-4A01-A200-7024D72D83CD}"/>
    <cellStyle name="Normal 8 2 3 5 4" xfId="9901" xr:uid="{D9DB4233-9A6F-4BF3-BECE-492B98C13E33}"/>
    <cellStyle name="Normal 8 2 3 6" xfId="1785" xr:uid="{00000000-0005-0000-0000-0000D81C0000}"/>
    <cellStyle name="Normal 8 2 3 6 2" xfId="4015" xr:uid="{00000000-0005-0000-0000-0000D91C0000}"/>
    <cellStyle name="Normal 8 2 3 6 2 2" xfId="8238" xr:uid="{00000000-0005-0000-0000-0000DA1C0000}"/>
    <cellStyle name="Normal 8 2 3 6 2 2 2" xfId="16677" xr:uid="{88223B89-114A-42DA-A516-CDFF272DCF37}"/>
    <cellStyle name="Normal 8 2 3 6 2 3" xfId="12459" xr:uid="{DE7DC0E8-1DA2-45A4-B3A9-42491B9BA988}"/>
    <cellStyle name="Normal 8 2 3 6 3" xfId="6093" xr:uid="{00000000-0005-0000-0000-0000DB1C0000}"/>
    <cellStyle name="Normal 8 2 3 6 3 2" xfId="14532" xr:uid="{62E01B01-4E96-4D81-AFF2-E975355B53DA}"/>
    <cellStyle name="Normal 8 2 3 6 4" xfId="10314" xr:uid="{06557F35-E060-4679-8062-DF442D8C7955}"/>
    <cellStyle name="Normal 8 2 3 7" xfId="2199" xr:uid="{00000000-0005-0000-0000-0000DC1C0000}"/>
    <cellStyle name="Normal 8 2 3 7 2" xfId="4428" xr:uid="{00000000-0005-0000-0000-0000DD1C0000}"/>
    <cellStyle name="Normal 8 2 3 7 2 2" xfId="8651" xr:uid="{00000000-0005-0000-0000-0000DE1C0000}"/>
    <cellStyle name="Normal 8 2 3 7 2 2 2" xfId="17090" xr:uid="{8C1966DD-2BD8-40CF-BD57-FAB5A84B6B6A}"/>
    <cellStyle name="Normal 8 2 3 7 2 3" xfId="12872" xr:uid="{27FC7143-5850-47C1-95AE-D9BD1992DF8F}"/>
    <cellStyle name="Normal 8 2 3 7 3" xfId="6506" xr:uid="{00000000-0005-0000-0000-0000DF1C0000}"/>
    <cellStyle name="Normal 8 2 3 7 3 2" xfId="14945" xr:uid="{D2114926-ACB9-46AF-9432-07B0B7C72C0C}"/>
    <cellStyle name="Normal 8 2 3 7 4" xfId="10727" xr:uid="{9E780F8D-AEBD-4D57-8208-32D1A19EEDC0}"/>
    <cellStyle name="Normal 8 2 3 8" xfId="2635" xr:uid="{00000000-0005-0000-0000-0000E01C0000}"/>
    <cellStyle name="Normal 8 2 3 8 2" xfId="6919" xr:uid="{00000000-0005-0000-0000-0000E11C0000}"/>
    <cellStyle name="Normal 8 2 3 8 2 2" xfId="15358" xr:uid="{E9DE89C2-91FA-4487-8CC9-B050DF73DB45}"/>
    <cellStyle name="Normal 8 2 3 8 3" xfId="11140" xr:uid="{112FA4EA-AF11-4442-A90B-97AF3D277082}"/>
    <cellStyle name="Normal 8 2 3 9" xfId="4854" xr:uid="{00000000-0005-0000-0000-0000E21C0000}"/>
    <cellStyle name="Normal 8 2 3 9 2" xfId="13293" xr:uid="{5F901C3B-43B7-460D-B7B8-F3D973850D62}"/>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2 2 2" xfId="15856" xr:uid="{DE05A6E1-BFB4-437B-A9DB-B78DCE1CD6F4}"/>
    <cellStyle name="Normal 8 2 4 2 2 2 3" xfId="11638" xr:uid="{6A487346-E117-4DA7-A944-79618189533B}"/>
    <cellStyle name="Normal 8 2 4 2 2 3" xfId="5272" xr:uid="{00000000-0005-0000-0000-0000E81C0000}"/>
    <cellStyle name="Normal 8 2 4 2 2 3 2" xfId="13711" xr:uid="{9BCC31FC-31A0-41E5-8A4C-7E74A7F01910}"/>
    <cellStyle name="Normal 8 2 4 2 2 4" xfId="9493" xr:uid="{06EF1D33-36B0-4B08-8187-E7B85F6D30D0}"/>
    <cellStyle name="Normal 8 2 4 2 3" xfId="1377" xr:uid="{00000000-0005-0000-0000-0000E91C0000}"/>
    <cellStyle name="Normal 8 2 4 2 3 2" xfId="3607" xr:uid="{00000000-0005-0000-0000-0000EA1C0000}"/>
    <cellStyle name="Normal 8 2 4 2 3 2 2" xfId="7830" xr:uid="{00000000-0005-0000-0000-0000EB1C0000}"/>
    <cellStyle name="Normal 8 2 4 2 3 2 2 2" xfId="16269" xr:uid="{9EC0AE23-1E71-4E94-8ACE-6FC74AD68C68}"/>
    <cellStyle name="Normal 8 2 4 2 3 2 3" xfId="12051" xr:uid="{A81A44BB-BEF3-4BDC-87C5-AD7D1BA38302}"/>
    <cellStyle name="Normal 8 2 4 2 3 3" xfId="5685" xr:uid="{00000000-0005-0000-0000-0000EC1C0000}"/>
    <cellStyle name="Normal 8 2 4 2 3 3 2" xfId="14124" xr:uid="{3EBA7315-08F1-42E8-96B3-A885FEE04207}"/>
    <cellStyle name="Normal 8 2 4 2 3 4" xfId="9906" xr:uid="{ED3B3B3A-6701-4165-83CE-48B37B7A4FF3}"/>
    <cellStyle name="Normal 8 2 4 2 4" xfId="1790" xr:uid="{00000000-0005-0000-0000-0000ED1C0000}"/>
    <cellStyle name="Normal 8 2 4 2 4 2" xfId="4020" xr:uid="{00000000-0005-0000-0000-0000EE1C0000}"/>
    <cellStyle name="Normal 8 2 4 2 4 2 2" xfId="8243" xr:uid="{00000000-0005-0000-0000-0000EF1C0000}"/>
    <cellStyle name="Normal 8 2 4 2 4 2 2 2" xfId="16682" xr:uid="{0A61BDA3-0BD1-4DE2-9AF3-384A18F11EE5}"/>
    <cellStyle name="Normal 8 2 4 2 4 2 3" xfId="12464" xr:uid="{7E5F2A23-5B09-416E-9F02-706977F85889}"/>
    <cellStyle name="Normal 8 2 4 2 4 3" xfId="6098" xr:uid="{00000000-0005-0000-0000-0000F01C0000}"/>
    <cellStyle name="Normal 8 2 4 2 4 3 2" xfId="14537" xr:uid="{9AC79804-5A47-4C38-8D88-99C2204EC18F}"/>
    <cellStyle name="Normal 8 2 4 2 4 4" xfId="10319" xr:uid="{52B69461-B64A-45EB-B575-17EF53F43F80}"/>
    <cellStyle name="Normal 8 2 4 2 5" xfId="2204" xr:uid="{00000000-0005-0000-0000-0000F11C0000}"/>
    <cellStyle name="Normal 8 2 4 2 5 2" xfId="4433" xr:uid="{00000000-0005-0000-0000-0000F21C0000}"/>
    <cellStyle name="Normal 8 2 4 2 5 2 2" xfId="8656" xr:uid="{00000000-0005-0000-0000-0000F31C0000}"/>
    <cellStyle name="Normal 8 2 4 2 5 2 2 2" xfId="17095" xr:uid="{18892627-21F6-43DD-94CB-DA6E99FA9C82}"/>
    <cellStyle name="Normal 8 2 4 2 5 2 3" xfId="12877" xr:uid="{2D0E9A08-C467-412A-B7DF-79185162D621}"/>
    <cellStyle name="Normal 8 2 4 2 5 3" xfId="6511" xr:uid="{00000000-0005-0000-0000-0000F41C0000}"/>
    <cellStyle name="Normal 8 2 4 2 5 3 2" xfId="14950" xr:uid="{FDDE52A4-BCD4-4560-8B07-1F4B1AF3932C}"/>
    <cellStyle name="Normal 8 2 4 2 5 4" xfId="10732" xr:uid="{50CBCDFD-593D-49E7-A9E1-49268CD3C5EB}"/>
    <cellStyle name="Normal 8 2 4 2 6" xfId="2640" xr:uid="{00000000-0005-0000-0000-0000F51C0000}"/>
    <cellStyle name="Normal 8 2 4 2 6 2" xfId="6924" xr:uid="{00000000-0005-0000-0000-0000F61C0000}"/>
    <cellStyle name="Normal 8 2 4 2 6 2 2" xfId="15363" xr:uid="{72F40312-22C8-46A4-A7A8-FD36EF853DEF}"/>
    <cellStyle name="Normal 8 2 4 2 6 3" xfId="11145" xr:uid="{236FC8B2-9088-4924-858D-F92F369A95BA}"/>
    <cellStyle name="Normal 8 2 4 2 7" xfId="4859" xr:uid="{00000000-0005-0000-0000-0000F71C0000}"/>
    <cellStyle name="Normal 8 2 4 2 7 2" xfId="13298" xr:uid="{172EE2A2-9F0D-41B1-AFCF-2BAB1F343400}"/>
    <cellStyle name="Normal 8 2 4 2 8" xfId="9080" xr:uid="{A1A6AFBA-431E-47A6-9C8A-B949EBACC917}"/>
    <cellStyle name="Normal 8 2 4 3" xfId="959" xr:uid="{00000000-0005-0000-0000-0000F81C0000}"/>
    <cellStyle name="Normal 8 2 4 3 2" xfId="3193" xr:uid="{00000000-0005-0000-0000-0000F91C0000}"/>
    <cellStyle name="Normal 8 2 4 3 2 2" xfId="7416" xr:uid="{00000000-0005-0000-0000-0000FA1C0000}"/>
    <cellStyle name="Normal 8 2 4 3 2 2 2" xfId="15855" xr:uid="{4EB41461-079F-4EB6-A6D2-F06A46CD2F89}"/>
    <cellStyle name="Normal 8 2 4 3 2 3" xfId="11637" xr:uid="{04C8CE82-95E9-4ED3-B30A-A6BFA83445BF}"/>
    <cellStyle name="Normal 8 2 4 3 3" xfId="5271" xr:uid="{00000000-0005-0000-0000-0000FB1C0000}"/>
    <cellStyle name="Normal 8 2 4 3 3 2" xfId="13710" xr:uid="{AA57F97F-ECA1-443A-B37C-0B2E03BB3F8D}"/>
    <cellStyle name="Normal 8 2 4 3 4" xfId="9492" xr:uid="{BF292F58-B93C-486E-8606-9457420AB104}"/>
    <cellStyle name="Normal 8 2 4 4" xfId="1376" xr:uid="{00000000-0005-0000-0000-0000FC1C0000}"/>
    <cellStyle name="Normal 8 2 4 4 2" xfId="3606" xr:uid="{00000000-0005-0000-0000-0000FD1C0000}"/>
    <cellStyle name="Normal 8 2 4 4 2 2" xfId="7829" xr:uid="{00000000-0005-0000-0000-0000FE1C0000}"/>
    <cellStyle name="Normal 8 2 4 4 2 2 2" xfId="16268" xr:uid="{34A1AEEF-949A-49FF-B038-D11EBBCDCF56}"/>
    <cellStyle name="Normal 8 2 4 4 2 3" xfId="12050" xr:uid="{FC3C791F-BC0E-4FC2-9B60-1024833AE34E}"/>
    <cellStyle name="Normal 8 2 4 4 3" xfId="5684" xr:uid="{00000000-0005-0000-0000-0000FF1C0000}"/>
    <cellStyle name="Normal 8 2 4 4 3 2" xfId="14123" xr:uid="{EEAA959F-C8FA-452C-BBCA-478BC83E3241}"/>
    <cellStyle name="Normal 8 2 4 4 4" xfId="9905" xr:uid="{99B7BE6E-FDDE-4301-8871-7ABE4DA4F633}"/>
    <cellStyle name="Normal 8 2 4 5" xfId="1789" xr:uid="{00000000-0005-0000-0000-0000001D0000}"/>
    <cellStyle name="Normal 8 2 4 5 2" xfId="4019" xr:uid="{00000000-0005-0000-0000-0000011D0000}"/>
    <cellStyle name="Normal 8 2 4 5 2 2" xfId="8242" xr:uid="{00000000-0005-0000-0000-0000021D0000}"/>
    <cellStyle name="Normal 8 2 4 5 2 2 2" xfId="16681" xr:uid="{0D017F93-67FF-4688-BFB1-83EB3B0B0251}"/>
    <cellStyle name="Normal 8 2 4 5 2 3" xfId="12463" xr:uid="{B1253C2D-EC64-4789-A619-9E35CFE866AC}"/>
    <cellStyle name="Normal 8 2 4 5 3" xfId="6097" xr:uid="{00000000-0005-0000-0000-0000031D0000}"/>
    <cellStyle name="Normal 8 2 4 5 3 2" xfId="14536" xr:uid="{EC7666C2-3D2D-47BE-BE44-7BA2BC09638A}"/>
    <cellStyle name="Normal 8 2 4 5 4" xfId="10318" xr:uid="{D5104979-BD34-40EE-8E8E-87FB7EB32D12}"/>
    <cellStyle name="Normal 8 2 4 6" xfId="2203" xr:uid="{00000000-0005-0000-0000-0000041D0000}"/>
    <cellStyle name="Normal 8 2 4 6 2" xfId="4432" xr:uid="{00000000-0005-0000-0000-0000051D0000}"/>
    <cellStyle name="Normal 8 2 4 6 2 2" xfId="8655" xr:uid="{00000000-0005-0000-0000-0000061D0000}"/>
    <cellStyle name="Normal 8 2 4 6 2 2 2" xfId="17094" xr:uid="{3E617644-2DA5-4063-8BB9-41D267EF4E35}"/>
    <cellStyle name="Normal 8 2 4 6 2 3" xfId="12876" xr:uid="{BA2D7F92-DBF0-4B0C-90EA-C36577861CC6}"/>
    <cellStyle name="Normal 8 2 4 6 3" xfId="6510" xr:uid="{00000000-0005-0000-0000-0000071D0000}"/>
    <cellStyle name="Normal 8 2 4 6 3 2" xfId="14949" xr:uid="{9FDCE2A1-4034-4016-9741-22164AE6A6D6}"/>
    <cellStyle name="Normal 8 2 4 6 4" xfId="10731" xr:uid="{5C9ACFFC-3C69-457B-9CE3-C17679B865AD}"/>
    <cellStyle name="Normal 8 2 4 7" xfId="2639" xr:uid="{00000000-0005-0000-0000-0000081D0000}"/>
    <cellStyle name="Normal 8 2 4 7 2" xfId="6923" xr:uid="{00000000-0005-0000-0000-0000091D0000}"/>
    <cellStyle name="Normal 8 2 4 7 2 2" xfId="15362" xr:uid="{8EF2E603-235E-4F9C-A914-7B23037BF84C}"/>
    <cellStyle name="Normal 8 2 4 7 3" xfId="11144" xr:uid="{43CAA4B0-02C5-4EAA-A983-853FB7A7BFFF}"/>
    <cellStyle name="Normal 8 2 4 8" xfId="4858" xr:uid="{00000000-0005-0000-0000-00000A1D0000}"/>
    <cellStyle name="Normal 8 2 4 8 2" xfId="13297" xr:uid="{CE59F3A5-4BB3-452C-95CF-A4B3BE740851}"/>
    <cellStyle name="Normal 8 2 4 9" xfId="9079" xr:uid="{A812BA0C-9C35-45D3-BB59-5A43895861B8}"/>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2 2 2" xfId="15857" xr:uid="{1C340ECC-8020-4FF9-8581-9FC337FA8890}"/>
    <cellStyle name="Normal 8 2 5 2 2 3" xfId="11639" xr:uid="{DF60C8E4-4E59-4D41-8C04-CBC9866F9D9F}"/>
    <cellStyle name="Normal 8 2 5 2 3" xfId="5273" xr:uid="{00000000-0005-0000-0000-00000F1D0000}"/>
    <cellStyle name="Normal 8 2 5 2 3 2" xfId="13712" xr:uid="{0A9A6AB9-5933-4737-BF84-C736A2213CCB}"/>
    <cellStyle name="Normal 8 2 5 2 4" xfId="9494" xr:uid="{8D6B713C-6699-4435-A803-F9835DC682D0}"/>
    <cellStyle name="Normal 8 2 5 3" xfId="1378" xr:uid="{00000000-0005-0000-0000-0000101D0000}"/>
    <cellStyle name="Normal 8 2 5 3 2" xfId="3608" xr:uid="{00000000-0005-0000-0000-0000111D0000}"/>
    <cellStyle name="Normal 8 2 5 3 2 2" xfId="7831" xr:uid="{00000000-0005-0000-0000-0000121D0000}"/>
    <cellStyle name="Normal 8 2 5 3 2 2 2" xfId="16270" xr:uid="{24DB05EA-540E-4FE7-9EF4-4767A82D8376}"/>
    <cellStyle name="Normal 8 2 5 3 2 3" xfId="12052" xr:uid="{4CDBAAD4-B466-4234-B2D1-FDE8E30D28C7}"/>
    <cellStyle name="Normal 8 2 5 3 3" xfId="5686" xr:uid="{00000000-0005-0000-0000-0000131D0000}"/>
    <cellStyle name="Normal 8 2 5 3 3 2" xfId="14125" xr:uid="{19006776-4CEA-46C1-ACB7-7B3DD50E16AF}"/>
    <cellStyle name="Normal 8 2 5 3 4" xfId="9907" xr:uid="{D6844C50-60E5-4AD2-A42F-0E1F85675B0F}"/>
    <cellStyle name="Normal 8 2 5 4" xfId="1791" xr:uid="{00000000-0005-0000-0000-0000141D0000}"/>
    <cellStyle name="Normal 8 2 5 4 2" xfId="4021" xr:uid="{00000000-0005-0000-0000-0000151D0000}"/>
    <cellStyle name="Normal 8 2 5 4 2 2" xfId="8244" xr:uid="{00000000-0005-0000-0000-0000161D0000}"/>
    <cellStyle name="Normal 8 2 5 4 2 2 2" xfId="16683" xr:uid="{3F1B61CC-D752-485D-8C17-050F38D33EB2}"/>
    <cellStyle name="Normal 8 2 5 4 2 3" xfId="12465" xr:uid="{2C75764C-30E1-477D-952C-5E2D71D25B96}"/>
    <cellStyle name="Normal 8 2 5 4 3" xfId="6099" xr:uid="{00000000-0005-0000-0000-0000171D0000}"/>
    <cellStyle name="Normal 8 2 5 4 3 2" xfId="14538" xr:uid="{AF7B2C50-84AB-4AA6-8716-0C4EEF6F9848}"/>
    <cellStyle name="Normal 8 2 5 4 4" xfId="10320" xr:uid="{C49F1EC6-3851-4A82-BDC7-B70490E681BD}"/>
    <cellStyle name="Normal 8 2 5 5" xfId="2205" xr:uid="{00000000-0005-0000-0000-0000181D0000}"/>
    <cellStyle name="Normal 8 2 5 5 2" xfId="4434" xr:uid="{00000000-0005-0000-0000-0000191D0000}"/>
    <cellStyle name="Normal 8 2 5 5 2 2" xfId="8657" xr:uid="{00000000-0005-0000-0000-00001A1D0000}"/>
    <cellStyle name="Normal 8 2 5 5 2 2 2" xfId="17096" xr:uid="{1FA425CF-A5DA-41C9-A4F5-1C0FA32060E3}"/>
    <cellStyle name="Normal 8 2 5 5 2 3" xfId="12878" xr:uid="{6E852EAD-66BF-4B51-BB3A-9871A08FC660}"/>
    <cellStyle name="Normal 8 2 5 5 3" xfId="6512" xr:uid="{00000000-0005-0000-0000-00001B1D0000}"/>
    <cellStyle name="Normal 8 2 5 5 3 2" xfId="14951" xr:uid="{C107B090-01D8-4C8E-9EF7-9B74B6404096}"/>
    <cellStyle name="Normal 8 2 5 5 4" xfId="10733" xr:uid="{5FA57DF3-F712-4715-88B3-77B3DBFB9D34}"/>
    <cellStyle name="Normal 8 2 5 6" xfId="2641" xr:uid="{00000000-0005-0000-0000-00001C1D0000}"/>
    <cellStyle name="Normal 8 2 5 6 2" xfId="6925" xr:uid="{00000000-0005-0000-0000-00001D1D0000}"/>
    <cellStyle name="Normal 8 2 5 6 2 2" xfId="15364" xr:uid="{485638F3-1924-4F51-834B-083854415F07}"/>
    <cellStyle name="Normal 8 2 5 6 3" xfId="11146" xr:uid="{61803F48-3844-4E27-A482-0E14AA0685B4}"/>
    <cellStyle name="Normal 8 2 5 7" xfId="4860" xr:uid="{00000000-0005-0000-0000-00001E1D0000}"/>
    <cellStyle name="Normal 8 2 5 7 2" xfId="13299" xr:uid="{EE063790-4536-4A76-A657-C69DB0C723D4}"/>
    <cellStyle name="Normal 8 2 5 8" xfId="9081" xr:uid="{F0B25046-BBC2-45D0-9FD1-6C77DC727EFC}"/>
    <cellStyle name="Normal 8 2 6" xfId="946" xr:uid="{00000000-0005-0000-0000-00001F1D0000}"/>
    <cellStyle name="Normal 8 2 6 2" xfId="3180" xr:uid="{00000000-0005-0000-0000-0000201D0000}"/>
    <cellStyle name="Normal 8 2 6 2 2" xfId="7403" xr:uid="{00000000-0005-0000-0000-0000211D0000}"/>
    <cellStyle name="Normal 8 2 6 2 2 2" xfId="15842" xr:uid="{0F35C051-5B55-4D1B-9892-143B2104BE08}"/>
    <cellStyle name="Normal 8 2 6 2 3" xfId="11624" xr:uid="{AF1EBDD7-DF16-4BE5-8C99-E672A357F143}"/>
    <cellStyle name="Normal 8 2 6 3" xfId="5258" xr:uid="{00000000-0005-0000-0000-0000221D0000}"/>
    <cellStyle name="Normal 8 2 6 3 2" xfId="13697" xr:uid="{3BC479AD-2023-4F92-8DC1-3308E430B9E6}"/>
    <cellStyle name="Normal 8 2 6 4" xfId="9479" xr:uid="{76F6BE0E-418E-4133-B868-3A3641AD03A0}"/>
    <cellStyle name="Normal 8 2 7" xfId="1363" xr:uid="{00000000-0005-0000-0000-0000231D0000}"/>
    <cellStyle name="Normal 8 2 7 2" xfId="3593" xr:uid="{00000000-0005-0000-0000-0000241D0000}"/>
    <cellStyle name="Normal 8 2 7 2 2" xfId="7816" xr:uid="{00000000-0005-0000-0000-0000251D0000}"/>
    <cellStyle name="Normal 8 2 7 2 2 2" xfId="16255" xr:uid="{45F1A0F4-F34A-4A4A-8B8A-2C0338547089}"/>
    <cellStyle name="Normal 8 2 7 2 3" xfId="12037" xr:uid="{78090382-1273-43AD-A404-E7169A466977}"/>
    <cellStyle name="Normal 8 2 7 3" xfId="5671" xr:uid="{00000000-0005-0000-0000-0000261D0000}"/>
    <cellStyle name="Normal 8 2 7 3 2" xfId="14110" xr:uid="{225CF516-56AF-4CDB-8FB1-B920AAEBB884}"/>
    <cellStyle name="Normal 8 2 7 4" xfId="9892" xr:uid="{24869E75-586C-4EE7-B5FA-93FDE21010B1}"/>
    <cellStyle name="Normal 8 2 8" xfId="1776" xr:uid="{00000000-0005-0000-0000-0000271D0000}"/>
    <cellStyle name="Normal 8 2 8 2" xfId="4006" xr:uid="{00000000-0005-0000-0000-0000281D0000}"/>
    <cellStyle name="Normal 8 2 8 2 2" xfId="8229" xr:uid="{00000000-0005-0000-0000-0000291D0000}"/>
    <cellStyle name="Normal 8 2 8 2 2 2" xfId="16668" xr:uid="{B7D44461-CFA6-486B-9C5C-932441800F66}"/>
    <cellStyle name="Normal 8 2 8 2 3" xfId="12450" xr:uid="{CCE531E8-7CC9-498D-AA0C-8F3C1F84E69E}"/>
    <cellStyle name="Normal 8 2 8 3" xfId="6084" xr:uid="{00000000-0005-0000-0000-00002A1D0000}"/>
    <cellStyle name="Normal 8 2 8 3 2" xfId="14523" xr:uid="{58808AE0-29CC-4C1F-B204-E0AD45B4C147}"/>
    <cellStyle name="Normal 8 2 8 4" xfId="10305" xr:uid="{78898F69-112E-45C6-87A8-2179918A8305}"/>
    <cellStyle name="Normal 8 2 9" xfId="2190" xr:uid="{00000000-0005-0000-0000-00002B1D0000}"/>
    <cellStyle name="Normal 8 2 9 2" xfId="4419" xr:uid="{00000000-0005-0000-0000-00002C1D0000}"/>
    <cellStyle name="Normal 8 2 9 2 2" xfId="8642" xr:uid="{00000000-0005-0000-0000-00002D1D0000}"/>
    <cellStyle name="Normal 8 2 9 2 2 2" xfId="17081" xr:uid="{1C53FB2F-8975-4AE6-AB74-0AD82BA91C31}"/>
    <cellStyle name="Normal 8 2 9 2 3" xfId="12863" xr:uid="{70AB8FCA-E299-4E82-BFC2-29A05D7AA3B2}"/>
    <cellStyle name="Normal 8 2 9 3" xfId="6497" xr:uid="{00000000-0005-0000-0000-00002E1D0000}"/>
    <cellStyle name="Normal 8 2 9 3 2" xfId="14936" xr:uid="{6283CFC4-7946-42F0-8373-771D1C044419}"/>
    <cellStyle name="Normal 8 2 9 4" xfId="10718" xr:uid="{8DD3FEB0-2C43-44BC-ABE4-FC59249E3934}"/>
    <cellStyle name="Normal 8 3" xfId="495" xr:uid="{00000000-0005-0000-0000-00002F1D0000}"/>
    <cellStyle name="Normal 8 3 10" xfId="4861" xr:uid="{00000000-0005-0000-0000-0000301D0000}"/>
    <cellStyle name="Normal 8 3 10 2" xfId="13300" xr:uid="{FB65A15C-844C-451C-9686-F913BF70E842}"/>
    <cellStyle name="Normal 8 3 11" xfId="9082" xr:uid="{FF6E9110-265C-4947-B657-BB997293B207}"/>
    <cellStyle name="Normal 8 3 2" xfId="496" xr:uid="{00000000-0005-0000-0000-0000311D0000}"/>
    <cellStyle name="Normal 8 3 2 10" xfId="9083" xr:uid="{0798D23B-B635-40AA-A751-64CC410B1A78}"/>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2 2 2" xfId="15861" xr:uid="{385C286E-2049-4E00-AF71-04ECBC2A29B8}"/>
    <cellStyle name="Normal 8 3 2 2 2 2 2 3" xfId="11643" xr:uid="{58314CD3-B206-4636-BF74-5081A51214D7}"/>
    <cellStyle name="Normal 8 3 2 2 2 2 3" xfId="5277" xr:uid="{00000000-0005-0000-0000-0000371D0000}"/>
    <cellStyle name="Normal 8 3 2 2 2 2 3 2" xfId="13716" xr:uid="{6D168B8B-F921-4A38-BC4A-E1B7A7C34DCF}"/>
    <cellStyle name="Normal 8 3 2 2 2 2 4" xfId="9498" xr:uid="{F12295BD-8F99-40EC-A14A-03D2F7F0AA44}"/>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2 2 2" xfId="16274" xr:uid="{E96DCD79-F5B9-48EE-B8C3-788E8BD2FC3F}"/>
    <cellStyle name="Normal 8 3 2 2 2 3 2 3" xfId="12056" xr:uid="{90407D7B-929E-4CD7-BDF1-36EBAAD2CE28}"/>
    <cellStyle name="Normal 8 3 2 2 2 3 3" xfId="5690" xr:uid="{00000000-0005-0000-0000-00003B1D0000}"/>
    <cellStyle name="Normal 8 3 2 2 2 3 3 2" xfId="14129" xr:uid="{2056F2DA-C3E8-4792-988F-A9FFD42FAF2F}"/>
    <cellStyle name="Normal 8 3 2 2 2 3 4" xfId="9911" xr:uid="{86F2DF1F-CB9E-4BD2-A4DC-624760F93451}"/>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2 2 2" xfId="16687" xr:uid="{0BA9E850-7F96-4D9E-8876-AB1494396776}"/>
    <cellStyle name="Normal 8 3 2 2 2 4 2 3" xfId="12469" xr:uid="{BEF91CA7-943A-49E5-97C8-3196021449C4}"/>
    <cellStyle name="Normal 8 3 2 2 2 4 3" xfId="6103" xr:uid="{00000000-0005-0000-0000-00003F1D0000}"/>
    <cellStyle name="Normal 8 3 2 2 2 4 3 2" xfId="14542" xr:uid="{14FF6EAE-3CE6-45CC-8F3F-457C065806B6}"/>
    <cellStyle name="Normal 8 3 2 2 2 4 4" xfId="10324" xr:uid="{64B0027E-A8DF-4792-A5A1-7BF3AA5FFBA1}"/>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2 2 2" xfId="17100" xr:uid="{7F2E87E5-1B6E-4360-86D0-F79A7CAF4F52}"/>
    <cellStyle name="Normal 8 3 2 2 2 5 2 3" xfId="12882" xr:uid="{5676A0BA-AD30-4E55-8A16-1F32D088DF5C}"/>
    <cellStyle name="Normal 8 3 2 2 2 5 3" xfId="6516" xr:uid="{00000000-0005-0000-0000-0000431D0000}"/>
    <cellStyle name="Normal 8 3 2 2 2 5 3 2" xfId="14955" xr:uid="{CFB4A8E7-FD3B-4CCB-A719-EA259C9C02C2}"/>
    <cellStyle name="Normal 8 3 2 2 2 5 4" xfId="10737" xr:uid="{F0FDD22E-E9F4-4000-B8F8-3A8E794A4D6E}"/>
    <cellStyle name="Normal 8 3 2 2 2 6" xfId="2645" xr:uid="{00000000-0005-0000-0000-0000441D0000}"/>
    <cellStyle name="Normal 8 3 2 2 2 6 2" xfId="6929" xr:uid="{00000000-0005-0000-0000-0000451D0000}"/>
    <cellStyle name="Normal 8 3 2 2 2 6 2 2" xfId="15368" xr:uid="{7AE7D779-34A6-4292-AECE-DE6BF27CE505}"/>
    <cellStyle name="Normal 8 3 2 2 2 6 3" xfId="11150" xr:uid="{F9EFEAE8-E8D2-4B16-A862-AC53E6E11A15}"/>
    <cellStyle name="Normal 8 3 2 2 2 7" xfId="4864" xr:uid="{00000000-0005-0000-0000-0000461D0000}"/>
    <cellStyle name="Normal 8 3 2 2 2 7 2" xfId="13303" xr:uid="{F5A014E7-F145-4983-A1AE-1A53193C0AE1}"/>
    <cellStyle name="Normal 8 3 2 2 2 8" xfId="9085" xr:uid="{623071D3-DB48-4AAD-B149-168ABE8E74B1}"/>
    <cellStyle name="Normal 8 3 2 2 3" xfId="964" xr:uid="{00000000-0005-0000-0000-0000471D0000}"/>
    <cellStyle name="Normal 8 3 2 2 3 2" xfId="3198" xr:uid="{00000000-0005-0000-0000-0000481D0000}"/>
    <cellStyle name="Normal 8 3 2 2 3 2 2" xfId="7421" xr:uid="{00000000-0005-0000-0000-0000491D0000}"/>
    <cellStyle name="Normal 8 3 2 2 3 2 2 2" xfId="15860" xr:uid="{33319E7C-7457-4AA3-BF46-9CDD6F4526D9}"/>
    <cellStyle name="Normal 8 3 2 2 3 2 3" xfId="11642" xr:uid="{85FBA8B7-BAE0-488E-BAE1-1024F6B50A64}"/>
    <cellStyle name="Normal 8 3 2 2 3 3" xfId="5276" xr:uid="{00000000-0005-0000-0000-00004A1D0000}"/>
    <cellStyle name="Normal 8 3 2 2 3 3 2" xfId="13715" xr:uid="{2C343173-65AC-45A9-8A23-008B21E319D9}"/>
    <cellStyle name="Normal 8 3 2 2 3 4" xfId="9497" xr:uid="{24990A11-AC2E-4ED7-B94A-8D32C13870FC}"/>
    <cellStyle name="Normal 8 3 2 2 4" xfId="1381" xr:uid="{00000000-0005-0000-0000-00004B1D0000}"/>
    <cellStyle name="Normal 8 3 2 2 4 2" xfId="3611" xr:uid="{00000000-0005-0000-0000-00004C1D0000}"/>
    <cellStyle name="Normal 8 3 2 2 4 2 2" xfId="7834" xr:uid="{00000000-0005-0000-0000-00004D1D0000}"/>
    <cellStyle name="Normal 8 3 2 2 4 2 2 2" xfId="16273" xr:uid="{633C36DB-7E6D-4EBF-8D0E-6B2C735BB03A}"/>
    <cellStyle name="Normal 8 3 2 2 4 2 3" xfId="12055" xr:uid="{E32DF054-75CB-4030-A599-BD8BE7A00493}"/>
    <cellStyle name="Normal 8 3 2 2 4 3" xfId="5689" xr:uid="{00000000-0005-0000-0000-00004E1D0000}"/>
    <cellStyle name="Normal 8 3 2 2 4 3 2" xfId="14128" xr:uid="{220F2386-7078-45EA-8068-73D79C8EDED0}"/>
    <cellStyle name="Normal 8 3 2 2 4 4" xfId="9910" xr:uid="{420FE53D-974A-4CBC-AEF4-429AB9A43418}"/>
    <cellStyle name="Normal 8 3 2 2 5" xfId="1794" xr:uid="{00000000-0005-0000-0000-00004F1D0000}"/>
    <cellStyle name="Normal 8 3 2 2 5 2" xfId="4024" xr:uid="{00000000-0005-0000-0000-0000501D0000}"/>
    <cellStyle name="Normal 8 3 2 2 5 2 2" xfId="8247" xr:uid="{00000000-0005-0000-0000-0000511D0000}"/>
    <cellStyle name="Normal 8 3 2 2 5 2 2 2" xfId="16686" xr:uid="{45E10EFF-C202-473F-8156-CF3FD6A5EF65}"/>
    <cellStyle name="Normal 8 3 2 2 5 2 3" xfId="12468" xr:uid="{6D3C9CE3-E930-45E4-8980-8ED44D3AF2DF}"/>
    <cellStyle name="Normal 8 3 2 2 5 3" xfId="6102" xr:uid="{00000000-0005-0000-0000-0000521D0000}"/>
    <cellStyle name="Normal 8 3 2 2 5 3 2" xfId="14541" xr:uid="{CE35CE0B-D536-4FB0-BBEB-1A73CF8D3235}"/>
    <cellStyle name="Normal 8 3 2 2 5 4" xfId="10323" xr:uid="{F0D25C29-2EAB-4EE9-9377-838017B7C6CD}"/>
    <cellStyle name="Normal 8 3 2 2 6" xfId="2208" xr:uid="{00000000-0005-0000-0000-0000531D0000}"/>
    <cellStyle name="Normal 8 3 2 2 6 2" xfId="4437" xr:uid="{00000000-0005-0000-0000-0000541D0000}"/>
    <cellStyle name="Normal 8 3 2 2 6 2 2" xfId="8660" xr:uid="{00000000-0005-0000-0000-0000551D0000}"/>
    <cellStyle name="Normal 8 3 2 2 6 2 2 2" xfId="17099" xr:uid="{94325300-D08D-468A-BA60-C9399D7FDF7E}"/>
    <cellStyle name="Normal 8 3 2 2 6 2 3" xfId="12881" xr:uid="{53265493-122B-484A-AD13-98E2C811BDB3}"/>
    <cellStyle name="Normal 8 3 2 2 6 3" xfId="6515" xr:uid="{00000000-0005-0000-0000-0000561D0000}"/>
    <cellStyle name="Normal 8 3 2 2 6 3 2" xfId="14954" xr:uid="{76A80D46-F39D-4C10-8CD4-EB98668D8651}"/>
    <cellStyle name="Normal 8 3 2 2 6 4" xfId="10736" xr:uid="{3A412625-602B-42A1-986E-470DDDE899D6}"/>
    <cellStyle name="Normal 8 3 2 2 7" xfId="2644" xr:uid="{00000000-0005-0000-0000-0000571D0000}"/>
    <cellStyle name="Normal 8 3 2 2 7 2" xfId="6928" xr:uid="{00000000-0005-0000-0000-0000581D0000}"/>
    <cellStyle name="Normal 8 3 2 2 7 2 2" xfId="15367" xr:uid="{AE94A1C4-28B5-4277-9F02-163D5AD9408D}"/>
    <cellStyle name="Normal 8 3 2 2 7 3" xfId="11149" xr:uid="{F8130B97-AB94-4AD6-A813-2E3C3B9240A5}"/>
    <cellStyle name="Normal 8 3 2 2 8" xfId="4863" xr:uid="{00000000-0005-0000-0000-0000591D0000}"/>
    <cellStyle name="Normal 8 3 2 2 8 2" xfId="13302" xr:uid="{17038D85-97DB-4682-AC1B-A00345E577D2}"/>
    <cellStyle name="Normal 8 3 2 2 9" xfId="9084" xr:uid="{7F50195A-BE4B-4A96-9BF8-77906213CF59}"/>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2 2 2" xfId="15862" xr:uid="{AAC0740A-C522-4D9A-9BDF-B012C3962002}"/>
    <cellStyle name="Normal 8 3 2 3 2 2 3" xfId="11644" xr:uid="{6984ABA4-F603-4552-90E1-B8DDE81EA3A7}"/>
    <cellStyle name="Normal 8 3 2 3 2 3" xfId="5278" xr:uid="{00000000-0005-0000-0000-00005E1D0000}"/>
    <cellStyle name="Normal 8 3 2 3 2 3 2" xfId="13717" xr:uid="{2B44AA1A-30DD-44AA-B591-BD4FCD7BA6CE}"/>
    <cellStyle name="Normal 8 3 2 3 2 4" xfId="9499" xr:uid="{B7F949FA-BA30-4F93-9757-C5A8592D3AFC}"/>
    <cellStyle name="Normal 8 3 2 3 3" xfId="1383" xr:uid="{00000000-0005-0000-0000-00005F1D0000}"/>
    <cellStyle name="Normal 8 3 2 3 3 2" xfId="3613" xr:uid="{00000000-0005-0000-0000-0000601D0000}"/>
    <cellStyle name="Normal 8 3 2 3 3 2 2" xfId="7836" xr:uid="{00000000-0005-0000-0000-0000611D0000}"/>
    <cellStyle name="Normal 8 3 2 3 3 2 2 2" xfId="16275" xr:uid="{954101A9-1C03-462A-9150-B9899BA2D037}"/>
    <cellStyle name="Normal 8 3 2 3 3 2 3" xfId="12057" xr:uid="{20DCC3B4-9F48-4AD3-9EF5-00157C7985E8}"/>
    <cellStyle name="Normal 8 3 2 3 3 3" xfId="5691" xr:uid="{00000000-0005-0000-0000-0000621D0000}"/>
    <cellStyle name="Normal 8 3 2 3 3 3 2" xfId="14130" xr:uid="{BC476593-FE9E-45BA-A29B-154DDDC92AD7}"/>
    <cellStyle name="Normal 8 3 2 3 3 4" xfId="9912" xr:uid="{39300F5D-A20D-4C64-A8DC-75DD095B2F33}"/>
    <cellStyle name="Normal 8 3 2 3 4" xfId="1796" xr:uid="{00000000-0005-0000-0000-0000631D0000}"/>
    <cellStyle name="Normal 8 3 2 3 4 2" xfId="4026" xr:uid="{00000000-0005-0000-0000-0000641D0000}"/>
    <cellStyle name="Normal 8 3 2 3 4 2 2" xfId="8249" xr:uid="{00000000-0005-0000-0000-0000651D0000}"/>
    <cellStyle name="Normal 8 3 2 3 4 2 2 2" xfId="16688" xr:uid="{9428423F-D7A2-42F0-82CF-D1BA77A7E70B}"/>
    <cellStyle name="Normal 8 3 2 3 4 2 3" xfId="12470" xr:uid="{BF3FBD13-917A-482B-9A33-A3C6BEEAF163}"/>
    <cellStyle name="Normal 8 3 2 3 4 3" xfId="6104" xr:uid="{00000000-0005-0000-0000-0000661D0000}"/>
    <cellStyle name="Normal 8 3 2 3 4 3 2" xfId="14543" xr:uid="{82C3F78A-705E-4D2E-AE67-765D6B4976E4}"/>
    <cellStyle name="Normal 8 3 2 3 4 4" xfId="10325" xr:uid="{6FC57358-5AFD-4FB2-B979-70F983CCBD8E}"/>
    <cellStyle name="Normal 8 3 2 3 5" xfId="2210" xr:uid="{00000000-0005-0000-0000-0000671D0000}"/>
    <cellStyle name="Normal 8 3 2 3 5 2" xfId="4439" xr:uid="{00000000-0005-0000-0000-0000681D0000}"/>
    <cellStyle name="Normal 8 3 2 3 5 2 2" xfId="8662" xr:uid="{00000000-0005-0000-0000-0000691D0000}"/>
    <cellStyle name="Normal 8 3 2 3 5 2 2 2" xfId="17101" xr:uid="{E02D1E51-2459-453E-845A-488B9E804482}"/>
    <cellStyle name="Normal 8 3 2 3 5 2 3" xfId="12883" xr:uid="{707BAE0B-3F24-458B-B429-6EEAAC366A91}"/>
    <cellStyle name="Normal 8 3 2 3 5 3" xfId="6517" xr:uid="{00000000-0005-0000-0000-00006A1D0000}"/>
    <cellStyle name="Normal 8 3 2 3 5 3 2" xfId="14956" xr:uid="{4E80A9EA-3AF7-41A7-92B3-DD99C1286A07}"/>
    <cellStyle name="Normal 8 3 2 3 5 4" xfId="10738" xr:uid="{2C0BA6C5-571B-45D6-B631-8B03C0FA9A59}"/>
    <cellStyle name="Normal 8 3 2 3 6" xfId="2646" xr:uid="{00000000-0005-0000-0000-00006B1D0000}"/>
    <cellStyle name="Normal 8 3 2 3 6 2" xfId="6930" xr:uid="{00000000-0005-0000-0000-00006C1D0000}"/>
    <cellStyle name="Normal 8 3 2 3 6 2 2" xfId="15369" xr:uid="{8345FAE3-023B-4192-9736-7B3416004F2B}"/>
    <cellStyle name="Normal 8 3 2 3 6 3" xfId="11151" xr:uid="{0F8A2603-FE0A-461D-81C8-011750932211}"/>
    <cellStyle name="Normal 8 3 2 3 7" xfId="4865" xr:uid="{00000000-0005-0000-0000-00006D1D0000}"/>
    <cellStyle name="Normal 8 3 2 3 7 2" xfId="13304" xr:uid="{819DC1C5-D5E7-4E30-AD89-A08F1968D9D6}"/>
    <cellStyle name="Normal 8 3 2 3 8" xfId="9086" xr:uid="{67618EC4-4B34-4615-80BF-3A7914523265}"/>
    <cellStyle name="Normal 8 3 2 4" xfId="963" xr:uid="{00000000-0005-0000-0000-00006E1D0000}"/>
    <cellStyle name="Normal 8 3 2 4 2" xfId="3197" xr:uid="{00000000-0005-0000-0000-00006F1D0000}"/>
    <cellStyle name="Normal 8 3 2 4 2 2" xfId="7420" xr:uid="{00000000-0005-0000-0000-0000701D0000}"/>
    <cellStyle name="Normal 8 3 2 4 2 2 2" xfId="15859" xr:uid="{AA0926E9-D637-45F5-BB1C-15D3334629EF}"/>
    <cellStyle name="Normal 8 3 2 4 2 3" xfId="11641" xr:uid="{E39B812B-704C-46CD-9AC3-36BCED6848FD}"/>
    <cellStyle name="Normal 8 3 2 4 3" xfId="5275" xr:uid="{00000000-0005-0000-0000-0000711D0000}"/>
    <cellStyle name="Normal 8 3 2 4 3 2" xfId="13714" xr:uid="{8E7718BF-45B0-4E64-90CE-5C1457FA3ABA}"/>
    <cellStyle name="Normal 8 3 2 4 4" xfId="9496" xr:uid="{E9249AEA-2D29-4552-8E04-5501C718EF00}"/>
    <cellStyle name="Normal 8 3 2 5" xfId="1380" xr:uid="{00000000-0005-0000-0000-0000721D0000}"/>
    <cellStyle name="Normal 8 3 2 5 2" xfId="3610" xr:uid="{00000000-0005-0000-0000-0000731D0000}"/>
    <cellStyle name="Normal 8 3 2 5 2 2" xfId="7833" xr:uid="{00000000-0005-0000-0000-0000741D0000}"/>
    <cellStyle name="Normal 8 3 2 5 2 2 2" xfId="16272" xr:uid="{6B04856E-D087-4E56-97A2-35F10A796912}"/>
    <cellStyle name="Normal 8 3 2 5 2 3" xfId="12054" xr:uid="{70942151-0DEC-4FF4-A0D4-79D15D171BDC}"/>
    <cellStyle name="Normal 8 3 2 5 3" xfId="5688" xr:uid="{00000000-0005-0000-0000-0000751D0000}"/>
    <cellStyle name="Normal 8 3 2 5 3 2" xfId="14127" xr:uid="{750AF5E0-FFE3-4BBA-98AC-13FC9E2EA8A2}"/>
    <cellStyle name="Normal 8 3 2 5 4" xfId="9909" xr:uid="{7B7AE4DA-F263-4B59-BD99-65562272EC86}"/>
    <cellStyle name="Normal 8 3 2 6" xfId="1793" xr:uid="{00000000-0005-0000-0000-0000761D0000}"/>
    <cellStyle name="Normal 8 3 2 6 2" xfId="4023" xr:uid="{00000000-0005-0000-0000-0000771D0000}"/>
    <cellStyle name="Normal 8 3 2 6 2 2" xfId="8246" xr:uid="{00000000-0005-0000-0000-0000781D0000}"/>
    <cellStyle name="Normal 8 3 2 6 2 2 2" xfId="16685" xr:uid="{23FBC39D-2992-419B-9469-66B79E318E96}"/>
    <cellStyle name="Normal 8 3 2 6 2 3" xfId="12467" xr:uid="{3B434E2D-F8A7-403B-95D2-75844BBFE59F}"/>
    <cellStyle name="Normal 8 3 2 6 3" xfId="6101" xr:uid="{00000000-0005-0000-0000-0000791D0000}"/>
    <cellStyle name="Normal 8 3 2 6 3 2" xfId="14540" xr:uid="{48BD5307-02E8-4028-9E74-B6D04E20BC7C}"/>
    <cellStyle name="Normal 8 3 2 6 4" xfId="10322" xr:uid="{977D0D93-B7C6-4438-8C81-18BE45BE5944}"/>
    <cellStyle name="Normal 8 3 2 7" xfId="2207" xr:uid="{00000000-0005-0000-0000-00007A1D0000}"/>
    <cellStyle name="Normal 8 3 2 7 2" xfId="4436" xr:uid="{00000000-0005-0000-0000-00007B1D0000}"/>
    <cellStyle name="Normal 8 3 2 7 2 2" xfId="8659" xr:uid="{00000000-0005-0000-0000-00007C1D0000}"/>
    <cellStyle name="Normal 8 3 2 7 2 2 2" xfId="17098" xr:uid="{26B10665-F14E-4377-A81D-CA61C69EDD8B}"/>
    <cellStyle name="Normal 8 3 2 7 2 3" xfId="12880" xr:uid="{BF930449-3F99-402B-9A98-4588FB190DCC}"/>
    <cellStyle name="Normal 8 3 2 7 3" xfId="6514" xr:uid="{00000000-0005-0000-0000-00007D1D0000}"/>
    <cellStyle name="Normal 8 3 2 7 3 2" xfId="14953" xr:uid="{6652749E-75F0-4491-939A-E5D6CCC2165F}"/>
    <cellStyle name="Normal 8 3 2 7 4" xfId="10735" xr:uid="{E5644830-968A-4E3A-9EAA-493D5B5C6297}"/>
    <cellStyle name="Normal 8 3 2 8" xfId="2643" xr:uid="{00000000-0005-0000-0000-00007E1D0000}"/>
    <cellStyle name="Normal 8 3 2 8 2" xfId="6927" xr:uid="{00000000-0005-0000-0000-00007F1D0000}"/>
    <cellStyle name="Normal 8 3 2 8 2 2" xfId="15366" xr:uid="{ADC37B39-19A6-4DFB-B2FF-44C6B818E1CA}"/>
    <cellStyle name="Normal 8 3 2 8 3" xfId="11148" xr:uid="{09F1B581-5465-4B99-A51E-3994BF538EB0}"/>
    <cellStyle name="Normal 8 3 2 9" xfId="4862" xr:uid="{00000000-0005-0000-0000-0000801D0000}"/>
    <cellStyle name="Normal 8 3 2 9 2" xfId="13301" xr:uid="{8C37C6E6-7032-4459-8DE8-4D486115A73F}"/>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2 2 2" xfId="15864" xr:uid="{9B80B6CA-045A-4018-A16A-38E9EAB751DC}"/>
    <cellStyle name="Normal 8 3 3 2 2 2 3" xfId="11646" xr:uid="{CF84A921-F530-494E-B8BE-64FD60A8078E}"/>
    <cellStyle name="Normal 8 3 3 2 2 3" xfId="5280" xr:uid="{00000000-0005-0000-0000-0000861D0000}"/>
    <cellStyle name="Normal 8 3 3 2 2 3 2" xfId="13719" xr:uid="{8E150679-AF95-41E7-9EC2-CE2B885B03D5}"/>
    <cellStyle name="Normal 8 3 3 2 2 4" xfId="9501" xr:uid="{5A966033-21EC-47D1-91A5-C6F6AB7D8EF1}"/>
    <cellStyle name="Normal 8 3 3 2 3" xfId="1385" xr:uid="{00000000-0005-0000-0000-0000871D0000}"/>
    <cellStyle name="Normal 8 3 3 2 3 2" xfId="3615" xr:uid="{00000000-0005-0000-0000-0000881D0000}"/>
    <cellStyle name="Normal 8 3 3 2 3 2 2" xfId="7838" xr:uid="{00000000-0005-0000-0000-0000891D0000}"/>
    <cellStyle name="Normal 8 3 3 2 3 2 2 2" xfId="16277" xr:uid="{AED00F01-A8C6-4879-8BCA-592CAC8629B2}"/>
    <cellStyle name="Normal 8 3 3 2 3 2 3" xfId="12059" xr:uid="{6867E40D-A468-4DF5-AE5C-6CDC9EFA77A5}"/>
    <cellStyle name="Normal 8 3 3 2 3 3" xfId="5693" xr:uid="{00000000-0005-0000-0000-00008A1D0000}"/>
    <cellStyle name="Normal 8 3 3 2 3 3 2" xfId="14132" xr:uid="{0D606A81-3AF8-437B-8195-1C03AC239DC7}"/>
    <cellStyle name="Normal 8 3 3 2 3 4" xfId="9914" xr:uid="{DF5525F6-C485-477A-8DDC-50B1308D2776}"/>
    <cellStyle name="Normal 8 3 3 2 4" xfId="1798" xr:uid="{00000000-0005-0000-0000-00008B1D0000}"/>
    <cellStyle name="Normal 8 3 3 2 4 2" xfId="4028" xr:uid="{00000000-0005-0000-0000-00008C1D0000}"/>
    <cellStyle name="Normal 8 3 3 2 4 2 2" xfId="8251" xr:uid="{00000000-0005-0000-0000-00008D1D0000}"/>
    <cellStyle name="Normal 8 3 3 2 4 2 2 2" xfId="16690" xr:uid="{F41D0C2C-5DF3-4CDF-A1CE-6CD14448F847}"/>
    <cellStyle name="Normal 8 3 3 2 4 2 3" xfId="12472" xr:uid="{9528E493-845E-4EA7-8984-067E9585DD0C}"/>
    <cellStyle name="Normal 8 3 3 2 4 3" xfId="6106" xr:uid="{00000000-0005-0000-0000-00008E1D0000}"/>
    <cellStyle name="Normal 8 3 3 2 4 3 2" xfId="14545" xr:uid="{3525807F-71C1-4944-85A9-EE0A89025892}"/>
    <cellStyle name="Normal 8 3 3 2 4 4" xfId="10327" xr:uid="{22721CD9-EBBE-4228-8C14-6374718895F3}"/>
    <cellStyle name="Normal 8 3 3 2 5" xfId="2212" xr:uid="{00000000-0005-0000-0000-00008F1D0000}"/>
    <cellStyle name="Normal 8 3 3 2 5 2" xfId="4441" xr:uid="{00000000-0005-0000-0000-0000901D0000}"/>
    <cellStyle name="Normal 8 3 3 2 5 2 2" xfId="8664" xr:uid="{00000000-0005-0000-0000-0000911D0000}"/>
    <cellStyle name="Normal 8 3 3 2 5 2 2 2" xfId="17103" xr:uid="{907533EB-DAC1-4583-8297-2DB70E1ACCC0}"/>
    <cellStyle name="Normal 8 3 3 2 5 2 3" xfId="12885" xr:uid="{F94D648E-DFEE-4C40-9B4E-745439D41ECA}"/>
    <cellStyle name="Normal 8 3 3 2 5 3" xfId="6519" xr:uid="{00000000-0005-0000-0000-0000921D0000}"/>
    <cellStyle name="Normal 8 3 3 2 5 3 2" xfId="14958" xr:uid="{55DEB6E1-B67D-4BD3-A6EA-A8506C9C7529}"/>
    <cellStyle name="Normal 8 3 3 2 5 4" xfId="10740" xr:uid="{241760F5-301E-4E6F-90C2-9C83B69FFE1B}"/>
    <cellStyle name="Normal 8 3 3 2 6" xfId="2648" xr:uid="{00000000-0005-0000-0000-0000931D0000}"/>
    <cellStyle name="Normal 8 3 3 2 6 2" xfId="6932" xr:uid="{00000000-0005-0000-0000-0000941D0000}"/>
    <cellStyle name="Normal 8 3 3 2 6 2 2" xfId="15371" xr:uid="{215EA909-2053-49E4-961F-408B497254E6}"/>
    <cellStyle name="Normal 8 3 3 2 6 3" xfId="11153" xr:uid="{F74F7928-6031-4558-9726-07CB71008D84}"/>
    <cellStyle name="Normal 8 3 3 2 7" xfId="4867" xr:uid="{00000000-0005-0000-0000-0000951D0000}"/>
    <cellStyle name="Normal 8 3 3 2 7 2" xfId="13306" xr:uid="{4E3E1FEC-EDF9-4319-BE5F-6DCA408E7F72}"/>
    <cellStyle name="Normal 8 3 3 2 8" xfId="9088" xr:uid="{56D98E75-0D6B-4F35-A6F2-99473178E5D3}"/>
    <cellStyle name="Normal 8 3 3 3" xfId="967" xr:uid="{00000000-0005-0000-0000-0000961D0000}"/>
    <cellStyle name="Normal 8 3 3 3 2" xfId="3201" xr:uid="{00000000-0005-0000-0000-0000971D0000}"/>
    <cellStyle name="Normal 8 3 3 3 2 2" xfId="7424" xr:uid="{00000000-0005-0000-0000-0000981D0000}"/>
    <cellStyle name="Normal 8 3 3 3 2 2 2" xfId="15863" xr:uid="{70FDCB7F-BC3F-4DBE-A6E1-BC34082C8958}"/>
    <cellStyle name="Normal 8 3 3 3 2 3" xfId="11645" xr:uid="{45BB1BD1-EFAB-4327-BDED-CB6E1E283072}"/>
    <cellStyle name="Normal 8 3 3 3 3" xfId="5279" xr:uid="{00000000-0005-0000-0000-0000991D0000}"/>
    <cellStyle name="Normal 8 3 3 3 3 2" xfId="13718" xr:uid="{71BAF85F-F652-4394-8A7D-CF9667E8F083}"/>
    <cellStyle name="Normal 8 3 3 3 4" xfId="9500" xr:uid="{7B3C43C3-82D0-46A0-9CD4-3CE815DA0226}"/>
    <cellStyle name="Normal 8 3 3 4" xfId="1384" xr:uid="{00000000-0005-0000-0000-00009A1D0000}"/>
    <cellStyle name="Normal 8 3 3 4 2" xfId="3614" xr:uid="{00000000-0005-0000-0000-00009B1D0000}"/>
    <cellStyle name="Normal 8 3 3 4 2 2" xfId="7837" xr:uid="{00000000-0005-0000-0000-00009C1D0000}"/>
    <cellStyle name="Normal 8 3 3 4 2 2 2" xfId="16276" xr:uid="{C9E63466-C1A8-45F4-A1AB-9A98621617A6}"/>
    <cellStyle name="Normal 8 3 3 4 2 3" xfId="12058" xr:uid="{870230D0-CED4-4288-8C07-EBFC1A2909FA}"/>
    <cellStyle name="Normal 8 3 3 4 3" xfId="5692" xr:uid="{00000000-0005-0000-0000-00009D1D0000}"/>
    <cellStyle name="Normal 8 3 3 4 3 2" xfId="14131" xr:uid="{9DFF51EF-87CE-4601-A703-8C57D24037AD}"/>
    <cellStyle name="Normal 8 3 3 4 4" xfId="9913" xr:uid="{1CC7F5F1-3BD6-436A-B684-85E3E12B74E7}"/>
    <cellStyle name="Normal 8 3 3 5" xfId="1797" xr:uid="{00000000-0005-0000-0000-00009E1D0000}"/>
    <cellStyle name="Normal 8 3 3 5 2" xfId="4027" xr:uid="{00000000-0005-0000-0000-00009F1D0000}"/>
    <cellStyle name="Normal 8 3 3 5 2 2" xfId="8250" xr:uid="{00000000-0005-0000-0000-0000A01D0000}"/>
    <cellStyle name="Normal 8 3 3 5 2 2 2" xfId="16689" xr:uid="{7F9A940C-F00A-4C3A-BE8E-8E876CFC1DE2}"/>
    <cellStyle name="Normal 8 3 3 5 2 3" xfId="12471" xr:uid="{60E64787-4F25-4280-B562-437743038312}"/>
    <cellStyle name="Normal 8 3 3 5 3" xfId="6105" xr:uid="{00000000-0005-0000-0000-0000A11D0000}"/>
    <cellStyle name="Normal 8 3 3 5 3 2" xfId="14544" xr:uid="{7054CF7D-71B4-4862-B4D2-69BEDDD7390F}"/>
    <cellStyle name="Normal 8 3 3 5 4" xfId="10326" xr:uid="{F20F1022-67BC-4969-BFC6-1D7C53B294A9}"/>
    <cellStyle name="Normal 8 3 3 6" xfId="2211" xr:uid="{00000000-0005-0000-0000-0000A21D0000}"/>
    <cellStyle name="Normal 8 3 3 6 2" xfId="4440" xr:uid="{00000000-0005-0000-0000-0000A31D0000}"/>
    <cellStyle name="Normal 8 3 3 6 2 2" xfId="8663" xr:uid="{00000000-0005-0000-0000-0000A41D0000}"/>
    <cellStyle name="Normal 8 3 3 6 2 2 2" xfId="17102" xr:uid="{CCE974BE-04CA-4A11-AFC9-2EE9AB30936A}"/>
    <cellStyle name="Normal 8 3 3 6 2 3" xfId="12884" xr:uid="{91759FC7-B081-47ED-850D-38EDD6E5DA85}"/>
    <cellStyle name="Normal 8 3 3 6 3" xfId="6518" xr:uid="{00000000-0005-0000-0000-0000A51D0000}"/>
    <cellStyle name="Normal 8 3 3 6 3 2" xfId="14957" xr:uid="{02FB60BF-E4CF-43D7-B9EC-03FD233DFE43}"/>
    <cellStyle name="Normal 8 3 3 6 4" xfId="10739" xr:uid="{83777864-AE50-41D3-8A38-16D4B20B1C15}"/>
    <cellStyle name="Normal 8 3 3 7" xfId="2647" xr:uid="{00000000-0005-0000-0000-0000A61D0000}"/>
    <cellStyle name="Normal 8 3 3 7 2" xfId="6931" xr:uid="{00000000-0005-0000-0000-0000A71D0000}"/>
    <cellStyle name="Normal 8 3 3 7 2 2" xfId="15370" xr:uid="{31E67438-D4CE-45B1-9232-C08434DD8E0E}"/>
    <cellStyle name="Normal 8 3 3 7 3" xfId="11152" xr:uid="{BEC1806B-84FC-4E59-9A6B-A10C4FD14266}"/>
    <cellStyle name="Normal 8 3 3 8" xfId="4866" xr:uid="{00000000-0005-0000-0000-0000A81D0000}"/>
    <cellStyle name="Normal 8 3 3 8 2" xfId="13305" xr:uid="{FFB1642E-C68C-4E65-8018-16A39D5C48A1}"/>
    <cellStyle name="Normal 8 3 3 9" xfId="9087" xr:uid="{93E628E3-716E-45CE-8A3F-C4627477868E}"/>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2 2 2" xfId="15865" xr:uid="{AC1FE009-F164-44FF-B251-D9CA83D294CD}"/>
    <cellStyle name="Normal 8 3 4 2 2 3" xfId="11647" xr:uid="{84205F7A-B372-4505-9EC6-47318141FAF1}"/>
    <cellStyle name="Normal 8 3 4 2 3" xfId="5281" xr:uid="{00000000-0005-0000-0000-0000AD1D0000}"/>
    <cellStyle name="Normal 8 3 4 2 3 2" xfId="13720" xr:uid="{0D4B76C9-939A-4F4D-9159-15820A1E2599}"/>
    <cellStyle name="Normal 8 3 4 2 4" xfId="9502" xr:uid="{546EA683-6D62-441C-A8A9-1BDC5CFCA7D5}"/>
    <cellStyle name="Normal 8 3 4 3" xfId="1386" xr:uid="{00000000-0005-0000-0000-0000AE1D0000}"/>
    <cellStyle name="Normal 8 3 4 3 2" xfId="3616" xr:uid="{00000000-0005-0000-0000-0000AF1D0000}"/>
    <cellStyle name="Normal 8 3 4 3 2 2" xfId="7839" xr:uid="{00000000-0005-0000-0000-0000B01D0000}"/>
    <cellStyle name="Normal 8 3 4 3 2 2 2" xfId="16278" xr:uid="{7EEBDCEF-3A8E-4BE1-A1CC-3B12ED5BFE63}"/>
    <cellStyle name="Normal 8 3 4 3 2 3" xfId="12060" xr:uid="{65D12BBF-0F39-4D14-A4F2-3180FF72EF53}"/>
    <cellStyle name="Normal 8 3 4 3 3" xfId="5694" xr:uid="{00000000-0005-0000-0000-0000B11D0000}"/>
    <cellStyle name="Normal 8 3 4 3 3 2" xfId="14133" xr:uid="{34833887-CC5A-4318-8155-C5688618DFD1}"/>
    <cellStyle name="Normal 8 3 4 3 4" xfId="9915" xr:uid="{BBF6AE2D-4A08-4A17-9FA9-9526C47AE85E}"/>
    <cellStyle name="Normal 8 3 4 4" xfId="1799" xr:uid="{00000000-0005-0000-0000-0000B21D0000}"/>
    <cellStyle name="Normal 8 3 4 4 2" xfId="4029" xr:uid="{00000000-0005-0000-0000-0000B31D0000}"/>
    <cellStyle name="Normal 8 3 4 4 2 2" xfId="8252" xr:uid="{00000000-0005-0000-0000-0000B41D0000}"/>
    <cellStyle name="Normal 8 3 4 4 2 2 2" xfId="16691" xr:uid="{B9898B53-4810-4931-8EC0-4A0023F2C288}"/>
    <cellStyle name="Normal 8 3 4 4 2 3" xfId="12473" xr:uid="{2D329380-4258-47B2-917D-758D9FB3FA7F}"/>
    <cellStyle name="Normal 8 3 4 4 3" xfId="6107" xr:uid="{00000000-0005-0000-0000-0000B51D0000}"/>
    <cellStyle name="Normal 8 3 4 4 3 2" xfId="14546" xr:uid="{83547BC4-58A4-4AC6-96A5-D0E5483660D9}"/>
    <cellStyle name="Normal 8 3 4 4 4" xfId="10328" xr:uid="{DFD039BC-EB72-42DE-AF51-53BC7256B728}"/>
    <cellStyle name="Normal 8 3 4 5" xfId="2213" xr:uid="{00000000-0005-0000-0000-0000B61D0000}"/>
    <cellStyle name="Normal 8 3 4 5 2" xfId="4442" xr:uid="{00000000-0005-0000-0000-0000B71D0000}"/>
    <cellStyle name="Normal 8 3 4 5 2 2" xfId="8665" xr:uid="{00000000-0005-0000-0000-0000B81D0000}"/>
    <cellStyle name="Normal 8 3 4 5 2 2 2" xfId="17104" xr:uid="{128F8F1B-1577-406A-92C7-AA3AC2BA632B}"/>
    <cellStyle name="Normal 8 3 4 5 2 3" xfId="12886" xr:uid="{504002DE-BD00-4A68-BBB2-0E9C4F293DD7}"/>
    <cellStyle name="Normal 8 3 4 5 3" xfId="6520" xr:uid="{00000000-0005-0000-0000-0000B91D0000}"/>
    <cellStyle name="Normal 8 3 4 5 3 2" xfId="14959" xr:uid="{2012D513-FE3B-4CCB-B6BF-028F7EF634D2}"/>
    <cellStyle name="Normal 8 3 4 5 4" xfId="10741" xr:uid="{A6464A33-DD90-49C1-9B31-A79EA390BB2A}"/>
    <cellStyle name="Normal 8 3 4 6" xfId="2649" xr:uid="{00000000-0005-0000-0000-0000BA1D0000}"/>
    <cellStyle name="Normal 8 3 4 6 2" xfId="6933" xr:uid="{00000000-0005-0000-0000-0000BB1D0000}"/>
    <cellStyle name="Normal 8 3 4 6 2 2" xfId="15372" xr:uid="{DA2FDF70-30C5-4C06-9AB6-E71511AC227F}"/>
    <cellStyle name="Normal 8 3 4 6 3" xfId="11154" xr:uid="{A53948AB-2FD0-424C-928B-F72197D931F5}"/>
    <cellStyle name="Normal 8 3 4 7" xfId="4868" xr:uid="{00000000-0005-0000-0000-0000BC1D0000}"/>
    <cellStyle name="Normal 8 3 4 7 2" xfId="13307" xr:uid="{BAFCC32E-6FA0-476C-B7D2-4E837191D106}"/>
    <cellStyle name="Normal 8 3 4 8" xfId="9089" xr:uid="{A021B3A2-499E-4E63-AE57-9ADB6EF9C4BB}"/>
    <cellStyle name="Normal 8 3 5" xfId="962" xr:uid="{00000000-0005-0000-0000-0000BD1D0000}"/>
    <cellStyle name="Normal 8 3 5 2" xfId="3196" xr:uid="{00000000-0005-0000-0000-0000BE1D0000}"/>
    <cellStyle name="Normal 8 3 5 2 2" xfId="7419" xr:uid="{00000000-0005-0000-0000-0000BF1D0000}"/>
    <cellStyle name="Normal 8 3 5 2 2 2" xfId="15858" xr:uid="{78F0C563-98B0-42D6-92D1-4A544CCC861A}"/>
    <cellStyle name="Normal 8 3 5 2 3" xfId="11640" xr:uid="{070BB71C-5EA8-4531-9E77-04E127DC7716}"/>
    <cellStyle name="Normal 8 3 5 3" xfId="5274" xr:uid="{00000000-0005-0000-0000-0000C01D0000}"/>
    <cellStyle name="Normal 8 3 5 3 2" xfId="13713" xr:uid="{E35A2DDC-78E7-48B1-8B5C-3789A5B3C352}"/>
    <cellStyle name="Normal 8 3 5 4" xfId="9495" xr:uid="{B093D7A0-00C3-4CB5-837D-82D4465C1851}"/>
    <cellStyle name="Normal 8 3 6" xfId="1379" xr:uid="{00000000-0005-0000-0000-0000C11D0000}"/>
    <cellStyle name="Normal 8 3 6 2" xfId="3609" xr:uid="{00000000-0005-0000-0000-0000C21D0000}"/>
    <cellStyle name="Normal 8 3 6 2 2" xfId="7832" xr:uid="{00000000-0005-0000-0000-0000C31D0000}"/>
    <cellStyle name="Normal 8 3 6 2 2 2" xfId="16271" xr:uid="{35033F9C-56D1-4967-96A4-77E30974212B}"/>
    <cellStyle name="Normal 8 3 6 2 3" xfId="12053" xr:uid="{C0F27931-04E8-4704-97CF-CE802EAD1329}"/>
    <cellStyle name="Normal 8 3 6 3" xfId="5687" xr:uid="{00000000-0005-0000-0000-0000C41D0000}"/>
    <cellStyle name="Normal 8 3 6 3 2" xfId="14126" xr:uid="{B5DA001A-7A05-4787-B040-9143F71D19CB}"/>
    <cellStyle name="Normal 8 3 6 4" xfId="9908" xr:uid="{4695DE6D-F461-4BAA-8BC7-BD68703B88FA}"/>
    <cellStyle name="Normal 8 3 7" xfId="1792" xr:uid="{00000000-0005-0000-0000-0000C51D0000}"/>
    <cellStyle name="Normal 8 3 7 2" xfId="4022" xr:uid="{00000000-0005-0000-0000-0000C61D0000}"/>
    <cellStyle name="Normal 8 3 7 2 2" xfId="8245" xr:uid="{00000000-0005-0000-0000-0000C71D0000}"/>
    <cellStyle name="Normal 8 3 7 2 2 2" xfId="16684" xr:uid="{D447D12F-CB07-427C-BC9D-C692958B3C2B}"/>
    <cellStyle name="Normal 8 3 7 2 3" xfId="12466" xr:uid="{5C110183-FACE-4410-9200-3931F01275D7}"/>
    <cellStyle name="Normal 8 3 7 3" xfId="6100" xr:uid="{00000000-0005-0000-0000-0000C81D0000}"/>
    <cellStyle name="Normal 8 3 7 3 2" xfId="14539" xr:uid="{6F573094-B9C8-43EF-A44E-BA499785F103}"/>
    <cellStyle name="Normal 8 3 7 4" xfId="10321" xr:uid="{F89940CE-761F-4834-A97E-BB0D07FB9A85}"/>
    <cellStyle name="Normal 8 3 8" xfId="2206" xr:uid="{00000000-0005-0000-0000-0000C91D0000}"/>
    <cellStyle name="Normal 8 3 8 2" xfId="4435" xr:uid="{00000000-0005-0000-0000-0000CA1D0000}"/>
    <cellStyle name="Normal 8 3 8 2 2" xfId="8658" xr:uid="{00000000-0005-0000-0000-0000CB1D0000}"/>
    <cellStyle name="Normal 8 3 8 2 2 2" xfId="17097" xr:uid="{A94E9C4D-1003-4CBF-AD10-2860E8EE1367}"/>
    <cellStyle name="Normal 8 3 8 2 3" xfId="12879" xr:uid="{723C0500-6F90-4EB2-B5E6-6E2D02B27D80}"/>
    <cellStyle name="Normal 8 3 8 3" xfId="6513" xr:uid="{00000000-0005-0000-0000-0000CC1D0000}"/>
    <cellStyle name="Normal 8 3 8 3 2" xfId="14952" xr:uid="{E44AEDDC-B3CE-4704-8AEA-D7E3869BB330}"/>
    <cellStyle name="Normal 8 3 8 4" xfId="10734" xr:uid="{EFE5C260-A977-4CA7-B605-A8FB5C7DB135}"/>
    <cellStyle name="Normal 8 3 9" xfId="2642" xr:uid="{00000000-0005-0000-0000-0000CD1D0000}"/>
    <cellStyle name="Normal 8 3 9 2" xfId="6926" xr:uid="{00000000-0005-0000-0000-0000CE1D0000}"/>
    <cellStyle name="Normal 8 3 9 2 2" xfId="15365" xr:uid="{AE1366AA-1087-4CCC-8EC6-7DEF41255C4E}"/>
    <cellStyle name="Normal 8 3 9 3" xfId="11147" xr:uid="{7EB08DE0-C7E9-4CAB-8F78-7822621780A5}"/>
    <cellStyle name="Normal 8 4" xfId="503" xr:uid="{00000000-0005-0000-0000-0000CF1D0000}"/>
    <cellStyle name="Normal 8 4 10" xfId="9090" xr:uid="{F05F8A17-2FEC-4CD7-B4BA-72C3833D43B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2 2 2" xfId="15868" xr:uid="{9AACA3A3-46F9-40C4-B2CF-5787589F1BDC}"/>
    <cellStyle name="Normal 8 4 2 2 2 2 3" xfId="11650" xr:uid="{F8E11BA4-EC95-4BE2-82DC-D9D9CE0616E6}"/>
    <cellStyle name="Normal 8 4 2 2 2 3" xfId="5284" xr:uid="{00000000-0005-0000-0000-0000D51D0000}"/>
    <cellStyle name="Normal 8 4 2 2 2 3 2" xfId="13723" xr:uid="{9C7853FE-AFA0-42E5-9DE0-FCBB9E9DEAA1}"/>
    <cellStyle name="Normal 8 4 2 2 2 4" xfId="9505" xr:uid="{670B0925-8D30-4268-9E6E-3B0463F8F496}"/>
    <cellStyle name="Normal 8 4 2 2 3" xfId="1389" xr:uid="{00000000-0005-0000-0000-0000D61D0000}"/>
    <cellStyle name="Normal 8 4 2 2 3 2" xfId="3619" xr:uid="{00000000-0005-0000-0000-0000D71D0000}"/>
    <cellStyle name="Normal 8 4 2 2 3 2 2" xfId="7842" xr:uid="{00000000-0005-0000-0000-0000D81D0000}"/>
    <cellStyle name="Normal 8 4 2 2 3 2 2 2" xfId="16281" xr:uid="{D6916E8C-8421-4E8C-81A1-B550C979AB9A}"/>
    <cellStyle name="Normal 8 4 2 2 3 2 3" xfId="12063" xr:uid="{4406A0B0-2366-46A7-AA13-2941D16F62D5}"/>
    <cellStyle name="Normal 8 4 2 2 3 3" xfId="5697" xr:uid="{00000000-0005-0000-0000-0000D91D0000}"/>
    <cellStyle name="Normal 8 4 2 2 3 3 2" xfId="14136" xr:uid="{8DB701A3-19BB-4762-92D3-0AFE1E336905}"/>
    <cellStyle name="Normal 8 4 2 2 3 4" xfId="9918" xr:uid="{E4D22233-7AE2-41C0-A630-219AA07FFB91}"/>
    <cellStyle name="Normal 8 4 2 2 4" xfId="1802" xr:uid="{00000000-0005-0000-0000-0000DA1D0000}"/>
    <cellStyle name="Normal 8 4 2 2 4 2" xfId="4032" xr:uid="{00000000-0005-0000-0000-0000DB1D0000}"/>
    <cellStyle name="Normal 8 4 2 2 4 2 2" xfId="8255" xr:uid="{00000000-0005-0000-0000-0000DC1D0000}"/>
    <cellStyle name="Normal 8 4 2 2 4 2 2 2" xfId="16694" xr:uid="{3E72C6DF-2EEE-4842-85D9-D432688232A4}"/>
    <cellStyle name="Normal 8 4 2 2 4 2 3" xfId="12476" xr:uid="{1C3F029D-F7BB-4097-8A6A-808B9E93E8A1}"/>
    <cellStyle name="Normal 8 4 2 2 4 3" xfId="6110" xr:uid="{00000000-0005-0000-0000-0000DD1D0000}"/>
    <cellStyle name="Normal 8 4 2 2 4 3 2" xfId="14549" xr:uid="{3BE18ECE-4A78-4905-B891-257D1265DEC0}"/>
    <cellStyle name="Normal 8 4 2 2 4 4" xfId="10331" xr:uid="{BB53F44D-C8AB-4A88-BD1D-819C76F2BCB7}"/>
    <cellStyle name="Normal 8 4 2 2 5" xfId="2216" xr:uid="{00000000-0005-0000-0000-0000DE1D0000}"/>
    <cellStyle name="Normal 8 4 2 2 5 2" xfId="4445" xr:uid="{00000000-0005-0000-0000-0000DF1D0000}"/>
    <cellStyle name="Normal 8 4 2 2 5 2 2" xfId="8668" xr:uid="{00000000-0005-0000-0000-0000E01D0000}"/>
    <cellStyle name="Normal 8 4 2 2 5 2 2 2" xfId="17107" xr:uid="{430A770A-ED0E-4490-A1C5-F14240003556}"/>
    <cellStyle name="Normal 8 4 2 2 5 2 3" xfId="12889" xr:uid="{8724B21F-79C4-4F0A-A899-AB152E3DE226}"/>
    <cellStyle name="Normal 8 4 2 2 5 3" xfId="6523" xr:uid="{00000000-0005-0000-0000-0000E11D0000}"/>
    <cellStyle name="Normal 8 4 2 2 5 3 2" xfId="14962" xr:uid="{8D7ECEAB-977F-446B-9D2B-5B24E4C8C798}"/>
    <cellStyle name="Normal 8 4 2 2 5 4" xfId="10744" xr:uid="{42552E00-DE51-45B8-9282-7A7F9D87A662}"/>
    <cellStyle name="Normal 8 4 2 2 6" xfId="2652" xr:uid="{00000000-0005-0000-0000-0000E21D0000}"/>
    <cellStyle name="Normal 8 4 2 2 6 2" xfId="6936" xr:uid="{00000000-0005-0000-0000-0000E31D0000}"/>
    <cellStyle name="Normal 8 4 2 2 6 2 2" xfId="15375" xr:uid="{45018741-022C-44EC-893B-A31F46695CC7}"/>
    <cellStyle name="Normal 8 4 2 2 6 3" xfId="11157" xr:uid="{3CB3A355-9DFE-4203-807F-EC3563E1B0A4}"/>
    <cellStyle name="Normal 8 4 2 2 7" xfId="4871" xr:uid="{00000000-0005-0000-0000-0000E41D0000}"/>
    <cellStyle name="Normal 8 4 2 2 7 2" xfId="13310" xr:uid="{85D855FD-9AB1-40B9-8422-8B3AC186BAB1}"/>
    <cellStyle name="Normal 8 4 2 2 8" xfId="9092" xr:uid="{670DEEC3-02C8-461E-A239-37C7973BFA16}"/>
    <cellStyle name="Normal 8 4 2 3" xfId="971" xr:uid="{00000000-0005-0000-0000-0000E51D0000}"/>
    <cellStyle name="Normal 8 4 2 3 2" xfId="3205" xr:uid="{00000000-0005-0000-0000-0000E61D0000}"/>
    <cellStyle name="Normal 8 4 2 3 2 2" xfId="7428" xr:uid="{00000000-0005-0000-0000-0000E71D0000}"/>
    <cellStyle name="Normal 8 4 2 3 2 2 2" xfId="15867" xr:uid="{3D8F7204-9E3B-47CB-9A1E-7AFF732E29C2}"/>
    <cellStyle name="Normal 8 4 2 3 2 3" xfId="11649" xr:uid="{B71D46D7-6F41-461A-96F0-FCA5CA79051B}"/>
    <cellStyle name="Normal 8 4 2 3 3" xfId="5283" xr:uid="{00000000-0005-0000-0000-0000E81D0000}"/>
    <cellStyle name="Normal 8 4 2 3 3 2" xfId="13722" xr:uid="{D67712FE-3DFD-474D-8CBA-71EFA46A99CE}"/>
    <cellStyle name="Normal 8 4 2 3 4" xfId="9504" xr:uid="{D6E9C892-1582-4338-A679-3D3B4AC8DCDF}"/>
    <cellStyle name="Normal 8 4 2 4" xfId="1388" xr:uid="{00000000-0005-0000-0000-0000E91D0000}"/>
    <cellStyle name="Normal 8 4 2 4 2" xfId="3618" xr:uid="{00000000-0005-0000-0000-0000EA1D0000}"/>
    <cellStyle name="Normal 8 4 2 4 2 2" xfId="7841" xr:uid="{00000000-0005-0000-0000-0000EB1D0000}"/>
    <cellStyle name="Normal 8 4 2 4 2 2 2" xfId="16280" xr:uid="{A0668983-BE30-4A2C-8BF2-FCB1F2F1B825}"/>
    <cellStyle name="Normal 8 4 2 4 2 3" xfId="12062" xr:uid="{987BDD50-C5B3-42E6-8F50-F60BF7915EFB}"/>
    <cellStyle name="Normal 8 4 2 4 3" xfId="5696" xr:uid="{00000000-0005-0000-0000-0000EC1D0000}"/>
    <cellStyle name="Normal 8 4 2 4 3 2" xfId="14135" xr:uid="{F2043489-27FB-4128-A899-97ED1C00B9D2}"/>
    <cellStyle name="Normal 8 4 2 4 4" xfId="9917" xr:uid="{3D97E354-3034-4FE2-ACAC-4CB872A60FD9}"/>
    <cellStyle name="Normal 8 4 2 5" xfId="1801" xr:uid="{00000000-0005-0000-0000-0000ED1D0000}"/>
    <cellStyle name="Normal 8 4 2 5 2" xfId="4031" xr:uid="{00000000-0005-0000-0000-0000EE1D0000}"/>
    <cellStyle name="Normal 8 4 2 5 2 2" xfId="8254" xr:uid="{00000000-0005-0000-0000-0000EF1D0000}"/>
    <cellStyle name="Normal 8 4 2 5 2 2 2" xfId="16693" xr:uid="{72B4AC0F-66AE-4169-BB20-93896313DF08}"/>
    <cellStyle name="Normal 8 4 2 5 2 3" xfId="12475" xr:uid="{98B59E2A-8A7F-42FC-A9E5-14DC3D6DF2FE}"/>
    <cellStyle name="Normal 8 4 2 5 3" xfId="6109" xr:uid="{00000000-0005-0000-0000-0000F01D0000}"/>
    <cellStyle name="Normal 8 4 2 5 3 2" xfId="14548" xr:uid="{F7AD33D9-F6D6-4D70-A34B-3B8807930EC2}"/>
    <cellStyle name="Normal 8 4 2 5 4" xfId="10330" xr:uid="{FFB5ECD2-8CB6-4061-AD71-6A59AAEED2A4}"/>
    <cellStyle name="Normal 8 4 2 6" xfId="2215" xr:uid="{00000000-0005-0000-0000-0000F11D0000}"/>
    <cellStyle name="Normal 8 4 2 6 2" xfId="4444" xr:uid="{00000000-0005-0000-0000-0000F21D0000}"/>
    <cellStyle name="Normal 8 4 2 6 2 2" xfId="8667" xr:uid="{00000000-0005-0000-0000-0000F31D0000}"/>
    <cellStyle name="Normal 8 4 2 6 2 2 2" xfId="17106" xr:uid="{BD4BF576-E163-4781-B18E-6BBEED078129}"/>
    <cellStyle name="Normal 8 4 2 6 2 3" xfId="12888" xr:uid="{50098B2E-FA0F-42CD-B4B8-7193819C20A5}"/>
    <cellStyle name="Normal 8 4 2 6 3" xfId="6522" xr:uid="{00000000-0005-0000-0000-0000F41D0000}"/>
    <cellStyle name="Normal 8 4 2 6 3 2" xfId="14961" xr:uid="{CC459B4F-A672-4218-998F-7675E41D9E79}"/>
    <cellStyle name="Normal 8 4 2 6 4" xfId="10743" xr:uid="{71F699A0-6A7A-4BBC-92FC-42B594E5052E}"/>
    <cellStyle name="Normal 8 4 2 7" xfId="2651" xr:uid="{00000000-0005-0000-0000-0000F51D0000}"/>
    <cellStyle name="Normal 8 4 2 7 2" xfId="6935" xr:uid="{00000000-0005-0000-0000-0000F61D0000}"/>
    <cellStyle name="Normal 8 4 2 7 2 2" xfId="15374" xr:uid="{667F9C31-4FE4-41FF-B659-E7DD42BAB7E0}"/>
    <cellStyle name="Normal 8 4 2 7 3" xfId="11156" xr:uid="{5726BE0A-A46D-441D-87C4-586A9D3E827C}"/>
    <cellStyle name="Normal 8 4 2 8" xfId="4870" xr:uid="{00000000-0005-0000-0000-0000F71D0000}"/>
    <cellStyle name="Normal 8 4 2 8 2" xfId="13309" xr:uid="{FE5E242D-6036-4004-891F-48130D004DDD}"/>
    <cellStyle name="Normal 8 4 2 9" xfId="9091" xr:uid="{8FA4DBBA-8A8A-43CA-952C-A2F6593658C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2 2 2" xfId="15869" xr:uid="{1AF049CE-BCB3-4BDF-9AF1-A305DAB03D63}"/>
    <cellStyle name="Normal 8 4 3 2 2 3" xfId="11651" xr:uid="{B4B8E139-E521-4177-8894-0E77F335A83E}"/>
    <cellStyle name="Normal 8 4 3 2 3" xfId="5285" xr:uid="{00000000-0005-0000-0000-0000FC1D0000}"/>
    <cellStyle name="Normal 8 4 3 2 3 2" xfId="13724" xr:uid="{86E34235-F57A-42EC-B9C5-1AAF12FE68CE}"/>
    <cellStyle name="Normal 8 4 3 2 4" xfId="9506" xr:uid="{312E4A21-D95B-4018-B25A-D853A2DE6B13}"/>
    <cellStyle name="Normal 8 4 3 3" xfId="1390" xr:uid="{00000000-0005-0000-0000-0000FD1D0000}"/>
    <cellStyle name="Normal 8 4 3 3 2" xfId="3620" xr:uid="{00000000-0005-0000-0000-0000FE1D0000}"/>
    <cellStyle name="Normal 8 4 3 3 2 2" xfId="7843" xr:uid="{00000000-0005-0000-0000-0000FF1D0000}"/>
    <cellStyle name="Normal 8 4 3 3 2 2 2" xfId="16282" xr:uid="{B9F5D1B7-9C53-4E44-8677-AAD33C0FC199}"/>
    <cellStyle name="Normal 8 4 3 3 2 3" xfId="12064" xr:uid="{28A27D2A-0946-41B1-B9E8-DA3359FACEB7}"/>
    <cellStyle name="Normal 8 4 3 3 3" xfId="5698" xr:uid="{00000000-0005-0000-0000-0000001E0000}"/>
    <cellStyle name="Normal 8 4 3 3 3 2" xfId="14137" xr:uid="{B39F7FBA-BA3E-4E39-BAA2-C0E56317AC3B}"/>
    <cellStyle name="Normal 8 4 3 3 4" xfId="9919" xr:uid="{FE9BBA5A-5A36-4348-9637-E18870C99C00}"/>
    <cellStyle name="Normal 8 4 3 4" xfId="1803" xr:uid="{00000000-0005-0000-0000-0000011E0000}"/>
    <cellStyle name="Normal 8 4 3 4 2" xfId="4033" xr:uid="{00000000-0005-0000-0000-0000021E0000}"/>
    <cellStyle name="Normal 8 4 3 4 2 2" xfId="8256" xr:uid="{00000000-0005-0000-0000-0000031E0000}"/>
    <cellStyle name="Normal 8 4 3 4 2 2 2" xfId="16695" xr:uid="{E0242623-41E3-4DD5-9E99-89546BF91C2D}"/>
    <cellStyle name="Normal 8 4 3 4 2 3" xfId="12477" xr:uid="{D7D536E9-A95B-4793-9A09-7CEBEFB03528}"/>
    <cellStyle name="Normal 8 4 3 4 3" xfId="6111" xr:uid="{00000000-0005-0000-0000-0000041E0000}"/>
    <cellStyle name="Normal 8 4 3 4 3 2" xfId="14550" xr:uid="{DAD130CA-71D6-4F6B-A1AA-7CCED2C5F1B1}"/>
    <cellStyle name="Normal 8 4 3 4 4" xfId="10332" xr:uid="{79429896-46C6-4F47-8BB2-59EBE7A1F26F}"/>
    <cellStyle name="Normal 8 4 3 5" xfId="2217" xr:uid="{00000000-0005-0000-0000-0000051E0000}"/>
    <cellStyle name="Normal 8 4 3 5 2" xfId="4446" xr:uid="{00000000-0005-0000-0000-0000061E0000}"/>
    <cellStyle name="Normal 8 4 3 5 2 2" xfId="8669" xr:uid="{00000000-0005-0000-0000-0000071E0000}"/>
    <cellStyle name="Normal 8 4 3 5 2 2 2" xfId="17108" xr:uid="{78DB83C3-3CF5-4FC2-A7C9-ABF478F76082}"/>
    <cellStyle name="Normal 8 4 3 5 2 3" xfId="12890" xr:uid="{960DFE22-274A-4C8B-B890-0333B1C447B5}"/>
    <cellStyle name="Normal 8 4 3 5 3" xfId="6524" xr:uid="{00000000-0005-0000-0000-0000081E0000}"/>
    <cellStyle name="Normal 8 4 3 5 3 2" xfId="14963" xr:uid="{3367DB64-EE48-4EA4-A8C2-04EFFBDFB930}"/>
    <cellStyle name="Normal 8 4 3 5 4" xfId="10745" xr:uid="{BDB529DA-B984-4FD4-8954-67A809A6498A}"/>
    <cellStyle name="Normal 8 4 3 6" xfId="2653" xr:uid="{00000000-0005-0000-0000-0000091E0000}"/>
    <cellStyle name="Normal 8 4 3 6 2" xfId="6937" xr:uid="{00000000-0005-0000-0000-00000A1E0000}"/>
    <cellStyle name="Normal 8 4 3 6 2 2" xfId="15376" xr:uid="{B74DAABE-EC9B-48AE-ABDD-47A780E06CAB}"/>
    <cellStyle name="Normal 8 4 3 6 3" xfId="11158" xr:uid="{D03EE66C-C5BE-4F05-9D2E-1B2C83B513D7}"/>
    <cellStyle name="Normal 8 4 3 7" xfId="4872" xr:uid="{00000000-0005-0000-0000-00000B1E0000}"/>
    <cellStyle name="Normal 8 4 3 7 2" xfId="13311" xr:uid="{7AD4C4CD-F9C0-4002-8192-C9C5F05B3245}"/>
    <cellStyle name="Normal 8 4 3 8" xfId="9093" xr:uid="{B2DD154A-7317-4382-9ACD-67625C60B2AB}"/>
    <cellStyle name="Normal 8 4 4" xfId="970" xr:uid="{00000000-0005-0000-0000-00000C1E0000}"/>
    <cellStyle name="Normal 8 4 4 2" xfId="3204" xr:uid="{00000000-0005-0000-0000-00000D1E0000}"/>
    <cellStyle name="Normal 8 4 4 2 2" xfId="7427" xr:uid="{00000000-0005-0000-0000-00000E1E0000}"/>
    <cellStyle name="Normal 8 4 4 2 2 2" xfId="15866" xr:uid="{F6C1B855-CD6A-45FD-AE16-02D59B233F83}"/>
    <cellStyle name="Normal 8 4 4 2 3" xfId="11648" xr:uid="{8F6B7FB9-8833-4FE8-87A0-C99921BC0587}"/>
    <cellStyle name="Normal 8 4 4 3" xfId="5282" xr:uid="{00000000-0005-0000-0000-00000F1E0000}"/>
    <cellStyle name="Normal 8 4 4 3 2" xfId="13721" xr:uid="{77E83094-7BCD-4CD1-9E79-5FD5C1779A9D}"/>
    <cellStyle name="Normal 8 4 4 4" xfId="9503" xr:uid="{3989A8BE-6CC4-4233-88E4-77E78A6681A4}"/>
    <cellStyle name="Normal 8 4 5" xfId="1387" xr:uid="{00000000-0005-0000-0000-0000101E0000}"/>
    <cellStyle name="Normal 8 4 5 2" xfId="3617" xr:uid="{00000000-0005-0000-0000-0000111E0000}"/>
    <cellStyle name="Normal 8 4 5 2 2" xfId="7840" xr:uid="{00000000-0005-0000-0000-0000121E0000}"/>
    <cellStyle name="Normal 8 4 5 2 2 2" xfId="16279" xr:uid="{586BB4C5-9B67-4B41-B269-7F5AAF4C5DE8}"/>
    <cellStyle name="Normal 8 4 5 2 3" xfId="12061" xr:uid="{37562112-6402-4048-A781-7B52F8444676}"/>
    <cellStyle name="Normal 8 4 5 3" xfId="5695" xr:uid="{00000000-0005-0000-0000-0000131E0000}"/>
    <cellStyle name="Normal 8 4 5 3 2" xfId="14134" xr:uid="{A095DAA9-372E-47BD-9BF2-617EF8A56DD3}"/>
    <cellStyle name="Normal 8 4 5 4" xfId="9916" xr:uid="{31CC1934-4C35-42BE-ACBE-1A438F71D28C}"/>
    <cellStyle name="Normal 8 4 6" xfId="1800" xr:uid="{00000000-0005-0000-0000-0000141E0000}"/>
    <cellStyle name="Normal 8 4 6 2" xfId="4030" xr:uid="{00000000-0005-0000-0000-0000151E0000}"/>
    <cellStyle name="Normal 8 4 6 2 2" xfId="8253" xr:uid="{00000000-0005-0000-0000-0000161E0000}"/>
    <cellStyle name="Normal 8 4 6 2 2 2" xfId="16692" xr:uid="{858601E2-33EB-4449-9264-DF2E847D5FDC}"/>
    <cellStyle name="Normal 8 4 6 2 3" xfId="12474" xr:uid="{083CB3C6-C606-40A0-AF7E-4B962AE0139E}"/>
    <cellStyle name="Normal 8 4 6 3" xfId="6108" xr:uid="{00000000-0005-0000-0000-0000171E0000}"/>
    <cellStyle name="Normal 8 4 6 3 2" xfId="14547" xr:uid="{F4650B63-FD80-4B20-9B42-F8EEA499CF51}"/>
    <cellStyle name="Normal 8 4 6 4" xfId="10329" xr:uid="{F4D18EC9-FCC6-41BD-AAB8-759B09640418}"/>
    <cellStyle name="Normal 8 4 7" xfId="2214" xr:uid="{00000000-0005-0000-0000-0000181E0000}"/>
    <cellStyle name="Normal 8 4 7 2" xfId="4443" xr:uid="{00000000-0005-0000-0000-0000191E0000}"/>
    <cellStyle name="Normal 8 4 7 2 2" xfId="8666" xr:uid="{00000000-0005-0000-0000-00001A1E0000}"/>
    <cellStyle name="Normal 8 4 7 2 2 2" xfId="17105" xr:uid="{212CC0B0-914C-4F8F-BF3A-3C8A1EC85713}"/>
    <cellStyle name="Normal 8 4 7 2 3" xfId="12887" xr:uid="{CDFACD50-F80B-4C8A-A0F0-93496068FF93}"/>
    <cellStyle name="Normal 8 4 7 3" xfId="6521" xr:uid="{00000000-0005-0000-0000-00001B1E0000}"/>
    <cellStyle name="Normal 8 4 7 3 2" xfId="14960" xr:uid="{D551913A-88F3-4FC9-95B6-CF9A076D6FCA}"/>
    <cellStyle name="Normal 8 4 7 4" xfId="10742" xr:uid="{75069281-20CE-4668-8903-18B7C7973D02}"/>
    <cellStyle name="Normal 8 4 8" xfId="2650" xr:uid="{00000000-0005-0000-0000-00001C1E0000}"/>
    <cellStyle name="Normal 8 4 8 2" xfId="6934" xr:uid="{00000000-0005-0000-0000-00001D1E0000}"/>
    <cellStyle name="Normal 8 4 8 2 2" xfId="15373" xr:uid="{48D84B6C-EFC6-4A45-9F18-F19B8B2666BE}"/>
    <cellStyle name="Normal 8 4 8 3" xfId="11155" xr:uid="{E6141F63-40CE-43D6-AFB4-A918CE592DC9}"/>
    <cellStyle name="Normal 8 4 9" xfId="4869" xr:uid="{00000000-0005-0000-0000-00001E1E0000}"/>
    <cellStyle name="Normal 8 4 9 2" xfId="13308" xr:uid="{369CA9BA-3740-4B9C-ADAD-7C2CFE24E0EC}"/>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2 2 2" xfId="15871" xr:uid="{85A703EF-C9B5-4C6E-B2FB-86CA4F34264B}"/>
    <cellStyle name="Normal 8 5 2 2 2 3" xfId="11653" xr:uid="{637C8F9D-C155-47BD-9221-ACC361AF4B8A}"/>
    <cellStyle name="Normal 8 5 2 2 3" xfId="5287" xr:uid="{00000000-0005-0000-0000-0000241E0000}"/>
    <cellStyle name="Normal 8 5 2 2 3 2" xfId="13726" xr:uid="{D1F7825B-016C-4F7F-87DB-19333985CD44}"/>
    <cellStyle name="Normal 8 5 2 2 4" xfId="9508" xr:uid="{83315E4D-E296-4609-A7AA-3BDA9CA7F331}"/>
    <cellStyle name="Normal 8 5 2 3" xfId="1392" xr:uid="{00000000-0005-0000-0000-0000251E0000}"/>
    <cellStyle name="Normal 8 5 2 3 2" xfId="3622" xr:uid="{00000000-0005-0000-0000-0000261E0000}"/>
    <cellStyle name="Normal 8 5 2 3 2 2" xfId="7845" xr:uid="{00000000-0005-0000-0000-0000271E0000}"/>
    <cellStyle name="Normal 8 5 2 3 2 2 2" xfId="16284" xr:uid="{C5FACB30-4C5D-47EF-87A2-287EC71523FC}"/>
    <cellStyle name="Normal 8 5 2 3 2 3" xfId="12066" xr:uid="{33FC2C35-0C16-4EE2-ACB7-48B3DBDB8559}"/>
    <cellStyle name="Normal 8 5 2 3 3" xfId="5700" xr:uid="{00000000-0005-0000-0000-0000281E0000}"/>
    <cellStyle name="Normal 8 5 2 3 3 2" xfId="14139" xr:uid="{D04E6DE8-99D2-455F-BC6F-803C5E7C2190}"/>
    <cellStyle name="Normal 8 5 2 3 4" xfId="9921" xr:uid="{8AC06B69-1885-4983-AAA7-F285CDAB454F}"/>
    <cellStyle name="Normal 8 5 2 4" xfId="1805" xr:uid="{00000000-0005-0000-0000-0000291E0000}"/>
    <cellStyle name="Normal 8 5 2 4 2" xfId="4035" xr:uid="{00000000-0005-0000-0000-00002A1E0000}"/>
    <cellStyle name="Normal 8 5 2 4 2 2" xfId="8258" xr:uid="{00000000-0005-0000-0000-00002B1E0000}"/>
    <cellStyle name="Normal 8 5 2 4 2 2 2" xfId="16697" xr:uid="{EFB3B0F1-8699-4DEF-80EE-85928C90AB8F}"/>
    <cellStyle name="Normal 8 5 2 4 2 3" xfId="12479" xr:uid="{06FDDED7-2A9A-4E18-AB29-D2B64B91FA01}"/>
    <cellStyle name="Normal 8 5 2 4 3" xfId="6113" xr:uid="{00000000-0005-0000-0000-00002C1E0000}"/>
    <cellStyle name="Normal 8 5 2 4 3 2" xfId="14552" xr:uid="{C31EF36F-B6FF-49D3-83C6-E1B0B88973FE}"/>
    <cellStyle name="Normal 8 5 2 4 4" xfId="10334" xr:uid="{1E37DBF8-D9AF-49C5-8271-C50904F1FDD9}"/>
    <cellStyle name="Normal 8 5 2 5" xfId="2219" xr:uid="{00000000-0005-0000-0000-00002D1E0000}"/>
    <cellStyle name="Normal 8 5 2 5 2" xfId="4448" xr:uid="{00000000-0005-0000-0000-00002E1E0000}"/>
    <cellStyle name="Normal 8 5 2 5 2 2" xfId="8671" xr:uid="{00000000-0005-0000-0000-00002F1E0000}"/>
    <cellStyle name="Normal 8 5 2 5 2 2 2" xfId="17110" xr:uid="{BD01042C-A1AB-49F9-B29F-6AE93D3597BF}"/>
    <cellStyle name="Normal 8 5 2 5 2 3" xfId="12892" xr:uid="{9866F90E-81EC-49E4-B0B9-99021C071C5B}"/>
    <cellStyle name="Normal 8 5 2 5 3" xfId="6526" xr:uid="{00000000-0005-0000-0000-0000301E0000}"/>
    <cellStyle name="Normal 8 5 2 5 3 2" xfId="14965" xr:uid="{3F9A6412-BB9F-42F1-9C12-8613AD04E748}"/>
    <cellStyle name="Normal 8 5 2 5 4" xfId="10747" xr:uid="{00EB5CCB-6EA2-4F5F-A4FC-D22A3AA334D2}"/>
    <cellStyle name="Normal 8 5 2 6" xfId="2655" xr:uid="{00000000-0005-0000-0000-0000311E0000}"/>
    <cellStyle name="Normal 8 5 2 6 2" xfId="6939" xr:uid="{00000000-0005-0000-0000-0000321E0000}"/>
    <cellStyle name="Normal 8 5 2 6 2 2" xfId="15378" xr:uid="{99C4AAE0-6E83-4BFD-BA02-6F8402FF13A4}"/>
    <cellStyle name="Normal 8 5 2 6 3" xfId="11160" xr:uid="{160B9BCD-59FF-4CAB-B442-91935FEDF6AB}"/>
    <cellStyle name="Normal 8 5 2 7" xfId="4874" xr:uid="{00000000-0005-0000-0000-0000331E0000}"/>
    <cellStyle name="Normal 8 5 2 7 2" xfId="13313" xr:uid="{2980E408-F4CE-4784-95EC-E81B85A0E4BD}"/>
    <cellStyle name="Normal 8 5 2 8" xfId="9095" xr:uid="{D57895FA-98FD-4848-901E-D319A3238DB0}"/>
    <cellStyle name="Normal 8 5 3" xfId="974" xr:uid="{00000000-0005-0000-0000-0000341E0000}"/>
    <cellStyle name="Normal 8 5 3 2" xfId="3208" xr:uid="{00000000-0005-0000-0000-0000351E0000}"/>
    <cellStyle name="Normal 8 5 3 2 2" xfId="7431" xr:uid="{00000000-0005-0000-0000-0000361E0000}"/>
    <cellStyle name="Normal 8 5 3 2 2 2" xfId="15870" xr:uid="{2CEC84D5-16FE-47E3-A1FB-7524462F7E02}"/>
    <cellStyle name="Normal 8 5 3 2 3" xfId="11652" xr:uid="{85ABBEB3-D5C4-432D-82D9-F506F986C046}"/>
    <cellStyle name="Normal 8 5 3 3" xfId="5286" xr:uid="{00000000-0005-0000-0000-0000371E0000}"/>
    <cellStyle name="Normal 8 5 3 3 2" xfId="13725" xr:uid="{540CB78A-735E-4227-8E16-33ABEC4A7E38}"/>
    <cellStyle name="Normal 8 5 3 4" xfId="9507" xr:uid="{F82F8DC3-BF4A-4D8F-9BBD-85B294421968}"/>
    <cellStyle name="Normal 8 5 4" xfId="1391" xr:uid="{00000000-0005-0000-0000-0000381E0000}"/>
    <cellStyle name="Normal 8 5 4 2" xfId="3621" xr:uid="{00000000-0005-0000-0000-0000391E0000}"/>
    <cellStyle name="Normal 8 5 4 2 2" xfId="7844" xr:uid="{00000000-0005-0000-0000-00003A1E0000}"/>
    <cellStyle name="Normal 8 5 4 2 2 2" xfId="16283" xr:uid="{58D7EF37-CF62-43F8-AB84-F67AE587F4F3}"/>
    <cellStyle name="Normal 8 5 4 2 3" xfId="12065" xr:uid="{8734941F-5E83-442E-8A4F-B9B1762A73B5}"/>
    <cellStyle name="Normal 8 5 4 3" xfId="5699" xr:uid="{00000000-0005-0000-0000-00003B1E0000}"/>
    <cellStyle name="Normal 8 5 4 3 2" xfId="14138" xr:uid="{998A06F4-03D5-4C73-9ECB-C5FB9A061C8B}"/>
    <cellStyle name="Normal 8 5 4 4" xfId="9920" xr:uid="{F2026721-BB60-43E8-9023-DE06C73FC10A}"/>
    <cellStyle name="Normal 8 5 5" xfId="1804" xr:uid="{00000000-0005-0000-0000-00003C1E0000}"/>
    <cellStyle name="Normal 8 5 5 2" xfId="4034" xr:uid="{00000000-0005-0000-0000-00003D1E0000}"/>
    <cellStyle name="Normal 8 5 5 2 2" xfId="8257" xr:uid="{00000000-0005-0000-0000-00003E1E0000}"/>
    <cellStyle name="Normal 8 5 5 2 2 2" xfId="16696" xr:uid="{C474F6C4-4C9D-46A0-A739-F1B2B7A2BA22}"/>
    <cellStyle name="Normal 8 5 5 2 3" xfId="12478" xr:uid="{BC47E149-A6AF-446C-8F54-700FEC7894E2}"/>
    <cellStyle name="Normal 8 5 5 3" xfId="6112" xr:uid="{00000000-0005-0000-0000-00003F1E0000}"/>
    <cellStyle name="Normal 8 5 5 3 2" xfId="14551" xr:uid="{9DCAE028-A62C-46B7-86FC-D81091A9E3B1}"/>
    <cellStyle name="Normal 8 5 5 4" xfId="10333" xr:uid="{C228C627-155E-448D-B361-37FA7A0C44C0}"/>
    <cellStyle name="Normal 8 5 6" xfId="2218" xr:uid="{00000000-0005-0000-0000-0000401E0000}"/>
    <cellStyle name="Normal 8 5 6 2" xfId="4447" xr:uid="{00000000-0005-0000-0000-0000411E0000}"/>
    <cellStyle name="Normal 8 5 6 2 2" xfId="8670" xr:uid="{00000000-0005-0000-0000-0000421E0000}"/>
    <cellStyle name="Normal 8 5 6 2 2 2" xfId="17109" xr:uid="{E22F665D-EEFF-4375-B4DC-E10C40DB25AF}"/>
    <cellStyle name="Normal 8 5 6 2 3" xfId="12891" xr:uid="{1315E558-949E-45FF-84FD-1171C762B3D4}"/>
    <cellStyle name="Normal 8 5 6 3" xfId="6525" xr:uid="{00000000-0005-0000-0000-0000431E0000}"/>
    <cellStyle name="Normal 8 5 6 3 2" xfId="14964" xr:uid="{3DF8EF52-3DBC-437D-9EC6-695B83F0E462}"/>
    <cellStyle name="Normal 8 5 6 4" xfId="10746" xr:uid="{2C0096B9-EB5E-4493-8DFD-1D7863FCE1EF}"/>
    <cellStyle name="Normal 8 5 7" xfId="2654" xr:uid="{00000000-0005-0000-0000-0000441E0000}"/>
    <cellStyle name="Normal 8 5 7 2" xfId="6938" xr:uid="{00000000-0005-0000-0000-0000451E0000}"/>
    <cellStyle name="Normal 8 5 7 2 2" xfId="15377" xr:uid="{238874D7-AFF0-4D1C-86C3-272B116A010A}"/>
    <cellStyle name="Normal 8 5 7 3" xfId="11159" xr:uid="{C8582E7C-AB6A-4DFE-A5F8-09D3A3141BBC}"/>
    <cellStyle name="Normal 8 5 8" xfId="4873" xr:uid="{00000000-0005-0000-0000-0000461E0000}"/>
    <cellStyle name="Normal 8 5 8 2" xfId="13312" xr:uid="{9EA444EC-C60D-4ED0-B95C-6A19BB6892F8}"/>
    <cellStyle name="Normal 8 5 9" xfId="9094" xr:uid="{A19B1072-61AB-4E9D-B2FE-5F64B981479A}"/>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2 2 2" xfId="15872" xr:uid="{B98E2926-47FA-41EF-8907-786A2B2CCB09}"/>
    <cellStyle name="Normal 8 6 2 2 3" xfId="11654" xr:uid="{C668D10D-F9AD-462E-A073-E73715D022FE}"/>
    <cellStyle name="Normal 8 6 2 3" xfId="5288" xr:uid="{00000000-0005-0000-0000-00004B1E0000}"/>
    <cellStyle name="Normal 8 6 2 3 2" xfId="13727" xr:uid="{16E288D6-960F-4A16-B037-20543126B81F}"/>
    <cellStyle name="Normal 8 6 2 4" xfId="9509" xr:uid="{842D6CC2-8E2A-426A-859A-8B35CCFE1C8D}"/>
    <cellStyle name="Normal 8 6 3" xfId="1393" xr:uid="{00000000-0005-0000-0000-00004C1E0000}"/>
    <cellStyle name="Normal 8 6 3 2" xfId="3623" xr:uid="{00000000-0005-0000-0000-00004D1E0000}"/>
    <cellStyle name="Normal 8 6 3 2 2" xfId="7846" xr:uid="{00000000-0005-0000-0000-00004E1E0000}"/>
    <cellStyle name="Normal 8 6 3 2 2 2" xfId="16285" xr:uid="{3317D8CE-2E23-4B1D-86FB-160B85DCDC9B}"/>
    <cellStyle name="Normal 8 6 3 2 3" xfId="12067" xr:uid="{A68EC788-7109-4697-ADC0-FAE9A1CA8381}"/>
    <cellStyle name="Normal 8 6 3 3" xfId="5701" xr:uid="{00000000-0005-0000-0000-00004F1E0000}"/>
    <cellStyle name="Normal 8 6 3 3 2" xfId="14140" xr:uid="{5C24ACB2-2C16-4DCC-8412-CF7A59F4A4E1}"/>
    <cellStyle name="Normal 8 6 3 4" xfId="9922" xr:uid="{A9C491BF-0E41-4BD9-919A-3C3E54EA1985}"/>
    <cellStyle name="Normal 8 6 4" xfId="1806" xr:uid="{00000000-0005-0000-0000-0000501E0000}"/>
    <cellStyle name="Normal 8 6 4 2" xfId="4036" xr:uid="{00000000-0005-0000-0000-0000511E0000}"/>
    <cellStyle name="Normal 8 6 4 2 2" xfId="8259" xr:uid="{00000000-0005-0000-0000-0000521E0000}"/>
    <cellStyle name="Normal 8 6 4 2 2 2" xfId="16698" xr:uid="{C38A4D53-8AB6-4D13-B61E-DD44A09F5F9F}"/>
    <cellStyle name="Normal 8 6 4 2 3" xfId="12480" xr:uid="{EE24AB87-2B95-4940-A78D-5A25FBBA020A}"/>
    <cellStyle name="Normal 8 6 4 3" xfId="6114" xr:uid="{00000000-0005-0000-0000-0000531E0000}"/>
    <cellStyle name="Normal 8 6 4 3 2" xfId="14553" xr:uid="{45EC50A8-4616-4A8D-9D45-DBD9698A58F5}"/>
    <cellStyle name="Normal 8 6 4 4" xfId="10335" xr:uid="{CDF971AD-BD97-491C-8D21-BAFF0FD34078}"/>
    <cellStyle name="Normal 8 6 5" xfId="2220" xr:uid="{00000000-0005-0000-0000-0000541E0000}"/>
    <cellStyle name="Normal 8 6 5 2" xfId="4449" xr:uid="{00000000-0005-0000-0000-0000551E0000}"/>
    <cellStyle name="Normal 8 6 5 2 2" xfId="8672" xr:uid="{00000000-0005-0000-0000-0000561E0000}"/>
    <cellStyle name="Normal 8 6 5 2 2 2" xfId="17111" xr:uid="{E43F9488-8B87-49AF-9452-11178214FC55}"/>
    <cellStyle name="Normal 8 6 5 2 3" xfId="12893" xr:uid="{6AA5F193-2D93-47A3-A754-E06CA255E95F}"/>
    <cellStyle name="Normal 8 6 5 3" xfId="6527" xr:uid="{00000000-0005-0000-0000-0000571E0000}"/>
    <cellStyle name="Normal 8 6 5 3 2" xfId="14966" xr:uid="{EAB36A7A-5731-4D75-88E0-E2C8B911100A}"/>
    <cellStyle name="Normal 8 6 5 4" xfId="10748" xr:uid="{E65F1B64-6A8F-4CA5-AAB3-5740153AE38D}"/>
    <cellStyle name="Normal 8 6 6" xfId="2656" xr:uid="{00000000-0005-0000-0000-0000581E0000}"/>
    <cellStyle name="Normal 8 6 6 2" xfId="6940" xr:uid="{00000000-0005-0000-0000-0000591E0000}"/>
    <cellStyle name="Normal 8 6 6 2 2" xfId="15379" xr:uid="{5594E078-DA43-48CA-827A-D63B92E3E117}"/>
    <cellStyle name="Normal 8 6 6 3" xfId="11161" xr:uid="{D85E02AA-8936-41FE-92BF-00853564331D}"/>
    <cellStyle name="Normal 8 6 7" xfId="4875" xr:uid="{00000000-0005-0000-0000-00005A1E0000}"/>
    <cellStyle name="Normal 8 6 7 2" xfId="13314" xr:uid="{56486FAE-56B5-4C37-B029-98F0B85DC824}"/>
    <cellStyle name="Normal 8 6 8" xfId="9096" xr:uid="{5B859CF7-F6EE-4BA6-A048-237198D10CE3}"/>
    <cellStyle name="Normal 8 7" xfId="945" xr:uid="{00000000-0005-0000-0000-00005B1E0000}"/>
    <cellStyle name="Normal 8 7 2" xfId="3179" xr:uid="{00000000-0005-0000-0000-00005C1E0000}"/>
    <cellStyle name="Normal 8 7 2 2" xfId="7402" xr:uid="{00000000-0005-0000-0000-00005D1E0000}"/>
    <cellStyle name="Normal 8 7 2 2 2" xfId="15841" xr:uid="{2AAC2F0F-F366-4929-AD4F-3B604F9FFF48}"/>
    <cellStyle name="Normal 8 7 2 3" xfId="11623" xr:uid="{B22ADBBC-2911-4186-9A0E-C1111E202212}"/>
    <cellStyle name="Normal 8 7 3" xfId="5257" xr:uid="{00000000-0005-0000-0000-00005E1E0000}"/>
    <cellStyle name="Normal 8 7 3 2" xfId="13696" xr:uid="{666A2A11-0080-48EC-AED0-9EA7B7E146D8}"/>
    <cellStyle name="Normal 8 7 4" xfId="9478" xr:uid="{BDA9FD06-6A2B-42CF-92CA-769CBAD8DA6D}"/>
    <cellStyle name="Normal 8 8" xfId="1362" xr:uid="{00000000-0005-0000-0000-00005F1E0000}"/>
    <cellStyle name="Normal 8 8 2" xfId="3592" xr:uid="{00000000-0005-0000-0000-0000601E0000}"/>
    <cellStyle name="Normal 8 8 2 2" xfId="7815" xr:uid="{00000000-0005-0000-0000-0000611E0000}"/>
    <cellStyle name="Normal 8 8 2 2 2" xfId="16254" xr:uid="{92C10D0B-7527-4C76-9C1A-4B7F91DD0ECD}"/>
    <cellStyle name="Normal 8 8 2 3" xfId="12036" xr:uid="{13C5CDFF-156D-4DCC-B39D-A89760BF7949}"/>
    <cellStyle name="Normal 8 8 3" xfId="5670" xr:uid="{00000000-0005-0000-0000-0000621E0000}"/>
    <cellStyle name="Normal 8 8 3 2" xfId="14109" xr:uid="{456BCF59-A131-48A7-9F60-3F4515DF0C4A}"/>
    <cellStyle name="Normal 8 8 4" xfId="9891" xr:uid="{2AE26A5D-83F7-4E19-B757-C61FA3F46F62}"/>
    <cellStyle name="Normal 8 9" xfId="1775" xr:uid="{00000000-0005-0000-0000-0000631E0000}"/>
    <cellStyle name="Normal 8 9 2" xfId="4005" xr:uid="{00000000-0005-0000-0000-0000641E0000}"/>
    <cellStyle name="Normal 8 9 2 2" xfId="8228" xr:uid="{00000000-0005-0000-0000-0000651E0000}"/>
    <cellStyle name="Normal 8 9 2 2 2" xfId="16667" xr:uid="{D7990CBF-6E62-4D9B-9F05-6B6F9C5AA335}"/>
    <cellStyle name="Normal 8 9 2 3" xfId="12449" xr:uid="{7F141F23-78AF-4DEB-B41A-0E9A8140D664}"/>
    <cellStyle name="Normal 8 9 3" xfId="6083" xr:uid="{00000000-0005-0000-0000-0000661E0000}"/>
    <cellStyle name="Normal 8 9 3 2" xfId="14522" xr:uid="{DCF03F61-8357-40EE-BFA5-0CD04070C865}"/>
    <cellStyle name="Normal 8 9 4" xfId="10304" xr:uid="{352E0CDC-F211-401B-9227-8A5018CD3555}"/>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0 2 2" xfId="15380" xr:uid="{9D28629C-31B7-4788-891D-7892B0CD5967}"/>
    <cellStyle name="Normal 9 2 10 3" xfId="11162" xr:uid="{2A20CEF0-E2D9-4A8D-A791-13C70444E116}"/>
    <cellStyle name="Normal 9 2 11" xfId="4876" xr:uid="{00000000-0005-0000-0000-00006B1E0000}"/>
    <cellStyle name="Normal 9 2 11 2" xfId="13315" xr:uid="{976EBC45-44DB-40CE-8B09-82894B585DD4}"/>
    <cellStyle name="Normal 9 2 12" xfId="9097" xr:uid="{E0DD7925-EC68-4EBC-840E-E0F42D1A1FCA}"/>
    <cellStyle name="Normal 9 2 2" xfId="512" xr:uid="{00000000-0005-0000-0000-00006C1E0000}"/>
    <cellStyle name="Normal 9 2 2 10" xfId="4877" xr:uid="{00000000-0005-0000-0000-00006D1E0000}"/>
    <cellStyle name="Normal 9 2 2 10 2" xfId="13316" xr:uid="{A40ECC45-10D1-4597-8708-A045D8A73DA4}"/>
    <cellStyle name="Normal 9 2 2 11" xfId="9098" xr:uid="{6BAF49E3-B643-44B3-B2E0-291E85EF5138}"/>
    <cellStyle name="Normal 9 2 2 2" xfId="513" xr:uid="{00000000-0005-0000-0000-00006E1E0000}"/>
    <cellStyle name="Normal 9 2 2 2 10" xfId="9099" xr:uid="{7B153BB3-00DC-462D-BE54-11C9EE6C719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2 2 2" xfId="15877" xr:uid="{C6B7382A-80EC-442D-A74A-3FE1A7A5D452}"/>
    <cellStyle name="Normal 9 2 2 2 2 2 2 2 3" xfId="11659" xr:uid="{DD3648A6-69B0-4435-999A-08C37D2CF169}"/>
    <cellStyle name="Normal 9 2 2 2 2 2 2 3" xfId="5293" xr:uid="{00000000-0005-0000-0000-0000741E0000}"/>
    <cellStyle name="Normal 9 2 2 2 2 2 2 3 2" xfId="13732" xr:uid="{A24B061E-903C-4F62-A8EA-D49358E5E73D}"/>
    <cellStyle name="Normal 9 2 2 2 2 2 2 4" xfId="9514" xr:uid="{4D44D3B5-4418-49DB-8F86-34F8A905AD2E}"/>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2 2 2" xfId="16290" xr:uid="{59795B68-058C-40C8-990C-A63B449EA8D5}"/>
    <cellStyle name="Normal 9 2 2 2 2 2 3 2 3" xfId="12072" xr:uid="{1CC4D266-72F4-4FB7-B77C-AE9118F7FEEE}"/>
    <cellStyle name="Normal 9 2 2 2 2 2 3 3" xfId="5706" xr:uid="{00000000-0005-0000-0000-0000781E0000}"/>
    <cellStyle name="Normal 9 2 2 2 2 2 3 3 2" xfId="14145" xr:uid="{4415E111-3492-47F7-B887-4FE9EB780DA2}"/>
    <cellStyle name="Normal 9 2 2 2 2 2 3 4" xfId="9927" xr:uid="{FFDBCA6B-5526-44F0-9EE7-37669DAB6735}"/>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2 2 2" xfId="16703" xr:uid="{4DBDA1EB-F530-4FA8-9701-FF3284C7BAED}"/>
    <cellStyle name="Normal 9 2 2 2 2 2 4 2 3" xfId="12485" xr:uid="{9207ED40-FDC0-4009-9817-5DB6BBD119CD}"/>
    <cellStyle name="Normal 9 2 2 2 2 2 4 3" xfId="6119" xr:uid="{00000000-0005-0000-0000-00007C1E0000}"/>
    <cellStyle name="Normal 9 2 2 2 2 2 4 3 2" xfId="14558" xr:uid="{0999668F-937B-4687-9BDA-AD1F407BC17E}"/>
    <cellStyle name="Normal 9 2 2 2 2 2 4 4" xfId="10340" xr:uid="{21A870DD-28F7-46AA-8F1B-3A3A9183A83E}"/>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2 2 2" xfId="17116" xr:uid="{91DA8E84-444C-4193-B25A-03735E1F96D3}"/>
    <cellStyle name="Normal 9 2 2 2 2 2 5 2 3" xfId="12898" xr:uid="{FC924B61-B2D1-4670-A3A3-FC620FDDA1BB}"/>
    <cellStyle name="Normal 9 2 2 2 2 2 5 3" xfId="6532" xr:uid="{00000000-0005-0000-0000-0000801E0000}"/>
    <cellStyle name="Normal 9 2 2 2 2 2 5 3 2" xfId="14971" xr:uid="{3496A70F-33F1-46F3-B243-7822AE4A919B}"/>
    <cellStyle name="Normal 9 2 2 2 2 2 5 4" xfId="10753" xr:uid="{77DF882E-AC40-4266-A3BD-6286B1436632}"/>
    <cellStyle name="Normal 9 2 2 2 2 2 6" xfId="2661" xr:uid="{00000000-0005-0000-0000-0000811E0000}"/>
    <cellStyle name="Normal 9 2 2 2 2 2 6 2" xfId="6945" xr:uid="{00000000-0005-0000-0000-0000821E0000}"/>
    <cellStyle name="Normal 9 2 2 2 2 2 6 2 2" xfId="15384" xr:uid="{60939FD4-BA0E-4936-B251-129FA54D473E}"/>
    <cellStyle name="Normal 9 2 2 2 2 2 6 3" xfId="11166" xr:uid="{523C0582-BF41-4F1C-A336-BA9F3B60C26F}"/>
    <cellStyle name="Normal 9 2 2 2 2 2 7" xfId="4880" xr:uid="{00000000-0005-0000-0000-0000831E0000}"/>
    <cellStyle name="Normal 9 2 2 2 2 2 7 2" xfId="13319" xr:uid="{48FE3BBB-8103-4598-AE53-8B1DBEE7492A}"/>
    <cellStyle name="Normal 9 2 2 2 2 2 8" xfId="9101" xr:uid="{5CFEC803-04B8-4394-AFE4-58681826F894}"/>
    <cellStyle name="Normal 9 2 2 2 2 3" xfId="981" xr:uid="{00000000-0005-0000-0000-0000841E0000}"/>
    <cellStyle name="Normal 9 2 2 2 2 3 2" xfId="3214" xr:uid="{00000000-0005-0000-0000-0000851E0000}"/>
    <cellStyle name="Normal 9 2 2 2 2 3 2 2" xfId="7437" xr:uid="{00000000-0005-0000-0000-0000861E0000}"/>
    <cellStyle name="Normal 9 2 2 2 2 3 2 2 2" xfId="15876" xr:uid="{17C00225-9B28-45D8-89F1-10C6CC6577CE}"/>
    <cellStyle name="Normal 9 2 2 2 2 3 2 3" xfId="11658" xr:uid="{719D7A32-958A-477C-966A-BFAC23D3EF25}"/>
    <cellStyle name="Normal 9 2 2 2 2 3 3" xfId="5292" xr:uid="{00000000-0005-0000-0000-0000871E0000}"/>
    <cellStyle name="Normal 9 2 2 2 2 3 3 2" xfId="13731" xr:uid="{D55D64C8-D9BA-4CB8-9BCF-9FF6ED612685}"/>
    <cellStyle name="Normal 9 2 2 2 2 3 4" xfId="9513" xr:uid="{7D176C05-8538-4BCE-A637-7B709FB41D96}"/>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2 2 2" xfId="16289" xr:uid="{E14EA05A-97DA-4982-8C72-A523BDD914A3}"/>
    <cellStyle name="Normal 9 2 2 2 2 4 2 3" xfId="12071" xr:uid="{89D0FC05-2A45-4629-BFCA-A6F7DA2F43BA}"/>
    <cellStyle name="Normal 9 2 2 2 2 4 3" xfId="5705" xr:uid="{00000000-0005-0000-0000-00008B1E0000}"/>
    <cellStyle name="Normal 9 2 2 2 2 4 3 2" xfId="14144" xr:uid="{1D6F71A6-5059-4B46-B88D-1ED7A36069CD}"/>
    <cellStyle name="Normal 9 2 2 2 2 4 4" xfId="9926" xr:uid="{4BFB84FB-232C-42D3-8CD2-FF5D63E44FF5}"/>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2 2 2" xfId="16702" xr:uid="{24F160A1-46AC-4E4A-95B2-82E784F153CF}"/>
    <cellStyle name="Normal 9 2 2 2 2 5 2 3" xfId="12484" xr:uid="{A21D6524-97B7-428F-BCE8-A7980D9AC620}"/>
    <cellStyle name="Normal 9 2 2 2 2 5 3" xfId="6118" xr:uid="{00000000-0005-0000-0000-00008F1E0000}"/>
    <cellStyle name="Normal 9 2 2 2 2 5 3 2" xfId="14557" xr:uid="{A25B9DF6-B386-4606-89B4-7463D9B4C8A0}"/>
    <cellStyle name="Normal 9 2 2 2 2 5 4" xfId="10339" xr:uid="{36142265-E960-4FC0-8DD4-226683B0931B}"/>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2 2 2" xfId="17115" xr:uid="{42F95DC0-912C-4007-9F17-C167D41EE0CE}"/>
    <cellStyle name="Normal 9 2 2 2 2 6 2 3" xfId="12897" xr:uid="{8311C468-F6E2-4A1A-B2C8-766774BE5EE2}"/>
    <cellStyle name="Normal 9 2 2 2 2 6 3" xfId="6531" xr:uid="{00000000-0005-0000-0000-0000931E0000}"/>
    <cellStyle name="Normal 9 2 2 2 2 6 3 2" xfId="14970" xr:uid="{0D4E0C55-5500-4EA8-AF90-8751D48B9B3C}"/>
    <cellStyle name="Normal 9 2 2 2 2 6 4" xfId="10752" xr:uid="{91C94E49-5CCE-4534-B4BE-318256F320CA}"/>
    <cellStyle name="Normal 9 2 2 2 2 7" xfId="2660" xr:uid="{00000000-0005-0000-0000-0000941E0000}"/>
    <cellStyle name="Normal 9 2 2 2 2 7 2" xfId="6944" xr:uid="{00000000-0005-0000-0000-0000951E0000}"/>
    <cellStyle name="Normal 9 2 2 2 2 7 2 2" xfId="15383" xr:uid="{A1C17211-2C43-45A6-8155-126CE61A0926}"/>
    <cellStyle name="Normal 9 2 2 2 2 7 3" xfId="11165" xr:uid="{1656B279-EA80-4825-BA50-A5F165A60652}"/>
    <cellStyle name="Normal 9 2 2 2 2 8" xfId="4879" xr:uid="{00000000-0005-0000-0000-0000961E0000}"/>
    <cellStyle name="Normal 9 2 2 2 2 8 2" xfId="13318" xr:uid="{47DFF39D-0CCA-41C5-9B6E-2940ECFF2587}"/>
    <cellStyle name="Normal 9 2 2 2 2 9" xfId="9100" xr:uid="{2EA46131-5286-424E-91C5-F7138FC75DB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2 2 2" xfId="15878" xr:uid="{C9988921-CC0F-41D3-8F90-01AB86567DB5}"/>
    <cellStyle name="Normal 9 2 2 2 3 2 2 3" xfId="11660" xr:uid="{DC06C57D-B4D3-4A3B-8239-22F00348790D}"/>
    <cellStyle name="Normal 9 2 2 2 3 2 3" xfId="5294" xr:uid="{00000000-0005-0000-0000-00009B1E0000}"/>
    <cellStyle name="Normal 9 2 2 2 3 2 3 2" xfId="13733" xr:uid="{D97C19B8-8265-43CE-96F8-A4D6A3E4742F}"/>
    <cellStyle name="Normal 9 2 2 2 3 2 4" xfId="9515" xr:uid="{4D27899D-8824-41E5-93C7-1850775E8AFE}"/>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2 2 2" xfId="16291" xr:uid="{026555D7-432F-4032-A42B-F7D25976CA9D}"/>
    <cellStyle name="Normal 9 2 2 2 3 3 2 3" xfId="12073" xr:uid="{412FA516-06A1-4448-AF39-929F9CA80547}"/>
    <cellStyle name="Normal 9 2 2 2 3 3 3" xfId="5707" xr:uid="{00000000-0005-0000-0000-00009F1E0000}"/>
    <cellStyle name="Normal 9 2 2 2 3 3 3 2" xfId="14146" xr:uid="{0D30A5CF-F1C1-4A6E-8C60-6DE260EEBBB4}"/>
    <cellStyle name="Normal 9 2 2 2 3 3 4" xfId="9928" xr:uid="{3BBB3236-F809-489A-8C22-5F6108130056}"/>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2 2 2" xfId="16704" xr:uid="{A46CF531-A9B3-46E1-9E72-D969B7FE33EC}"/>
    <cellStyle name="Normal 9 2 2 2 3 4 2 3" xfId="12486" xr:uid="{1CE1B851-03F8-44D6-9F65-8DA59AAE91BA}"/>
    <cellStyle name="Normal 9 2 2 2 3 4 3" xfId="6120" xr:uid="{00000000-0005-0000-0000-0000A31E0000}"/>
    <cellStyle name="Normal 9 2 2 2 3 4 3 2" xfId="14559" xr:uid="{ADB366A5-337F-4323-95E1-F29302B16D7B}"/>
    <cellStyle name="Normal 9 2 2 2 3 4 4" xfId="10341" xr:uid="{74D04F46-C12D-405E-9AAB-9813917B4FD6}"/>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2 2 2" xfId="17117" xr:uid="{DE546763-AD28-49F1-AC4A-C8C222AE9A33}"/>
    <cellStyle name="Normal 9 2 2 2 3 5 2 3" xfId="12899" xr:uid="{46B82D99-31EF-47AD-9CEE-042687E90BF4}"/>
    <cellStyle name="Normal 9 2 2 2 3 5 3" xfId="6533" xr:uid="{00000000-0005-0000-0000-0000A71E0000}"/>
    <cellStyle name="Normal 9 2 2 2 3 5 3 2" xfId="14972" xr:uid="{69F24F57-EAF7-4D5C-99E8-DCCFCAB0E243}"/>
    <cellStyle name="Normal 9 2 2 2 3 5 4" xfId="10754" xr:uid="{CB9EC371-1FFB-469B-99C7-DB99F57CA664}"/>
    <cellStyle name="Normal 9 2 2 2 3 6" xfId="2662" xr:uid="{00000000-0005-0000-0000-0000A81E0000}"/>
    <cellStyle name="Normal 9 2 2 2 3 6 2" xfId="6946" xr:uid="{00000000-0005-0000-0000-0000A91E0000}"/>
    <cellStyle name="Normal 9 2 2 2 3 6 2 2" xfId="15385" xr:uid="{7C9D47E2-B1A8-4FE3-8E73-A53E080CEB99}"/>
    <cellStyle name="Normal 9 2 2 2 3 6 3" xfId="11167" xr:uid="{64E84D52-9ED9-4E14-B0D2-A4C4A4B059B2}"/>
    <cellStyle name="Normal 9 2 2 2 3 7" xfId="4881" xr:uid="{00000000-0005-0000-0000-0000AA1E0000}"/>
    <cellStyle name="Normal 9 2 2 2 3 7 2" xfId="13320" xr:uid="{52DA14E5-56CF-4BEE-9AEC-C41C1E8F0937}"/>
    <cellStyle name="Normal 9 2 2 2 3 8" xfId="9102" xr:uid="{98BA11CB-A2C3-421B-812E-59E5E034630E}"/>
    <cellStyle name="Normal 9 2 2 2 4" xfId="980" xr:uid="{00000000-0005-0000-0000-0000AB1E0000}"/>
    <cellStyle name="Normal 9 2 2 2 4 2" xfId="3213" xr:uid="{00000000-0005-0000-0000-0000AC1E0000}"/>
    <cellStyle name="Normal 9 2 2 2 4 2 2" xfId="7436" xr:uid="{00000000-0005-0000-0000-0000AD1E0000}"/>
    <cellStyle name="Normal 9 2 2 2 4 2 2 2" xfId="15875" xr:uid="{2A9A75B6-7EB2-4D9A-9406-712C1AE745E3}"/>
    <cellStyle name="Normal 9 2 2 2 4 2 3" xfId="11657" xr:uid="{508E5AE2-7A9C-4579-807C-5596417C8862}"/>
    <cellStyle name="Normal 9 2 2 2 4 3" xfId="5291" xr:uid="{00000000-0005-0000-0000-0000AE1E0000}"/>
    <cellStyle name="Normal 9 2 2 2 4 3 2" xfId="13730" xr:uid="{F3B86D84-F5CB-4D92-B18A-5F7A3BDBD974}"/>
    <cellStyle name="Normal 9 2 2 2 4 4" xfId="9512" xr:uid="{29AE5110-D3EB-48DA-9AFE-ECE68E9507ED}"/>
    <cellStyle name="Normal 9 2 2 2 5" xfId="1396" xr:uid="{00000000-0005-0000-0000-0000AF1E0000}"/>
    <cellStyle name="Normal 9 2 2 2 5 2" xfId="3626" xr:uid="{00000000-0005-0000-0000-0000B01E0000}"/>
    <cellStyle name="Normal 9 2 2 2 5 2 2" xfId="7849" xr:uid="{00000000-0005-0000-0000-0000B11E0000}"/>
    <cellStyle name="Normal 9 2 2 2 5 2 2 2" xfId="16288" xr:uid="{BD46A8F5-18D7-4521-9CEB-22309DC9E6E4}"/>
    <cellStyle name="Normal 9 2 2 2 5 2 3" xfId="12070" xr:uid="{81F35071-261F-4687-A715-D4072C568BD5}"/>
    <cellStyle name="Normal 9 2 2 2 5 3" xfId="5704" xr:uid="{00000000-0005-0000-0000-0000B21E0000}"/>
    <cellStyle name="Normal 9 2 2 2 5 3 2" xfId="14143" xr:uid="{AB6DC4EF-BE38-41BB-888D-A51C2B623B1A}"/>
    <cellStyle name="Normal 9 2 2 2 5 4" xfId="9925" xr:uid="{0FE541AC-C7EE-431A-A016-8444EB930AAC}"/>
    <cellStyle name="Normal 9 2 2 2 6" xfId="1809" xr:uid="{00000000-0005-0000-0000-0000B31E0000}"/>
    <cellStyle name="Normal 9 2 2 2 6 2" xfId="4039" xr:uid="{00000000-0005-0000-0000-0000B41E0000}"/>
    <cellStyle name="Normal 9 2 2 2 6 2 2" xfId="8262" xr:uid="{00000000-0005-0000-0000-0000B51E0000}"/>
    <cellStyle name="Normal 9 2 2 2 6 2 2 2" xfId="16701" xr:uid="{124547A9-A2E1-42C1-97EF-749C953A0549}"/>
    <cellStyle name="Normal 9 2 2 2 6 2 3" xfId="12483" xr:uid="{6CC4168D-8277-46DF-8013-864940BF6AC6}"/>
    <cellStyle name="Normal 9 2 2 2 6 3" xfId="6117" xr:uid="{00000000-0005-0000-0000-0000B61E0000}"/>
    <cellStyle name="Normal 9 2 2 2 6 3 2" xfId="14556" xr:uid="{615107E5-5C4E-42E7-BF26-51F3D48273F7}"/>
    <cellStyle name="Normal 9 2 2 2 6 4" xfId="10338" xr:uid="{4B9B0B15-2D3A-419B-B7A9-DB97114E0E09}"/>
    <cellStyle name="Normal 9 2 2 2 7" xfId="2223" xr:uid="{00000000-0005-0000-0000-0000B71E0000}"/>
    <cellStyle name="Normal 9 2 2 2 7 2" xfId="4452" xr:uid="{00000000-0005-0000-0000-0000B81E0000}"/>
    <cellStyle name="Normal 9 2 2 2 7 2 2" xfId="8675" xr:uid="{00000000-0005-0000-0000-0000B91E0000}"/>
    <cellStyle name="Normal 9 2 2 2 7 2 2 2" xfId="17114" xr:uid="{6A6D2D3D-030A-4998-BFC2-6116AC2BF2A3}"/>
    <cellStyle name="Normal 9 2 2 2 7 2 3" xfId="12896" xr:uid="{8E3C116A-74BB-4B12-91D9-EDEF0F504EAC}"/>
    <cellStyle name="Normal 9 2 2 2 7 3" xfId="6530" xr:uid="{00000000-0005-0000-0000-0000BA1E0000}"/>
    <cellStyle name="Normal 9 2 2 2 7 3 2" xfId="14969" xr:uid="{7F476854-8689-4112-BE3A-66ED4BE55406}"/>
    <cellStyle name="Normal 9 2 2 2 7 4" xfId="10751" xr:uid="{DB19E97D-D316-43BE-BD42-3D12A5269A77}"/>
    <cellStyle name="Normal 9 2 2 2 8" xfId="2659" xr:uid="{00000000-0005-0000-0000-0000BB1E0000}"/>
    <cellStyle name="Normal 9 2 2 2 8 2" xfId="6943" xr:uid="{00000000-0005-0000-0000-0000BC1E0000}"/>
    <cellStyle name="Normal 9 2 2 2 8 2 2" xfId="15382" xr:uid="{CF90AAEB-4F84-4061-8DF7-AF905AA36D56}"/>
    <cellStyle name="Normal 9 2 2 2 8 3" xfId="11164" xr:uid="{B0126B7F-D48D-445E-A1B1-B5BCBDED7F4A}"/>
    <cellStyle name="Normal 9 2 2 2 9" xfId="4878" xr:uid="{00000000-0005-0000-0000-0000BD1E0000}"/>
    <cellStyle name="Normal 9 2 2 2 9 2" xfId="13317" xr:uid="{271D69A7-7A5A-4478-88EF-C7EB12541AF8}"/>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2 2 2" xfId="15880" xr:uid="{B20B66BD-5C3A-4C11-8D76-072F13BDB03F}"/>
    <cellStyle name="Normal 9 2 2 3 2 2 2 3" xfId="11662" xr:uid="{011B9202-6791-44C6-B3C4-429248A450BD}"/>
    <cellStyle name="Normal 9 2 2 3 2 2 3" xfId="5296" xr:uid="{00000000-0005-0000-0000-0000C31E0000}"/>
    <cellStyle name="Normal 9 2 2 3 2 2 3 2" xfId="13735" xr:uid="{5FC20291-E623-405B-A254-A6F3029B0CD1}"/>
    <cellStyle name="Normal 9 2 2 3 2 2 4" xfId="9517" xr:uid="{FC197B25-1532-48D8-8540-2BD3FC2BB8CC}"/>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2 2 2" xfId="16293" xr:uid="{BFB52CF6-C603-4F47-953C-BB28AB64F35D}"/>
    <cellStyle name="Normal 9 2 2 3 2 3 2 3" xfId="12075" xr:uid="{A9E20F4A-FF1D-4F0F-A4BA-AFA1092A372A}"/>
    <cellStyle name="Normal 9 2 2 3 2 3 3" xfId="5709" xr:uid="{00000000-0005-0000-0000-0000C71E0000}"/>
    <cellStyle name="Normal 9 2 2 3 2 3 3 2" xfId="14148" xr:uid="{2D73D907-264D-4B89-9C0C-F0D7AE791DE9}"/>
    <cellStyle name="Normal 9 2 2 3 2 3 4" xfId="9930" xr:uid="{B6809F02-46C2-4286-A9F9-BC8104AEB3A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2 2 2" xfId="16706" xr:uid="{367010F1-61E8-4443-94BE-C523107499EF}"/>
    <cellStyle name="Normal 9 2 2 3 2 4 2 3" xfId="12488" xr:uid="{298E6C97-C93D-4D77-9176-7A6219B081BB}"/>
    <cellStyle name="Normal 9 2 2 3 2 4 3" xfId="6122" xr:uid="{00000000-0005-0000-0000-0000CB1E0000}"/>
    <cellStyle name="Normal 9 2 2 3 2 4 3 2" xfId="14561" xr:uid="{F1673F63-BB6B-4E03-8356-9F59FD2CBBCF}"/>
    <cellStyle name="Normal 9 2 2 3 2 4 4" xfId="10343" xr:uid="{BD2A5B94-4DE5-4AB9-9474-F558430C45A5}"/>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2 2 2" xfId="17119" xr:uid="{B12E8CE0-6A4D-4D2C-93AC-9A860FE2F5DB}"/>
    <cellStyle name="Normal 9 2 2 3 2 5 2 3" xfId="12901" xr:uid="{28F4DE87-8394-415F-BDEC-F5CF5200E958}"/>
    <cellStyle name="Normal 9 2 2 3 2 5 3" xfId="6535" xr:uid="{00000000-0005-0000-0000-0000CF1E0000}"/>
    <cellStyle name="Normal 9 2 2 3 2 5 3 2" xfId="14974" xr:uid="{FB0F5947-B8E4-420B-A365-D119169D90A2}"/>
    <cellStyle name="Normal 9 2 2 3 2 5 4" xfId="10756" xr:uid="{D0543379-3F09-4DFB-9F96-F1F7922D1651}"/>
    <cellStyle name="Normal 9 2 2 3 2 6" xfId="2664" xr:uid="{00000000-0005-0000-0000-0000D01E0000}"/>
    <cellStyle name="Normal 9 2 2 3 2 6 2" xfId="6948" xr:uid="{00000000-0005-0000-0000-0000D11E0000}"/>
    <cellStyle name="Normal 9 2 2 3 2 6 2 2" xfId="15387" xr:uid="{6D1ECEA2-0695-4232-ABEF-EEBBD874E739}"/>
    <cellStyle name="Normal 9 2 2 3 2 6 3" xfId="11169" xr:uid="{C51F5826-CA82-45E4-BA31-BB2F54FE6F31}"/>
    <cellStyle name="Normal 9 2 2 3 2 7" xfId="4883" xr:uid="{00000000-0005-0000-0000-0000D21E0000}"/>
    <cellStyle name="Normal 9 2 2 3 2 7 2" xfId="13322" xr:uid="{5A995194-87B1-41B4-BD7C-C46D9DB931B3}"/>
    <cellStyle name="Normal 9 2 2 3 2 8" xfId="9104" xr:uid="{D1F31B6D-ACF4-4D64-9D72-57CA45F017D1}"/>
    <cellStyle name="Normal 9 2 2 3 3" xfId="984" xr:uid="{00000000-0005-0000-0000-0000D31E0000}"/>
    <cellStyle name="Normal 9 2 2 3 3 2" xfId="3217" xr:uid="{00000000-0005-0000-0000-0000D41E0000}"/>
    <cellStyle name="Normal 9 2 2 3 3 2 2" xfId="7440" xr:uid="{00000000-0005-0000-0000-0000D51E0000}"/>
    <cellStyle name="Normal 9 2 2 3 3 2 2 2" xfId="15879" xr:uid="{FB5FC9E7-E415-4284-AA8F-4036C0675EBF}"/>
    <cellStyle name="Normal 9 2 2 3 3 2 3" xfId="11661" xr:uid="{3B96E36A-F2F3-4C22-B898-25232C68B8E6}"/>
    <cellStyle name="Normal 9 2 2 3 3 3" xfId="5295" xr:uid="{00000000-0005-0000-0000-0000D61E0000}"/>
    <cellStyle name="Normal 9 2 2 3 3 3 2" xfId="13734" xr:uid="{7463F436-1E7C-4371-87A7-6CF2A5BE0B02}"/>
    <cellStyle name="Normal 9 2 2 3 3 4" xfId="9516" xr:uid="{CD6BF51E-B9EB-4405-B9CD-B16073A3D345}"/>
    <cellStyle name="Normal 9 2 2 3 4" xfId="1400" xr:uid="{00000000-0005-0000-0000-0000D71E0000}"/>
    <cellStyle name="Normal 9 2 2 3 4 2" xfId="3630" xr:uid="{00000000-0005-0000-0000-0000D81E0000}"/>
    <cellStyle name="Normal 9 2 2 3 4 2 2" xfId="7853" xr:uid="{00000000-0005-0000-0000-0000D91E0000}"/>
    <cellStyle name="Normal 9 2 2 3 4 2 2 2" xfId="16292" xr:uid="{725D1D41-7B55-4B29-B517-5A00E3F50645}"/>
    <cellStyle name="Normal 9 2 2 3 4 2 3" xfId="12074" xr:uid="{3F380FD4-B6FE-436A-8782-BA6925F74CAC}"/>
    <cellStyle name="Normal 9 2 2 3 4 3" xfId="5708" xr:uid="{00000000-0005-0000-0000-0000DA1E0000}"/>
    <cellStyle name="Normal 9 2 2 3 4 3 2" xfId="14147" xr:uid="{433FA4F9-C8C1-4B8D-B80B-4EBB82FC257A}"/>
    <cellStyle name="Normal 9 2 2 3 4 4" xfId="9929" xr:uid="{5D0CFDD1-FF5E-4B07-A3A3-FD1A2FCF9A74}"/>
    <cellStyle name="Normal 9 2 2 3 5" xfId="1813" xr:uid="{00000000-0005-0000-0000-0000DB1E0000}"/>
    <cellStyle name="Normal 9 2 2 3 5 2" xfId="4043" xr:uid="{00000000-0005-0000-0000-0000DC1E0000}"/>
    <cellStyle name="Normal 9 2 2 3 5 2 2" xfId="8266" xr:uid="{00000000-0005-0000-0000-0000DD1E0000}"/>
    <cellStyle name="Normal 9 2 2 3 5 2 2 2" xfId="16705" xr:uid="{114C4F4C-D8ED-4FF3-96AB-A1200F88FA51}"/>
    <cellStyle name="Normal 9 2 2 3 5 2 3" xfId="12487" xr:uid="{ED42E673-E10D-4EE8-BC49-40750DE9B8BB}"/>
    <cellStyle name="Normal 9 2 2 3 5 3" xfId="6121" xr:uid="{00000000-0005-0000-0000-0000DE1E0000}"/>
    <cellStyle name="Normal 9 2 2 3 5 3 2" xfId="14560" xr:uid="{5AF2E7E6-5014-4FF8-AF71-0D6146F45AF3}"/>
    <cellStyle name="Normal 9 2 2 3 5 4" xfId="10342" xr:uid="{5A3C0A43-A02D-413C-A6A0-21F225E2681B}"/>
    <cellStyle name="Normal 9 2 2 3 6" xfId="2227" xr:uid="{00000000-0005-0000-0000-0000DF1E0000}"/>
    <cellStyle name="Normal 9 2 2 3 6 2" xfId="4456" xr:uid="{00000000-0005-0000-0000-0000E01E0000}"/>
    <cellStyle name="Normal 9 2 2 3 6 2 2" xfId="8679" xr:uid="{00000000-0005-0000-0000-0000E11E0000}"/>
    <cellStyle name="Normal 9 2 2 3 6 2 2 2" xfId="17118" xr:uid="{94A578FF-D076-4FBE-A747-BF690A1628D4}"/>
    <cellStyle name="Normal 9 2 2 3 6 2 3" xfId="12900" xr:uid="{C9EF56B6-4F49-42DB-8568-6B802446A080}"/>
    <cellStyle name="Normal 9 2 2 3 6 3" xfId="6534" xr:uid="{00000000-0005-0000-0000-0000E21E0000}"/>
    <cellStyle name="Normal 9 2 2 3 6 3 2" xfId="14973" xr:uid="{2BEF6E91-B83F-4CB8-8CA0-A74805916CBD}"/>
    <cellStyle name="Normal 9 2 2 3 6 4" xfId="10755" xr:uid="{FC7E4FDB-76E3-488D-83BB-EF06406683F3}"/>
    <cellStyle name="Normal 9 2 2 3 7" xfId="2663" xr:uid="{00000000-0005-0000-0000-0000E31E0000}"/>
    <cellStyle name="Normal 9 2 2 3 7 2" xfId="6947" xr:uid="{00000000-0005-0000-0000-0000E41E0000}"/>
    <cellStyle name="Normal 9 2 2 3 7 2 2" xfId="15386" xr:uid="{509B7C5C-98D7-4121-8A6C-F19D9E35E50C}"/>
    <cellStyle name="Normal 9 2 2 3 7 3" xfId="11168" xr:uid="{B9F80E30-10FB-4642-8C46-E91BEE29D814}"/>
    <cellStyle name="Normal 9 2 2 3 8" xfId="4882" xr:uid="{00000000-0005-0000-0000-0000E51E0000}"/>
    <cellStyle name="Normal 9 2 2 3 8 2" xfId="13321" xr:uid="{3980BCC0-B527-4CBB-BBBC-57579A710294}"/>
    <cellStyle name="Normal 9 2 2 3 9" xfId="9103" xr:uid="{B3F92C53-6670-4549-8499-E73EC326C2B9}"/>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2 2 2" xfId="15881" xr:uid="{DED9ED56-96BA-48CC-A252-B0D14D93D012}"/>
    <cellStyle name="Normal 9 2 2 4 2 2 3" xfId="11663" xr:uid="{09CA37D2-6220-418B-896B-3A048B741444}"/>
    <cellStyle name="Normal 9 2 2 4 2 3" xfId="5297" xr:uid="{00000000-0005-0000-0000-0000EA1E0000}"/>
    <cellStyle name="Normal 9 2 2 4 2 3 2" xfId="13736" xr:uid="{47A1B3BD-B3E5-4D70-AD5C-377E7F420048}"/>
    <cellStyle name="Normal 9 2 2 4 2 4" xfId="9518" xr:uid="{A98B37BD-1133-4F0D-A24C-14D270676D05}"/>
    <cellStyle name="Normal 9 2 2 4 3" xfId="1402" xr:uid="{00000000-0005-0000-0000-0000EB1E0000}"/>
    <cellStyle name="Normal 9 2 2 4 3 2" xfId="3632" xr:uid="{00000000-0005-0000-0000-0000EC1E0000}"/>
    <cellStyle name="Normal 9 2 2 4 3 2 2" xfId="7855" xr:uid="{00000000-0005-0000-0000-0000ED1E0000}"/>
    <cellStyle name="Normal 9 2 2 4 3 2 2 2" xfId="16294" xr:uid="{E3A3B6E7-0E77-4C56-BE3D-38E4988B5940}"/>
    <cellStyle name="Normal 9 2 2 4 3 2 3" xfId="12076" xr:uid="{5DEF18A1-A2BA-46DA-879B-E1E6A7EB3964}"/>
    <cellStyle name="Normal 9 2 2 4 3 3" xfId="5710" xr:uid="{00000000-0005-0000-0000-0000EE1E0000}"/>
    <cellStyle name="Normal 9 2 2 4 3 3 2" xfId="14149" xr:uid="{DE25BE4C-9006-4D5B-8D6C-E56878D669FB}"/>
    <cellStyle name="Normal 9 2 2 4 3 4" xfId="9931" xr:uid="{4E21A97A-7825-4EA8-BB4E-C2B7132FAB66}"/>
    <cellStyle name="Normal 9 2 2 4 4" xfId="1815" xr:uid="{00000000-0005-0000-0000-0000EF1E0000}"/>
    <cellStyle name="Normal 9 2 2 4 4 2" xfId="4045" xr:uid="{00000000-0005-0000-0000-0000F01E0000}"/>
    <cellStyle name="Normal 9 2 2 4 4 2 2" xfId="8268" xr:uid="{00000000-0005-0000-0000-0000F11E0000}"/>
    <cellStyle name="Normal 9 2 2 4 4 2 2 2" xfId="16707" xr:uid="{88BEFFB1-690A-477A-8072-CA281ED5E2AE}"/>
    <cellStyle name="Normal 9 2 2 4 4 2 3" xfId="12489" xr:uid="{D25A6375-C976-4580-8C9E-7BEF0A127D92}"/>
    <cellStyle name="Normal 9 2 2 4 4 3" xfId="6123" xr:uid="{00000000-0005-0000-0000-0000F21E0000}"/>
    <cellStyle name="Normal 9 2 2 4 4 3 2" xfId="14562" xr:uid="{941446E4-0017-4B5D-B1A0-7B4D128E1667}"/>
    <cellStyle name="Normal 9 2 2 4 4 4" xfId="10344" xr:uid="{9F05B745-16CC-4BAC-BF91-B27B8F5267E3}"/>
    <cellStyle name="Normal 9 2 2 4 5" xfId="2229" xr:uid="{00000000-0005-0000-0000-0000F31E0000}"/>
    <cellStyle name="Normal 9 2 2 4 5 2" xfId="4458" xr:uid="{00000000-0005-0000-0000-0000F41E0000}"/>
    <cellStyle name="Normal 9 2 2 4 5 2 2" xfId="8681" xr:uid="{00000000-0005-0000-0000-0000F51E0000}"/>
    <cellStyle name="Normal 9 2 2 4 5 2 2 2" xfId="17120" xr:uid="{5911FB98-DEA6-4800-959D-2704E8E61565}"/>
    <cellStyle name="Normal 9 2 2 4 5 2 3" xfId="12902" xr:uid="{E2F338FB-3395-4A3C-BB44-555C969B1A79}"/>
    <cellStyle name="Normal 9 2 2 4 5 3" xfId="6536" xr:uid="{00000000-0005-0000-0000-0000F61E0000}"/>
    <cellStyle name="Normal 9 2 2 4 5 3 2" xfId="14975" xr:uid="{35B1B7DE-227F-4523-92B5-DC7C343703F8}"/>
    <cellStyle name="Normal 9 2 2 4 5 4" xfId="10757" xr:uid="{01768BA2-85FF-4156-B7C8-3C9B6609068C}"/>
    <cellStyle name="Normal 9 2 2 4 6" xfId="2665" xr:uid="{00000000-0005-0000-0000-0000F71E0000}"/>
    <cellStyle name="Normal 9 2 2 4 6 2" xfId="6949" xr:uid="{00000000-0005-0000-0000-0000F81E0000}"/>
    <cellStyle name="Normal 9 2 2 4 6 2 2" xfId="15388" xr:uid="{726AA955-C90F-4B7D-9F1B-FFCA7E49BD28}"/>
    <cellStyle name="Normal 9 2 2 4 6 3" xfId="11170" xr:uid="{ABF8EC14-1FEF-4B4A-9BFB-E84423887DCB}"/>
    <cellStyle name="Normal 9 2 2 4 7" xfId="4884" xr:uid="{00000000-0005-0000-0000-0000F91E0000}"/>
    <cellStyle name="Normal 9 2 2 4 7 2" xfId="13323" xr:uid="{DCE068C8-0C8B-4D38-95B4-3A5E31CE4FFA}"/>
    <cellStyle name="Normal 9 2 2 4 8" xfId="9105" xr:uid="{B8537C8B-F8DD-4B3E-95AA-8B1E133414E2}"/>
    <cellStyle name="Normal 9 2 2 5" xfId="979" xr:uid="{00000000-0005-0000-0000-0000FA1E0000}"/>
    <cellStyle name="Normal 9 2 2 5 2" xfId="3212" xr:uid="{00000000-0005-0000-0000-0000FB1E0000}"/>
    <cellStyle name="Normal 9 2 2 5 2 2" xfId="7435" xr:uid="{00000000-0005-0000-0000-0000FC1E0000}"/>
    <cellStyle name="Normal 9 2 2 5 2 2 2" xfId="15874" xr:uid="{89E95E57-BB3D-4CBF-A8F8-BBCC085D97B2}"/>
    <cellStyle name="Normal 9 2 2 5 2 3" xfId="11656" xr:uid="{575AB0E3-7E8E-45CD-8F7C-3E01824A32EA}"/>
    <cellStyle name="Normal 9 2 2 5 3" xfId="5290" xr:uid="{00000000-0005-0000-0000-0000FD1E0000}"/>
    <cellStyle name="Normal 9 2 2 5 3 2" xfId="13729" xr:uid="{31F3319F-6816-47BF-8C37-B315530D4015}"/>
    <cellStyle name="Normal 9 2 2 5 4" xfId="9511" xr:uid="{C73BDD19-042C-4297-9AFD-F6C92EAE6278}"/>
    <cellStyle name="Normal 9 2 2 6" xfId="1395" xr:uid="{00000000-0005-0000-0000-0000FE1E0000}"/>
    <cellStyle name="Normal 9 2 2 6 2" xfId="3625" xr:uid="{00000000-0005-0000-0000-0000FF1E0000}"/>
    <cellStyle name="Normal 9 2 2 6 2 2" xfId="7848" xr:uid="{00000000-0005-0000-0000-0000001F0000}"/>
    <cellStyle name="Normal 9 2 2 6 2 2 2" xfId="16287" xr:uid="{64FD669F-68BA-44F5-B119-1A0238FD9F84}"/>
    <cellStyle name="Normal 9 2 2 6 2 3" xfId="12069" xr:uid="{97DF4FBE-9EA3-40CC-BDBF-B8939EFF8E91}"/>
    <cellStyle name="Normal 9 2 2 6 3" xfId="5703" xr:uid="{00000000-0005-0000-0000-0000011F0000}"/>
    <cellStyle name="Normal 9 2 2 6 3 2" xfId="14142" xr:uid="{4FB0FC5D-2871-44BA-9BC6-BC291206E3D5}"/>
    <cellStyle name="Normal 9 2 2 6 4" xfId="9924" xr:uid="{EC0350B0-1153-45A5-8F22-8B7359A6125F}"/>
    <cellStyle name="Normal 9 2 2 7" xfId="1808" xr:uid="{00000000-0005-0000-0000-0000021F0000}"/>
    <cellStyle name="Normal 9 2 2 7 2" xfId="4038" xr:uid="{00000000-0005-0000-0000-0000031F0000}"/>
    <cellStyle name="Normal 9 2 2 7 2 2" xfId="8261" xr:uid="{00000000-0005-0000-0000-0000041F0000}"/>
    <cellStyle name="Normal 9 2 2 7 2 2 2" xfId="16700" xr:uid="{4BB26A9F-713E-4DBE-BBA0-0620F8586A89}"/>
    <cellStyle name="Normal 9 2 2 7 2 3" xfId="12482" xr:uid="{EAB9C0F4-7F97-4C75-98E2-0A9331182914}"/>
    <cellStyle name="Normal 9 2 2 7 3" xfId="6116" xr:uid="{00000000-0005-0000-0000-0000051F0000}"/>
    <cellStyle name="Normal 9 2 2 7 3 2" xfId="14555" xr:uid="{344C8C88-4279-4F8C-8B37-FA2CD806F5D9}"/>
    <cellStyle name="Normal 9 2 2 7 4" xfId="10337" xr:uid="{2A7E9AA8-D91B-4017-A906-5C2D758CD0C2}"/>
    <cellStyle name="Normal 9 2 2 8" xfId="2222" xr:uid="{00000000-0005-0000-0000-0000061F0000}"/>
    <cellStyle name="Normal 9 2 2 8 2" xfId="4451" xr:uid="{00000000-0005-0000-0000-0000071F0000}"/>
    <cellStyle name="Normal 9 2 2 8 2 2" xfId="8674" xr:uid="{00000000-0005-0000-0000-0000081F0000}"/>
    <cellStyle name="Normal 9 2 2 8 2 2 2" xfId="17113" xr:uid="{46127C4B-44FF-47DD-A581-B4F98CE6B25F}"/>
    <cellStyle name="Normal 9 2 2 8 2 3" xfId="12895" xr:uid="{D6162EEB-A113-43C7-B107-CD77AB616BB5}"/>
    <cellStyle name="Normal 9 2 2 8 3" xfId="6529" xr:uid="{00000000-0005-0000-0000-0000091F0000}"/>
    <cellStyle name="Normal 9 2 2 8 3 2" xfId="14968" xr:uid="{F353FB58-B1C4-463B-9F76-8DED413BBA89}"/>
    <cellStyle name="Normal 9 2 2 8 4" xfId="10750" xr:uid="{17C14456-6680-4E43-A017-B74A1E3A44FF}"/>
    <cellStyle name="Normal 9 2 2 9" xfId="2658" xr:uid="{00000000-0005-0000-0000-00000A1F0000}"/>
    <cellStyle name="Normal 9 2 2 9 2" xfId="6942" xr:uid="{00000000-0005-0000-0000-00000B1F0000}"/>
    <cellStyle name="Normal 9 2 2 9 2 2" xfId="15381" xr:uid="{E2890018-430B-4FAB-B4A9-79EA14EEB4C9}"/>
    <cellStyle name="Normal 9 2 2 9 3" xfId="11163" xr:uid="{B9CC33CB-D939-4B03-9C1B-59B08903B050}"/>
    <cellStyle name="Normal 9 2 3" xfId="520" xr:uid="{00000000-0005-0000-0000-00000C1F0000}"/>
    <cellStyle name="Normal 9 2 3 10" xfId="9106" xr:uid="{7FF1BEB2-6B68-4D0F-B79C-0882E616B152}"/>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2 2 2" xfId="15884" xr:uid="{B73BB45A-2F56-40CA-8DF3-01E78F589C24}"/>
    <cellStyle name="Normal 9 2 3 2 2 2 2 3" xfId="11666" xr:uid="{7EA4EC77-060D-4550-B1C1-2B35847724DE}"/>
    <cellStyle name="Normal 9 2 3 2 2 2 3" xfId="5300" xr:uid="{00000000-0005-0000-0000-0000121F0000}"/>
    <cellStyle name="Normal 9 2 3 2 2 2 3 2" xfId="13739" xr:uid="{1A5EF603-5475-45A2-B5DC-06C36CC4B53C}"/>
    <cellStyle name="Normal 9 2 3 2 2 2 4" xfId="9521" xr:uid="{FF76F7D2-C28A-4BC5-B04E-29D934EC0433}"/>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2 2 2" xfId="16297" xr:uid="{78E16CB2-F3A9-45AC-AE73-C8AF73C88969}"/>
    <cellStyle name="Normal 9 2 3 2 2 3 2 3" xfId="12079" xr:uid="{007B60CC-F5CA-4430-8478-07E08D85A723}"/>
    <cellStyle name="Normal 9 2 3 2 2 3 3" xfId="5713" xr:uid="{00000000-0005-0000-0000-0000161F0000}"/>
    <cellStyle name="Normal 9 2 3 2 2 3 3 2" xfId="14152" xr:uid="{BB950B09-EB34-4C36-A65F-4CCF861A4DC8}"/>
    <cellStyle name="Normal 9 2 3 2 2 3 4" xfId="9934" xr:uid="{3ECFC079-B8FD-4484-8939-BC54FFCEA3AB}"/>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2 2 2" xfId="16710" xr:uid="{EFCA4B28-DA42-4D00-B075-3B594D8CB639}"/>
    <cellStyle name="Normal 9 2 3 2 2 4 2 3" xfId="12492" xr:uid="{129C9209-C738-47AE-A31C-10B4FB22F45F}"/>
    <cellStyle name="Normal 9 2 3 2 2 4 3" xfId="6126" xr:uid="{00000000-0005-0000-0000-00001A1F0000}"/>
    <cellStyle name="Normal 9 2 3 2 2 4 3 2" xfId="14565" xr:uid="{6C09979D-E491-447F-9C30-CFBFD1754DE7}"/>
    <cellStyle name="Normal 9 2 3 2 2 4 4" xfId="10347" xr:uid="{5BD90FF3-3423-4AFD-AE07-244454ED153E}"/>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2 2 2" xfId="17123" xr:uid="{495CB9FE-AF94-434C-A034-21FFC5D06648}"/>
    <cellStyle name="Normal 9 2 3 2 2 5 2 3" xfId="12905" xr:uid="{A04DFED4-D264-41E6-AAE7-B9DD07AC74B1}"/>
    <cellStyle name="Normal 9 2 3 2 2 5 3" xfId="6539" xr:uid="{00000000-0005-0000-0000-00001E1F0000}"/>
    <cellStyle name="Normal 9 2 3 2 2 5 3 2" xfId="14978" xr:uid="{967E3AEF-E93C-40B6-A3FF-4187A9186869}"/>
    <cellStyle name="Normal 9 2 3 2 2 5 4" xfId="10760" xr:uid="{0CB6F759-86B2-4691-92BC-F26C04F71681}"/>
    <cellStyle name="Normal 9 2 3 2 2 6" xfId="2668" xr:uid="{00000000-0005-0000-0000-00001F1F0000}"/>
    <cellStyle name="Normal 9 2 3 2 2 6 2" xfId="6952" xr:uid="{00000000-0005-0000-0000-0000201F0000}"/>
    <cellStyle name="Normal 9 2 3 2 2 6 2 2" xfId="15391" xr:uid="{CE384689-EAE0-46B3-A304-70F948552390}"/>
    <cellStyle name="Normal 9 2 3 2 2 6 3" xfId="11173" xr:uid="{F1330551-E057-42D1-9E83-7FAF8D95630C}"/>
    <cellStyle name="Normal 9 2 3 2 2 7" xfId="4887" xr:uid="{00000000-0005-0000-0000-0000211F0000}"/>
    <cellStyle name="Normal 9 2 3 2 2 7 2" xfId="13326" xr:uid="{2A958EC7-83D5-4BFF-B5BF-BD9D2BA7DD29}"/>
    <cellStyle name="Normal 9 2 3 2 2 8" xfId="9108" xr:uid="{D813A69E-3708-4391-BB1C-1128829B67E9}"/>
    <cellStyle name="Normal 9 2 3 2 3" xfId="988" xr:uid="{00000000-0005-0000-0000-0000221F0000}"/>
    <cellStyle name="Normal 9 2 3 2 3 2" xfId="3221" xr:uid="{00000000-0005-0000-0000-0000231F0000}"/>
    <cellStyle name="Normal 9 2 3 2 3 2 2" xfId="7444" xr:uid="{00000000-0005-0000-0000-0000241F0000}"/>
    <cellStyle name="Normal 9 2 3 2 3 2 2 2" xfId="15883" xr:uid="{9730F3DA-F82E-4AEA-93AE-9345397D990B}"/>
    <cellStyle name="Normal 9 2 3 2 3 2 3" xfId="11665" xr:uid="{DF03D464-39B4-455D-AC21-E45343034C87}"/>
    <cellStyle name="Normal 9 2 3 2 3 3" xfId="5299" xr:uid="{00000000-0005-0000-0000-0000251F0000}"/>
    <cellStyle name="Normal 9 2 3 2 3 3 2" xfId="13738" xr:uid="{D04E40F1-332B-4659-A523-77562184685C}"/>
    <cellStyle name="Normal 9 2 3 2 3 4" xfId="9520" xr:uid="{F184EFF4-32DF-4BA1-9171-139F2B8C9B5B}"/>
    <cellStyle name="Normal 9 2 3 2 4" xfId="1404" xr:uid="{00000000-0005-0000-0000-0000261F0000}"/>
    <cellStyle name="Normal 9 2 3 2 4 2" xfId="3634" xr:uid="{00000000-0005-0000-0000-0000271F0000}"/>
    <cellStyle name="Normal 9 2 3 2 4 2 2" xfId="7857" xr:uid="{00000000-0005-0000-0000-0000281F0000}"/>
    <cellStyle name="Normal 9 2 3 2 4 2 2 2" xfId="16296" xr:uid="{6237689C-9B6F-4DAF-94B3-FA9C31C70C69}"/>
    <cellStyle name="Normal 9 2 3 2 4 2 3" xfId="12078" xr:uid="{569D12C8-5AC1-4D1B-8FE2-B48871D08939}"/>
    <cellStyle name="Normal 9 2 3 2 4 3" xfId="5712" xr:uid="{00000000-0005-0000-0000-0000291F0000}"/>
    <cellStyle name="Normal 9 2 3 2 4 3 2" xfId="14151" xr:uid="{EFEDDBC0-A64D-4CD4-9004-AAB0E5EB96FD}"/>
    <cellStyle name="Normal 9 2 3 2 4 4" xfId="9933" xr:uid="{9A4918AD-4EF0-4ECE-B8D0-124EFBF9BB52}"/>
    <cellStyle name="Normal 9 2 3 2 5" xfId="1817" xr:uid="{00000000-0005-0000-0000-00002A1F0000}"/>
    <cellStyle name="Normal 9 2 3 2 5 2" xfId="4047" xr:uid="{00000000-0005-0000-0000-00002B1F0000}"/>
    <cellStyle name="Normal 9 2 3 2 5 2 2" xfId="8270" xr:uid="{00000000-0005-0000-0000-00002C1F0000}"/>
    <cellStyle name="Normal 9 2 3 2 5 2 2 2" xfId="16709" xr:uid="{639D1887-4927-4739-8E2E-7F534ECE080F}"/>
    <cellStyle name="Normal 9 2 3 2 5 2 3" xfId="12491" xr:uid="{B89A13DD-14BE-4E8D-A55D-F54773329595}"/>
    <cellStyle name="Normal 9 2 3 2 5 3" xfId="6125" xr:uid="{00000000-0005-0000-0000-00002D1F0000}"/>
    <cellStyle name="Normal 9 2 3 2 5 3 2" xfId="14564" xr:uid="{98DF8FFD-E797-4B63-AC29-2E63D4DEA7FC}"/>
    <cellStyle name="Normal 9 2 3 2 5 4" xfId="10346" xr:uid="{1ADAA053-F83B-4553-B92A-9CDB49F023CB}"/>
    <cellStyle name="Normal 9 2 3 2 6" xfId="2231" xr:uid="{00000000-0005-0000-0000-00002E1F0000}"/>
    <cellStyle name="Normal 9 2 3 2 6 2" xfId="4460" xr:uid="{00000000-0005-0000-0000-00002F1F0000}"/>
    <cellStyle name="Normal 9 2 3 2 6 2 2" xfId="8683" xr:uid="{00000000-0005-0000-0000-0000301F0000}"/>
    <cellStyle name="Normal 9 2 3 2 6 2 2 2" xfId="17122" xr:uid="{55E7A15E-E0FB-4A46-906F-8ABAC0B8363D}"/>
    <cellStyle name="Normal 9 2 3 2 6 2 3" xfId="12904" xr:uid="{28C45C24-013C-4A4D-82FF-40D8B41C4765}"/>
    <cellStyle name="Normal 9 2 3 2 6 3" xfId="6538" xr:uid="{00000000-0005-0000-0000-0000311F0000}"/>
    <cellStyle name="Normal 9 2 3 2 6 3 2" xfId="14977" xr:uid="{B6B57D64-997C-4C83-B308-7DB416AE794B}"/>
    <cellStyle name="Normal 9 2 3 2 6 4" xfId="10759" xr:uid="{8C54AE8E-B615-426A-8E2B-C438DC862AB0}"/>
    <cellStyle name="Normal 9 2 3 2 7" xfId="2667" xr:uid="{00000000-0005-0000-0000-0000321F0000}"/>
    <cellStyle name="Normal 9 2 3 2 7 2" xfId="6951" xr:uid="{00000000-0005-0000-0000-0000331F0000}"/>
    <cellStyle name="Normal 9 2 3 2 7 2 2" xfId="15390" xr:uid="{9868A7CA-1684-46A9-BADA-BAD73E1C5CAE}"/>
    <cellStyle name="Normal 9 2 3 2 7 3" xfId="11172" xr:uid="{0A959F64-40C7-4ACF-BE3D-D7B24AAD2929}"/>
    <cellStyle name="Normal 9 2 3 2 8" xfId="4886" xr:uid="{00000000-0005-0000-0000-0000341F0000}"/>
    <cellStyle name="Normal 9 2 3 2 8 2" xfId="13325" xr:uid="{5D12E64F-A744-4BD4-9B6F-39A7AFB40FC1}"/>
    <cellStyle name="Normal 9 2 3 2 9" xfId="9107" xr:uid="{0BD8D659-794B-4877-9C36-50E23157107A}"/>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2 2 2" xfId="15885" xr:uid="{C047BC2E-EB4B-4DE1-B989-99B946CA2BED}"/>
    <cellStyle name="Normal 9 2 3 3 2 2 3" xfId="11667" xr:uid="{A48C8B9B-58BB-46E3-BA6E-EE509A123781}"/>
    <cellStyle name="Normal 9 2 3 3 2 3" xfId="5301" xr:uid="{00000000-0005-0000-0000-0000391F0000}"/>
    <cellStyle name="Normal 9 2 3 3 2 3 2" xfId="13740" xr:uid="{039218B4-A534-4BB2-9D8A-9BB55980238D}"/>
    <cellStyle name="Normal 9 2 3 3 2 4" xfId="9522" xr:uid="{AADAFBFB-814B-4C16-875F-2657AAB58812}"/>
    <cellStyle name="Normal 9 2 3 3 3" xfId="1406" xr:uid="{00000000-0005-0000-0000-00003A1F0000}"/>
    <cellStyle name="Normal 9 2 3 3 3 2" xfId="3636" xr:uid="{00000000-0005-0000-0000-00003B1F0000}"/>
    <cellStyle name="Normal 9 2 3 3 3 2 2" xfId="7859" xr:uid="{00000000-0005-0000-0000-00003C1F0000}"/>
    <cellStyle name="Normal 9 2 3 3 3 2 2 2" xfId="16298" xr:uid="{2F9D3BD5-F7AB-4DC2-A1D3-BD93AF93666D}"/>
    <cellStyle name="Normal 9 2 3 3 3 2 3" xfId="12080" xr:uid="{7B441D8D-7424-4267-99A7-D24D0A585009}"/>
    <cellStyle name="Normal 9 2 3 3 3 3" xfId="5714" xr:uid="{00000000-0005-0000-0000-00003D1F0000}"/>
    <cellStyle name="Normal 9 2 3 3 3 3 2" xfId="14153" xr:uid="{680E23A4-9C0C-4B22-9F3D-D91BAD18940C}"/>
    <cellStyle name="Normal 9 2 3 3 3 4" xfId="9935" xr:uid="{6365325D-12B3-42E3-AAFA-F684592C4811}"/>
    <cellStyle name="Normal 9 2 3 3 4" xfId="1819" xr:uid="{00000000-0005-0000-0000-00003E1F0000}"/>
    <cellStyle name="Normal 9 2 3 3 4 2" xfId="4049" xr:uid="{00000000-0005-0000-0000-00003F1F0000}"/>
    <cellStyle name="Normal 9 2 3 3 4 2 2" xfId="8272" xr:uid="{00000000-0005-0000-0000-0000401F0000}"/>
    <cellStyle name="Normal 9 2 3 3 4 2 2 2" xfId="16711" xr:uid="{DB296789-3021-4F87-A07D-043B51D5E285}"/>
    <cellStyle name="Normal 9 2 3 3 4 2 3" xfId="12493" xr:uid="{A3DEFD58-0F4D-4003-B244-B9CC51FB01D1}"/>
    <cellStyle name="Normal 9 2 3 3 4 3" xfId="6127" xr:uid="{00000000-0005-0000-0000-0000411F0000}"/>
    <cellStyle name="Normal 9 2 3 3 4 3 2" xfId="14566" xr:uid="{068C959D-CB3B-4B65-8180-F3D84FDF798D}"/>
    <cellStyle name="Normal 9 2 3 3 4 4" xfId="10348" xr:uid="{F394151E-F9CF-4137-85F3-508FB2ADEB6B}"/>
    <cellStyle name="Normal 9 2 3 3 5" xfId="2233" xr:uid="{00000000-0005-0000-0000-0000421F0000}"/>
    <cellStyle name="Normal 9 2 3 3 5 2" xfId="4462" xr:uid="{00000000-0005-0000-0000-0000431F0000}"/>
    <cellStyle name="Normal 9 2 3 3 5 2 2" xfId="8685" xr:uid="{00000000-0005-0000-0000-0000441F0000}"/>
    <cellStyle name="Normal 9 2 3 3 5 2 2 2" xfId="17124" xr:uid="{9C64D6FE-7051-41C0-AE2E-C09AD9E90103}"/>
    <cellStyle name="Normal 9 2 3 3 5 2 3" xfId="12906" xr:uid="{D8F5A5AC-900B-4730-8735-5894BFAEA955}"/>
    <cellStyle name="Normal 9 2 3 3 5 3" xfId="6540" xr:uid="{00000000-0005-0000-0000-0000451F0000}"/>
    <cellStyle name="Normal 9 2 3 3 5 3 2" xfId="14979" xr:uid="{59C087E7-8379-42D9-B8F3-6C33A3920E24}"/>
    <cellStyle name="Normal 9 2 3 3 5 4" xfId="10761" xr:uid="{7005A775-E036-4AAF-AC93-5B14A1F96447}"/>
    <cellStyle name="Normal 9 2 3 3 6" xfId="2669" xr:uid="{00000000-0005-0000-0000-0000461F0000}"/>
    <cellStyle name="Normal 9 2 3 3 6 2" xfId="6953" xr:uid="{00000000-0005-0000-0000-0000471F0000}"/>
    <cellStyle name="Normal 9 2 3 3 6 2 2" xfId="15392" xr:uid="{4E51AC21-ACA3-4E82-AB26-A2C9177FB548}"/>
    <cellStyle name="Normal 9 2 3 3 6 3" xfId="11174" xr:uid="{CDC4EE0A-CA6D-4386-A2E8-E25E77512492}"/>
    <cellStyle name="Normal 9 2 3 3 7" xfId="4888" xr:uid="{00000000-0005-0000-0000-0000481F0000}"/>
    <cellStyle name="Normal 9 2 3 3 7 2" xfId="13327" xr:uid="{E79FB7D1-D312-44A6-A59D-63F2EFD14964}"/>
    <cellStyle name="Normal 9 2 3 3 8" xfId="9109" xr:uid="{64A1074F-FB3E-4E4D-B1B3-B7F1DE78AFE4}"/>
    <cellStyle name="Normal 9 2 3 4" xfId="987" xr:uid="{00000000-0005-0000-0000-0000491F0000}"/>
    <cellStyle name="Normal 9 2 3 4 2" xfId="3220" xr:uid="{00000000-0005-0000-0000-00004A1F0000}"/>
    <cellStyle name="Normal 9 2 3 4 2 2" xfId="7443" xr:uid="{00000000-0005-0000-0000-00004B1F0000}"/>
    <cellStyle name="Normal 9 2 3 4 2 2 2" xfId="15882" xr:uid="{5E9A42D7-BB96-40FF-AE07-4A7AC788B084}"/>
    <cellStyle name="Normal 9 2 3 4 2 3" xfId="11664" xr:uid="{43AF5C2C-5670-4754-8384-1989DEF4ED8F}"/>
    <cellStyle name="Normal 9 2 3 4 3" xfId="5298" xr:uid="{00000000-0005-0000-0000-00004C1F0000}"/>
    <cellStyle name="Normal 9 2 3 4 3 2" xfId="13737" xr:uid="{BF994A22-1500-4FDB-B01E-6B868CF3766A}"/>
    <cellStyle name="Normal 9 2 3 4 4" xfId="9519" xr:uid="{F688C11D-72EE-43DD-8B08-512A5699BC92}"/>
    <cellStyle name="Normal 9 2 3 5" xfId="1403" xr:uid="{00000000-0005-0000-0000-00004D1F0000}"/>
    <cellStyle name="Normal 9 2 3 5 2" xfId="3633" xr:uid="{00000000-0005-0000-0000-00004E1F0000}"/>
    <cellStyle name="Normal 9 2 3 5 2 2" xfId="7856" xr:uid="{00000000-0005-0000-0000-00004F1F0000}"/>
    <cellStyle name="Normal 9 2 3 5 2 2 2" xfId="16295" xr:uid="{54711031-9EE8-47FD-9E5B-B047EFFA1563}"/>
    <cellStyle name="Normal 9 2 3 5 2 3" xfId="12077" xr:uid="{D2FD5684-8835-451F-A40E-7673976BA3C5}"/>
    <cellStyle name="Normal 9 2 3 5 3" xfId="5711" xr:uid="{00000000-0005-0000-0000-0000501F0000}"/>
    <cellStyle name="Normal 9 2 3 5 3 2" xfId="14150" xr:uid="{E4F189C0-793D-4AF0-A1A3-6C4AA147EC08}"/>
    <cellStyle name="Normal 9 2 3 5 4" xfId="9932" xr:uid="{85BBB37E-F236-43C5-8369-B74CC4FA7759}"/>
    <cellStyle name="Normal 9 2 3 6" xfId="1816" xr:uid="{00000000-0005-0000-0000-0000511F0000}"/>
    <cellStyle name="Normal 9 2 3 6 2" xfId="4046" xr:uid="{00000000-0005-0000-0000-0000521F0000}"/>
    <cellStyle name="Normal 9 2 3 6 2 2" xfId="8269" xr:uid="{00000000-0005-0000-0000-0000531F0000}"/>
    <cellStyle name="Normal 9 2 3 6 2 2 2" xfId="16708" xr:uid="{B2A29AFE-095B-4A6B-B5E5-BAE946E5FB32}"/>
    <cellStyle name="Normal 9 2 3 6 2 3" xfId="12490" xr:uid="{7BD5E365-C3B5-4888-A7F9-5FB8DB5AE4F8}"/>
    <cellStyle name="Normal 9 2 3 6 3" xfId="6124" xr:uid="{00000000-0005-0000-0000-0000541F0000}"/>
    <cellStyle name="Normal 9 2 3 6 3 2" xfId="14563" xr:uid="{27EE7862-F091-47AE-AB51-A339EB286586}"/>
    <cellStyle name="Normal 9 2 3 6 4" xfId="10345" xr:uid="{2D5A5C4C-F158-4A3C-B2AF-11B1F22B72B5}"/>
    <cellStyle name="Normal 9 2 3 7" xfId="2230" xr:uid="{00000000-0005-0000-0000-0000551F0000}"/>
    <cellStyle name="Normal 9 2 3 7 2" xfId="4459" xr:uid="{00000000-0005-0000-0000-0000561F0000}"/>
    <cellStyle name="Normal 9 2 3 7 2 2" xfId="8682" xr:uid="{00000000-0005-0000-0000-0000571F0000}"/>
    <cellStyle name="Normal 9 2 3 7 2 2 2" xfId="17121" xr:uid="{CE7790A9-DD6A-4877-9BFA-0B48408E486F}"/>
    <cellStyle name="Normal 9 2 3 7 2 3" xfId="12903" xr:uid="{51742B0E-272E-4E07-B25B-5467671353B4}"/>
    <cellStyle name="Normal 9 2 3 7 3" xfId="6537" xr:uid="{00000000-0005-0000-0000-0000581F0000}"/>
    <cellStyle name="Normal 9 2 3 7 3 2" xfId="14976" xr:uid="{1CEF6615-0E3D-477C-813F-F63485E5901C}"/>
    <cellStyle name="Normal 9 2 3 7 4" xfId="10758" xr:uid="{4AFA77EA-9990-4525-8C43-F327D5105E3D}"/>
    <cellStyle name="Normal 9 2 3 8" xfId="2666" xr:uid="{00000000-0005-0000-0000-0000591F0000}"/>
    <cellStyle name="Normal 9 2 3 8 2" xfId="6950" xr:uid="{00000000-0005-0000-0000-00005A1F0000}"/>
    <cellStyle name="Normal 9 2 3 8 2 2" xfId="15389" xr:uid="{E7938887-2C05-45EB-AB7C-0DEA577B8AAF}"/>
    <cellStyle name="Normal 9 2 3 8 3" xfId="11171" xr:uid="{8456D0EB-318C-4613-8B24-5AA5AC056A18}"/>
    <cellStyle name="Normal 9 2 3 9" xfId="4885" xr:uid="{00000000-0005-0000-0000-00005B1F0000}"/>
    <cellStyle name="Normal 9 2 3 9 2" xfId="13324" xr:uid="{C9C6D9AB-E99F-44B8-8DB5-902B499C04DC}"/>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2 2 2" xfId="15887" xr:uid="{2F2B426A-1E51-44C1-ACA2-2F87B166411D}"/>
    <cellStyle name="Normal 9 2 4 2 2 2 3" xfId="11669" xr:uid="{EB8346E1-EE8F-46BD-8F3E-CAD2EABD5C07}"/>
    <cellStyle name="Normal 9 2 4 2 2 3" xfId="5303" xr:uid="{00000000-0005-0000-0000-0000611F0000}"/>
    <cellStyle name="Normal 9 2 4 2 2 3 2" xfId="13742" xr:uid="{B11FF371-409A-485F-AD5F-53404560EF81}"/>
    <cellStyle name="Normal 9 2 4 2 2 4" xfId="9524" xr:uid="{998ACEE6-7470-4865-86B7-327A0D41718C}"/>
    <cellStyle name="Normal 9 2 4 2 3" xfId="1408" xr:uid="{00000000-0005-0000-0000-0000621F0000}"/>
    <cellStyle name="Normal 9 2 4 2 3 2" xfId="3638" xr:uid="{00000000-0005-0000-0000-0000631F0000}"/>
    <cellStyle name="Normal 9 2 4 2 3 2 2" xfId="7861" xr:uid="{00000000-0005-0000-0000-0000641F0000}"/>
    <cellStyle name="Normal 9 2 4 2 3 2 2 2" xfId="16300" xr:uid="{B0BC2AAF-C110-40DC-BCD7-9E7CF4C034B9}"/>
    <cellStyle name="Normal 9 2 4 2 3 2 3" xfId="12082" xr:uid="{C56EC7F9-9EF9-4640-B1E7-0CAF7CAC822E}"/>
    <cellStyle name="Normal 9 2 4 2 3 3" xfId="5716" xr:uid="{00000000-0005-0000-0000-0000651F0000}"/>
    <cellStyle name="Normal 9 2 4 2 3 3 2" xfId="14155" xr:uid="{B69E57B1-7441-4752-AD7A-6D417FB8E116}"/>
    <cellStyle name="Normal 9 2 4 2 3 4" xfId="9937" xr:uid="{094483C0-21D5-4AD5-99CE-43B09B9E2331}"/>
    <cellStyle name="Normal 9 2 4 2 4" xfId="1821" xr:uid="{00000000-0005-0000-0000-0000661F0000}"/>
    <cellStyle name="Normal 9 2 4 2 4 2" xfId="4051" xr:uid="{00000000-0005-0000-0000-0000671F0000}"/>
    <cellStyle name="Normal 9 2 4 2 4 2 2" xfId="8274" xr:uid="{00000000-0005-0000-0000-0000681F0000}"/>
    <cellStyle name="Normal 9 2 4 2 4 2 2 2" xfId="16713" xr:uid="{AA1504D2-D0CF-441C-B55D-0E1615F447DB}"/>
    <cellStyle name="Normal 9 2 4 2 4 2 3" xfId="12495" xr:uid="{04488A89-1269-4B19-BBDC-CB91EFEB0A18}"/>
    <cellStyle name="Normal 9 2 4 2 4 3" xfId="6129" xr:uid="{00000000-0005-0000-0000-0000691F0000}"/>
    <cellStyle name="Normal 9 2 4 2 4 3 2" xfId="14568" xr:uid="{7AE421DC-2EC8-4927-9060-BA2CEF06C980}"/>
    <cellStyle name="Normal 9 2 4 2 4 4" xfId="10350" xr:uid="{08124C7D-BB6D-4267-A210-A689C74540BE}"/>
    <cellStyle name="Normal 9 2 4 2 5" xfId="2235" xr:uid="{00000000-0005-0000-0000-00006A1F0000}"/>
    <cellStyle name="Normal 9 2 4 2 5 2" xfId="4464" xr:uid="{00000000-0005-0000-0000-00006B1F0000}"/>
    <cellStyle name="Normal 9 2 4 2 5 2 2" xfId="8687" xr:uid="{00000000-0005-0000-0000-00006C1F0000}"/>
    <cellStyle name="Normal 9 2 4 2 5 2 2 2" xfId="17126" xr:uid="{41AED80C-D388-4F99-8FA6-55EC325453D1}"/>
    <cellStyle name="Normal 9 2 4 2 5 2 3" xfId="12908" xr:uid="{BA18C221-F773-401D-AE69-D808B1BD8F5E}"/>
    <cellStyle name="Normal 9 2 4 2 5 3" xfId="6542" xr:uid="{00000000-0005-0000-0000-00006D1F0000}"/>
    <cellStyle name="Normal 9 2 4 2 5 3 2" xfId="14981" xr:uid="{3BFBC473-D350-4A91-93C8-2D2A67679E0E}"/>
    <cellStyle name="Normal 9 2 4 2 5 4" xfId="10763" xr:uid="{EC2A6C3E-C082-4EE5-9B76-F255AADB0A66}"/>
    <cellStyle name="Normal 9 2 4 2 6" xfId="2671" xr:uid="{00000000-0005-0000-0000-00006E1F0000}"/>
    <cellStyle name="Normal 9 2 4 2 6 2" xfId="6955" xr:uid="{00000000-0005-0000-0000-00006F1F0000}"/>
    <cellStyle name="Normal 9 2 4 2 6 2 2" xfId="15394" xr:uid="{6EA73C0D-E40D-4FF1-B65F-9EC519113D64}"/>
    <cellStyle name="Normal 9 2 4 2 6 3" xfId="11176" xr:uid="{40794D91-1F8F-4648-BBDB-9148D1D807A1}"/>
    <cellStyle name="Normal 9 2 4 2 7" xfId="4890" xr:uid="{00000000-0005-0000-0000-0000701F0000}"/>
    <cellStyle name="Normal 9 2 4 2 7 2" xfId="13329" xr:uid="{DE9B8742-E01D-4CB5-A662-F7A3C5AA3008}"/>
    <cellStyle name="Normal 9 2 4 2 8" xfId="9111" xr:uid="{81AB729E-B003-4000-89DA-D8571AFEB80D}"/>
    <cellStyle name="Normal 9 2 4 3" xfId="991" xr:uid="{00000000-0005-0000-0000-0000711F0000}"/>
    <cellStyle name="Normal 9 2 4 3 2" xfId="3224" xr:uid="{00000000-0005-0000-0000-0000721F0000}"/>
    <cellStyle name="Normal 9 2 4 3 2 2" xfId="7447" xr:uid="{00000000-0005-0000-0000-0000731F0000}"/>
    <cellStyle name="Normal 9 2 4 3 2 2 2" xfId="15886" xr:uid="{6077B8EC-8E50-45BA-B8B6-AFEE6D7DC866}"/>
    <cellStyle name="Normal 9 2 4 3 2 3" xfId="11668" xr:uid="{545AF7B8-6399-4C31-AF3C-B2E0F05E5E52}"/>
    <cellStyle name="Normal 9 2 4 3 3" xfId="5302" xr:uid="{00000000-0005-0000-0000-0000741F0000}"/>
    <cellStyle name="Normal 9 2 4 3 3 2" xfId="13741" xr:uid="{144D9ADA-58B5-4C7C-A183-B3B53AD52D4E}"/>
    <cellStyle name="Normal 9 2 4 3 4" xfId="9523" xr:uid="{2F50E0DD-7D0B-4717-A227-8098B71BAE78}"/>
    <cellStyle name="Normal 9 2 4 4" xfId="1407" xr:uid="{00000000-0005-0000-0000-0000751F0000}"/>
    <cellStyle name="Normal 9 2 4 4 2" xfId="3637" xr:uid="{00000000-0005-0000-0000-0000761F0000}"/>
    <cellStyle name="Normal 9 2 4 4 2 2" xfId="7860" xr:uid="{00000000-0005-0000-0000-0000771F0000}"/>
    <cellStyle name="Normal 9 2 4 4 2 2 2" xfId="16299" xr:uid="{E4FF1714-8DB8-48D5-8002-CA4C741AE8E9}"/>
    <cellStyle name="Normal 9 2 4 4 2 3" xfId="12081" xr:uid="{082C0656-3DCA-476C-90A7-E2AA3B0D8B26}"/>
    <cellStyle name="Normal 9 2 4 4 3" xfId="5715" xr:uid="{00000000-0005-0000-0000-0000781F0000}"/>
    <cellStyle name="Normal 9 2 4 4 3 2" xfId="14154" xr:uid="{5A8BE0CA-35D8-421F-A149-1C49800898A6}"/>
    <cellStyle name="Normal 9 2 4 4 4" xfId="9936" xr:uid="{484F4559-8764-40A9-A910-1BC41400E717}"/>
    <cellStyle name="Normal 9 2 4 5" xfId="1820" xr:uid="{00000000-0005-0000-0000-0000791F0000}"/>
    <cellStyle name="Normal 9 2 4 5 2" xfId="4050" xr:uid="{00000000-0005-0000-0000-00007A1F0000}"/>
    <cellStyle name="Normal 9 2 4 5 2 2" xfId="8273" xr:uid="{00000000-0005-0000-0000-00007B1F0000}"/>
    <cellStyle name="Normal 9 2 4 5 2 2 2" xfId="16712" xr:uid="{2483E581-8F2F-4D94-8005-9FF1E93E5D3C}"/>
    <cellStyle name="Normal 9 2 4 5 2 3" xfId="12494" xr:uid="{37A8CF1B-2763-4E3B-92B3-2D64C6939A25}"/>
    <cellStyle name="Normal 9 2 4 5 3" xfId="6128" xr:uid="{00000000-0005-0000-0000-00007C1F0000}"/>
    <cellStyle name="Normal 9 2 4 5 3 2" xfId="14567" xr:uid="{451599E2-3481-47E0-B4D3-F0043DEED8D3}"/>
    <cellStyle name="Normal 9 2 4 5 4" xfId="10349" xr:uid="{0CB122F3-D8B3-43ED-BEB1-C3922FCF7DEB}"/>
    <cellStyle name="Normal 9 2 4 6" xfId="2234" xr:uid="{00000000-0005-0000-0000-00007D1F0000}"/>
    <cellStyle name="Normal 9 2 4 6 2" xfId="4463" xr:uid="{00000000-0005-0000-0000-00007E1F0000}"/>
    <cellStyle name="Normal 9 2 4 6 2 2" xfId="8686" xr:uid="{00000000-0005-0000-0000-00007F1F0000}"/>
    <cellStyle name="Normal 9 2 4 6 2 2 2" xfId="17125" xr:uid="{989DACA5-AD9D-4A51-90DA-B6778D597B5A}"/>
    <cellStyle name="Normal 9 2 4 6 2 3" xfId="12907" xr:uid="{EB0C0B88-6A50-49CF-B991-2A273BFA2092}"/>
    <cellStyle name="Normal 9 2 4 6 3" xfId="6541" xr:uid="{00000000-0005-0000-0000-0000801F0000}"/>
    <cellStyle name="Normal 9 2 4 6 3 2" xfId="14980" xr:uid="{895F491B-F207-4739-AB05-4A65EB2D5370}"/>
    <cellStyle name="Normal 9 2 4 6 4" xfId="10762" xr:uid="{56919269-BB40-4606-8AF9-E68AAA442E60}"/>
    <cellStyle name="Normal 9 2 4 7" xfId="2670" xr:uid="{00000000-0005-0000-0000-0000811F0000}"/>
    <cellStyle name="Normal 9 2 4 7 2" xfId="6954" xr:uid="{00000000-0005-0000-0000-0000821F0000}"/>
    <cellStyle name="Normal 9 2 4 7 2 2" xfId="15393" xr:uid="{3109E788-A808-406B-B0E0-4D12A5CD59E0}"/>
    <cellStyle name="Normal 9 2 4 7 3" xfId="11175" xr:uid="{CC3030AC-DFCD-4BC0-98B5-AC684C39D33C}"/>
    <cellStyle name="Normal 9 2 4 8" xfId="4889" xr:uid="{00000000-0005-0000-0000-0000831F0000}"/>
    <cellStyle name="Normal 9 2 4 8 2" xfId="13328" xr:uid="{C27ED4D3-F9FF-40D7-83DA-A7E6DC42A505}"/>
    <cellStyle name="Normal 9 2 4 9" xfId="9110" xr:uid="{EF7F04FE-7F35-4B2A-871D-B23EB7417C24}"/>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2 2 2" xfId="15888" xr:uid="{2B0DD03B-8179-4C5C-A9E4-A6E56F96AD53}"/>
    <cellStyle name="Normal 9 2 5 2 2 3" xfId="11670" xr:uid="{F1FDFEE1-57D6-4A1F-9C3C-03BDC141C3F3}"/>
    <cellStyle name="Normal 9 2 5 2 3" xfId="5304" xr:uid="{00000000-0005-0000-0000-0000881F0000}"/>
    <cellStyle name="Normal 9 2 5 2 3 2" xfId="13743" xr:uid="{F4334F85-DFC9-459E-9E93-1137794680D9}"/>
    <cellStyle name="Normal 9 2 5 2 4" xfId="9525" xr:uid="{AF35192C-2845-4892-9A48-79C084B94C7F}"/>
    <cellStyle name="Normal 9 2 5 3" xfId="1409" xr:uid="{00000000-0005-0000-0000-0000891F0000}"/>
    <cellStyle name="Normal 9 2 5 3 2" xfId="3639" xr:uid="{00000000-0005-0000-0000-00008A1F0000}"/>
    <cellStyle name="Normal 9 2 5 3 2 2" xfId="7862" xr:uid="{00000000-0005-0000-0000-00008B1F0000}"/>
    <cellStyle name="Normal 9 2 5 3 2 2 2" xfId="16301" xr:uid="{AD7542F0-2242-4365-AC8D-EACB352230FB}"/>
    <cellStyle name="Normal 9 2 5 3 2 3" xfId="12083" xr:uid="{FF792225-23B4-47AC-96F2-3C539001C531}"/>
    <cellStyle name="Normal 9 2 5 3 3" xfId="5717" xr:uid="{00000000-0005-0000-0000-00008C1F0000}"/>
    <cellStyle name="Normal 9 2 5 3 3 2" xfId="14156" xr:uid="{20880526-8387-4A5E-AAC4-1FBEC940C1A2}"/>
    <cellStyle name="Normal 9 2 5 3 4" xfId="9938" xr:uid="{93AF7C3C-66A6-4639-9B7A-060B3D5BC0D5}"/>
    <cellStyle name="Normal 9 2 5 4" xfId="1822" xr:uid="{00000000-0005-0000-0000-00008D1F0000}"/>
    <cellStyle name="Normal 9 2 5 4 2" xfId="4052" xr:uid="{00000000-0005-0000-0000-00008E1F0000}"/>
    <cellStyle name="Normal 9 2 5 4 2 2" xfId="8275" xr:uid="{00000000-0005-0000-0000-00008F1F0000}"/>
    <cellStyle name="Normal 9 2 5 4 2 2 2" xfId="16714" xr:uid="{0A85C323-87D4-4310-AE27-6AF8E6A23D7A}"/>
    <cellStyle name="Normal 9 2 5 4 2 3" xfId="12496" xr:uid="{3672E4C2-1962-4C61-A1A5-A66D7201CF59}"/>
    <cellStyle name="Normal 9 2 5 4 3" xfId="6130" xr:uid="{00000000-0005-0000-0000-0000901F0000}"/>
    <cellStyle name="Normal 9 2 5 4 3 2" xfId="14569" xr:uid="{FEFB202F-E6C0-4067-A4D6-FC9A6CC4B123}"/>
    <cellStyle name="Normal 9 2 5 4 4" xfId="10351" xr:uid="{6CC8A794-4631-423F-8C69-89EF15E8E098}"/>
    <cellStyle name="Normal 9 2 5 5" xfId="2236" xr:uid="{00000000-0005-0000-0000-0000911F0000}"/>
    <cellStyle name="Normal 9 2 5 5 2" xfId="4465" xr:uid="{00000000-0005-0000-0000-0000921F0000}"/>
    <cellStyle name="Normal 9 2 5 5 2 2" xfId="8688" xr:uid="{00000000-0005-0000-0000-0000931F0000}"/>
    <cellStyle name="Normal 9 2 5 5 2 2 2" xfId="17127" xr:uid="{D9205E1E-6764-4468-A3E7-AD015F6AA3BC}"/>
    <cellStyle name="Normal 9 2 5 5 2 3" xfId="12909" xr:uid="{22AB126B-A98C-4CE2-9DC0-5110ADBFA790}"/>
    <cellStyle name="Normal 9 2 5 5 3" xfId="6543" xr:uid="{00000000-0005-0000-0000-0000941F0000}"/>
    <cellStyle name="Normal 9 2 5 5 3 2" xfId="14982" xr:uid="{80D1275B-4D3B-4C13-BE8F-FB3DA4381047}"/>
    <cellStyle name="Normal 9 2 5 5 4" xfId="10764" xr:uid="{4E694080-5DE3-4BBB-99B9-0D9DF3A68092}"/>
    <cellStyle name="Normal 9 2 5 6" xfId="2672" xr:uid="{00000000-0005-0000-0000-0000951F0000}"/>
    <cellStyle name="Normal 9 2 5 6 2" xfId="6956" xr:uid="{00000000-0005-0000-0000-0000961F0000}"/>
    <cellStyle name="Normal 9 2 5 6 2 2" xfId="15395" xr:uid="{B5ED148C-B5EE-44CF-8ABC-256608A58061}"/>
    <cellStyle name="Normal 9 2 5 6 3" xfId="11177" xr:uid="{BF4AFE4B-BEB0-4ED0-9DCC-2BE7069509B5}"/>
    <cellStyle name="Normal 9 2 5 7" xfId="4891" xr:uid="{00000000-0005-0000-0000-0000971F0000}"/>
    <cellStyle name="Normal 9 2 5 7 2" xfId="13330" xr:uid="{7F3FCAFD-52BC-4D59-B2F2-A4721BF804E4}"/>
    <cellStyle name="Normal 9 2 5 8" xfId="9112" xr:uid="{25D4AB23-8D61-45DB-ACB9-23B06CEEBAA8}"/>
    <cellStyle name="Normal 9 2 6" xfId="978" xr:uid="{00000000-0005-0000-0000-0000981F0000}"/>
    <cellStyle name="Normal 9 2 6 2" xfId="3211" xr:uid="{00000000-0005-0000-0000-0000991F0000}"/>
    <cellStyle name="Normal 9 2 6 2 2" xfId="7434" xr:uid="{00000000-0005-0000-0000-00009A1F0000}"/>
    <cellStyle name="Normal 9 2 6 2 2 2" xfId="15873" xr:uid="{97610CF7-418B-4E43-93CB-C563C7C9988A}"/>
    <cellStyle name="Normal 9 2 6 2 3" xfId="11655" xr:uid="{9691A0F0-B2A6-4724-8C3C-A5E0FAD2D5A9}"/>
    <cellStyle name="Normal 9 2 6 3" xfId="5289" xr:uid="{00000000-0005-0000-0000-00009B1F0000}"/>
    <cellStyle name="Normal 9 2 6 3 2" xfId="13728" xr:uid="{FD8CCF44-F169-4D25-BF90-D87609861051}"/>
    <cellStyle name="Normal 9 2 6 4" xfId="9510" xr:uid="{096905B6-D471-4C5D-955A-68BB6E8AA0D5}"/>
    <cellStyle name="Normal 9 2 7" xfId="1394" xr:uid="{00000000-0005-0000-0000-00009C1F0000}"/>
    <cellStyle name="Normal 9 2 7 2" xfId="3624" xr:uid="{00000000-0005-0000-0000-00009D1F0000}"/>
    <cellStyle name="Normal 9 2 7 2 2" xfId="7847" xr:uid="{00000000-0005-0000-0000-00009E1F0000}"/>
    <cellStyle name="Normal 9 2 7 2 2 2" xfId="16286" xr:uid="{1DD342BA-B138-4D41-908A-9EB15045673A}"/>
    <cellStyle name="Normal 9 2 7 2 3" xfId="12068" xr:uid="{82EFFF9E-453A-435B-92F2-CF9152A2425F}"/>
    <cellStyle name="Normal 9 2 7 3" xfId="5702" xr:uid="{00000000-0005-0000-0000-00009F1F0000}"/>
    <cellStyle name="Normal 9 2 7 3 2" xfId="14141" xr:uid="{96899E3A-11AA-4A25-8D24-2B4C1C9C6662}"/>
    <cellStyle name="Normal 9 2 7 4" xfId="9923" xr:uid="{5697600D-A98F-4FE6-86D6-7B854DFF2FD4}"/>
    <cellStyle name="Normal 9 2 8" xfId="1807" xr:uid="{00000000-0005-0000-0000-0000A01F0000}"/>
    <cellStyle name="Normal 9 2 8 2" xfId="4037" xr:uid="{00000000-0005-0000-0000-0000A11F0000}"/>
    <cellStyle name="Normal 9 2 8 2 2" xfId="8260" xr:uid="{00000000-0005-0000-0000-0000A21F0000}"/>
    <cellStyle name="Normal 9 2 8 2 2 2" xfId="16699" xr:uid="{5C45C727-DB50-4B46-8721-012530625A6A}"/>
    <cellStyle name="Normal 9 2 8 2 3" xfId="12481" xr:uid="{582DB4FE-6C3D-431C-9A63-8BC7FBE62BB6}"/>
    <cellStyle name="Normal 9 2 8 3" xfId="6115" xr:uid="{00000000-0005-0000-0000-0000A31F0000}"/>
    <cellStyle name="Normal 9 2 8 3 2" xfId="14554" xr:uid="{E8C1E8E8-6BE9-4E50-84A1-8056268575E0}"/>
    <cellStyle name="Normal 9 2 8 4" xfId="10336" xr:uid="{6FD8419B-7DF8-4DFA-8F84-E534111B9AB8}"/>
    <cellStyle name="Normal 9 2 9" xfId="2221" xr:uid="{00000000-0005-0000-0000-0000A41F0000}"/>
    <cellStyle name="Normal 9 2 9 2" xfId="4450" xr:uid="{00000000-0005-0000-0000-0000A51F0000}"/>
    <cellStyle name="Normal 9 2 9 2 2" xfId="8673" xr:uid="{00000000-0005-0000-0000-0000A61F0000}"/>
    <cellStyle name="Normal 9 2 9 2 2 2" xfId="17112" xr:uid="{E7CF4251-9EBE-44EE-A323-AFD59B1EEF1A}"/>
    <cellStyle name="Normal 9 2 9 2 3" xfId="12894" xr:uid="{2E057B27-2399-4D33-A0C6-2DEB1C3AE0E0}"/>
    <cellStyle name="Normal 9 2 9 3" xfId="6528" xr:uid="{00000000-0005-0000-0000-0000A71F0000}"/>
    <cellStyle name="Normal 9 2 9 3 2" xfId="14967" xr:uid="{EF735787-8201-4493-94AE-D76C5080D57B}"/>
    <cellStyle name="Normal 9 2 9 4" xfId="10749" xr:uid="{779A0648-25A5-44DB-922A-37A55178896F}"/>
    <cellStyle name="Normal 9 3" xfId="527" xr:uid="{00000000-0005-0000-0000-0000A81F0000}"/>
    <cellStyle name="Normal 9 3 10" xfId="4892" xr:uid="{00000000-0005-0000-0000-0000A91F0000}"/>
    <cellStyle name="Normal 9 3 10 2" xfId="13331" xr:uid="{A7CFDA88-4592-4506-BEBB-ADC3C0D1F556}"/>
    <cellStyle name="Normal 9 3 11" xfId="9113" xr:uid="{7E1824CD-FC2C-4A8A-970A-B65E2D55EC3B}"/>
    <cellStyle name="Normal 9 3 2" xfId="528" xr:uid="{00000000-0005-0000-0000-0000AA1F0000}"/>
    <cellStyle name="Normal 9 3 2 10" xfId="9114" xr:uid="{57301645-6304-4AF9-B1DA-B564CC141F77}"/>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2 2 2" xfId="15892" xr:uid="{F0BD3E4D-C5D9-4AC1-8459-2BA5073D001E}"/>
    <cellStyle name="Normal 9 3 2 2 2 2 2 3" xfId="11674" xr:uid="{785DB799-04A4-4B94-9FBC-88E77E7317C6}"/>
    <cellStyle name="Normal 9 3 2 2 2 2 3" xfId="5308" xr:uid="{00000000-0005-0000-0000-0000B01F0000}"/>
    <cellStyle name="Normal 9 3 2 2 2 2 3 2" xfId="13747" xr:uid="{3A582647-7A65-4F5A-BDB9-E09490383086}"/>
    <cellStyle name="Normal 9 3 2 2 2 2 4" xfId="9529" xr:uid="{EE76DB82-8346-4AE5-8EA6-C456B70826D5}"/>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2 2 2" xfId="16305" xr:uid="{31DA3BA4-D45A-44FE-BD8D-C7689DD4BDD3}"/>
    <cellStyle name="Normal 9 3 2 2 2 3 2 3" xfId="12087" xr:uid="{238312B5-C6F7-4215-8952-A133E3F966AD}"/>
    <cellStyle name="Normal 9 3 2 2 2 3 3" xfId="5721" xr:uid="{00000000-0005-0000-0000-0000B41F0000}"/>
    <cellStyle name="Normal 9 3 2 2 2 3 3 2" xfId="14160" xr:uid="{82A7ECE4-4B46-4620-8C09-82C298A2F5CF}"/>
    <cellStyle name="Normal 9 3 2 2 2 3 4" xfId="9942" xr:uid="{DD712B1E-ACBD-425E-9E10-AF91B62F9D49}"/>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2 2 2" xfId="16718" xr:uid="{107ED5CC-3EA6-4032-B5F2-C33FE4F171A0}"/>
    <cellStyle name="Normal 9 3 2 2 2 4 2 3" xfId="12500" xr:uid="{B82F6E3A-CE5E-4E06-988E-70521EAFE152}"/>
    <cellStyle name="Normal 9 3 2 2 2 4 3" xfId="6134" xr:uid="{00000000-0005-0000-0000-0000B81F0000}"/>
    <cellStyle name="Normal 9 3 2 2 2 4 3 2" xfId="14573" xr:uid="{A4C61B99-D3C6-4B3E-8795-B198C147370F}"/>
    <cellStyle name="Normal 9 3 2 2 2 4 4" xfId="10355" xr:uid="{E6D8F5B4-CE2D-4F8E-B220-AB84050017A6}"/>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2 2 2" xfId="17131" xr:uid="{54F3FEAE-3129-4299-9D3E-3418A07996D8}"/>
    <cellStyle name="Normal 9 3 2 2 2 5 2 3" xfId="12913" xr:uid="{B856BBF9-B174-4C58-921C-488E1B1AADF8}"/>
    <cellStyle name="Normal 9 3 2 2 2 5 3" xfId="6547" xr:uid="{00000000-0005-0000-0000-0000BC1F0000}"/>
    <cellStyle name="Normal 9 3 2 2 2 5 3 2" xfId="14986" xr:uid="{F1DAEB4E-7FD2-47F2-BE6C-A47E6038B547}"/>
    <cellStyle name="Normal 9 3 2 2 2 5 4" xfId="10768" xr:uid="{8AC60DDB-F1A9-4401-A24F-AA48ACCCBFA8}"/>
    <cellStyle name="Normal 9 3 2 2 2 6" xfId="2676" xr:uid="{00000000-0005-0000-0000-0000BD1F0000}"/>
    <cellStyle name="Normal 9 3 2 2 2 6 2" xfId="6960" xr:uid="{00000000-0005-0000-0000-0000BE1F0000}"/>
    <cellStyle name="Normal 9 3 2 2 2 6 2 2" xfId="15399" xr:uid="{9376576E-98B9-4D3F-816F-4633FCB670E6}"/>
    <cellStyle name="Normal 9 3 2 2 2 6 3" xfId="11181" xr:uid="{06E05887-836A-40D0-B4D1-4889E500D3A9}"/>
    <cellStyle name="Normal 9 3 2 2 2 7" xfId="4895" xr:uid="{00000000-0005-0000-0000-0000BF1F0000}"/>
    <cellStyle name="Normal 9 3 2 2 2 7 2" xfId="13334" xr:uid="{B1694283-BCCC-4344-B0C2-80A17A3304F1}"/>
    <cellStyle name="Normal 9 3 2 2 2 8" xfId="9116" xr:uid="{66B334F8-95A0-458B-B55D-D7F91530EBD7}"/>
    <cellStyle name="Normal 9 3 2 2 3" xfId="996" xr:uid="{00000000-0005-0000-0000-0000C01F0000}"/>
    <cellStyle name="Normal 9 3 2 2 3 2" xfId="3229" xr:uid="{00000000-0005-0000-0000-0000C11F0000}"/>
    <cellStyle name="Normal 9 3 2 2 3 2 2" xfId="7452" xr:uid="{00000000-0005-0000-0000-0000C21F0000}"/>
    <cellStyle name="Normal 9 3 2 2 3 2 2 2" xfId="15891" xr:uid="{DA83DAAD-C823-4805-AC13-22777869131B}"/>
    <cellStyle name="Normal 9 3 2 2 3 2 3" xfId="11673" xr:uid="{099B1707-306D-4220-A69F-E3418735AE16}"/>
    <cellStyle name="Normal 9 3 2 2 3 3" xfId="5307" xr:uid="{00000000-0005-0000-0000-0000C31F0000}"/>
    <cellStyle name="Normal 9 3 2 2 3 3 2" xfId="13746" xr:uid="{05185158-3BA2-4F4D-9FCE-CC47AE18B2E6}"/>
    <cellStyle name="Normal 9 3 2 2 3 4" xfId="9528" xr:uid="{EAF976CB-903B-41AA-A094-36733803CF3C}"/>
    <cellStyle name="Normal 9 3 2 2 4" xfId="1412" xr:uid="{00000000-0005-0000-0000-0000C41F0000}"/>
    <cellStyle name="Normal 9 3 2 2 4 2" xfId="3642" xr:uid="{00000000-0005-0000-0000-0000C51F0000}"/>
    <cellStyle name="Normal 9 3 2 2 4 2 2" xfId="7865" xr:uid="{00000000-0005-0000-0000-0000C61F0000}"/>
    <cellStyle name="Normal 9 3 2 2 4 2 2 2" xfId="16304" xr:uid="{390CBD25-45CA-4517-944D-2967F6234FAB}"/>
    <cellStyle name="Normal 9 3 2 2 4 2 3" xfId="12086" xr:uid="{F39CDBF6-6279-43A7-B003-0C56E134310C}"/>
    <cellStyle name="Normal 9 3 2 2 4 3" xfId="5720" xr:uid="{00000000-0005-0000-0000-0000C71F0000}"/>
    <cellStyle name="Normal 9 3 2 2 4 3 2" xfId="14159" xr:uid="{FFD61320-834C-4236-A0B9-647849EE8EF7}"/>
    <cellStyle name="Normal 9 3 2 2 4 4" xfId="9941" xr:uid="{57AC2785-799A-463F-BE3C-6FFFB337A961}"/>
    <cellStyle name="Normal 9 3 2 2 5" xfId="1825" xr:uid="{00000000-0005-0000-0000-0000C81F0000}"/>
    <cellStyle name="Normal 9 3 2 2 5 2" xfId="4055" xr:uid="{00000000-0005-0000-0000-0000C91F0000}"/>
    <cellStyle name="Normal 9 3 2 2 5 2 2" xfId="8278" xr:uid="{00000000-0005-0000-0000-0000CA1F0000}"/>
    <cellStyle name="Normal 9 3 2 2 5 2 2 2" xfId="16717" xr:uid="{1DC61789-A74D-4FAF-92E8-E771B7E547AB}"/>
    <cellStyle name="Normal 9 3 2 2 5 2 3" xfId="12499" xr:uid="{535CABF0-71F9-4BBC-865B-F35E2B6BE475}"/>
    <cellStyle name="Normal 9 3 2 2 5 3" xfId="6133" xr:uid="{00000000-0005-0000-0000-0000CB1F0000}"/>
    <cellStyle name="Normal 9 3 2 2 5 3 2" xfId="14572" xr:uid="{DC9F4915-6A77-439C-A081-26AD666F5A77}"/>
    <cellStyle name="Normal 9 3 2 2 5 4" xfId="10354" xr:uid="{83D1C28D-B663-4AC0-A05D-DC3DE936A470}"/>
    <cellStyle name="Normal 9 3 2 2 6" xfId="2239" xr:uid="{00000000-0005-0000-0000-0000CC1F0000}"/>
    <cellStyle name="Normal 9 3 2 2 6 2" xfId="4468" xr:uid="{00000000-0005-0000-0000-0000CD1F0000}"/>
    <cellStyle name="Normal 9 3 2 2 6 2 2" xfId="8691" xr:uid="{00000000-0005-0000-0000-0000CE1F0000}"/>
    <cellStyle name="Normal 9 3 2 2 6 2 2 2" xfId="17130" xr:uid="{664DB646-8734-42C8-83FF-FCEA274E8DF9}"/>
    <cellStyle name="Normal 9 3 2 2 6 2 3" xfId="12912" xr:uid="{1226D26D-C0F8-4F3D-8F2D-91CB025A1A93}"/>
    <cellStyle name="Normal 9 3 2 2 6 3" xfId="6546" xr:uid="{00000000-0005-0000-0000-0000CF1F0000}"/>
    <cellStyle name="Normal 9 3 2 2 6 3 2" xfId="14985" xr:uid="{EA74B41E-8F50-45BD-B1B0-5CD762B77CC5}"/>
    <cellStyle name="Normal 9 3 2 2 6 4" xfId="10767" xr:uid="{50AE403C-2C3E-4FD2-815D-69E9CBCD97A1}"/>
    <cellStyle name="Normal 9 3 2 2 7" xfId="2675" xr:uid="{00000000-0005-0000-0000-0000D01F0000}"/>
    <cellStyle name="Normal 9 3 2 2 7 2" xfId="6959" xr:uid="{00000000-0005-0000-0000-0000D11F0000}"/>
    <cellStyle name="Normal 9 3 2 2 7 2 2" xfId="15398" xr:uid="{E6920E82-4FDC-45D4-81C2-2DD731D65ABE}"/>
    <cellStyle name="Normal 9 3 2 2 7 3" xfId="11180" xr:uid="{A9763848-6137-4D62-B01F-11F72FF16CBD}"/>
    <cellStyle name="Normal 9 3 2 2 8" xfId="4894" xr:uid="{00000000-0005-0000-0000-0000D21F0000}"/>
    <cellStyle name="Normal 9 3 2 2 8 2" xfId="13333" xr:uid="{954570F5-C1ED-44B5-9494-2C25FBB5DC1C}"/>
    <cellStyle name="Normal 9 3 2 2 9" xfId="9115" xr:uid="{9E518AA7-D8EA-4254-8D8A-9317D80F8231}"/>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2 2 2" xfId="15893" xr:uid="{4EFEC05E-9CA3-4241-9EA9-B1277C7CF7F2}"/>
    <cellStyle name="Normal 9 3 2 3 2 2 3" xfId="11675" xr:uid="{F8F8A29C-747C-40ED-BEE6-6FE00DFC4067}"/>
    <cellStyle name="Normal 9 3 2 3 2 3" xfId="5309" xr:uid="{00000000-0005-0000-0000-0000D71F0000}"/>
    <cellStyle name="Normal 9 3 2 3 2 3 2" xfId="13748" xr:uid="{73A100DB-CEBC-4D6C-A4A0-6C64A37939F7}"/>
    <cellStyle name="Normal 9 3 2 3 2 4" xfId="9530" xr:uid="{336223A1-1BC6-405E-8801-805A76492000}"/>
    <cellStyle name="Normal 9 3 2 3 3" xfId="1414" xr:uid="{00000000-0005-0000-0000-0000D81F0000}"/>
    <cellStyle name="Normal 9 3 2 3 3 2" xfId="3644" xr:uid="{00000000-0005-0000-0000-0000D91F0000}"/>
    <cellStyle name="Normal 9 3 2 3 3 2 2" xfId="7867" xr:uid="{00000000-0005-0000-0000-0000DA1F0000}"/>
    <cellStyle name="Normal 9 3 2 3 3 2 2 2" xfId="16306" xr:uid="{122E79D1-36D1-40E3-BA03-BA9778C227F0}"/>
    <cellStyle name="Normal 9 3 2 3 3 2 3" xfId="12088" xr:uid="{FAC7088D-E3DD-4C12-A148-F06EE5313711}"/>
    <cellStyle name="Normal 9 3 2 3 3 3" xfId="5722" xr:uid="{00000000-0005-0000-0000-0000DB1F0000}"/>
    <cellStyle name="Normal 9 3 2 3 3 3 2" xfId="14161" xr:uid="{050B2F9C-20D2-4F0A-BF93-B2FBD170B71A}"/>
    <cellStyle name="Normal 9 3 2 3 3 4" xfId="9943" xr:uid="{90938B32-A9B8-49B0-983B-C48341389D96}"/>
    <cellStyle name="Normal 9 3 2 3 4" xfId="1827" xr:uid="{00000000-0005-0000-0000-0000DC1F0000}"/>
    <cellStyle name="Normal 9 3 2 3 4 2" xfId="4057" xr:uid="{00000000-0005-0000-0000-0000DD1F0000}"/>
    <cellStyle name="Normal 9 3 2 3 4 2 2" xfId="8280" xr:uid="{00000000-0005-0000-0000-0000DE1F0000}"/>
    <cellStyle name="Normal 9 3 2 3 4 2 2 2" xfId="16719" xr:uid="{76B4D908-2401-441E-AD07-A27264C15D1B}"/>
    <cellStyle name="Normal 9 3 2 3 4 2 3" xfId="12501" xr:uid="{82F00183-256B-4A3E-91D8-ACCDF2081C2E}"/>
    <cellStyle name="Normal 9 3 2 3 4 3" xfId="6135" xr:uid="{00000000-0005-0000-0000-0000DF1F0000}"/>
    <cellStyle name="Normal 9 3 2 3 4 3 2" xfId="14574" xr:uid="{922CAF0C-1D08-4853-B71E-0653DD82F200}"/>
    <cellStyle name="Normal 9 3 2 3 4 4" xfId="10356" xr:uid="{A7D067AF-42C9-45A6-947D-B5CED9A8A14E}"/>
    <cellStyle name="Normal 9 3 2 3 5" xfId="2241" xr:uid="{00000000-0005-0000-0000-0000E01F0000}"/>
    <cellStyle name="Normal 9 3 2 3 5 2" xfId="4470" xr:uid="{00000000-0005-0000-0000-0000E11F0000}"/>
    <cellStyle name="Normal 9 3 2 3 5 2 2" xfId="8693" xr:uid="{00000000-0005-0000-0000-0000E21F0000}"/>
    <cellStyle name="Normal 9 3 2 3 5 2 2 2" xfId="17132" xr:uid="{38F2B31B-AE5C-43BD-9FBD-D0E3BA86F1AC}"/>
    <cellStyle name="Normal 9 3 2 3 5 2 3" xfId="12914" xr:uid="{1B79D252-B64E-45C4-9935-E7577AA45B78}"/>
    <cellStyle name="Normal 9 3 2 3 5 3" xfId="6548" xr:uid="{00000000-0005-0000-0000-0000E31F0000}"/>
    <cellStyle name="Normal 9 3 2 3 5 3 2" xfId="14987" xr:uid="{E5BFCD6F-8712-41D0-952A-41EF547D3EC1}"/>
    <cellStyle name="Normal 9 3 2 3 5 4" xfId="10769" xr:uid="{8D34B4CC-7033-45E9-B6A8-1783F64F0734}"/>
    <cellStyle name="Normal 9 3 2 3 6" xfId="2677" xr:uid="{00000000-0005-0000-0000-0000E41F0000}"/>
    <cellStyle name="Normal 9 3 2 3 6 2" xfId="6961" xr:uid="{00000000-0005-0000-0000-0000E51F0000}"/>
    <cellStyle name="Normal 9 3 2 3 6 2 2" xfId="15400" xr:uid="{4CEC34EE-880F-4BF8-96DD-9E20E72EF02C}"/>
    <cellStyle name="Normal 9 3 2 3 6 3" xfId="11182" xr:uid="{23B75995-54BA-4296-885F-126EFD799B6E}"/>
    <cellStyle name="Normal 9 3 2 3 7" xfId="4896" xr:uid="{00000000-0005-0000-0000-0000E61F0000}"/>
    <cellStyle name="Normal 9 3 2 3 7 2" xfId="13335" xr:uid="{DADFC16E-AC57-4F9B-82CD-6988A64174A4}"/>
    <cellStyle name="Normal 9 3 2 3 8" xfId="9117" xr:uid="{4A4D52ED-83FC-4DED-AF75-EB9D85407FB0}"/>
    <cellStyle name="Normal 9 3 2 4" xfId="995" xr:uid="{00000000-0005-0000-0000-0000E71F0000}"/>
    <cellStyle name="Normal 9 3 2 4 2" xfId="3228" xr:uid="{00000000-0005-0000-0000-0000E81F0000}"/>
    <cellStyle name="Normal 9 3 2 4 2 2" xfId="7451" xr:uid="{00000000-0005-0000-0000-0000E91F0000}"/>
    <cellStyle name="Normal 9 3 2 4 2 2 2" xfId="15890" xr:uid="{59648FEB-CFEE-4DDD-992B-AFDBB0C89031}"/>
    <cellStyle name="Normal 9 3 2 4 2 3" xfId="11672" xr:uid="{F0ADF199-BDF2-4556-B2CF-36EB9AC99CE4}"/>
    <cellStyle name="Normal 9 3 2 4 3" xfId="5306" xr:uid="{00000000-0005-0000-0000-0000EA1F0000}"/>
    <cellStyle name="Normal 9 3 2 4 3 2" xfId="13745" xr:uid="{102C1F1F-02CF-471F-84F2-4E908F3F7A0D}"/>
    <cellStyle name="Normal 9 3 2 4 4" xfId="9527" xr:uid="{0D365FEA-A4FE-4F18-9E66-149EFBCC41E3}"/>
    <cellStyle name="Normal 9 3 2 5" xfId="1411" xr:uid="{00000000-0005-0000-0000-0000EB1F0000}"/>
    <cellStyle name="Normal 9 3 2 5 2" xfId="3641" xr:uid="{00000000-0005-0000-0000-0000EC1F0000}"/>
    <cellStyle name="Normal 9 3 2 5 2 2" xfId="7864" xr:uid="{00000000-0005-0000-0000-0000ED1F0000}"/>
    <cellStyle name="Normal 9 3 2 5 2 2 2" xfId="16303" xr:uid="{97C5488D-9AE0-4A5B-9A3A-85C0BE1CEA71}"/>
    <cellStyle name="Normal 9 3 2 5 2 3" xfId="12085" xr:uid="{C1F007EC-514A-4EB1-9110-2595FC5AF8D2}"/>
    <cellStyle name="Normal 9 3 2 5 3" xfId="5719" xr:uid="{00000000-0005-0000-0000-0000EE1F0000}"/>
    <cellStyle name="Normal 9 3 2 5 3 2" xfId="14158" xr:uid="{25F40467-61A1-4497-8476-2CDFF37890B1}"/>
    <cellStyle name="Normal 9 3 2 5 4" xfId="9940" xr:uid="{4757630C-842F-4749-915B-B16F5707290A}"/>
    <cellStyle name="Normal 9 3 2 6" xfId="1824" xr:uid="{00000000-0005-0000-0000-0000EF1F0000}"/>
    <cellStyle name="Normal 9 3 2 6 2" xfId="4054" xr:uid="{00000000-0005-0000-0000-0000F01F0000}"/>
    <cellStyle name="Normal 9 3 2 6 2 2" xfId="8277" xr:uid="{00000000-0005-0000-0000-0000F11F0000}"/>
    <cellStyle name="Normal 9 3 2 6 2 2 2" xfId="16716" xr:uid="{22183AEF-48B7-42AF-A93C-52FD335A4511}"/>
    <cellStyle name="Normal 9 3 2 6 2 3" xfId="12498" xr:uid="{3024F914-130E-4658-B815-0B66FFCC0079}"/>
    <cellStyle name="Normal 9 3 2 6 3" xfId="6132" xr:uid="{00000000-0005-0000-0000-0000F21F0000}"/>
    <cellStyle name="Normal 9 3 2 6 3 2" xfId="14571" xr:uid="{F52F45ED-A30B-469B-AAA8-7973F13A5E3A}"/>
    <cellStyle name="Normal 9 3 2 6 4" xfId="10353" xr:uid="{C8ABD86F-EDEE-4408-A6F4-5E9F6AE008CB}"/>
    <cellStyle name="Normal 9 3 2 7" xfId="2238" xr:uid="{00000000-0005-0000-0000-0000F31F0000}"/>
    <cellStyle name="Normal 9 3 2 7 2" xfId="4467" xr:uid="{00000000-0005-0000-0000-0000F41F0000}"/>
    <cellStyle name="Normal 9 3 2 7 2 2" xfId="8690" xr:uid="{00000000-0005-0000-0000-0000F51F0000}"/>
    <cellStyle name="Normal 9 3 2 7 2 2 2" xfId="17129" xr:uid="{38A8D22C-F940-47AC-83CC-70DBB986DA17}"/>
    <cellStyle name="Normal 9 3 2 7 2 3" xfId="12911" xr:uid="{DA2172EE-3B88-45B2-B7CB-75C713AD9C26}"/>
    <cellStyle name="Normal 9 3 2 7 3" xfId="6545" xr:uid="{00000000-0005-0000-0000-0000F61F0000}"/>
    <cellStyle name="Normal 9 3 2 7 3 2" xfId="14984" xr:uid="{5DEDAEFE-7811-490C-867B-33A56307D1D6}"/>
    <cellStyle name="Normal 9 3 2 7 4" xfId="10766" xr:uid="{8CE81501-E0AB-47F1-BA8D-5A4DC08F3154}"/>
    <cellStyle name="Normal 9 3 2 8" xfId="2674" xr:uid="{00000000-0005-0000-0000-0000F71F0000}"/>
    <cellStyle name="Normal 9 3 2 8 2" xfId="6958" xr:uid="{00000000-0005-0000-0000-0000F81F0000}"/>
    <cellStyle name="Normal 9 3 2 8 2 2" xfId="15397" xr:uid="{9330DD67-9101-4648-9072-DDA67FD2026C}"/>
    <cellStyle name="Normal 9 3 2 8 3" xfId="11179" xr:uid="{D3592149-6A67-4AB1-9805-BB869B244D2F}"/>
    <cellStyle name="Normal 9 3 2 9" xfId="4893" xr:uid="{00000000-0005-0000-0000-0000F91F0000}"/>
    <cellStyle name="Normal 9 3 2 9 2" xfId="13332" xr:uid="{B74F8CFC-287D-4543-BCE8-0BEE0B01C74A}"/>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2 2 2" xfId="15895" xr:uid="{38343D64-13E6-416F-A087-B90995F39A92}"/>
    <cellStyle name="Normal 9 3 3 2 2 2 3" xfId="11677" xr:uid="{193AA6A8-414F-45FE-8585-4A610E56F708}"/>
    <cellStyle name="Normal 9 3 3 2 2 3" xfId="5311" xr:uid="{00000000-0005-0000-0000-0000FF1F0000}"/>
    <cellStyle name="Normal 9 3 3 2 2 3 2" xfId="13750" xr:uid="{056AD438-E220-4FA4-9A86-BD27E142C424}"/>
    <cellStyle name="Normal 9 3 3 2 2 4" xfId="9532" xr:uid="{4A86F56A-485B-42FD-8111-CFE2CCAAE45C}"/>
    <cellStyle name="Normal 9 3 3 2 3" xfId="1416" xr:uid="{00000000-0005-0000-0000-000000200000}"/>
    <cellStyle name="Normal 9 3 3 2 3 2" xfId="3646" xr:uid="{00000000-0005-0000-0000-000001200000}"/>
    <cellStyle name="Normal 9 3 3 2 3 2 2" xfId="7869" xr:uid="{00000000-0005-0000-0000-000002200000}"/>
    <cellStyle name="Normal 9 3 3 2 3 2 2 2" xfId="16308" xr:uid="{3875DFF4-CF0B-4D38-8913-E91FD4CE8907}"/>
    <cellStyle name="Normal 9 3 3 2 3 2 3" xfId="12090" xr:uid="{FA5C448A-DCA0-4190-93E4-EF8429DD54B6}"/>
    <cellStyle name="Normal 9 3 3 2 3 3" xfId="5724" xr:uid="{00000000-0005-0000-0000-000003200000}"/>
    <cellStyle name="Normal 9 3 3 2 3 3 2" xfId="14163" xr:uid="{908CF84D-2F2B-4589-97BB-35DBB57DFE1C}"/>
    <cellStyle name="Normal 9 3 3 2 3 4" xfId="9945" xr:uid="{7A382FF7-EB64-4B98-92A6-C5687831DA23}"/>
    <cellStyle name="Normal 9 3 3 2 4" xfId="1829" xr:uid="{00000000-0005-0000-0000-000004200000}"/>
    <cellStyle name="Normal 9 3 3 2 4 2" xfId="4059" xr:uid="{00000000-0005-0000-0000-000005200000}"/>
    <cellStyle name="Normal 9 3 3 2 4 2 2" xfId="8282" xr:uid="{00000000-0005-0000-0000-000006200000}"/>
    <cellStyle name="Normal 9 3 3 2 4 2 2 2" xfId="16721" xr:uid="{53FBADDB-CB81-49DA-AEEA-38DBB2213FF3}"/>
    <cellStyle name="Normal 9 3 3 2 4 2 3" xfId="12503" xr:uid="{B42184A8-465C-4C72-9F3E-A73553878AFB}"/>
    <cellStyle name="Normal 9 3 3 2 4 3" xfId="6137" xr:uid="{00000000-0005-0000-0000-000007200000}"/>
    <cellStyle name="Normal 9 3 3 2 4 3 2" xfId="14576" xr:uid="{D1FA2D6D-785D-4646-A262-C8F5C06152B5}"/>
    <cellStyle name="Normal 9 3 3 2 4 4" xfId="10358" xr:uid="{86D23BE3-00F9-4376-9B0F-9313F56DAD9E}"/>
    <cellStyle name="Normal 9 3 3 2 5" xfId="2243" xr:uid="{00000000-0005-0000-0000-000008200000}"/>
    <cellStyle name="Normal 9 3 3 2 5 2" xfId="4472" xr:uid="{00000000-0005-0000-0000-000009200000}"/>
    <cellStyle name="Normal 9 3 3 2 5 2 2" xfId="8695" xr:uid="{00000000-0005-0000-0000-00000A200000}"/>
    <cellStyle name="Normal 9 3 3 2 5 2 2 2" xfId="17134" xr:uid="{8D6E2CCB-5981-48BF-87F8-619F1D090549}"/>
    <cellStyle name="Normal 9 3 3 2 5 2 3" xfId="12916" xr:uid="{67CE3BB5-11B2-431A-9D2C-00DCE0ADFF0C}"/>
    <cellStyle name="Normal 9 3 3 2 5 3" xfId="6550" xr:uid="{00000000-0005-0000-0000-00000B200000}"/>
    <cellStyle name="Normal 9 3 3 2 5 3 2" xfId="14989" xr:uid="{6D17AF8E-EA32-4F17-AC59-7459C0E5B94C}"/>
    <cellStyle name="Normal 9 3 3 2 5 4" xfId="10771" xr:uid="{5498D9F1-586E-41CB-9BA2-516D4011A4F8}"/>
    <cellStyle name="Normal 9 3 3 2 6" xfId="2679" xr:uid="{00000000-0005-0000-0000-00000C200000}"/>
    <cellStyle name="Normal 9 3 3 2 6 2" xfId="6963" xr:uid="{00000000-0005-0000-0000-00000D200000}"/>
    <cellStyle name="Normal 9 3 3 2 6 2 2" xfId="15402" xr:uid="{93261530-1D40-405C-8371-68672AADEEAF}"/>
    <cellStyle name="Normal 9 3 3 2 6 3" xfId="11184" xr:uid="{CEECC23E-90DB-4573-95A3-73257834D88A}"/>
    <cellStyle name="Normal 9 3 3 2 7" xfId="4898" xr:uid="{00000000-0005-0000-0000-00000E200000}"/>
    <cellStyle name="Normal 9 3 3 2 7 2" xfId="13337" xr:uid="{D9B0B125-FB46-4544-BABA-FDE4C16F934E}"/>
    <cellStyle name="Normal 9 3 3 2 8" xfId="9119" xr:uid="{22622E01-5E36-4E2D-8C06-C5DB63340801}"/>
    <cellStyle name="Normal 9 3 3 3" xfId="999" xr:uid="{00000000-0005-0000-0000-00000F200000}"/>
    <cellStyle name="Normal 9 3 3 3 2" xfId="3232" xr:uid="{00000000-0005-0000-0000-000010200000}"/>
    <cellStyle name="Normal 9 3 3 3 2 2" xfId="7455" xr:uid="{00000000-0005-0000-0000-000011200000}"/>
    <cellStyle name="Normal 9 3 3 3 2 2 2" xfId="15894" xr:uid="{931E8E1F-2E54-41BD-A9D8-D0FD4CB54D98}"/>
    <cellStyle name="Normal 9 3 3 3 2 3" xfId="11676" xr:uid="{9C17610B-55AD-4761-B889-3E34938C5BF6}"/>
    <cellStyle name="Normal 9 3 3 3 3" xfId="5310" xr:uid="{00000000-0005-0000-0000-000012200000}"/>
    <cellStyle name="Normal 9 3 3 3 3 2" xfId="13749" xr:uid="{B68F18FF-A55E-44AB-9B31-51EF3EC802F7}"/>
    <cellStyle name="Normal 9 3 3 3 4" xfId="9531" xr:uid="{07518077-B3F7-40B8-9110-10DCF7C549AA}"/>
    <cellStyle name="Normal 9 3 3 4" xfId="1415" xr:uid="{00000000-0005-0000-0000-000013200000}"/>
    <cellStyle name="Normal 9 3 3 4 2" xfId="3645" xr:uid="{00000000-0005-0000-0000-000014200000}"/>
    <cellStyle name="Normal 9 3 3 4 2 2" xfId="7868" xr:uid="{00000000-0005-0000-0000-000015200000}"/>
    <cellStyle name="Normal 9 3 3 4 2 2 2" xfId="16307" xr:uid="{6062C759-2F75-4546-98A2-48D926E462A0}"/>
    <cellStyle name="Normal 9 3 3 4 2 3" xfId="12089" xr:uid="{FB16A3FE-2D16-46E0-850D-9904582D7450}"/>
    <cellStyle name="Normal 9 3 3 4 3" xfId="5723" xr:uid="{00000000-0005-0000-0000-000016200000}"/>
    <cellStyle name="Normal 9 3 3 4 3 2" xfId="14162" xr:uid="{352EA80B-C392-4693-B49F-7FD7E8B255A8}"/>
    <cellStyle name="Normal 9 3 3 4 4" xfId="9944" xr:uid="{1EDCCC4F-E612-42CB-AD34-75A7AD0FA941}"/>
    <cellStyle name="Normal 9 3 3 5" xfId="1828" xr:uid="{00000000-0005-0000-0000-000017200000}"/>
    <cellStyle name="Normal 9 3 3 5 2" xfId="4058" xr:uid="{00000000-0005-0000-0000-000018200000}"/>
    <cellStyle name="Normal 9 3 3 5 2 2" xfId="8281" xr:uid="{00000000-0005-0000-0000-000019200000}"/>
    <cellStyle name="Normal 9 3 3 5 2 2 2" xfId="16720" xr:uid="{47E3E927-4FAA-471E-8595-57D25B7A1002}"/>
    <cellStyle name="Normal 9 3 3 5 2 3" xfId="12502" xr:uid="{4DEAF21A-956B-4E93-B814-752241788915}"/>
    <cellStyle name="Normal 9 3 3 5 3" xfId="6136" xr:uid="{00000000-0005-0000-0000-00001A200000}"/>
    <cellStyle name="Normal 9 3 3 5 3 2" xfId="14575" xr:uid="{AA34B161-3BAD-444E-8367-2C93E6DF5615}"/>
    <cellStyle name="Normal 9 3 3 5 4" xfId="10357" xr:uid="{75EFBCE2-AE11-4FB5-A791-9814880E46CD}"/>
    <cellStyle name="Normal 9 3 3 6" xfId="2242" xr:uid="{00000000-0005-0000-0000-00001B200000}"/>
    <cellStyle name="Normal 9 3 3 6 2" xfId="4471" xr:uid="{00000000-0005-0000-0000-00001C200000}"/>
    <cellStyle name="Normal 9 3 3 6 2 2" xfId="8694" xr:uid="{00000000-0005-0000-0000-00001D200000}"/>
    <cellStyle name="Normal 9 3 3 6 2 2 2" xfId="17133" xr:uid="{886553E1-7BB9-4DE8-815F-7AF77093EC36}"/>
    <cellStyle name="Normal 9 3 3 6 2 3" xfId="12915" xr:uid="{DA364494-9A7F-4264-8EDC-41691D486C58}"/>
    <cellStyle name="Normal 9 3 3 6 3" xfId="6549" xr:uid="{00000000-0005-0000-0000-00001E200000}"/>
    <cellStyle name="Normal 9 3 3 6 3 2" xfId="14988" xr:uid="{2A3DC53E-E56E-481C-8C86-7A00F3CDE174}"/>
    <cellStyle name="Normal 9 3 3 6 4" xfId="10770" xr:uid="{B7056C41-A1B8-4FA1-AED8-793FE2675F3C}"/>
    <cellStyle name="Normal 9 3 3 7" xfId="2678" xr:uid="{00000000-0005-0000-0000-00001F200000}"/>
    <cellStyle name="Normal 9 3 3 7 2" xfId="6962" xr:uid="{00000000-0005-0000-0000-000020200000}"/>
    <cellStyle name="Normal 9 3 3 7 2 2" xfId="15401" xr:uid="{8F7FC248-6834-40CE-89CD-639277CF836E}"/>
    <cellStyle name="Normal 9 3 3 7 3" xfId="11183" xr:uid="{BF28229D-E0CC-4D64-B4FC-53FC3DF5F1A2}"/>
    <cellStyle name="Normal 9 3 3 8" xfId="4897" xr:uid="{00000000-0005-0000-0000-000021200000}"/>
    <cellStyle name="Normal 9 3 3 8 2" xfId="13336" xr:uid="{9795D3A3-F2E3-43B9-BC80-259D7D47B9E1}"/>
    <cellStyle name="Normal 9 3 3 9" xfId="9118" xr:uid="{1E5D9469-49B4-4EBF-91BF-ABDC396DB5D3}"/>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2 2 2" xfId="15896" xr:uid="{B581E574-09B0-4682-B37F-BE94C1D6C990}"/>
    <cellStyle name="Normal 9 3 4 2 2 3" xfId="11678" xr:uid="{10537FDA-EBD5-408B-BF21-4829B1B9377B}"/>
    <cellStyle name="Normal 9 3 4 2 3" xfId="5312" xr:uid="{00000000-0005-0000-0000-000026200000}"/>
    <cellStyle name="Normal 9 3 4 2 3 2" xfId="13751" xr:uid="{5F8BA145-BC62-4205-9562-7C6AABEE20AB}"/>
    <cellStyle name="Normal 9 3 4 2 4" xfId="9533" xr:uid="{74309F5D-A54A-435C-99ED-DE0D0B2BDD3E}"/>
    <cellStyle name="Normal 9 3 4 3" xfId="1417" xr:uid="{00000000-0005-0000-0000-000027200000}"/>
    <cellStyle name="Normal 9 3 4 3 2" xfId="3647" xr:uid="{00000000-0005-0000-0000-000028200000}"/>
    <cellStyle name="Normal 9 3 4 3 2 2" xfId="7870" xr:uid="{00000000-0005-0000-0000-000029200000}"/>
    <cellStyle name="Normal 9 3 4 3 2 2 2" xfId="16309" xr:uid="{CC6AD0CC-DB3F-4AA8-BE84-3E2D077C0F8F}"/>
    <cellStyle name="Normal 9 3 4 3 2 3" xfId="12091" xr:uid="{67AB78B8-597F-456D-81E6-D6B0FA73C844}"/>
    <cellStyle name="Normal 9 3 4 3 3" xfId="5725" xr:uid="{00000000-0005-0000-0000-00002A200000}"/>
    <cellStyle name="Normal 9 3 4 3 3 2" xfId="14164" xr:uid="{CC54A997-4DF9-4760-9EE9-190E080A01E9}"/>
    <cellStyle name="Normal 9 3 4 3 4" xfId="9946" xr:uid="{28C85926-B71B-4814-A7FA-F3D8361F004B}"/>
    <cellStyle name="Normal 9 3 4 4" xfId="1830" xr:uid="{00000000-0005-0000-0000-00002B200000}"/>
    <cellStyle name="Normal 9 3 4 4 2" xfId="4060" xr:uid="{00000000-0005-0000-0000-00002C200000}"/>
    <cellStyle name="Normal 9 3 4 4 2 2" xfId="8283" xr:uid="{00000000-0005-0000-0000-00002D200000}"/>
    <cellStyle name="Normal 9 3 4 4 2 2 2" xfId="16722" xr:uid="{4F8008A3-1CF5-4F8C-A579-00AD323C679B}"/>
    <cellStyle name="Normal 9 3 4 4 2 3" xfId="12504" xr:uid="{BD735221-4BFD-4941-9C17-CE108A8BBB7C}"/>
    <cellStyle name="Normal 9 3 4 4 3" xfId="6138" xr:uid="{00000000-0005-0000-0000-00002E200000}"/>
    <cellStyle name="Normal 9 3 4 4 3 2" xfId="14577" xr:uid="{22ECF157-62D9-4862-A410-CF324BF4E93E}"/>
    <cellStyle name="Normal 9 3 4 4 4" xfId="10359" xr:uid="{A5CBF766-2D84-4B1B-AB67-1B911E7BF038}"/>
    <cellStyle name="Normal 9 3 4 5" xfId="2244" xr:uid="{00000000-0005-0000-0000-00002F200000}"/>
    <cellStyle name="Normal 9 3 4 5 2" xfId="4473" xr:uid="{00000000-0005-0000-0000-000030200000}"/>
    <cellStyle name="Normal 9 3 4 5 2 2" xfId="8696" xr:uid="{00000000-0005-0000-0000-000031200000}"/>
    <cellStyle name="Normal 9 3 4 5 2 2 2" xfId="17135" xr:uid="{40C37195-5467-489C-9FEE-1D0F4EA72E11}"/>
    <cellStyle name="Normal 9 3 4 5 2 3" xfId="12917" xr:uid="{8ABC97F5-EE94-4110-9D4E-B651E21CBA27}"/>
    <cellStyle name="Normal 9 3 4 5 3" xfId="6551" xr:uid="{00000000-0005-0000-0000-000032200000}"/>
    <cellStyle name="Normal 9 3 4 5 3 2" xfId="14990" xr:uid="{93CCF37A-ECF8-4B41-AF5F-AD82D3F45C71}"/>
    <cellStyle name="Normal 9 3 4 5 4" xfId="10772" xr:uid="{A50730F5-D615-41A7-AE36-F5CAB4BCBD44}"/>
    <cellStyle name="Normal 9 3 4 6" xfId="2680" xr:uid="{00000000-0005-0000-0000-000033200000}"/>
    <cellStyle name="Normal 9 3 4 6 2" xfId="6964" xr:uid="{00000000-0005-0000-0000-000034200000}"/>
    <cellStyle name="Normal 9 3 4 6 2 2" xfId="15403" xr:uid="{2E7EFD84-DF36-4B0F-BCA7-0922DE79B3FD}"/>
    <cellStyle name="Normal 9 3 4 6 3" xfId="11185" xr:uid="{29675979-2BD7-4E4A-8143-F9C4C7E3F282}"/>
    <cellStyle name="Normal 9 3 4 7" xfId="4899" xr:uid="{00000000-0005-0000-0000-000035200000}"/>
    <cellStyle name="Normal 9 3 4 7 2" xfId="13338" xr:uid="{4BF004EC-5509-4692-A0B3-6D84960503F7}"/>
    <cellStyle name="Normal 9 3 4 8" xfId="9120" xr:uid="{F406CBCB-3016-496A-94A9-E4AB09A39AF3}"/>
    <cellStyle name="Normal 9 3 5" xfId="994" xr:uid="{00000000-0005-0000-0000-000036200000}"/>
    <cellStyle name="Normal 9 3 5 2" xfId="3227" xr:uid="{00000000-0005-0000-0000-000037200000}"/>
    <cellStyle name="Normal 9 3 5 2 2" xfId="7450" xr:uid="{00000000-0005-0000-0000-000038200000}"/>
    <cellStyle name="Normal 9 3 5 2 2 2" xfId="15889" xr:uid="{F5376A0B-AB4D-4368-AD63-77432B29C17D}"/>
    <cellStyle name="Normal 9 3 5 2 3" xfId="11671" xr:uid="{C4886AD6-2C3E-4378-A478-3E8245F0548A}"/>
    <cellStyle name="Normal 9 3 5 3" xfId="5305" xr:uid="{00000000-0005-0000-0000-000039200000}"/>
    <cellStyle name="Normal 9 3 5 3 2" xfId="13744" xr:uid="{A507F291-7188-4B5C-A794-795A0D66950D}"/>
    <cellStyle name="Normal 9 3 5 4" xfId="9526" xr:uid="{BB08AE0F-DED7-48FC-A6B9-46FE6D838C1F}"/>
    <cellStyle name="Normal 9 3 6" xfId="1410" xr:uid="{00000000-0005-0000-0000-00003A200000}"/>
    <cellStyle name="Normal 9 3 6 2" xfId="3640" xr:uid="{00000000-0005-0000-0000-00003B200000}"/>
    <cellStyle name="Normal 9 3 6 2 2" xfId="7863" xr:uid="{00000000-0005-0000-0000-00003C200000}"/>
    <cellStyle name="Normal 9 3 6 2 2 2" xfId="16302" xr:uid="{6A8E6092-FBE9-4047-BEDC-7DE1D4A80080}"/>
    <cellStyle name="Normal 9 3 6 2 3" xfId="12084" xr:uid="{5F5B03D2-26B2-411B-90BF-CE2FCFED3A64}"/>
    <cellStyle name="Normal 9 3 6 3" xfId="5718" xr:uid="{00000000-0005-0000-0000-00003D200000}"/>
    <cellStyle name="Normal 9 3 6 3 2" xfId="14157" xr:uid="{57A6B0E5-FF09-4ADC-9B20-EC8113833CF6}"/>
    <cellStyle name="Normal 9 3 6 4" xfId="9939" xr:uid="{18FAF95A-1442-4E8C-8C43-7BDE8462CAFF}"/>
    <cellStyle name="Normal 9 3 7" xfId="1823" xr:uid="{00000000-0005-0000-0000-00003E200000}"/>
    <cellStyle name="Normal 9 3 7 2" xfId="4053" xr:uid="{00000000-0005-0000-0000-00003F200000}"/>
    <cellStyle name="Normal 9 3 7 2 2" xfId="8276" xr:uid="{00000000-0005-0000-0000-000040200000}"/>
    <cellStyle name="Normal 9 3 7 2 2 2" xfId="16715" xr:uid="{1CC24FF8-473A-45E0-B301-9EC2F208615F}"/>
    <cellStyle name="Normal 9 3 7 2 3" xfId="12497" xr:uid="{DAF78FE9-F0B3-423C-B331-03440683A674}"/>
    <cellStyle name="Normal 9 3 7 3" xfId="6131" xr:uid="{00000000-0005-0000-0000-000041200000}"/>
    <cellStyle name="Normal 9 3 7 3 2" xfId="14570" xr:uid="{549AD552-1D58-4598-BE54-0A7E6C945150}"/>
    <cellStyle name="Normal 9 3 7 4" xfId="10352" xr:uid="{D6C13C43-C72F-44A8-BE77-26B2449C5D56}"/>
    <cellStyle name="Normal 9 3 8" xfId="2237" xr:uid="{00000000-0005-0000-0000-000042200000}"/>
    <cellStyle name="Normal 9 3 8 2" xfId="4466" xr:uid="{00000000-0005-0000-0000-000043200000}"/>
    <cellStyle name="Normal 9 3 8 2 2" xfId="8689" xr:uid="{00000000-0005-0000-0000-000044200000}"/>
    <cellStyle name="Normal 9 3 8 2 2 2" xfId="17128" xr:uid="{B2DB434A-606D-406E-AED5-2EE32E92E136}"/>
    <cellStyle name="Normal 9 3 8 2 3" xfId="12910" xr:uid="{5624BEDB-0B0C-47AA-9798-AE29592829DE}"/>
    <cellStyle name="Normal 9 3 8 3" xfId="6544" xr:uid="{00000000-0005-0000-0000-000045200000}"/>
    <cellStyle name="Normal 9 3 8 3 2" xfId="14983" xr:uid="{CE3AD2BC-4977-43E4-BD7E-2A95B265AB29}"/>
    <cellStyle name="Normal 9 3 8 4" xfId="10765" xr:uid="{485FE8C0-E2D7-4627-BFB7-ABFBAF752F0A}"/>
    <cellStyle name="Normal 9 3 9" xfId="2673" xr:uid="{00000000-0005-0000-0000-000046200000}"/>
    <cellStyle name="Normal 9 3 9 2" xfId="6957" xr:uid="{00000000-0005-0000-0000-000047200000}"/>
    <cellStyle name="Normal 9 3 9 2 2" xfId="15396" xr:uid="{97BF9A07-A499-4301-A853-C1536CB7B480}"/>
    <cellStyle name="Normal 9 3 9 3" xfId="11178" xr:uid="{E78D45A3-F671-4085-9988-D7500F2CDFDF}"/>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2 2 2" xfId="15898" xr:uid="{453E0AE2-0FB7-4262-9A3A-7002CA9CC450}"/>
    <cellStyle name="Normal 9 5 2 2 2 3" xfId="11680" xr:uid="{C66B49DE-F045-45FB-8FEE-B6B9A70C7D42}"/>
    <cellStyle name="Normal 9 5 2 2 3" xfId="5314" xr:uid="{00000000-0005-0000-0000-00004F200000}"/>
    <cellStyle name="Normal 9 5 2 2 3 2" xfId="13753" xr:uid="{F8E09A20-7511-4B1E-B1E2-B05981A1CB1F}"/>
    <cellStyle name="Normal 9 5 2 2 4" xfId="9535" xr:uid="{739ED5BF-A258-459B-8DAA-4915DD7B679F}"/>
    <cellStyle name="Normal 9 5 2 3" xfId="1419" xr:uid="{00000000-0005-0000-0000-000050200000}"/>
    <cellStyle name="Normal 9 5 2 3 2" xfId="3649" xr:uid="{00000000-0005-0000-0000-000051200000}"/>
    <cellStyle name="Normal 9 5 2 3 2 2" xfId="7872" xr:uid="{00000000-0005-0000-0000-000052200000}"/>
    <cellStyle name="Normal 9 5 2 3 2 2 2" xfId="16311" xr:uid="{B839307F-FDA2-4C52-AAF2-B66815359C31}"/>
    <cellStyle name="Normal 9 5 2 3 2 3" xfId="12093" xr:uid="{0EF2C22F-B22B-4CB9-833B-64722351F6E6}"/>
    <cellStyle name="Normal 9 5 2 3 3" xfId="5727" xr:uid="{00000000-0005-0000-0000-000053200000}"/>
    <cellStyle name="Normal 9 5 2 3 3 2" xfId="14166" xr:uid="{9197A32F-AE1E-4E04-AF42-1E997E89FB93}"/>
    <cellStyle name="Normal 9 5 2 3 4" xfId="9948" xr:uid="{235CCCEC-B426-4B3B-A1A5-82DBF42BD21B}"/>
    <cellStyle name="Normal 9 5 2 4" xfId="1832" xr:uid="{00000000-0005-0000-0000-000054200000}"/>
    <cellStyle name="Normal 9 5 2 4 2" xfId="4062" xr:uid="{00000000-0005-0000-0000-000055200000}"/>
    <cellStyle name="Normal 9 5 2 4 2 2" xfId="8285" xr:uid="{00000000-0005-0000-0000-000056200000}"/>
    <cellStyle name="Normal 9 5 2 4 2 2 2" xfId="16724" xr:uid="{315340B8-2F65-4992-87B9-9CCA5CC352DD}"/>
    <cellStyle name="Normal 9 5 2 4 2 3" xfId="12506" xr:uid="{F96807DC-B22D-4AD9-B54E-21DEA15DE819}"/>
    <cellStyle name="Normal 9 5 2 4 3" xfId="6140" xr:uid="{00000000-0005-0000-0000-000057200000}"/>
    <cellStyle name="Normal 9 5 2 4 3 2" xfId="14579" xr:uid="{0E9B6D4A-FA10-4DE6-BF4A-243DFB05303B}"/>
    <cellStyle name="Normal 9 5 2 4 4" xfId="10361" xr:uid="{951DD013-98DF-450F-8D3C-28D6799AD031}"/>
    <cellStyle name="Normal 9 5 2 5" xfId="2246" xr:uid="{00000000-0005-0000-0000-000058200000}"/>
    <cellStyle name="Normal 9 5 2 5 2" xfId="4475" xr:uid="{00000000-0005-0000-0000-000059200000}"/>
    <cellStyle name="Normal 9 5 2 5 2 2" xfId="8698" xr:uid="{00000000-0005-0000-0000-00005A200000}"/>
    <cellStyle name="Normal 9 5 2 5 2 2 2" xfId="17137" xr:uid="{E21B1B58-EF31-4903-A200-749DE3CAA0FB}"/>
    <cellStyle name="Normal 9 5 2 5 2 3" xfId="12919" xr:uid="{04E105E0-4635-4F23-8759-B4BE1669DB8C}"/>
    <cellStyle name="Normal 9 5 2 5 3" xfId="6553" xr:uid="{00000000-0005-0000-0000-00005B200000}"/>
    <cellStyle name="Normal 9 5 2 5 3 2" xfId="14992" xr:uid="{E6666269-92D1-4222-9468-30A055BDB2A2}"/>
    <cellStyle name="Normal 9 5 2 5 4" xfId="10774" xr:uid="{7B51BF90-A583-471E-98BA-733AD21EF726}"/>
    <cellStyle name="Normal 9 5 2 6" xfId="2682" xr:uid="{00000000-0005-0000-0000-00005C200000}"/>
    <cellStyle name="Normal 9 5 2 6 2" xfId="6966" xr:uid="{00000000-0005-0000-0000-00005D200000}"/>
    <cellStyle name="Normal 9 5 2 6 2 2" xfId="15405" xr:uid="{0B2101EF-C418-4BFC-BBD6-D866D86298EA}"/>
    <cellStyle name="Normal 9 5 2 6 3" xfId="11187" xr:uid="{42045CBC-DD85-4EF6-8C18-2558F11C0C39}"/>
    <cellStyle name="Normal 9 5 2 7" xfId="4901" xr:uid="{00000000-0005-0000-0000-00005E200000}"/>
    <cellStyle name="Normal 9 5 2 7 2" xfId="13340" xr:uid="{6116B54F-BD8E-48E6-8A94-63FBBE76C4D2}"/>
    <cellStyle name="Normal 9 5 2 8" xfId="9122" xr:uid="{276F8DC8-D4DA-4D13-ADFF-FD3A143AD057}"/>
    <cellStyle name="Normal 9 5 3" xfId="1003" xr:uid="{00000000-0005-0000-0000-00005F200000}"/>
    <cellStyle name="Normal 9 5 3 2" xfId="3235" xr:uid="{00000000-0005-0000-0000-000060200000}"/>
    <cellStyle name="Normal 9 5 3 2 2" xfId="7458" xr:uid="{00000000-0005-0000-0000-000061200000}"/>
    <cellStyle name="Normal 9 5 3 2 2 2" xfId="15897" xr:uid="{BC9F9CC5-99B4-49A1-BBF6-6F06B900AD68}"/>
    <cellStyle name="Normal 9 5 3 2 3" xfId="11679" xr:uid="{47BDFBDD-F465-4678-A93C-80CE530A9AEC}"/>
    <cellStyle name="Normal 9 5 3 3" xfId="5313" xr:uid="{00000000-0005-0000-0000-000062200000}"/>
    <cellStyle name="Normal 9 5 3 3 2" xfId="13752" xr:uid="{011F1495-0331-4B66-89B6-15E395C3FBFA}"/>
    <cellStyle name="Normal 9 5 3 4" xfId="9534" xr:uid="{F4703BC0-F096-4915-915B-F33767ECD3E8}"/>
    <cellStyle name="Normal 9 5 4" xfId="1418" xr:uid="{00000000-0005-0000-0000-000063200000}"/>
    <cellStyle name="Normal 9 5 4 2" xfId="3648" xr:uid="{00000000-0005-0000-0000-000064200000}"/>
    <cellStyle name="Normal 9 5 4 2 2" xfId="7871" xr:uid="{00000000-0005-0000-0000-000065200000}"/>
    <cellStyle name="Normal 9 5 4 2 2 2" xfId="16310" xr:uid="{5FF9ACF6-C379-4676-AD9A-A51B0A710958}"/>
    <cellStyle name="Normal 9 5 4 2 3" xfId="12092" xr:uid="{7C44FEF1-A05D-4C27-B01F-28C7955C417B}"/>
    <cellStyle name="Normal 9 5 4 3" xfId="5726" xr:uid="{00000000-0005-0000-0000-000066200000}"/>
    <cellStyle name="Normal 9 5 4 3 2" xfId="14165" xr:uid="{45EFD598-C723-4C7C-9BD6-1896C05007CD}"/>
    <cellStyle name="Normal 9 5 4 4" xfId="9947" xr:uid="{32DB2D39-BE83-4664-920A-3109264FBC0C}"/>
    <cellStyle name="Normal 9 5 5" xfId="1831" xr:uid="{00000000-0005-0000-0000-000067200000}"/>
    <cellStyle name="Normal 9 5 5 2" xfId="4061" xr:uid="{00000000-0005-0000-0000-000068200000}"/>
    <cellStyle name="Normal 9 5 5 2 2" xfId="8284" xr:uid="{00000000-0005-0000-0000-000069200000}"/>
    <cellStyle name="Normal 9 5 5 2 2 2" xfId="16723" xr:uid="{C849BF40-6AAA-4B45-AC67-C0641D041A65}"/>
    <cellStyle name="Normal 9 5 5 2 3" xfId="12505" xr:uid="{7E76BCB8-CDA5-4265-ADB6-B9D862B87F7A}"/>
    <cellStyle name="Normal 9 5 5 3" xfId="6139" xr:uid="{00000000-0005-0000-0000-00006A200000}"/>
    <cellStyle name="Normal 9 5 5 3 2" xfId="14578" xr:uid="{955994F0-EDB7-4CF7-83AF-581CE7954CDA}"/>
    <cellStyle name="Normal 9 5 5 4" xfId="10360" xr:uid="{6251CEAC-D5AB-4F69-99E4-BDDC8D2D082C}"/>
    <cellStyle name="Normal 9 5 6" xfId="2245" xr:uid="{00000000-0005-0000-0000-00006B200000}"/>
    <cellStyle name="Normal 9 5 6 2" xfId="4474" xr:uid="{00000000-0005-0000-0000-00006C200000}"/>
    <cellStyle name="Normal 9 5 6 2 2" xfId="8697" xr:uid="{00000000-0005-0000-0000-00006D200000}"/>
    <cellStyle name="Normal 9 5 6 2 2 2" xfId="17136" xr:uid="{E9F53BD9-82D3-4607-9F93-0568056926E9}"/>
    <cellStyle name="Normal 9 5 6 2 3" xfId="12918" xr:uid="{FEAEF6E6-4CD2-43FB-AA4D-ABFE8D5B0AE9}"/>
    <cellStyle name="Normal 9 5 6 3" xfId="6552" xr:uid="{00000000-0005-0000-0000-00006E200000}"/>
    <cellStyle name="Normal 9 5 6 3 2" xfId="14991" xr:uid="{B9D87FA9-9AD7-469A-AE35-70EAB83D8146}"/>
    <cellStyle name="Normal 9 5 6 4" xfId="10773" xr:uid="{48281390-240F-4B13-8784-27BC8FD523BA}"/>
    <cellStyle name="Normal 9 5 7" xfId="2681" xr:uid="{00000000-0005-0000-0000-00006F200000}"/>
    <cellStyle name="Normal 9 5 7 2" xfId="6965" xr:uid="{00000000-0005-0000-0000-000070200000}"/>
    <cellStyle name="Normal 9 5 7 2 2" xfId="15404" xr:uid="{1D3070AE-D32A-4FA3-AF57-9C55FD993F52}"/>
    <cellStyle name="Normal 9 5 7 3" xfId="11186" xr:uid="{18777826-4CF2-4FD3-ABBA-60B8AA8CF5F6}"/>
    <cellStyle name="Normal 9 5 8" xfId="4900" xr:uid="{00000000-0005-0000-0000-000071200000}"/>
    <cellStyle name="Normal 9 5 8 2" xfId="13339" xr:uid="{E8E6A66F-4A7B-41AF-8CCD-C145C0956EB7}"/>
    <cellStyle name="Normal 9 5 9" xfId="9121" xr:uid="{09FB980D-283C-4321-811E-4A655C2DDA14}"/>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2 2 2" xfId="15899" xr:uid="{F6E3BE11-088F-4AB6-8293-E52447F4D14E}"/>
    <cellStyle name="Normal 9 6 2 2 3" xfId="11681" xr:uid="{E1A3A647-EA93-4C87-A587-960B915B055F}"/>
    <cellStyle name="Normal 9 6 2 3" xfId="5315" xr:uid="{00000000-0005-0000-0000-000076200000}"/>
    <cellStyle name="Normal 9 6 2 3 2" xfId="13754" xr:uid="{873BE46E-D768-4EB0-90EB-65D1A7F596AC}"/>
    <cellStyle name="Normal 9 6 2 4" xfId="9536" xr:uid="{601F7F33-628B-42B1-8F36-8B5643419574}"/>
    <cellStyle name="Normal 9 6 3" xfId="1420" xr:uid="{00000000-0005-0000-0000-000077200000}"/>
    <cellStyle name="Normal 9 6 3 2" xfId="3650" xr:uid="{00000000-0005-0000-0000-000078200000}"/>
    <cellStyle name="Normal 9 6 3 2 2" xfId="7873" xr:uid="{00000000-0005-0000-0000-000079200000}"/>
    <cellStyle name="Normal 9 6 3 2 2 2" xfId="16312" xr:uid="{75F6E893-3483-45F5-A25D-50169CEF6F4F}"/>
    <cellStyle name="Normal 9 6 3 2 3" xfId="12094" xr:uid="{0D0075C9-21FE-4137-AABA-1AB555C0C27E}"/>
    <cellStyle name="Normal 9 6 3 3" xfId="5728" xr:uid="{00000000-0005-0000-0000-00007A200000}"/>
    <cellStyle name="Normal 9 6 3 3 2" xfId="14167" xr:uid="{D150B4B9-A118-475E-81E6-7C364E8F3A44}"/>
    <cellStyle name="Normal 9 6 3 4" xfId="9949" xr:uid="{0F5F0ADB-FF62-46CB-9A62-780C6D271423}"/>
    <cellStyle name="Normal 9 6 4" xfId="1833" xr:uid="{00000000-0005-0000-0000-00007B200000}"/>
    <cellStyle name="Normal 9 6 4 2" xfId="4063" xr:uid="{00000000-0005-0000-0000-00007C200000}"/>
    <cellStyle name="Normal 9 6 4 2 2" xfId="8286" xr:uid="{00000000-0005-0000-0000-00007D200000}"/>
    <cellStyle name="Normal 9 6 4 2 2 2" xfId="16725" xr:uid="{AF5375A0-D273-4267-A865-9BBC5FF12C60}"/>
    <cellStyle name="Normal 9 6 4 2 3" xfId="12507" xr:uid="{4E34C8C0-1357-4277-8440-C9A32C9A3E01}"/>
    <cellStyle name="Normal 9 6 4 3" xfId="6141" xr:uid="{00000000-0005-0000-0000-00007E200000}"/>
    <cellStyle name="Normal 9 6 4 3 2" xfId="14580" xr:uid="{32F39F96-F746-44AD-B8E0-CC43710CEFBE}"/>
    <cellStyle name="Normal 9 6 4 4" xfId="10362" xr:uid="{C710CE0D-266E-4C08-B33C-F570790EA11A}"/>
    <cellStyle name="Normal 9 6 5" xfId="2247" xr:uid="{00000000-0005-0000-0000-00007F200000}"/>
    <cellStyle name="Normal 9 6 5 2" xfId="4476" xr:uid="{00000000-0005-0000-0000-000080200000}"/>
    <cellStyle name="Normal 9 6 5 2 2" xfId="8699" xr:uid="{00000000-0005-0000-0000-000081200000}"/>
    <cellStyle name="Normal 9 6 5 2 2 2" xfId="17138" xr:uid="{47D10369-0484-4E5F-9C12-C59E1E472508}"/>
    <cellStyle name="Normal 9 6 5 2 3" xfId="12920" xr:uid="{8A3F1C71-9972-48C5-A46C-C3D646DE547C}"/>
    <cellStyle name="Normal 9 6 5 3" xfId="6554" xr:uid="{00000000-0005-0000-0000-000082200000}"/>
    <cellStyle name="Normal 9 6 5 3 2" xfId="14993" xr:uid="{BB437004-A6D6-48A9-8E6A-9C1B918A750D}"/>
    <cellStyle name="Normal 9 6 5 4" xfId="10775" xr:uid="{CF66F7D6-9D71-47FA-AEA0-1070A044B3D0}"/>
    <cellStyle name="Normal 9 6 6" xfId="2683" xr:uid="{00000000-0005-0000-0000-000083200000}"/>
    <cellStyle name="Normal 9 6 6 2" xfId="6967" xr:uid="{00000000-0005-0000-0000-000084200000}"/>
    <cellStyle name="Normal 9 6 6 2 2" xfId="15406" xr:uid="{D700C854-DE7F-4D64-8988-B02A13F9FB65}"/>
    <cellStyle name="Normal 9 6 6 3" xfId="11188" xr:uid="{6FA6CA79-D323-4ECE-89F4-C2CC728C7A7D}"/>
    <cellStyle name="Normal 9 6 7" xfId="4902" xr:uid="{00000000-0005-0000-0000-000085200000}"/>
    <cellStyle name="Normal 9 6 7 2" xfId="13341" xr:uid="{FA99D405-E15B-4AEA-975A-4FEC07D13A70}"/>
    <cellStyle name="Normal 9 6 8" xfId="9123" xr:uid="{7357C304-4D2B-4A17-8C1F-AF483A284AED}"/>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0 2 2" xfId="15487" xr:uid="{60054254-80FF-41FA-A2F6-91E4552492E8}"/>
    <cellStyle name="Note 2 2 10 3" xfId="11269" xr:uid="{A7ACBE79-807D-484F-AC49-0853DDB34D07}"/>
    <cellStyle name="Note 2 2 11" xfId="4903" xr:uid="{00000000-0005-0000-0000-000094200000}"/>
    <cellStyle name="Note 2 2 11 2" xfId="13342" xr:uid="{8713AD8E-9C1E-48E2-A481-60E30E85525B}"/>
    <cellStyle name="Note 2 2 12" xfId="9124" xr:uid="{C6BCD02E-FE08-4A71-B156-2E4AEA29C177}"/>
    <cellStyle name="Note 2 2 2" xfId="546" xr:uid="{00000000-0005-0000-0000-000095200000}"/>
    <cellStyle name="Note 2 2 2 10" xfId="4904" xr:uid="{00000000-0005-0000-0000-000096200000}"/>
    <cellStyle name="Note 2 2 2 10 2" xfId="13343" xr:uid="{A0AED9EB-D4AE-4088-BD75-B3BEFF6B57D5}"/>
    <cellStyle name="Note 2 2 2 11" xfId="9125" xr:uid="{9F0FD628-558F-4EBA-AE91-DE67059EE872}"/>
    <cellStyle name="Note 2 2 2 2" xfId="547" xr:uid="{00000000-0005-0000-0000-000097200000}"/>
    <cellStyle name="Note 2 2 2 2 10" xfId="9126" xr:uid="{8BC0574E-CBA6-495C-A5A2-D5373E092B52}"/>
    <cellStyle name="Note 2 2 2 2 2" xfId="1008" xr:uid="{00000000-0005-0000-0000-000098200000}"/>
    <cellStyle name="Note 2 2 2 2 2 2" xfId="3240" xr:uid="{00000000-0005-0000-0000-000099200000}"/>
    <cellStyle name="Note 2 2 2 2 2 2 2" xfId="7463" xr:uid="{00000000-0005-0000-0000-00009A200000}"/>
    <cellStyle name="Note 2 2 2 2 2 2 2 2" xfId="15902" xr:uid="{B60E813E-2180-40F2-AD87-EFD3476B6810}"/>
    <cellStyle name="Note 2 2 2 2 2 2 3" xfId="11684" xr:uid="{45D8FE9A-D765-40F4-B156-51D7B6650D27}"/>
    <cellStyle name="Note 2 2 2 2 2 3" xfId="5318" xr:uid="{00000000-0005-0000-0000-00009B200000}"/>
    <cellStyle name="Note 2 2 2 2 2 3 2" xfId="13757" xr:uid="{558CE134-3E70-4EAB-B334-DA5232BF196F}"/>
    <cellStyle name="Note 2 2 2 2 2 4" xfId="9539" xr:uid="{427C7ED2-34BA-4541-AAC0-5C0A3874E54D}"/>
    <cellStyle name="Note 2 2 2 2 3" xfId="1423" xr:uid="{00000000-0005-0000-0000-00009C200000}"/>
    <cellStyle name="Note 2 2 2 2 3 2" xfId="3653" xr:uid="{00000000-0005-0000-0000-00009D200000}"/>
    <cellStyle name="Note 2 2 2 2 3 2 2" xfId="7876" xr:uid="{00000000-0005-0000-0000-00009E200000}"/>
    <cellStyle name="Note 2 2 2 2 3 2 2 2" xfId="16315" xr:uid="{0BDDDC8D-49FD-4314-96F1-137BDCEC9507}"/>
    <cellStyle name="Note 2 2 2 2 3 2 3" xfId="12097" xr:uid="{6CE86872-ADDA-4B9E-8701-701CC10699B8}"/>
    <cellStyle name="Note 2 2 2 2 3 3" xfId="5731" xr:uid="{00000000-0005-0000-0000-00009F200000}"/>
    <cellStyle name="Note 2 2 2 2 3 3 2" xfId="14170" xr:uid="{4B089CB1-2441-4C81-8AD3-DB46D019B13D}"/>
    <cellStyle name="Note 2 2 2 2 3 4" xfId="9952" xr:uid="{AD9A617F-CB0C-42A3-B498-98F7372E0FE4}"/>
    <cellStyle name="Note 2 2 2 2 4" xfId="1837" xr:uid="{00000000-0005-0000-0000-0000A0200000}"/>
    <cellStyle name="Note 2 2 2 2 4 2" xfId="4066" xr:uid="{00000000-0005-0000-0000-0000A1200000}"/>
    <cellStyle name="Note 2 2 2 2 4 2 2" xfId="8289" xr:uid="{00000000-0005-0000-0000-0000A2200000}"/>
    <cellStyle name="Note 2 2 2 2 4 2 2 2" xfId="16728" xr:uid="{A7502E14-F1A5-4BB5-93E5-69F9BB0CFF56}"/>
    <cellStyle name="Note 2 2 2 2 4 2 3" xfId="12510" xr:uid="{F7CF14A6-319E-4B9D-BC3B-89A1EAF1C2D9}"/>
    <cellStyle name="Note 2 2 2 2 4 3" xfId="6144" xr:uid="{00000000-0005-0000-0000-0000A3200000}"/>
    <cellStyle name="Note 2 2 2 2 4 3 2" xfId="14583" xr:uid="{8E1DA4E0-AF57-4D3F-95FA-FC491F87498F}"/>
    <cellStyle name="Note 2 2 2 2 4 4" xfId="10365" xr:uid="{DAC04D91-9DF7-44D5-B340-C24DAC08BFDA}"/>
    <cellStyle name="Note 2 2 2 2 5" xfId="2250" xr:uid="{00000000-0005-0000-0000-0000A4200000}"/>
    <cellStyle name="Note 2 2 2 2 5 2" xfId="4479" xr:uid="{00000000-0005-0000-0000-0000A5200000}"/>
    <cellStyle name="Note 2 2 2 2 5 2 2" xfId="8702" xr:uid="{00000000-0005-0000-0000-0000A6200000}"/>
    <cellStyle name="Note 2 2 2 2 5 2 2 2" xfId="17141" xr:uid="{993516D2-4FC8-4ED9-A76D-93506383FA10}"/>
    <cellStyle name="Note 2 2 2 2 5 2 3" xfId="12923" xr:uid="{F931EE2C-4BE2-4D2E-A044-B609DCBF3329}"/>
    <cellStyle name="Note 2 2 2 2 5 3" xfId="6557" xr:uid="{00000000-0005-0000-0000-0000A7200000}"/>
    <cellStyle name="Note 2 2 2 2 5 3 2" xfId="14996" xr:uid="{4CCEDA21-7A9B-447B-BCD7-F4C88463E30C}"/>
    <cellStyle name="Note 2 2 2 2 5 4" xfId="10778" xr:uid="{C13D6C61-0709-4542-A330-68F1722C53AB}"/>
    <cellStyle name="Note 2 2 2 2 6" xfId="2686" xr:uid="{00000000-0005-0000-0000-0000A8200000}"/>
    <cellStyle name="Note 2 2 2 2 6 2" xfId="6970" xr:uid="{00000000-0005-0000-0000-0000A9200000}"/>
    <cellStyle name="Note 2 2 2 2 6 2 2" xfId="15409" xr:uid="{0130E69E-32B6-44A1-A39E-E51648629187}"/>
    <cellStyle name="Note 2 2 2 2 6 3" xfId="11191" xr:uid="{ECB6CE4E-6B3E-4F20-862D-4C940979639B}"/>
    <cellStyle name="Note 2 2 2 2 7" xfId="2745" xr:uid="{00000000-0005-0000-0000-0000AA200000}"/>
    <cellStyle name="Note 2 2 2 2 8" xfId="2826" xr:uid="{00000000-0005-0000-0000-0000AB200000}"/>
    <cellStyle name="Note 2 2 2 2 8 2" xfId="7050" xr:uid="{00000000-0005-0000-0000-0000AC200000}"/>
    <cellStyle name="Note 2 2 2 2 8 2 2" xfId="15489" xr:uid="{D1F4C855-121F-4E37-AEB6-465D4B05A605}"/>
    <cellStyle name="Note 2 2 2 2 8 3" xfId="11271" xr:uid="{939EE993-E5C8-4471-9A59-33FCF23EAC25}"/>
    <cellStyle name="Note 2 2 2 2 9" xfId="4905" xr:uid="{00000000-0005-0000-0000-0000AD200000}"/>
    <cellStyle name="Note 2 2 2 2 9 2" xfId="13344" xr:uid="{F1F699AC-0634-489A-AA94-298458F1C80C}"/>
    <cellStyle name="Note 2 2 2 3" xfId="1007" xr:uid="{00000000-0005-0000-0000-0000AE200000}"/>
    <cellStyle name="Note 2 2 2 3 2" xfId="3239" xr:uid="{00000000-0005-0000-0000-0000AF200000}"/>
    <cellStyle name="Note 2 2 2 3 2 2" xfId="7462" xr:uid="{00000000-0005-0000-0000-0000B0200000}"/>
    <cellStyle name="Note 2 2 2 3 2 2 2" xfId="15901" xr:uid="{B653573E-6CC5-4881-ABAF-D0D6B9B41BFD}"/>
    <cellStyle name="Note 2 2 2 3 2 3" xfId="11683" xr:uid="{881F79D5-89FE-49FF-B370-65BBFB30CDDF}"/>
    <cellStyle name="Note 2 2 2 3 3" xfId="5317" xr:uid="{00000000-0005-0000-0000-0000B1200000}"/>
    <cellStyle name="Note 2 2 2 3 3 2" xfId="13756" xr:uid="{22005DAE-D9A2-4B59-8971-73205C13766C}"/>
    <cellStyle name="Note 2 2 2 3 4" xfId="9538" xr:uid="{6B820BB2-FF09-4AA8-9B86-47E097E2D9A3}"/>
    <cellStyle name="Note 2 2 2 4" xfId="1422" xr:uid="{00000000-0005-0000-0000-0000B2200000}"/>
    <cellStyle name="Note 2 2 2 4 2" xfId="3652" xr:uid="{00000000-0005-0000-0000-0000B3200000}"/>
    <cellStyle name="Note 2 2 2 4 2 2" xfId="7875" xr:uid="{00000000-0005-0000-0000-0000B4200000}"/>
    <cellStyle name="Note 2 2 2 4 2 2 2" xfId="16314" xr:uid="{98E3C186-A8A5-4696-BCFE-A9F52054700E}"/>
    <cellStyle name="Note 2 2 2 4 2 3" xfId="12096" xr:uid="{8653BACF-5014-429D-86F8-E5212BA5F127}"/>
    <cellStyle name="Note 2 2 2 4 3" xfId="5730" xr:uid="{00000000-0005-0000-0000-0000B5200000}"/>
    <cellStyle name="Note 2 2 2 4 3 2" xfId="14169" xr:uid="{053B2130-F278-451A-B7F8-E7452934F16A}"/>
    <cellStyle name="Note 2 2 2 4 4" xfId="9951" xr:uid="{B2306EF5-CF63-4111-B94C-4B249D7AB69C}"/>
    <cellStyle name="Note 2 2 2 5" xfId="1836" xr:uid="{00000000-0005-0000-0000-0000B6200000}"/>
    <cellStyle name="Note 2 2 2 5 2" xfId="4065" xr:uid="{00000000-0005-0000-0000-0000B7200000}"/>
    <cellStyle name="Note 2 2 2 5 2 2" xfId="8288" xr:uid="{00000000-0005-0000-0000-0000B8200000}"/>
    <cellStyle name="Note 2 2 2 5 2 2 2" xfId="16727" xr:uid="{057D11F5-B4C5-4F79-8667-80534A453389}"/>
    <cellStyle name="Note 2 2 2 5 2 3" xfId="12509" xr:uid="{607F5FDB-6CEE-4FEC-BA59-91B1CCEB3A3B}"/>
    <cellStyle name="Note 2 2 2 5 3" xfId="6143" xr:uid="{00000000-0005-0000-0000-0000B9200000}"/>
    <cellStyle name="Note 2 2 2 5 3 2" xfId="14582" xr:uid="{F11B7630-A718-4883-81AA-BD11E3BF0045}"/>
    <cellStyle name="Note 2 2 2 5 4" xfId="10364" xr:uid="{CF01D203-F5DD-470A-9A53-BB35465B26B5}"/>
    <cellStyle name="Note 2 2 2 6" xfId="2249" xr:uid="{00000000-0005-0000-0000-0000BA200000}"/>
    <cellStyle name="Note 2 2 2 6 2" xfId="4478" xr:uid="{00000000-0005-0000-0000-0000BB200000}"/>
    <cellStyle name="Note 2 2 2 6 2 2" xfId="8701" xr:uid="{00000000-0005-0000-0000-0000BC200000}"/>
    <cellStyle name="Note 2 2 2 6 2 2 2" xfId="17140" xr:uid="{47C5DAA3-2426-4BEA-B86F-C898FEFCA477}"/>
    <cellStyle name="Note 2 2 2 6 2 3" xfId="12922" xr:uid="{6AB2ECB5-715A-46B6-98B8-93799E68D2E4}"/>
    <cellStyle name="Note 2 2 2 6 3" xfId="6556" xr:uid="{00000000-0005-0000-0000-0000BD200000}"/>
    <cellStyle name="Note 2 2 2 6 3 2" xfId="14995" xr:uid="{9ED30407-8118-4390-978C-1C2F296CB523}"/>
    <cellStyle name="Note 2 2 2 6 4" xfId="10777" xr:uid="{A0C567AE-AE1C-4F35-A228-4A17022B38C7}"/>
    <cellStyle name="Note 2 2 2 7" xfId="2685" xr:uid="{00000000-0005-0000-0000-0000BE200000}"/>
    <cellStyle name="Note 2 2 2 7 2" xfId="6969" xr:uid="{00000000-0005-0000-0000-0000BF200000}"/>
    <cellStyle name="Note 2 2 2 7 2 2" xfId="15408" xr:uid="{54F02E36-2988-47F3-8AC0-F0AAB2151E7E}"/>
    <cellStyle name="Note 2 2 2 7 3" xfId="11190" xr:uid="{5056DF79-0405-47D7-B945-33C70BFBE27E}"/>
    <cellStyle name="Note 2 2 2 8" xfId="2744" xr:uid="{00000000-0005-0000-0000-0000C0200000}"/>
    <cellStyle name="Note 2 2 2 9" xfId="2825" xr:uid="{00000000-0005-0000-0000-0000C1200000}"/>
    <cellStyle name="Note 2 2 2 9 2" xfId="7049" xr:uid="{00000000-0005-0000-0000-0000C2200000}"/>
    <cellStyle name="Note 2 2 2 9 2 2" xfId="15488" xr:uid="{57E1DFE2-532B-4380-9563-EAB6BF9E78BA}"/>
    <cellStyle name="Note 2 2 2 9 3" xfId="11270" xr:uid="{08DBA29D-872D-43C8-8BD6-C7BAD183DFF4}"/>
    <cellStyle name="Note 2 2 3" xfId="548" xr:uid="{00000000-0005-0000-0000-0000C3200000}"/>
    <cellStyle name="Note 2 2 3 10" xfId="9127" xr:uid="{F2D59B5A-8254-482E-A782-8A2E358FF554}"/>
    <cellStyle name="Note 2 2 3 2" xfId="1009" xr:uid="{00000000-0005-0000-0000-0000C4200000}"/>
    <cellStyle name="Note 2 2 3 2 2" xfId="3241" xr:uid="{00000000-0005-0000-0000-0000C5200000}"/>
    <cellStyle name="Note 2 2 3 2 2 2" xfId="7464" xr:uid="{00000000-0005-0000-0000-0000C6200000}"/>
    <cellStyle name="Note 2 2 3 2 2 2 2" xfId="15903" xr:uid="{BF00E04C-37DE-43B5-BCF0-ECA9782E64D7}"/>
    <cellStyle name="Note 2 2 3 2 2 3" xfId="11685" xr:uid="{3B022797-3ACB-43BB-9B5D-B93039366275}"/>
    <cellStyle name="Note 2 2 3 2 3" xfId="5319" xr:uid="{00000000-0005-0000-0000-0000C7200000}"/>
    <cellStyle name="Note 2 2 3 2 3 2" xfId="13758" xr:uid="{861DEA6E-A826-4A08-936D-2F8227213348}"/>
    <cellStyle name="Note 2 2 3 2 4" xfId="9540" xr:uid="{556A9BFB-80F8-431A-9552-F0550895C5C8}"/>
    <cellStyle name="Note 2 2 3 3" xfId="1424" xr:uid="{00000000-0005-0000-0000-0000C8200000}"/>
    <cellStyle name="Note 2 2 3 3 2" xfId="3654" xr:uid="{00000000-0005-0000-0000-0000C9200000}"/>
    <cellStyle name="Note 2 2 3 3 2 2" xfId="7877" xr:uid="{00000000-0005-0000-0000-0000CA200000}"/>
    <cellStyle name="Note 2 2 3 3 2 2 2" xfId="16316" xr:uid="{E5558E14-05EC-4CB6-816E-CFA1494CF5F7}"/>
    <cellStyle name="Note 2 2 3 3 2 3" xfId="12098" xr:uid="{6C520C51-C198-41AF-9544-E2E11C42E9F9}"/>
    <cellStyle name="Note 2 2 3 3 3" xfId="5732" xr:uid="{00000000-0005-0000-0000-0000CB200000}"/>
    <cellStyle name="Note 2 2 3 3 3 2" xfId="14171" xr:uid="{7DA3711E-32DE-4234-AC15-AD39A225D828}"/>
    <cellStyle name="Note 2 2 3 3 4" xfId="9953" xr:uid="{4A52F74E-C336-4A8A-8CCD-D6072DCA69CD}"/>
    <cellStyle name="Note 2 2 3 4" xfId="1838" xr:uid="{00000000-0005-0000-0000-0000CC200000}"/>
    <cellStyle name="Note 2 2 3 4 2" xfId="4067" xr:uid="{00000000-0005-0000-0000-0000CD200000}"/>
    <cellStyle name="Note 2 2 3 4 2 2" xfId="8290" xr:uid="{00000000-0005-0000-0000-0000CE200000}"/>
    <cellStyle name="Note 2 2 3 4 2 2 2" xfId="16729" xr:uid="{43C5E6E8-3EAE-4D39-915A-9BA630097527}"/>
    <cellStyle name="Note 2 2 3 4 2 3" xfId="12511" xr:uid="{70435C7E-D9AA-43C4-BD0E-F906FD98F0D0}"/>
    <cellStyle name="Note 2 2 3 4 3" xfId="6145" xr:uid="{00000000-0005-0000-0000-0000CF200000}"/>
    <cellStyle name="Note 2 2 3 4 3 2" xfId="14584" xr:uid="{C094DFC6-29B2-4535-A5EB-DFBE328F67F7}"/>
    <cellStyle name="Note 2 2 3 4 4" xfId="10366" xr:uid="{852D9227-5396-4A0D-8B2D-AAEC8C9E7220}"/>
    <cellStyle name="Note 2 2 3 5" xfId="2251" xr:uid="{00000000-0005-0000-0000-0000D0200000}"/>
    <cellStyle name="Note 2 2 3 5 2" xfId="4480" xr:uid="{00000000-0005-0000-0000-0000D1200000}"/>
    <cellStyle name="Note 2 2 3 5 2 2" xfId="8703" xr:uid="{00000000-0005-0000-0000-0000D2200000}"/>
    <cellStyle name="Note 2 2 3 5 2 2 2" xfId="17142" xr:uid="{60AAB5F0-C274-4ECE-86F1-DAC269ABFEC0}"/>
    <cellStyle name="Note 2 2 3 5 2 3" xfId="12924" xr:uid="{033710F3-BDC3-4EB7-8EF6-EE2604F17AE0}"/>
    <cellStyle name="Note 2 2 3 5 3" xfId="6558" xr:uid="{00000000-0005-0000-0000-0000D3200000}"/>
    <cellStyle name="Note 2 2 3 5 3 2" xfId="14997" xr:uid="{7833733F-6970-4089-B359-AA66E5125488}"/>
    <cellStyle name="Note 2 2 3 5 4" xfId="10779" xr:uid="{6F22AC70-12D1-4680-B029-09B47B8A4272}"/>
    <cellStyle name="Note 2 2 3 6" xfId="2687" xr:uid="{00000000-0005-0000-0000-0000D4200000}"/>
    <cellStyle name="Note 2 2 3 6 2" xfId="6971" xr:uid="{00000000-0005-0000-0000-0000D5200000}"/>
    <cellStyle name="Note 2 2 3 6 2 2" xfId="15410" xr:uid="{9699D592-008B-4FB4-BE84-42609C6AEED8}"/>
    <cellStyle name="Note 2 2 3 6 3" xfId="11192" xr:uid="{8244BDA4-ED50-4FDC-9CC3-0BEC6BE990E1}"/>
    <cellStyle name="Note 2 2 3 7" xfId="2746" xr:uid="{00000000-0005-0000-0000-0000D6200000}"/>
    <cellStyle name="Note 2 2 3 8" xfId="2827" xr:uid="{00000000-0005-0000-0000-0000D7200000}"/>
    <cellStyle name="Note 2 2 3 8 2" xfId="7051" xr:uid="{00000000-0005-0000-0000-0000D8200000}"/>
    <cellStyle name="Note 2 2 3 8 2 2" xfId="15490" xr:uid="{3CA46FB6-66A6-477D-932B-C0F52BC1AA11}"/>
    <cellStyle name="Note 2 2 3 8 3" xfId="11272" xr:uid="{B2B747AC-3F5A-481C-BA52-EE6215C1AAF4}"/>
    <cellStyle name="Note 2 2 3 9" xfId="4906" xr:uid="{00000000-0005-0000-0000-0000D9200000}"/>
    <cellStyle name="Note 2 2 3 9 2" xfId="13345" xr:uid="{2AB9B971-3B04-4CFD-8946-1430B148A968}"/>
    <cellStyle name="Note 2 2 4" xfId="1006" xr:uid="{00000000-0005-0000-0000-0000DA200000}"/>
    <cellStyle name="Note 2 2 4 2" xfId="3238" xr:uid="{00000000-0005-0000-0000-0000DB200000}"/>
    <cellStyle name="Note 2 2 4 2 2" xfId="7461" xr:uid="{00000000-0005-0000-0000-0000DC200000}"/>
    <cellStyle name="Note 2 2 4 2 2 2" xfId="15900" xr:uid="{B32C43C0-D6D6-453F-9606-4B4DA5E60BE8}"/>
    <cellStyle name="Note 2 2 4 2 3" xfId="11682" xr:uid="{07D71F16-8C0C-43A4-84ED-D04097F5410D}"/>
    <cellStyle name="Note 2 2 4 3" xfId="5316" xr:uid="{00000000-0005-0000-0000-0000DD200000}"/>
    <cellStyle name="Note 2 2 4 3 2" xfId="13755" xr:uid="{58A79F2F-18A1-4311-8EC0-B948A8EF28DD}"/>
    <cellStyle name="Note 2 2 4 4" xfId="9537" xr:uid="{888AF664-8B24-4B8A-A197-18EA46988EA8}"/>
    <cellStyle name="Note 2 2 5" xfId="1421" xr:uid="{00000000-0005-0000-0000-0000DE200000}"/>
    <cellStyle name="Note 2 2 5 2" xfId="3651" xr:uid="{00000000-0005-0000-0000-0000DF200000}"/>
    <cellStyle name="Note 2 2 5 2 2" xfId="7874" xr:uid="{00000000-0005-0000-0000-0000E0200000}"/>
    <cellStyle name="Note 2 2 5 2 2 2" xfId="16313" xr:uid="{7689BBCD-19EC-439E-85A1-0037ACD0FA7E}"/>
    <cellStyle name="Note 2 2 5 2 3" xfId="12095" xr:uid="{5E6EDF03-FE6E-4994-BFAC-717149DB96A0}"/>
    <cellStyle name="Note 2 2 5 3" xfId="5729" xr:uid="{00000000-0005-0000-0000-0000E1200000}"/>
    <cellStyle name="Note 2 2 5 3 2" xfId="14168" xr:uid="{EF5BC472-1F07-45BE-9EAD-5B20027A53A3}"/>
    <cellStyle name="Note 2 2 5 4" xfId="9950" xr:uid="{AC60A58B-01A1-4240-92B5-E41A2C4E848E}"/>
    <cellStyle name="Note 2 2 6" xfId="1835" xr:uid="{00000000-0005-0000-0000-0000E2200000}"/>
    <cellStyle name="Note 2 2 6 2" xfId="4064" xr:uid="{00000000-0005-0000-0000-0000E3200000}"/>
    <cellStyle name="Note 2 2 6 2 2" xfId="8287" xr:uid="{00000000-0005-0000-0000-0000E4200000}"/>
    <cellStyle name="Note 2 2 6 2 2 2" xfId="16726" xr:uid="{82814ED8-82EF-423B-AE02-C8179420B2C8}"/>
    <cellStyle name="Note 2 2 6 2 3" xfId="12508" xr:uid="{9EEBE05B-B727-4FC8-905A-E6CCE5215F73}"/>
    <cellStyle name="Note 2 2 6 3" xfId="6142" xr:uid="{00000000-0005-0000-0000-0000E5200000}"/>
    <cellStyle name="Note 2 2 6 3 2" xfId="14581" xr:uid="{34D65C5C-EF71-4ECC-8EFA-C11903AE6C74}"/>
    <cellStyle name="Note 2 2 6 4" xfId="10363" xr:uid="{A85352BA-5C9E-4839-BA83-5568903B3EAD}"/>
    <cellStyle name="Note 2 2 7" xfId="2248" xr:uid="{00000000-0005-0000-0000-0000E6200000}"/>
    <cellStyle name="Note 2 2 7 2" xfId="4477" xr:uid="{00000000-0005-0000-0000-0000E7200000}"/>
    <cellStyle name="Note 2 2 7 2 2" xfId="8700" xr:uid="{00000000-0005-0000-0000-0000E8200000}"/>
    <cellStyle name="Note 2 2 7 2 2 2" xfId="17139" xr:uid="{117B7335-9606-40D0-B4AA-EB0C2ABDD64F}"/>
    <cellStyle name="Note 2 2 7 2 3" xfId="12921" xr:uid="{524758BD-66CA-45A8-A021-54F00FC90079}"/>
    <cellStyle name="Note 2 2 7 3" xfId="6555" xr:uid="{00000000-0005-0000-0000-0000E9200000}"/>
    <cellStyle name="Note 2 2 7 3 2" xfId="14994" xr:uid="{3A372CEE-B835-478C-A02C-56B3F0AB8DEF}"/>
    <cellStyle name="Note 2 2 7 4" xfId="10776" xr:uid="{A1AC49AC-08C8-4960-A7D1-7A741B6A0EF1}"/>
    <cellStyle name="Note 2 2 8" xfId="2684" xr:uid="{00000000-0005-0000-0000-0000EA200000}"/>
    <cellStyle name="Note 2 2 8 2" xfId="6968" xr:uid="{00000000-0005-0000-0000-0000EB200000}"/>
    <cellStyle name="Note 2 2 8 2 2" xfId="15407" xr:uid="{8AB820BC-7947-4F8B-AADD-05FFCF5EEFF9}"/>
    <cellStyle name="Note 2 2 8 3" xfId="11189" xr:uid="{345A3936-74B5-4364-B1C9-3EC20871ED4A}"/>
    <cellStyle name="Note 2 2 9" xfId="2743" xr:uid="{00000000-0005-0000-0000-0000EC200000}"/>
    <cellStyle name="Note 2 3" xfId="549" xr:uid="{00000000-0005-0000-0000-0000ED200000}"/>
    <cellStyle name="Note 2 3 10" xfId="4907" xr:uid="{00000000-0005-0000-0000-0000EE200000}"/>
    <cellStyle name="Note 2 3 10 2" xfId="13346" xr:uid="{AE39C2CF-1DD2-41FC-A39F-9AD047C9B62B}"/>
    <cellStyle name="Note 2 3 11" xfId="9128" xr:uid="{72AB8EBF-5D51-4DD3-B38B-D7E2592F78EB}"/>
    <cellStyle name="Note 2 3 2" xfId="550" xr:uid="{00000000-0005-0000-0000-0000EF200000}"/>
    <cellStyle name="Note 2 3 2 10" xfId="9129" xr:uid="{91FA3308-6458-4F76-9A85-8FEF627123F7}"/>
    <cellStyle name="Note 2 3 2 2" xfId="1011" xr:uid="{00000000-0005-0000-0000-0000F0200000}"/>
    <cellStyle name="Note 2 3 2 2 2" xfId="3243" xr:uid="{00000000-0005-0000-0000-0000F1200000}"/>
    <cellStyle name="Note 2 3 2 2 2 2" xfId="7466" xr:uid="{00000000-0005-0000-0000-0000F2200000}"/>
    <cellStyle name="Note 2 3 2 2 2 2 2" xfId="15905" xr:uid="{B3374B83-0654-4258-9768-0A8EB5CD6F90}"/>
    <cellStyle name="Note 2 3 2 2 2 3" xfId="11687" xr:uid="{0314B3D3-0772-430C-BBF9-1C50495F34B5}"/>
    <cellStyle name="Note 2 3 2 2 3" xfId="5321" xr:uid="{00000000-0005-0000-0000-0000F3200000}"/>
    <cellStyle name="Note 2 3 2 2 3 2" xfId="13760" xr:uid="{711479C4-524B-4836-B0AE-B046BA90F8EE}"/>
    <cellStyle name="Note 2 3 2 2 4" xfId="9542" xr:uid="{0B738A92-264F-45AC-BCB8-193734A631C6}"/>
    <cellStyle name="Note 2 3 2 3" xfId="1426" xr:uid="{00000000-0005-0000-0000-0000F4200000}"/>
    <cellStyle name="Note 2 3 2 3 2" xfId="3656" xr:uid="{00000000-0005-0000-0000-0000F5200000}"/>
    <cellStyle name="Note 2 3 2 3 2 2" xfId="7879" xr:uid="{00000000-0005-0000-0000-0000F6200000}"/>
    <cellStyle name="Note 2 3 2 3 2 2 2" xfId="16318" xr:uid="{5E7F8FDB-AD1B-4657-83D8-0A097B7F4165}"/>
    <cellStyle name="Note 2 3 2 3 2 3" xfId="12100" xr:uid="{D79720C3-E3EA-4F8E-91CB-3569C6528430}"/>
    <cellStyle name="Note 2 3 2 3 3" xfId="5734" xr:uid="{00000000-0005-0000-0000-0000F7200000}"/>
    <cellStyle name="Note 2 3 2 3 3 2" xfId="14173" xr:uid="{FF336C8A-7011-45B9-9156-E0BF05088545}"/>
    <cellStyle name="Note 2 3 2 3 4" xfId="9955" xr:uid="{587156F2-D55D-4350-8E23-9C1081D8C25F}"/>
    <cellStyle name="Note 2 3 2 4" xfId="1840" xr:uid="{00000000-0005-0000-0000-0000F8200000}"/>
    <cellStyle name="Note 2 3 2 4 2" xfId="4069" xr:uid="{00000000-0005-0000-0000-0000F9200000}"/>
    <cellStyle name="Note 2 3 2 4 2 2" xfId="8292" xr:uid="{00000000-0005-0000-0000-0000FA200000}"/>
    <cellStyle name="Note 2 3 2 4 2 2 2" xfId="16731" xr:uid="{31919E80-689D-4FC8-93AF-50B538775FCE}"/>
    <cellStyle name="Note 2 3 2 4 2 3" xfId="12513" xr:uid="{23637A3D-FDF1-4749-A257-2E267255C1E7}"/>
    <cellStyle name="Note 2 3 2 4 3" xfId="6147" xr:uid="{00000000-0005-0000-0000-0000FB200000}"/>
    <cellStyle name="Note 2 3 2 4 3 2" xfId="14586" xr:uid="{DA345082-BA78-4B90-BFEF-96FF472DAE68}"/>
    <cellStyle name="Note 2 3 2 4 4" xfId="10368" xr:uid="{582596D7-9F9E-4DC4-BAB5-F67F2C8412A6}"/>
    <cellStyle name="Note 2 3 2 5" xfId="2253" xr:uid="{00000000-0005-0000-0000-0000FC200000}"/>
    <cellStyle name="Note 2 3 2 5 2" xfId="4482" xr:uid="{00000000-0005-0000-0000-0000FD200000}"/>
    <cellStyle name="Note 2 3 2 5 2 2" xfId="8705" xr:uid="{00000000-0005-0000-0000-0000FE200000}"/>
    <cellStyle name="Note 2 3 2 5 2 2 2" xfId="17144" xr:uid="{35C85372-3D83-432B-ABD9-B402354A4E4C}"/>
    <cellStyle name="Note 2 3 2 5 2 3" xfId="12926" xr:uid="{06CA8709-474A-4A89-A107-936A79AB17BD}"/>
    <cellStyle name="Note 2 3 2 5 3" xfId="6560" xr:uid="{00000000-0005-0000-0000-0000FF200000}"/>
    <cellStyle name="Note 2 3 2 5 3 2" xfId="14999" xr:uid="{B5B72C21-A936-4310-8CE7-BBDA1B8C7A3F}"/>
    <cellStyle name="Note 2 3 2 5 4" xfId="10781" xr:uid="{FFA2DC7D-000C-4725-B243-46608C4412C1}"/>
    <cellStyle name="Note 2 3 2 6" xfId="2689" xr:uid="{00000000-0005-0000-0000-000000210000}"/>
    <cellStyle name="Note 2 3 2 6 2" xfId="6973" xr:uid="{00000000-0005-0000-0000-000001210000}"/>
    <cellStyle name="Note 2 3 2 6 2 2" xfId="15412" xr:uid="{25BF106E-CB9F-4B92-8AAE-364098E81D11}"/>
    <cellStyle name="Note 2 3 2 6 3" xfId="11194" xr:uid="{F34F902A-4C1C-46B6-BE91-5FC548124B26}"/>
    <cellStyle name="Note 2 3 2 7" xfId="2748" xr:uid="{00000000-0005-0000-0000-000002210000}"/>
    <cellStyle name="Note 2 3 2 8" xfId="2829" xr:uid="{00000000-0005-0000-0000-000003210000}"/>
    <cellStyle name="Note 2 3 2 8 2" xfId="7053" xr:uid="{00000000-0005-0000-0000-000004210000}"/>
    <cellStyle name="Note 2 3 2 8 2 2" xfId="15492" xr:uid="{BF7C8D24-4A34-4808-8F77-57B91D4A9306}"/>
    <cellStyle name="Note 2 3 2 8 3" xfId="11274" xr:uid="{E1809080-658B-49F2-A291-639D5C9DC3E1}"/>
    <cellStyle name="Note 2 3 2 9" xfId="4908" xr:uid="{00000000-0005-0000-0000-000005210000}"/>
    <cellStyle name="Note 2 3 2 9 2" xfId="13347" xr:uid="{FFEFEC7B-DF92-4CF2-837A-0B954137B79A}"/>
    <cellStyle name="Note 2 3 3" xfId="1010" xr:uid="{00000000-0005-0000-0000-000006210000}"/>
    <cellStyle name="Note 2 3 3 2" xfId="3242" xr:uid="{00000000-0005-0000-0000-000007210000}"/>
    <cellStyle name="Note 2 3 3 2 2" xfId="7465" xr:uid="{00000000-0005-0000-0000-000008210000}"/>
    <cellStyle name="Note 2 3 3 2 2 2" xfId="15904" xr:uid="{1B034EF2-9099-4A5D-A0D2-444085D7290C}"/>
    <cellStyle name="Note 2 3 3 2 3" xfId="11686" xr:uid="{0571E06F-E5AD-40F0-BF31-F85C00878FF4}"/>
    <cellStyle name="Note 2 3 3 3" xfId="5320" xr:uid="{00000000-0005-0000-0000-000009210000}"/>
    <cellStyle name="Note 2 3 3 3 2" xfId="13759" xr:uid="{1F58511B-4ABE-43A2-B294-66402E4DC071}"/>
    <cellStyle name="Note 2 3 3 4" xfId="9541" xr:uid="{5FB82EBD-79D3-49B3-A848-E3E8B26C0E44}"/>
    <cellStyle name="Note 2 3 4" xfId="1425" xr:uid="{00000000-0005-0000-0000-00000A210000}"/>
    <cellStyle name="Note 2 3 4 2" xfId="3655" xr:uid="{00000000-0005-0000-0000-00000B210000}"/>
    <cellStyle name="Note 2 3 4 2 2" xfId="7878" xr:uid="{00000000-0005-0000-0000-00000C210000}"/>
    <cellStyle name="Note 2 3 4 2 2 2" xfId="16317" xr:uid="{C6B66F62-83F0-4128-B073-61465FFE6C17}"/>
    <cellStyle name="Note 2 3 4 2 3" xfId="12099" xr:uid="{E4B9A16B-28F4-4D45-82F9-8D373DC924FA}"/>
    <cellStyle name="Note 2 3 4 3" xfId="5733" xr:uid="{00000000-0005-0000-0000-00000D210000}"/>
    <cellStyle name="Note 2 3 4 3 2" xfId="14172" xr:uid="{930C4006-82AA-435C-BF60-16E6322242B2}"/>
    <cellStyle name="Note 2 3 4 4" xfId="9954" xr:uid="{12C3F19E-8412-4C22-818E-D2DE09D599C9}"/>
    <cellStyle name="Note 2 3 5" xfId="1839" xr:uid="{00000000-0005-0000-0000-00000E210000}"/>
    <cellStyle name="Note 2 3 5 2" xfId="4068" xr:uid="{00000000-0005-0000-0000-00000F210000}"/>
    <cellStyle name="Note 2 3 5 2 2" xfId="8291" xr:uid="{00000000-0005-0000-0000-000010210000}"/>
    <cellStyle name="Note 2 3 5 2 2 2" xfId="16730" xr:uid="{F6D2D6CC-AD4F-4A43-91A4-67F9F13A2639}"/>
    <cellStyle name="Note 2 3 5 2 3" xfId="12512" xr:uid="{99469C5E-2269-4720-874B-534D23BB69B8}"/>
    <cellStyle name="Note 2 3 5 3" xfId="6146" xr:uid="{00000000-0005-0000-0000-000011210000}"/>
    <cellStyle name="Note 2 3 5 3 2" xfId="14585" xr:uid="{0C1D7145-2CDA-4AC2-863C-1FE103EF87BC}"/>
    <cellStyle name="Note 2 3 5 4" xfId="10367" xr:uid="{1A609B1C-D908-4CD0-BEF5-FEB712F97928}"/>
    <cellStyle name="Note 2 3 6" xfId="2252" xr:uid="{00000000-0005-0000-0000-000012210000}"/>
    <cellStyle name="Note 2 3 6 2" xfId="4481" xr:uid="{00000000-0005-0000-0000-000013210000}"/>
    <cellStyle name="Note 2 3 6 2 2" xfId="8704" xr:uid="{00000000-0005-0000-0000-000014210000}"/>
    <cellStyle name="Note 2 3 6 2 2 2" xfId="17143" xr:uid="{31FB247F-46E3-49B8-B2C0-235309ED7BC4}"/>
    <cellStyle name="Note 2 3 6 2 3" xfId="12925" xr:uid="{5498C8BC-4385-4DCF-B3C4-F173E3C3D680}"/>
    <cellStyle name="Note 2 3 6 3" xfId="6559" xr:uid="{00000000-0005-0000-0000-000015210000}"/>
    <cellStyle name="Note 2 3 6 3 2" xfId="14998" xr:uid="{A4CDA1D0-C07F-4B3C-BC22-7AC00D6E3E80}"/>
    <cellStyle name="Note 2 3 6 4" xfId="10780" xr:uid="{8706EA18-DFD9-4DBA-9E79-AD2E68AD2AE1}"/>
    <cellStyle name="Note 2 3 7" xfId="2688" xr:uid="{00000000-0005-0000-0000-000016210000}"/>
    <cellStyle name="Note 2 3 7 2" xfId="6972" xr:uid="{00000000-0005-0000-0000-000017210000}"/>
    <cellStyle name="Note 2 3 7 2 2" xfId="15411" xr:uid="{6B757597-7F29-4A48-93D7-853920C16512}"/>
    <cellStyle name="Note 2 3 7 3" xfId="11193" xr:uid="{353CBC2E-2F22-4584-995E-C75E851BE4E5}"/>
    <cellStyle name="Note 2 3 8" xfId="2747" xr:uid="{00000000-0005-0000-0000-000018210000}"/>
    <cellStyle name="Note 2 3 9" xfId="2828" xr:uid="{00000000-0005-0000-0000-000019210000}"/>
    <cellStyle name="Note 2 3 9 2" xfId="7052" xr:uid="{00000000-0005-0000-0000-00001A210000}"/>
    <cellStyle name="Note 2 3 9 2 2" xfId="15491" xr:uid="{7ADFA440-240F-4640-A387-587BAB58EFEB}"/>
    <cellStyle name="Note 2 3 9 3" xfId="11273" xr:uid="{FC40A296-626C-42FD-9B44-97865E3255AC}"/>
    <cellStyle name="Note 2 4" xfId="551" xr:uid="{00000000-0005-0000-0000-00001B210000}"/>
    <cellStyle name="Note 2 4 10" xfId="9130" xr:uid="{22C93269-2DF2-4D5A-95EF-7850C5FBC864}"/>
    <cellStyle name="Note 2 4 2" xfId="1012" xr:uid="{00000000-0005-0000-0000-00001C210000}"/>
    <cellStyle name="Note 2 4 2 2" xfId="3244" xr:uid="{00000000-0005-0000-0000-00001D210000}"/>
    <cellStyle name="Note 2 4 2 2 2" xfId="7467" xr:uid="{00000000-0005-0000-0000-00001E210000}"/>
    <cellStyle name="Note 2 4 2 2 2 2" xfId="15906" xr:uid="{4C5686FF-B01F-4875-8AD1-27D36E06597C}"/>
    <cellStyle name="Note 2 4 2 2 3" xfId="11688" xr:uid="{6A1669A2-4E22-43BF-8ACD-39439EA40251}"/>
    <cellStyle name="Note 2 4 2 3" xfId="5322" xr:uid="{00000000-0005-0000-0000-00001F210000}"/>
    <cellStyle name="Note 2 4 2 3 2" xfId="13761" xr:uid="{186205CA-AAE0-4A56-9B9C-10B943E13F6A}"/>
    <cellStyle name="Note 2 4 2 4" xfId="9543" xr:uid="{35CA0B9D-9A0F-494D-BB2A-21C03A2BB709}"/>
    <cellStyle name="Note 2 4 3" xfId="1427" xr:uid="{00000000-0005-0000-0000-000020210000}"/>
    <cellStyle name="Note 2 4 3 2" xfId="3657" xr:uid="{00000000-0005-0000-0000-000021210000}"/>
    <cellStyle name="Note 2 4 3 2 2" xfId="7880" xr:uid="{00000000-0005-0000-0000-000022210000}"/>
    <cellStyle name="Note 2 4 3 2 2 2" xfId="16319" xr:uid="{AEDFF2FC-6409-4A61-AC59-18DB4FEA0B1E}"/>
    <cellStyle name="Note 2 4 3 2 3" xfId="12101" xr:uid="{808B07E5-7A8C-4072-8D6C-EC0FB3CFB66B}"/>
    <cellStyle name="Note 2 4 3 3" xfId="5735" xr:uid="{00000000-0005-0000-0000-000023210000}"/>
    <cellStyle name="Note 2 4 3 3 2" xfId="14174" xr:uid="{C5FC25BD-03F7-4A86-9DE1-4BDB3A83950C}"/>
    <cellStyle name="Note 2 4 3 4" xfId="9956" xr:uid="{3906A682-8F31-40C0-A1FF-96309E9B31FE}"/>
    <cellStyle name="Note 2 4 4" xfId="1841" xr:uid="{00000000-0005-0000-0000-000024210000}"/>
    <cellStyle name="Note 2 4 4 2" xfId="4070" xr:uid="{00000000-0005-0000-0000-000025210000}"/>
    <cellStyle name="Note 2 4 4 2 2" xfId="8293" xr:uid="{00000000-0005-0000-0000-000026210000}"/>
    <cellStyle name="Note 2 4 4 2 2 2" xfId="16732" xr:uid="{BC0E0BB7-0E07-4C13-A060-0C03B89A0A06}"/>
    <cellStyle name="Note 2 4 4 2 3" xfId="12514" xr:uid="{E9F5D4D8-4569-4ADE-98C8-D802C8695AEF}"/>
    <cellStyle name="Note 2 4 4 3" xfId="6148" xr:uid="{00000000-0005-0000-0000-000027210000}"/>
    <cellStyle name="Note 2 4 4 3 2" xfId="14587" xr:uid="{B55C5569-A6D0-4B49-BAA8-EC5D5A3B18FD}"/>
    <cellStyle name="Note 2 4 4 4" xfId="10369" xr:uid="{EB07DEEF-C071-4019-97B9-6C7A118DA8D1}"/>
    <cellStyle name="Note 2 4 5" xfId="2254" xr:uid="{00000000-0005-0000-0000-000028210000}"/>
    <cellStyle name="Note 2 4 5 2" xfId="4483" xr:uid="{00000000-0005-0000-0000-000029210000}"/>
    <cellStyle name="Note 2 4 5 2 2" xfId="8706" xr:uid="{00000000-0005-0000-0000-00002A210000}"/>
    <cellStyle name="Note 2 4 5 2 2 2" xfId="17145" xr:uid="{B26C971F-5475-49EA-887F-CC513403FFDD}"/>
    <cellStyle name="Note 2 4 5 2 3" xfId="12927" xr:uid="{3436BCFE-4D90-43F7-A4B6-B9D83F316638}"/>
    <cellStyle name="Note 2 4 5 3" xfId="6561" xr:uid="{00000000-0005-0000-0000-00002B210000}"/>
    <cellStyle name="Note 2 4 5 3 2" xfId="15000" xr:uid="{0A2D8D81-70AD-4FBC-BF1D-52E3FFFDD05F}"/>
    <cellStyle name="Note 2 4 5 4" xfId="10782" xr:uid="{0B04386F-94FB-4C59-9560-1D6A72A28313}"/>
    <cellStyle name="Note 2 4 6" xfId="2690" xr:uid="{00000000-0005-0000-0000-00002C210000}"/>
    <cellStyle name="Note 2 4 6 2" xfId="6974" xr:uid="{00000000-0005-0000-0000-00002D210000}"/>
    <cellStyle name="Note 2 4 6 2 2" xfId="15413" xr:uid="{51551D51-7830-4F36-A04E-A415097E60B8}"/>
    <cellStyle name="Note 2 4 6 3" xfId="11195" xr:uid="{517E8384-9B3B-4685-B47E-964E97FA5627}"/>
    <cellStyle name="Note 2 4 7" xfId="2749" xr:uid="{00000000-0005-0000-0000-00002E210000}"/>
    <cellStyle name="Note 2 4 8" xfId="2830" xr:uid="{00000000-0005-0000-0000-00002F210000}"/>
    <cellStyle name="Note 2 4 8 2" xfId="7054" xr:uid="{00000000-0005-0000-0000-000030210000}"/>
    <cellStyle name="Note 2 4 8 2 2" xfId="15493" xr:uid="{8B42657C-5A56-4A91-A947-8C3C77BAECD7}"/>
    <cellStyle name="Note 2 4 8 3" xfId="11275" xr:uid="{042F9CA1-521D-4663-9348-1F90DA78B5FE}"/>
    <cellStyle name="Note 2 4 9" xfId="4909" xr:uid="{00000000-0005-0000-0000-000031210000}"/>
    <cellStyle name="Note 2 4 9 2" xfId="13348" xr:uid="{71063F9C-0F40-4C6B-AFD0-BA1AA5CDF579}"/>
    <cellStyle name="Note 2 5" xfId="552" xr:uid="{00000000-0005-0000-0000-000032210000}"/>
    <cellStyle name="Note 2 5 10" xfId="9131" xr:uid="{A3EB85ED-E955-48E6-94AE-98AEBF167A3B}"/>
    <cellStyle name="Note 2 5 2" xfId="1013" xr:uid="{00000000-0005-0000-0000-000033210000}"/>
    <cellStyle name="Note 2 5 2 2" xfId="3245" xr:uid="{00000000-0005-0000-0000-000034210000}"/>
    <cellStyle name="Note 2 5 2 2 2" xfId="7468" xr:uid="{00000000-0005-0000-0000-000035210000}"/>
    <cellStyle name="Note 2 5 2 2 2 2" xfId="15907" xr:uid="{4099758A-291A-4CF1-A595-2E63DAEA9E0A}"/>
    <cellStyle name="Note 2 5 2 2 3" xfId="11689" xr:uid="{28AF7118-CF03-4BAC-A5DC-859C90813CB4}"/>
    <cellStyle name="Note 2 5 2 3" xfId="5323" xr:uid="{00000000-0005-0000-0000-000036210000}"/>
    <cellStyle name="Note 2 5 2 3 2" xfId="13762" xr:uid="{ED052859-5580-4E70-83DC-F61411BE6BD2}"/>
    <cellStyle name="Note 2 5 2 4" xfId="9544" xr:uid="{A8EDA6B4-2A66-4B87-8D44-1BEF932640DA}"/>
    <cellStyle name="Note 2 5 3" xfId="1428" xr:uid="{00000000-0005-0000-0000-000037210000}"/>
    <cellStyle name="Note 2 5 3 2" xfId="3658" xr:uid="{00000000-0005-0000-0000-000038210000}"/>
    <cellStyle name="Note 2 5 3 2 2" xfId="7881" xr:uid="{00000000-0005-0000-0000-000039210000}"/>
    <cellStyle name="Note 2 5 3 2 2 2" xfId="16320" xr:uid="{B7A58A27-3C99-4380-B1B7-9DDDBD210B08}"/>
    <cellStyle name="Note 2 5 3 2 3" xfId="12102" xr:uid="{E29F146F-68C4-4414-AAEA-657F2CADBBCB}"/>
    <cellStyle name="Note 2 5 3 3" xfId="5736" xr:uid="{00000000-0005-0000-0000-00003A210000}"/>
    <cellStyle name="Note 2 5 3 3 2" xfId="14175" xr:uid="{1683FF34-8521-44DE-AF3D-A5C46B49C3A5}"/>
    <cellStyle name="Note 2 5 3 4" xfId="9957" xr:uid="{E7F1EA37-D549-4807-A0A7-485BF3B110B2}"/>
    <cellStyle name="Note 2 5 4" xfId="1842" xr:uid="{00000000-0005-0000-0000-00003B210000}"/>
    <cellStyle name="Note 2 5 4 2" xfId="4071" xr:uid="{00000000-0005-0000-0000-00003C210000}"/>
    <cellStyle name="Note 2 5 4 2 2" xfId="8294" xr:uid="{00000000-0005-0000-0000-00003D210000}"/>
    <cellStyle name="Note 2 5 4 2 2 2" xfId="16733" xr:uid="{D136466C-2F87-42B2-B2CF-F11436B1C9F1}"/>
    <cellStyle name="Note 2 5 4 2 3" xfId="12515" xr:uid="{8C58A792-B8EA-4CE8-8AF7-D04EA92088DD}"/>
    <cellStyle name="Note 2 5 4 3" xfId="6149" xr:uid="{00000000-0005-0000-0000-00003E210000}"/>
    <cellStyle name="Note 2 5 4 3 2" xfId="14588" xr:uid="{DBFC1DD1-4743-4BE7-B6BC-E98345240F94}"/>
    <cellStyle name="Note 2 5 4 4" xfId="10370" xr:uid="{34F3570D-00BE-4E6B-A641-74C74545063A}"/>
    <cellStyle name="Note 2 5 5" xfId="2255" xr:uid="{00000000-0005-0000-0000-00003F210000}"/>
    <cellStyle name="Note 2 5 5 2" xfId="4484" xr:uid="{00000000-0005-0000-0000-000040210000}"/>
    <cellStyle name="Note 2 5 5 2 2" xfId="8707" xr:uid="{00000000-0005-0000-0000-000041210000}"/>
    <cellStyle name="Note 2 5 5 2 2 2" xfId="17146" xr:uid="{23C579AD-CB8C-4AB5-B71E-D727D5FC51D1}"/>
    <cellStyle name="Note 2 5 5 2 3" xfId="12928" xr:uid="{31D29278-FA17-43E1-86DC-7D04902ECD1D}"/>
    <cellStyle name="Note 2 5 5 3" xfId="6562" xr:uid="{00000000-0005-0000-0000-000042210000}"/>
    <cellStyle name="Note 2 5 5 3 2" xfId="15001" xr:uid="{3D76895B-9AA4-4CA7-8D49-1424B9415CA0}"/>
    <cellStyle name="Note 2 5 5 4" xfId="10783" xr:uid="{D8F896CD-B697-448C-9BD9-70AB178B1713}"/>
    <cellStyle name="Note 2 5 6" xfId="2691" xr:uid="{00000000-0005-0000-0000-000043210000}"/>
    <cellStyle name="Note 2 5 6 2" xfId="6975" xr:uid="{00000000-0005-0000-0000-000044210000}"/>
    <cellStyle name="Note 2 5 6 2 2" xfId="15414" xr:uid="{1C16423B-1ED6-4607-A1BF-BD8C5F5E4D5A}"/>
    <cellStyle name="Note 2 5 6 3" xfId="11196" xr:uid="{F8C75C68-333D-4B0C-8D32-DF0B210554A4}"/>
    <cellStyle name="Note 2 5 7" xfId="2750" xr:uid="{00000000-0005-0000-0000-000045210000}"/>
    <cellStyle name="Note 2 5 8" xfId="2831" xr:uid="{00000000-0005-0000-0000-000046210000}"/>
    <cellStyle name="Note 2 5 8 2" xfId="7055" xr:uid="{00000000-0005-0000-0000-000047210000}"/>
    <cellStyle name="Note 2 5 8 2 2" xfId="15494" xr:uid="{D29C3B5E-AAB1-4DCC-B6C6-41EB195CFC7A}"/>
    <cellStyle name="Note 2 5 8 3" xfId="11276" xr:uid="{138A43DB-D952-4682-B085-5D09BFE3B700}"/>
    <cellStyle name="Note 2 5 9" xfId="4910" xr:uid="{00000000-0005-0000-0000-000048210000}"/>
    <cellStyle name="Note 2 5 9 2" xfId="13349" xr:uid="{897A402F-B4D4-488F-A7BC-C580C624A238}"/>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0 2 2" xfId="15495" xr:uid="{3839454E-A5EC-49B7-838F-48E2F291EA06}"/>
    <cellStyle name="Note 3 2 10 3" xfId="11277" xr:uid="{0FB83B8D-D13A-4117-92F2-B0AA6376C625}"/>
    <cellStyle name="Note 3 2 11" xfId="4911" xr:uid="{00000000-0005-0000-0000-00004D210000}"/>
    <cellStyle name="Note 3 2 11 2" xfId="13350" xr:uid="{2EA7D724-E746-41CF-839D-60D82F4F9D83}"/>
    <cellStyle name="Note 3 2 12" xfId="9132" xr:uid="{B95745E4-74CD-46C2-9663-293EBDCDEFD7}"/>
    <cellStyle name="Note 3 2 2" xfId="555" xr:uid="{00000000-0005-0000-0000-00004E210000}"/>
    <cellStyle name="Note 3 2 2 10" xfId="4912" xr:uid="{00000000-0005-0000-0000-00004F210000}"/>
    <cellStyle name="Note 3 2 2 10 2" xfId="13351" xr:uid="{B7C60433-832E-4512-B7FF-4225BF26EED6}"/>
    <cellStyle name="Note 3 2 2 11" xfId="9133" xr:uid="{FB34C126-B3F2-4D1C-B2F7-5F5100CD13CD}"/>
    <cellStyle name="Note 3 2 2 2" xfId="556" xr:uid="{00000000-0005-0000-0000-000050210000}"/>
    <cellStyle name="Note 3 2 2 2 10" xfId="9134" xr:uid="{FE17E089-7F72-435E-A319-E59D1310B746}"/>
    <cellStyle name="Note 3 2 2 2 2" xfId="1016" xr:uid="{00000000-0005-0000-0000-000051210000}"/>
    <cellStyle name="Note 3 2 2 2 2 2" xfId="3248" xr:uid="{00000000-0005-0000-0000-000052210000}"/>
    <cellStyle name="Note 3 2 2 2 2 2 2" xfId="7471" xr:uid="{00000000-0005-0000-0000-000053210000}"/>
    <cellStyle name="Note 3 2 2 2 2 2 2 2" xfId="15910" xr:uid="{7E05C7D8-B900-40EC-95FF-5A71C1F01A21}"/>
    <cellStyle name="Note 3 2 2 2 2 2 3" xfId="11692" xr:uid="{806B5F3A-98C2-4872-936F-C880D5501B3F}"/>
    <cellStyle name="Note 3 2 2 2 2 3" xfId="5326" xr:uid="{00000000-0005-0000-0000-000054210000}"/>
    <cellStyle name="Note 3 2 2 2 2 3 2" xfId="13765" xr:uid="{2CF5B098-0C43-4C49-8498-FBF9DCDE72AC}"/>
    <cellStyle name="Note 3 2 2 2 2 4" xfId="9547" xr:uid="{33E433AA-2B06-4DF8-8E50-B9A2543F6CDF}"/>
    <cellStyle name="Note 3 2 2 2 3" xfId="1431" xr:uid="{00000000-0005-0000-0000-000055210000}"/>
    <cellStyle name="Note 3 2 2 2 3 2" xfId="3661" xr:uid="{00000000-0005-0000-0000-000056210000}"/>
    <cellStyle name="Note 3 2 2 2 3 2 2" xfId="7884" xr:uid="{00000000-0005-0000-0000-000057210000}"/>
    <cellStyle name="Note 3 2 2 2 3 2 2 2" xfId="16323" xr:uid="{CD92DD3B-5AEA-4968-A78E-DACADFAD6A95}"/>
    <cellStyle name="Note 3 2 2 2 3 2 3" xfId="12105" xr:uid="{D80B43AB-0ED1-45BD-B21B-24C4D394611C}"/>
    <cellStyle name="Note 3 2 2 2 3 3" xfId="5739" xr:uid="{00000000-0005-0000-0000-000058210000}"/>
    <cellStyle name="Note 3 2 2 2 3 3 2" xfId="14178" xr:uid="{C3F554DB-16F6-4500-ADB4-BBD7F269475B}"/>
    <cellStyle name="Note 3 2 2 2 3 4" xfId="9960" xr:uid="{48AFB501-269C-4E8F-B74A-DF258490D8B6}"/>
    <cellStyle name="Note 3 2 2 2 4" xfId="1845" xr:uid="{00000000-0005-0000-0000-000059210000}"/>
    <cellStyle name="Note 3 2 2 2 4 2" xfId="4074" xr:uid="{00000000-0005-0000-0000-00005A210000}"/>
    <cellStyle name="Note 3 2 2 2 4 2 2" xfId="8297" xr:uid="{00000000-0005-0000-0000-00005B210000}"/>
    <cellStyle name="Note 3 2 2 2 4 2 2 2" xfId="16736" xr:uid="{0E0134F2-70A0-47B0-BD13-E641D84BAACF}"/>
    <cellStyle name="Note 3 2 2 2 4 2 3" xfId="12518" xr:uid="{6097AA59-E90D-406E-ACB7-C65C1B3F4056}"/>
    <cellStyle name="Note 3 2 2 2 4 3" xfId="6152" xr:uid="{00000000-0005-0000-0000-00005C210000}"/>
    <cellStyle name="Note 3 2 2 2 4 3 2" xfId="14591" xr:uid="{5BE7D18D-F3C5-4E0F-8E5C-D902A5BFC833}"/>
    <cellStyle name="Note 3 2 2 2 4 4" xfId="10373" xr:uid="{8E58D01D-7635-497E-9BD0-891188BB3DB3}"/>
    <cellStyle name="Note 3 2 2 2 5" xfId="2258" xr:uid="{00000000-0005-0000-0000-00005D210000}"/>
    <cellStyle name="Note 3 2 2 2 5 2" xfId="4487" xr:uid="{00000000-0005-0000-0000-00005E210000}"/>
    <cellStyle name="Note 3 2 2 2 5 2 2" xfId="8710" xr:uid="{00000000-0005-0000-0000-00005F210000}"/>
    <cellStyle name="Note 3 2 2 2 5 2 2 2" xfId="17149" xr:uid="{EB7DB01B-FE40-498F-9DA3-8CEA5E37E1EB}"/>
    <cellStyle name="Note 3 2 2 2 5 2 3" xfId="12931" xr:uid="{052BFEB5-FA43-45A4-8D8F-19160AA58E84}"/>
    <cellStyle name="Note 3 2 2 2 5 3" xfId="6565" xr:uid="{00000000-0005-0000-0000-000060210000}"/>
    <cellStyle name="Note 3 2 2 2 5 3 2" xfId="15004" xr:uid="{3AC65758-D761-46A2-8466-1C3F9E1A3958}"/>
    <cellStyle name="Note 3 2 2 2 5 4" xfId="10786" xr:uid="{782EC4F3-EEBE-4595-A212-D0487B1B81DC}"/>
    <cellStyle name="Note 3 2 2 2 6" xfId="2694" xr:uid="{00000000-0005-0000-0000-000061210000}"/>
    <cellStyle name="Note 3 2 2 2 6 2" xfId="6978" xr:uid="{00000000-0005-0000-0000-000062210000}"/>
    <cellStyle name="Note 3 2 2 2 6 2 2" xfId="15417" xr:uid="{50D95AC4-2D57-4B99-8C29-18B089B6D23D}"/>
    <cellStyle name="Note 3 2 2 2 6 3" xfId="11199" xr:uid="{932BEAFD-1EDC-4841-9FA5-89A3CC3D1A69}"/>
    <cellStyle name="Note 3 2 2 2 7" xfId="2753" xr:uid="{00000000-0005-0000-0000-000063210000}"/>
    <cellStyle name="Note 3 2 2 2 8" xfId="2834" xr:uid="{00000000-0005-0000-0000-000064210000}"/>
    <cellStyle name="Note 3 2 2 2 8 2" xfId="7058" xr:uid="{00000000-0005-0000-0000-000065210000}"/>
    <cellStyle name="Note 3 2 2 2 8 2 2" xfId="15497" xr:uid="{3410B4D6-2315-4677-8CE6-88EDBDBF27A5}"/>
    <cellStyle name="Note 3 2 2 2 8 3" xfId="11279" xr:uid="{09D1257A-C1C4-4E2B-B3DF-8B3DFB470985}"/>
    <cellStyle name="Note 3 2 2 2 9" xfId="4913" xr:uid="{00000000-0005-0000-0000-000066210000}"/>
    <cellStyle name="Note 3 2 2 2 9 2" xfId="13352" xr:uid="{1B74D2B2-9BC9-498B-AB80-E373F981EECF}"/>
    <cellStyle name="Note 3 2 2 3" xfId="1015" xr:uid="{00000000-0005-0000-0000-000067210000}"/>
    <cellStyle name="Note 3 2 2 3 2" xfId="3247" xr:uid="{00000000-0005-0000-0000-000068210000}"/>
    <cellStyle name="Note 3 2 2 3 2 2" xfId="7470" xr:uid="{00000000-0005-0000-0000-000069210000}"/>
    <cellStyle name="Note 3 2 2 3 2 2 2" xfId="15909" xr:uid="{E4FA6086-EE84-4C8A-A452-3E0A554A6746}"/>
    <cellStyle name="Note 3 2 2 3 2 3" xfId="11691" xr:uid="{3EE02322-8436-47C4-8986-0DAE97BB6A5A}"/>
    <cellStyle name="Note 3 2 2 3 3" xfId="5325" xr:uid="{00000000-0005-0000-0000-00006A210000}"/>
    <cellStyle name="Note 3 2 2 3 3 2" xfId="13764" xr:uid="{915C018A-AD51-4348-AE7E-678CBA575317}"/>
    <cellStyle name="Note 3 2 2 3 4" xfId="9546" xr:uid="{AE5634CD-00DB-4ACF-B0B2-2C378B615C6B}"/>
    <cellStyle name="Note 3 2 2 4" xfId="1430" xr:uid="{00000000-0005-0000-0000-00006B210000}"/>
    <cellStyle name="Note 3 2 2 4 2" xfId="3660" xr:uid="{00000000-0005-0000-0000-00006C210000}"/>
    <cellStyle name="Note 3 2 2 4 2 2" xfId="7883" xr:uid="{00000000-0005-0000-0000-00006D210000}"/>
    <cellStyle name="Note 3 2 2 4 2 2 2" xfId="16322" xr:uid="{7AE2E54A-17F8-4C58-977C-6A508F815A6C}"/>
    <cellStyle name="Note 3 2 2 4 2 3" xfId="12104" xr:uid="{A2EA859C-EBA3-471C-9B64-1AD73DEEC7FA}"/>
    <cellStyle name="Note 3 2 2 4 3" xfId="5738" xr:uid="{00000000-0005-0000-0000-00006E210000}"/>
    <cellStyle name="Note 3 2 2 4 3 2" xfId="14177" xr:uid="{02308FD1-69D1-4A77-8BCA-7A095EB3FD1E}"/>
    <cellStyle name="Note 3 2 2 4 4" xfId="9959" xr:uid="{B8D43284-8D82-4328-881C-FACDFAB93911}"/>
    <cellStyle name="Note 3 2 2 5" xfId="1844" xr:uid="{00000000-0005-0000-0000-00006F210000}"/>
    <cellStyle name="Note 3 2 2 5 2" xfId="4073" xr:uid="{00000000-0005-0000-0000-000070210000}"/>
    <cellStyle name="Note 3 2 2 5 2 2" xfId="8296" xr:uid="{00000000-0005-0000-0000-000071210000}"/>
    <cellStyle name="Note 3 2 2 5 2 2 2" xfId="16735" xr:uid="{A9820193-AEEB-4A9F-987D-9E5BFA45E2F5}"/>
    <cellStyle name="Note 3 2 2 5 2 3" xfId="12517" xr:uid="{0ABADC9E-31D8-4911-9BA3-18548B630CB9}"/>
    <cellStyle name="Note 3 2 2 5 3" xfId="6151" xr:uid="{00000000-0005-0000-0000-000072210000}"/>
    <cellStyle name="Note 3 2 2 5 3 2" xfId="14590" xr:uid="{B14E8F16-B813-4810-96A7-3E9B0E46ADF3}"/>
    <cellStyle name="Note 3 2 2 5 4" xfId="10372" xr:uid="{B734B982-A39F-4C96-9F1C-5BB7276FDC1B}"/>
    <cellStyle name="Note 3 2 2 6" xfId="2257" xr:uid="{00000000-0005-0000-0000-000073210000}"/>
    <cellStyle name="Note 3 2 2 6 2" xfId="4486" xr:uid="{00000000-0005-0000-0000-000074210000}"/>
    <cellStyle name="Note 3 2 2 6 2 2" xfId="8709" xr:uid="{00000000-0005-0000-0000-000075210000}"/>
    <cellStyle name="Note 3 2 2 6 2 2 2" xfId="17148" xr:uid="{5C29768B-0D38-4D06-8592-45E4958A4167}"/>
    <cellStyle name="Note 3 2 2 6 2 3" xfId="12930" xr:uid="{1C2981F6-53CD-4786-BD95-EE99B876693E}"/>
    <cellStyle name="Note 3 2 2 6 3" xfId="6564" xr:uid="{00000000-0005-0000-0000-000076210000}"/>
    <cellStyle name="Note 3 2 2 6 3 2" xfId="15003" xr:uid="{0B733A92-81F4-46A1-A7A9-07A9A4C29E5C}"/>
    <cellStyle name="Note 3 2 2 6 4" xfId="10785" xr:uid="{1AB8EEBC-1782-4CE8-A864-566FD8D68F70}"/>
    <cellStyle name="Note 3 2 2 7" xfId="2693" xr:uid="{00000000-0005-0000-0000-000077210000}"/>
    <cellStyle name="Note 3 2 2 7 2" xfId="6977" xr:uid="{00000000-0005-0000-0000-000078210000}"/>
    <cellStyle name="Note 3 2 2 7 2 2" xfId="15416" xr:uid="{C69FCF7B-4727-457B-968E-2C2A77EED538}"/>
    <cellStyle name="Note 3 2 2 7 3" xfId="11198" xr:uid="{7CF96E87-208F-43DC-A871-0C1F1F7941C3}"/>
    <cellStyle name="Note 3 2 2 8" xfId="2752" xr:uid="{00000000-0005-0000-0000-000079210000}"/>
    <cellStyle name="Note 3 2 2 9" xfId="2833" xr:uid="{00000000-0005-0000-0000-00007A210000}"/>
    <cellStyle name="Note 3 2 2 9 2" xfId="7057" xr:uid="{00000000-0005-0000-0000-00007B210000}"/>
    <cellStyle name="Note 3 2 2 9 2 2" xfId="15496" xr:uid="{7BE5F083-E5BB-48B6-8882-7090C0C56B07}"/>
    <cellStyle name="Note 3 2 2 9 3" xfId="11278" xr:uid="{FE0CC85B-8483-4537-8252-7DB8A496685B}"/>
    <cellStyle name="Note 3 2 3" xfId="557" xr:uid="{00000000-0005-0000-0000-00007C210000}"/>
    <cellStyle name="Note 3 2 3 10" xfId="9135" xr:uid="{5C9CC903-BE66-4D99-A299-7204D1753363}"/>
    <cellStyle name="Note 3 2 3 2" xfId="1017" xr:uid="{00000000-0005-0000-0000-00007D210000}"/>
    <cellStyle name="Note 3 2 3 2 2" xfId="3249" xr:uid="{00000000-0005-0000-0000-00007E210000}"/>
    <cellStyle name="Note 3 2 3 2 2 2" xfId="7472" xr:uid="{00000000-0005-0000-0000-00007F210000}"/>
    <cellStyle name="Note 3 2 3 2 2 2 2" xfId="15911" xr:uid="{127D8EAB-1D7B-45EC-9225-54F47A2A5486}"/>
    <cellStyle name="Note 3 2 3 2 2 3" xfId="11693" xr:uid="{8E23CC8D-84D7-449D-9191-6A3EC58A8302}"/>
    <cellStyle name="Note 3 2 3 2 3" xfId="5327" xr:uid="{00000000-0005-0000-0000-000080210000}"/>
    <cellStyle name="Note 3 2 3 2 3 2" xfId="13766" xr:uid="{5B8A630D-AD66-41C1-AF3E-8944EE3B32B6}"/>
    <cellStyle name="Note 3 2 3 2 4" xfId="9548" xr:uid="{75409C37-8408-43A4-9C02-3A0D89F5EEDA}"/>
    <cellStyle name="Note 3 2 3 3" xfId="1432" xr:uid="{00000000-0005-0000-0000-000081210000}"/>
    <cellStyle name="Note 3 2 3 3 2" xfId="3662" xr:uid="{00000000-0005-0000-0000-000082210000}"/>
    <cellStyle name="Note 3 2 3 3 2 2" xfId="7885" xr:uid="{00000000-0005-0000-0000-000083210000}"/>
    <cellStyle name="Note 3 2 3 3 2 2 2" xfId="16324" xr:uid="{76B4A65C-39DD-4D4A-85D5-D859830D6D5A}"/>
    <cellStyle name="Note 3 2 3 3 2 3" xfId="12106" xr:uid="{352B00EE-8EDE-441E-A419-24AF245F5883}"/>
    <cellStyle name="Note 3 2 3 3 3" xfId="5740" xr:uid="{00000000-0005-0000-0000-000084210000}"/>
    <cellStyle name="Note 3 2 3 3 3 2" xfId="14179" xr:uid="{2B3C42A6-35D5-4EF0-8B93-1553F1BAF615}"/>
    <cellStyle name="Note 3 2 3 3 4" xfId="9961" xr:uid="{956ED413-5E45-487E-916A-35297AA67408}"/>
    <cellStyle name="Note 3 2 3 4" xfId="1846" xr:uid="{00000000-0005-0000-0000-000085210000}"/>
    <cellStyle name="Note 3 2 3 4 2" xfId="4075" xr:uid="{00000000-0005-0000-0000-000086210000}"/>
    <cellStyle name="Note 3 2 3 4 2 2" xfId="8298" xr:uid="{00000000-0005-0000-0000-000087210000}"/>
    <cellStyle name="Note 3 2 3 4 2 2 2" xfId="16737" xr:uid="{D38EBFEF-190A-459A-B423-ACBF13EB0CF6}"/>
    <cellStyle name="Note 3 2 3 4 2 3" xfId="12519" xr:uid="{808ABBD6-F17A-4A6F-AD80-58D3AB9AA256}"/>
    <cellStyle name="Note 3 2 3 4 3" xfId="6153" xr:uid="{00000000-0005-0000-0000-000088210000}"/>
    <cellStyle name="Note 3 2 3 4 3 2" xfId="14592" xr:uid="{38022B62-88EA-456C-AAC3-A5644DD511CA}"/>
    <cellStyle name="Note 3 2 3 4 4" xfId="10374" xr:uid="{EF59C723-A5A6-4D8E-B311-1B52A1E69412}"/>
    <cellStyle name="Note 3 2 3 5" xfId="2259" xr:uid="{00000000-0005-0000-0000-000089210000}"/>
    <cellStyle name="Note 3 2 3 5 2" xfId="4488" xr:uid="{00000000-0005-0000-0000-00008A210000}"/>
    <cellStyle name="Note 3 2 3 5 2 2" xfId="8711" xr:uid="{00000000-0005-0000-0000-00008B210000}"/>
    <cellStyle name="Note 3 2 3 5 2 2 2" xfId="17150" xr:uid="{A8931B80-3739-416D-AA25-4C0157489C43}"/>
    <cellStyle name="Note 3 2 3 5 2 3" xfId="12932" xr:uid="{B58F5F93-FDFA-48CF-B8EF-D7C856328587}"/>
    <cellStyle name="Note 3 2 3 5 3" xfId="6566" xr:uid="{00000000-0005-0000-0000-00008C210000}"/>
    <cellStyle name="Note 3 2 3 5 3 2" xfId="15005" xr:uid="{DE860D98-85C8-4375-9672-B08382715D01}"/>
    <cellStyle name="Note 3 2 3 5 4" xfId="10787" xr:uid="{0B167F8E-1FD2-4006-A683-9F6A926A8351}"/>
    <cellStyle name="Note 3 2 3 6" xfId="2695" xr:uid="{00000000-0005-0000-0000-00008D210000}"/>
    <cellStyle name="Note 3 2 3 6 2" xfId="6979" xr:uid="{00000000-0005-0000-0000-00008E210000}"/>
    <cellStyle name="Note 3 2 3 6 2 2" xfId="15418" xr:uid="{DD63278F-9D73-44AA-A894-FD012F1269C7}"/>
    <cellStyle name="Note 3 2 3 6 3" xfId="11200" xr:uid="{B3667149-EAB9-431B-A77A-18F3261DC2C6}"/>
    <cellStyle name="Note 3 2 3 7" xfId="2754" xr:uid="{00000000-0005-0000-0000-00008F210000}"/>
    <cellStyle name="Note 3 2 3 8" xfId="2835" xr:uid="{00000000-0005-0000-0000-000090210000}"/>
    <cellStyle name="Note 3 2 3 8 2" xfId="7059" xr:uid="{00000000-0005-0000-0000-000091210000}"/>
    <cellStyle name="Note 3 2 3 8 2 2" xfId="15498" xr:uid="{5777D6C2-11A1-472A-909D-1379FAC84498}"/>
    <cellStyle name="Note 3 2 3 8 3" xfId="11280" xr:uid="{669372F9-B517-4D90-B35B-BA1DA32C5387}"/>
    <cellStyle name="Note 3 2 3 9" xfId="4914" xr:uid="{00000000-0005-0000-0000-000092210000}"/>
    <cellStyle name="Note 3 2 3 9 2" xfId="13353" xr:uid="{BB0CCC59-AC31-4EEE-9918-8CB71EECF622}"/>
    <cellStyle name="Note 3 2 4" xfId="1014" xr:uid="{00000000-0005-0000-0000-000093210000}"/>
    <cellStyle name="Note 3 2 4 2" xfId="3246" xr:uid="{00000000-0005-0000-0000-000094210000}"/>
    <cellStyle name="Note 3 2 4 2 2" xfId="7469" xr:uid="{00000000-0005-0000-0000-000095210000}"/>
    <cellStyle name="Note 3 2 4 2 2 2" xfId="15908" xr:uid="{593BC7E0-65F5-4EEA-867B-F2F77D81100B}"/>
    <cellStyle name="Note 3 2 4 2 3" xfId="11690" xr:uid="{1EC1F856-230D-42B7-A82D-F856AC078B5B}"/>
    <cellStyle name="Note 3 2 4 3" xfId="5324" xr:uid="{00000000-0005-0000-0000-000096210000}"/>
    <cellStyle name="Note 3 2 4 3 2" xfId="13763" xr:uid="{CEB8D3DD-9C1F-4891-8BCA-313E1800F2A2}"/>
    <cellStyle name="Note 3 2 4 4" xfId="9545" xr:uid="{9364B675-AC19-4315-8C29-EF046E81293F}"/>
    <cellStyle name="Note 3 2 5" xfId="1429" xr:uid="{00000000-0005-0000-0000-000097210000}"/>
    <cellStyle name="Note 3 2 5 2" xfId="3659" xr:uid="{00000000-0005-0000-0000-000098210000}"/>
    <cellStyle name="Note 3 2 5 2 2" xfId="7882" xr:uid="{00000000-0005-0000-0000-000099210000}"/>
    <cellStyle name="Note 3 2 5 2 2 2" xfId="16321" xr:uid="{96636A8B-587A-4E15-8EA6-FF16517DEEE7}"/>
    <cellStyle name="Note 3 2 5 2 3" xfId="12103" xr:uid="{D3E06172-A908-4A7D-94FF-6A6A8FD84A00}"/>
    <cellStyle name="Note 3 2 5 3" xfId="5737" xr:uid="{00000000-0005-0000-0000-00009A210000}"/>
    <cellStyle name="Note 3 2 5 3 2" xfId="14176" xr:uid="{D3489B9B-982A-4387-B377-41345C9F7A4C}"/>
    <cellStyle name="Note 3 2 5 4" xfId="9958" xr:uid="{B575FE63-5BF0-4CCF-9BF8-7F95BDF6F7C1}"/>
    <cellStyle name="Note 3 2 6" xfId="1843" xr:uid="{00000000-0005-0000-0000-00009B210000}"/>
    <cellStyle name="Note 3 2 6 2" xfId="4072" xr:uid="{00000000-0005-0000-0000-00009C210000}"/>
    <cellStyle name="Note 3 2 6 2 2" xfId="8295" xr:uid="{00000000-0005-0000-0000-00009D210000}"/>
    <cellStyle name="Note 3 2 6 2 2 2" xfId="16734" xr:uid="{289F83C5-64AB-4283-8E78-9677233A467D}"/>
    <cellStyle name="Note 3 2 6 2 3" xfId="12516" xr:uid="{C642380B-5AD4-4A7C-8433-4E960D72AA49}"/>
    <cellStyle name="Note 3 2 6 3" xfId="6150" xr:uid="{00000000-0005-0000-0000-00009E210000}"/>
    <cellStyle name="Note 3 2 6 3 2" xfId="14589" xr:uid="{AC9A0F4E-8536-4CBC-AAB7-09CB20721EF0}"/>
    <cellStyle name="Note 3 2 6 4" xfId="10371" xr:uid="{013314B0-FBC7-43F4-AE96-A5BE5416DC0A}"/>
    <cellStyle name="Note 3 2 7" xfId="2256" xr:uid="{00000000-0005-0000-0000-00009F210000}"/>
    <cellStyle name="Note 3 2 7 2" xfId="4485" xr:uid="{00000000-0005-0000-0000-0000A0210000}"/>
    <cellStyle name="Note 3 2 7 2 2" xfId="8708" xr:uid="{00000000-0005-0000-0000-0000A1210000}"/>
    <cellStyle name="Note 3 2 7 2 2 2" xfId="17147" xr:uid="{C35C3689-7A6A-4A07-8C16-55DB8BEF4F86}"/>
    <cellStyle name="Note 3 2 7 2 3" xfId="12929" xr:uid="{8036E7FD-4BB2-4E76-A297-D14CD2F00E7B}"/>
    <cellStyle name="Note 3 2 7 3" xfId="6563" xr:uid="{00000000-0005-0000-0000-0000A2210000}"/>
    <cellStyle name="Note 3 2 7 3 2" xfId="15002" xr:uid="{9F14D0BF-F2DB-4B95-9309-2EA123ACDAFE}"/>
    <cellStyle name="Note 3 2 7 4" xfId="10784" xr:uid="{FFD6CB16-DD5C-4365-90CB-A8DE2492460F}"/>
    <cellStyle name="Note 3 2 8" xfId="2692" xr:uid="{00000000-0005-0000-0000-0000A3210000}"/>
    <cellStyle name="Note 3 2 8 2" xfId="6976" xr:uid="{00000000-0005-0000-0000-0000A4210000}"/>
    <cellStyle name="Note 3 2 8 2 2" xfId="15415" xr:uid="{63208810-454E-4C16-8299-E3BD9B4F4555}"/>
    <cellStyle name="Note 3 2 8 3" xfId="11197" xr:uid="{B605DAFC-050E-40C8-A587-9B64EF636F16}"/>
    <cellStyle name="Note 3 2 9" xfId="2751" xr:uid="{00000000-0005-0000-0000-0000A5210000}"/>
    <cellStyle name="Note 3 3" xfId="558" xr:uid="{00000000-0005-0000-0000-0000A6210000}"/>
    <cellStyle name="Note 3 3 10" xfId="4915" xr:uid="{00000000-0005-0000-0000-0000A7210000}"/>
    <cellStyle name="Note 3 3 10 2" xfId="13354" xr:uid="{9AD09F28-DB9D-42AD-8060-63B853DE305F}"/>
    <cellStyle name="Note 3 3 11" xfId="9136" xr:uid="{11B2ADB0-53D1-4266-8E66-4D592F4801FE}"/>
    <cellStyle name="Note 3 3 2" xfId="559" xr:uid="{00000000-0005-0000-0000-0000A8210000}"/>
    <cellStyle name="Note 3 3 2 10" xfId="9137" xr:uid="{8658AECE-E36A-4BFE-94AC-C3AD33EB0461}"/>
    <cellStyle name="Note 3 3 2 2" xfId="1019" xr:uid="{00000000-0005-0000-0000-0000A9210000}"/>
    <cellStyle name="Note 3 3 2 2 2" xfId="3251" xr:uid="{00000000-0005-0000-0000-0000AA210000}"/>
    <cellStyle name="Note 3 3 2 2 2 2" xfId="7474" xr:uid="{00000000-0005-0000-0000-0000AB210000}"/>
    <cellStyle name="Note 3 3 2 2 2 2 2" xfId="15913" xr:uid="{3EDE2FFC-1F15-4D96-840B-0FF43E3986F3}"/>
    <cellStyle name="Note 3 3 2 2 2 3" xfId="11695" xr:uid="{3E0D5EBE-0ED3-4991-814E-E22DE682F1C9}"/>
    <cellStyle name="Note 3 3 2 2 3" xfId="5329" xr:uid="{00000000-0005-0000-0000-0000AC210000}"/>
    <cellStyle name="Note 3 3 2 2 3 2" xfId="13768" xr:uid="{28C18930-2F60-461E-A844-78AF4922833B}"/>
    <cellStyle name="Note 3 3 2 2 4" xfId="9550" xr:uid="{70C4ECCA-43B4-4DC6-A1E8-F2753F7188B5}"/>
    <cellStyle name="Note 3 3 2 3" xfId="1434" xr:uid="{00000000-0005-0000-0000-0000AD210000}"/>
    <cellStyle name="Note 3 3 2 3 2" xfId="3664" xr:uid="{00000000-0005-0000-0000-0000AE210000}"/>
    <cellStyle name="Note 3 3 2 3 2 2" xfId="7887" xr:uid="{00000000-0005-0000-0000-0000AF210000}"/>
    <cellStyle name="Note 3 3 2 3 2 2 2" xfId="16326" xr:uid="{CA4A6F44-7239-4D13-A888-12194F4EC385}"/>
    <cellStyle name="Note 3 3 2 3 2 3" xfId="12108" xr:uid="{ADFBD271-DC5D-4A79-8233-59E3C943BDE6}"/>
    <cellStyle name="Note 3 3 2 3 3" xfId="5742" xr:uid="{00000000-0005-0000-0000-0000B0210000}"/>
    <cellStyle name="Note 3 3 2 3 3 2" xfId="14181" xr:uid="{D5C082CB-3DB3-44D2-A546-63FC8E94BDD0}"/>
    <cellStyle name="Note 3 3 2 3 4" xfId="9963" xr:uid="{B3BE369B-3B9E-4A87-A327-789532B5D20E}"/>
    <cellStyle name="Note 3 3 2 4" xfId="1848" xr:uid="{00000000-0005-0000-0000-0000B1210000}"/>
    <cellStyle name="Note 3 3 2 4 2" xfId="4077" xr:uid="{00000000-0005-0000-0000-0000B2210000}"/>
    <cellStyle name="Note 3 3 2 4 2 2" xfId="8300" xr:uid="{00000000-0005-0000-0000-0000B3210000}"/>
    <cellStyle name="Note 3 3 2 4 2 2 2" xfId="16739" xr:uid="{9798C442-35D4-4FB7-AED7-EA06AB1C9E3C}"/>
    <cellStyle name="Note 3 3 2 4 2 3" xfId="12521" xr:uid="{707F8472-4CA3-4779-8EC2-F96B40DE4B0E}"/>
    <cellStyle name="Note 3 3 2 4 3" xfId="6155" xr:uid="{00000000-0005-0000-0000-0000B4210000}"/>
    <cellStyle name="Note 3 3 2 4 3 2" xfId="14594" xr:uid="{55363A11-41C6-49A0-AA0E-502DD3940097}"/>
    <cellStyle name="Note 3 3 2 4 4" xfId="10376" xr:uid="{CFB13D97-37E6-49AC-9C62-D900308E3FC0}"/>
    <cellStyle name="Note 3 3 2 5" xfId="2261" xr:uid="{00000000-0005-0000-0000-0000B5210000}"/>
    <cellStyle name="Note 3 3 2 5 2" xfId="4490" xr:uid="{00000000-0005-0000-0000-0000B6210000}"/>
    <cellStyle name="Note 3 3 2 5 2 2" xfId="8713" xr:uid="{00000000-0005-0000-0000-0000B7210000}"/>
    <cellStyle name="Note 3 3 2 5 2 2 2" xfId="17152" xr:uid="{ECF746C7-E928-46D8-A09D-E7A33274CB3D}"/>
    <cellStyle name="Note 3 3 2 5 2 3" xfId="12934" xr:uid="{03B4A4C6-7B47-4124-AC83-C3FC1BE37FB5}"/>
    <cellStyle name="Note 3 3 2 5 3" xfId="6568" xr:uid="{00000000-0005-0000-0000-0000B8210000}"/>
    <cellStyle name="Note 3 3 2 5 3 2" xfId="15007" xr:uid="{67D5CA17-287D-4C56-A6E7-3DFB42B66370}"/>
    <cellStyle name="Note 3 3 2 5 4" xfId="10789" xr:uid="{40AF5337-065A-4CC5-9236-2B1811DE7BA4}"/>
    <cellStyle name="Note 3 3 2 6" xfId="2697" xr:uid="{00000000-0005-0000-0000-0000B9210000}"/>
    <cellStyle name="Note 3 3 2 6 2" xfId="6981" xr:uid="{00000000-0005-0000-0000-0000BA210000}"/>
    <cellStyle name="Note 3 3 2 6 2 2" xfId="15420" xr:uid="{3504D3F1-E2F1-42B3-AE47-47F82AAEA0D3}"/>
    <cellStyle name="Note 3 3 2 6 3" xfId="11202" xr:uid="{2D66EA26-C7C7-4649-9543-B8EA9F03FE0E}"/>
    <cellStyle name="Note 3 3 2 7" xfId="2756" xr:uid="{00000000-0005-0000-0000-0000BB210000}"/>
    <cellStyle name="Note 3 3 2 8" xfId="2837" xr:uid="{00000000-0005-0000-0000-0000BC210000}"/>
    <cellStyle name="Note 3 3 2 8 2" xfId="7061" xr:uid="{00000000-0005-0000-0000-0000BD210000}"/>
    <cellStyle name="Note 3 3 2 8 2 2" xfId="15500" xr:uid="{5DDBC7B0-060A-4ABA-ADC9-9C4AEA046A23}"/>
    <cellStyle name="Note 3 3 2 8 3" xfId="11282" xr:uid="{0D5C3BEB-9704-4AA9-9277-4C661FE4210F}"/>
    <cellStyle name="Note 3 3 2 9" xfId="4916" xr:uid="{00000000-0005-0000-0000-0000BE210000}"/>
    <cellStyle name="Note 3 3 2 9 2" xfId="13355" xr:uid="{C8744E71-8954-46EF-AB2A-ED8B6F14C8C2}"/>
    <cellStyle name="Note 3 3 3" xfId="1018" xr:uid="{00000000-0005-0000-0000-0000BF210000}"/>
    <cellStyle name="Note 3 3 3 2" xfId="3250" xr:uid="{00000000-0005-0000-0000-0000C0210000}"/>
    <cellStyle name="Note 3 3 3 2 2" xfId="7473" xr:uid="{00000000-0005-0000-0000-0000C1210000}"/>
    <cellStyle name="Note 3 3 3 2 2 2" xfId="15912" xr:uid="{C690D808-8BF1-48B5-811F-D17917006EC8}"/>
    <cellStyle name="Note 3 3 3 2 3" xfId="11694" xr:uid="{FBEDB272-C28F-4BBE-9164-0AD2ACFC1F86}"/>
    <cellStyle name="Note 3 3 3 3" xfId="5328" xr:uid="{00000000-0005-0000-0000-0000C2210000}"/>
    <cellStyle name="Note 3 3 3 3 2" xfId="13767" xr:uid="{D98A8A96-11AA-43D4-A9AD-9D4A95C356B6}"/>
    <cellStyle name="Note 3 3 3 4" xfId="9549" xr:uid="{79E0420D-79C4-4E03-9556-0385D5951B5C}"/>
    <cellStyle name="Note 3 3 4" xfId="1433" xr:uid="{00000000-0005-0000-0000-0000C3210000}"/>
    <cellStyle name="Note 3 3 4 2" xfId="3663" xr:uid="{00000000-0005-0000-0000-0000C4210000}"/>
    <cellStyle name="Note 3 3 4 2 2" xfId="7886" xr:uid="{00000000-0005-0000-0000-0000C5210000}"/>
    <cellStyle name="Note 3 3 4 2 2 2" xfId="16325" xr:uid="{8BC196FC-1658-49F2-9253-7DA4B263C8F0}"/>
    <cellStyle name="Note 3 3 4 2 3" xfId="12107" xr:uid="{E8222052-71E9-4F03-B1B4-13B8E284784B}"/>
    <cellStyle name="Note 3 3 4 3" xfId="5741" xr:uid="{00000000-0005-0000-0000-0000C6210000}"/>
    <cellStyle name="Note 3 3 4 3 2" xfId="14180" xr:uid="{A74992EA-2D73-49AA-8918-89596B78A3F2}"/>
    <cellStyle name="Note 3 3 4 4" xfId="9962" xr:uid="{80B140F3-9FE3-4B39-ABD9-A3435B0055D7}"/>
    <cellStyle name="Note 3 3 5" xfId="1847" xr:uid="{00000000-0005-0000-0000-0000C7210000}"/>
    <cellStyle name="Note 3 3 5 2" xfId="4076" xr:uid="{00000000-0005-0000-0000-0000C8210000}"/>
    <cellStyle name="Note 3 3 5 2 2" xfId="8299" xr:uid="{00000000-0005-0000-0000-0000C9210000}"/>
    <cellStyle name="Note 3 3 5 2 2 2" xfId="16738" xr:uid="{4CE42A7B-B3E8-4165-A26C-75FADCE6971F}"/>
    <cellStyle name="Note 3 3 5 2 3" xfId="12520" xr:uid="{42CA5C06-729D-48D0-9C95-21058499C229}"/>
    <cellStyle name="Note 3 3 5 3" xfId="6154" xr:uid="{00000000-0005-0000-0000-0000CA210000}"/>
    <cellStyle name="Note 3 3 5 3 2" xfId="14593" xr:uid="{18141447-BC5F-4E1E-A827-782AE18B7D15}"/>
    <cellStyle name="Note 3 3 5 4" xfId="10375" xr:uid="{86C77A7B-B795-4517-BD40-73CCA947D449}"/>
    <cellStyle name="Note 3 3 6" xfId="2260" xr:uid="{00000000-0005-0000-0000-0000CB210000}"/>
    <cellStyle name="Note 3 3 6 2" xfId="4489" xr:uid="{00000000-0005-0000-0000-0000CC210000}"/>
    <cellStyle name="Note 3 3 6 2 2" xfId="8712" xr:uid="{00000000-0005-0000-0000-0000CD210000}"/>
    <cellStyle name="Note 3 3 6 2 2 2" xfId="17151" xr:uid="{5CB84FF9-740E-4BC5-9851-61FF6D4591FD}"/>
    <cellStyle name="Note 3 3 6 2 3" xfId="12933" xr:uid="{5077C9E9-5236-402B-80CF-10528400FEAF}"/>
    <cellStyle name="Note 3 3 6 3" xfId="6567" xr:uid="{00000000-0005-0000-0000-0000CE210000}"/>
    <cellStyle name="Note 3 3 6 3 2" xfId="15006" xr:uid="{DC3D6266-27EA-4CC7-A814-86633A3C235C}"/>
    <cellStyle name="Note 3 3 6 4" xfId="10788" xr:uid="{8D28230E-C8FE-431B-B005-013C60E15CE1}"/>
    <cellStyle name="Note 3 3 7" xfId="2696" xr:uid="{00000000-0005-0000-0000-0000CF210000}"/>
    <cellStyle name="Note 3 3 7 2" xfId="6980" xr:uid="{00000000-0005-0000-0000-0000D0210000}"/>
    <cellStyle name="Note 3 3 7 2 2" xfId="15419" xr:uid="{D03F4A28-6E77-4931-AF20-0749BC5E4BAB}"/>
    <cellStyle name="Note 3 3 7 3" xfId="11201" xr:uid="{84593E24-C5A1-41E5-A256-120834BC3F0F}"/>
    <cellStyle name="Note 3 3 8" xfId="2755" xr:uid="{00000000-0005-0000-0000-0000D1210000}"/>
    <cellStyle name="Note 3 3 9" xfId="2836" xr:uid="{00000000-0005-0000-0000-0000D2210000}"/>
    <cellStyle name="Note 3 3 9 2" xfId="7060" xr:uid="{00000000-0005-0000-0000-0000D3210000}"/>
    <cellStyle name="Note 3 3 9 2 2" xfId="15499" xr:uid="{CA2C9272-5D82-45DA-BEA5-7B69B3C48816}"/>
    <cellStyle name="Note 3 3 9 3" xfId="11281" xr:uid="{E1C6E250-E499-4D89-821D-68555FF89F59}"/>
    <cellStyle name="Note 3 4" xfId="560" xr:uid="{00000000-0005-0000-0000-0000D4210000}"/>
    <cellStyle name="Note 3 4 10" xfId="9138" xr:uid="{64730538-804E-4F37-B41D-EC27638282F6}"/>
    <cellStyle name="Note 3 4 2" xfId="1020" xr:uid="{00000000-0005-0000-0000-0000D5210000}"/>
    <cellStyle name="Note 3 4 2 2" xfId="3252" xr:uid="{00000000-0005-0000-0000-0000D6210000}"/>
    <cellStyle name="Note 3 4 2 2 2" xfId="7475" xr:uid="{00000000-0005-0000-0000-0000D7210000}"/>
    <cellStyle name="Note 3 4 2 2 2 2" xfId="15914" xr:uid="{D69DAD30-590C-4A65-B7FB-FB079747251B}"/>
    <cellStyle name="Note 3 4 2 2 3" xfId="11696" xr:uid="{BA5C8FFF-3A23-408D-975F-336924A81EB7}"/>
    <cellStyle name="Note 3 4 2 3" xfId="5330" xr:uid="{00000000-0005-0000-0000-0000D8210000}"/>
    <cellStyle name="Note 3 4 2 3 2" xfId="13769" xr:uid="{57AA232D-50FC-4A19-AA02-9CF5C12FF5D4}"/>
    <cellStyle name="Note 3 4 2 4" xfId="9551" xr:uid="{09FFD029-B9B4-4240-9166-36F69D822136}"/>
    <cellStyle name="Note 3 4 3" xfId="1435" xr:uid="{00000000-0005-0000-0000-0000D9210000}"/>
    <cellStyle name="Note 3 4 3 2" xfId="3665" xr:uid="{00000000-0005-0000-0000-0000DA210000}"/>
    <cellStyle name="Note 3 4 3 2 2" xfId="7888" xr:uid="{00000000-0005-0000-0000-0000DB210000}"/>
    <cellStyle name="Note 3 4 3 2 2 2" xfId="16327" xr:uid="{13EFF3C5-3D24-4612-A29F-89EA79BA9F90}"/>
    <cellStyle name="Note 3 4 3 2 3" xfId="12109" xr:uid="{2C67C0F4-992A-4513-96C8-2984D592E76E}"/>
    <cellStyle name="Note 3 4 3 3" xfId="5743" xr:uid="{00000000-0005-0000-0000-0000DC210000}"/>
    <cellStyle name="Note 3 4 3 3 2" xfId="14182" xr:uid="{72689C07-C005-4429-9FED-C47F873C5917}"/>
    <cellStyle name="Note 3 4 3 4" xfId="9964" xr:uid="{B50B73C8-5920-4FC6-B0CB-2EFE50AD72FC}"/>
    <cellStyle name="Note 3 4 4" xfId="1849" xr:uid="{00000000-0005-0000-0000-0000DD210000}"/>
    <cellStyle name="Note 3 4 4 2" xfId="4078" xr:uid="{00000000-0005-0000-0000-0000DE210000}"/>
    <cellStyle name="Note 3 4 4 2 2" xfId="8301" xr:uid="{00000000-0005-0000-0000-0000DF210000}"/>
    <cellStyle name="Note 3 4 4 2 2 2" xfId="16740" xr:uid="{56B06722-B112-4A39-BFE3-43F91FA022D7}"/>
    <cellStyle name="Note 3 4 4 2 3" xfId="12522" xr:uid="{472F0198-1EC5-404B-BC66-C2927320C816}"/>
    <cellStyle name="Note 3 4 4 3" xfId="6156" xr:uid="{00000000-0005-0000-0000-0000E0210000}"/>
    <cellStyle name="Note 3 4 4 3 2" xfId="14595" xr:uid="{AC0D826F-5E5A-40E2-ABE3-0FDB95D29506}"/>
    <cellStyle name="Note 3 4 4 4" xfId="10377" xr:uid="{F12F5BA3-2E5C-43C6-8C4A-B3EDA54D5C28}"/>
    <cellStyle name="Note 3 4 5" xfId="2262" xr:uid="{00000000-0005-0000-0000-0000E1210000}"/>
    <cellStyle name="Note 3 4 5 2" xfId="4491" xr:uid="{00000000-0005-0000-0000-0000E2210000}"/>
    <cellStyle name="Note 3 4 5 2 2" xfId="8714" xr:uid="{00000000-0005-0000-0000-0000E3210000}"/>
    <cellStyle name="Note 3 4 5 2 2 2" xfId="17153" xr:uid="{8E3F7AB2-610E-4EAF-8ADA-208A003FF283}"/>
    <cellStyle name="Note 3 4 5 2 3" xfId="12935" xr:uid="{46E95617-145B-457D-A96F-DDBB5A8AC478}"/>
    <cellStyle name="Note 3 4 5 3" xfId="6569" xr:uid="{00000000-0005-0000-0000-0000E4210000}"/>
    <cellStyle name="Note 3 4 5 3 2" xfId="15008" xr:uid="{96203419-AA05-4266-B45F-1F44298F5971}"/>
    <cellStyle name="Note 3 4 5 4" xfId="10790" xr:uid="{64704CC5-07BE-4957-ADAA-9DECCBF28E00}"/>
    <cellStyle name="Note 3 4 6" xfId="2698" xr:uid="{00000000-0005-0000-0000-0000E5210000}"/>
    <cellStyle name="Note 3 4 6 2" xfId="6982" xr:uid="{00000000-0005-0000-0000-0000E6210000}"/>
    <cellStyle name="Note 3 4 6 2 2" xfId="15421" xr:uid="{BBE17013-1EA8-43A7-9D17-4F96C4F51266}"/>
    <cellStyle name="Note 3 4 6 3" xfId="11203" xr:uid="{30BE4608-4301-4966-81FB-9D39BBD19805}"/>
    <cellStyle name="Note 3 4 7" xfId="2757" xr:uid="{00000000-0005-0000-0000-0000E7210000}"/>
    <cellStyle name="Note 3 4 8" xfId="2838" xr:uid="{00000000-0005-0000-0000-0000E8210000}"/>
    <cellStyle name="Note 3 4 8 2" xfId="7062" xr:uid="{00000000-0005-0000-0000-0000E9210000}"/>
    <cellStyle name="Note 3 4 8 2 2" xfId="15501" xr:uid="{43E88EF9-0D6C-45DC-A5AE-6860BAC3082D}"/>
    <cellStyle name="Note 3 4 8 3" xfId="11283" xr:uid="{00AB7A0C-868D-48C0-B280-5C37E91EE951}"/>
    <cellStyle name="Note 3 4 9" xfId="4917" xr:uid="{00000000-0005-0000-0000-0000EA210000}"/>
    <cellStyle name="Note 3 4 9 2" xfId="13356" xr:uid="{B496162C-C7F2-482B-940D-CAAF25DCE989}"/>
    <cellStyle name="Note 3 5" xfId="561" xr:uid="{00000000-0005-0000-0000-0000EB210000}"/>
    <cellStyle name="Note 3 5 10" xfId="9139" xr:uid="{4F538F09-77D2-4DE7-81F1-C9F551AFAA90}"/>
    <cellStyle name="Note 3 5 2" xfId="1021" xr:uid="{00000000-0005-0000-0000-0000EC210000}"/>
    <cellStyle name="Note 3 5 2 2" xfId="3253" xr:uid="{00000000-0005-0000-0000-0000ED210000}"/>
    <cellStyle name="Note 3 5 2 2 2" xfId="7476" xr:uid="{00000000-0005-0000-0000-0000EE210000}"/>
    <cellStyle name="Note 3 5 2 2 2 2" xfId="15915" xr:uid="{2FAA6788-1DAC-4EDA-ADD7-602FA76C1C0E}"/>
    <cellStyle name="Note 3 5 2 2 3" xfId="11697" xr:uid="{B95EDAB4-099D-41D7-A571-CB89CAB25A35}"/>
    <cellStyle name="Note 3 5 2 3" xfId="5331" xr:uid="{00000000-0005-0000-0000-0000EF210000}"/>
    <cellStyle name="Note 3 5 2 3 2" xfId="13770" xr:uid="{F6C2062B-0127-40F1-A586-6127A0E10138}"/>
    <cellStyle name="Note 3 5 2 4" xfId="9552" xr:uid="{B3E55733-CF6E-4BCB-9503-8C3A499BC5AA}"/>
    <cellStyle name="Note 3 5 3" xfId="1436" xr:uid="{00000000-0005-0000-0000-0000F0210000}"/>
    <cellStyle name="Note 3 5 3 2" xfId="3666" xr:uid="{00000000-0005-0000-0000-0000F1210000}"/>
    <cellStyle name="Note 3 5 3 2 2" xfId="7889" xr:uid="{00000000-0005-0000-0000-0000F2210000}"/>
    <cellStyle name="Note 3 5 3 2 2 2" xfId="16328" xr:uid="{7A17B814-50A9-4CEA-A625-2A2A02C39339}"/>
    <cellStyle name="Note 3 5 3 2 3" xfId="12110" xr:uid="{CCADA3B6-B597-48A4-B738-0C27DDA76104}"/>
    <cellStyle name="Note 3 5 3 3" xfId="5744" xr:uid="{00000000-0005-0000-0000-0000F3210000}"/>
    <cellStyle name="Note 3 5 3 3 2" xfId="14183" xr:uid="{BA4A0930-DA4D-44A0-BF3D-119AAA1DCE0F}"/>
    <cellStyle name="Note 3 5 3 4" xfId="9965" xr:uid="{A8190D35-51C1-4FA1-9119-3341B7B91AE9}"/>
    <cellStyle name="Note 3 5 4" xfId="1850" xr:uid="{00000000-0005-0000-0000-0000F4210000}"/>
    <cellStyle name="Note 3 5 4 2" xfId="4079" xr:uid="{00000000-0005-0000-0000-0000F5210000}"/>
    <cellStyle name="Note 3 5 4 2 2" xfId="8302" xr:uid="{00000000-0005-0000-0000-0000F6210000}"/>
    <cellStyle name="Note 3 5 4 2 2 2" xfId="16741" xr:uid="{6DF440F1-666D-4CA5-9866-7765D2625EB7}"/>
    <cellStyle name="Note 3 5 4 2 3" xfId="12523" xr:uid="{859CFA74-7B6C-4F63-A445-A5D77B9F2FCA}"/>
    <cellStyle name="Note 3 5 4 3" xfId="6157" xr:uid="{00000000-0005-0000-0000-0000F7210000}"/>
    <cellStyle name="Note 3 5 4 3 2" xfId="14596" xr:uid="{2FE5A675-533B-4485-B1F1-29316CC92AC6}"/>
    <cellStyle name="Note 3 5 4 4" xfId="10378" xr:uid="{F3AB25EB-5246-4AB9-973F-4BEEE0E30FA5}"/>
    <cellStyle name="Note 3 5 5" xfId="2263" xr:uid="{00000000-0005-0000-0000-0000F8210000}"/>
    <cellStyle name="Note 3 5 5 2" xfId="4492" xr:uid="{00000000-0005-0000-0000-0000F9210000}"/>
    <cellStyle name="Note 3 5 5 2 2" xfId="8715" xr:uid="{00000000-0005-0000-0000-0000FA210000}"/>
    <cellStyle name="Note 3 5 5 2 2 2" xfId="17154" xr:uid="{B7A597BB-6C96-45FA-8D5A-D6C882C0FFEF}"/>
    <cellStyle name="Note 3 5 5 2 3" xfId="12936" xr:uid="{B537D1A3-FE6A-4606-B0FB-E5DC7F70925A}"/>
    <cellStyle name="Note 3 5 5 3" xfId="6570" xr:uid="{00000000-0005-0000-0000-0000FB210000}"/>
    <cellStyle name="Note 3 5 5 3 2" xfId="15009" xr:uid="{0721961D-1B49-482A-9FA0-24D2AF4554DB}"/>
    <cellStyle name="Note 3 5 5 4" xfId="10791" xr:uid="{275BC29C-8CDE-4DD9-B174-5AE717366372}"/>
    <cellStyle name="Note 3 5 6" xfId="2699" xr:uid="{00000000-0005-0000-0000-0000FC210000}"/>
    <cellStyle name="Note 3 5 6 2" xfId="6983" xr:uid="{00000000-0005-0000-0000-0000FD210000}"/>
    <cellStyle name="Note 3 5 6 2 2" xfId="15422" xr:uid="{9831D2C2-9B71-429C-A147-D9249853C78F}"/>
    <cellStyle name="Note 3 5 6 3" xfId="11204" xr:uid="{02EBE635-C4AE-4CE3-8A36-0B76DD8BA0E5}"/>
    <cellStyle name="Note 3 5 7" xfId="2758" xr:uid="{00000000-0005-0000-0000-0000FE210000}"/>
    <cellStyle name="Note 3 5 8" xfId="2839" xr:uid="{00000000-0005-0000-0000-0000FF210000}"/>
    <cellStyle name="Note 3 5 8 2" xfId="7063" xr:uid="{00000000-0005-0000-0000-000000220000}"/>
    <cellStyle name="Note 3 5 8 2 2" xfId="15502" xr:uid="{90D6C657-634B-45CE-A3EC-EB8327B72AA3}"/>
    <cellStyle name="Note 3 5 8 3" xfId="11284" xr:uid="{767A8E35-62FC-4D58-B70F-7B0180ACD5DF}"/>
    <cellStyle name="Note 3 5 9" xfId="4918" xr:uid="{00000000-0005-0000-0000-000001220000}"/>
    <cellStyle name="Note 3 5 9 2" xfId="13357" xr:uid="{04118052-B1EC-4E18-A857-FFC25DD111EC}"/>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12940" xr:uid="{FDE6C0CD-A203-41B0-95AF-E3D852E35639}"/>
    <cellStyle name="Percent 4" xfId="4502" xr:uid="{00000000-0005-0000-0000-000007220000}"/>
    <cellStyle name="Percent 4 2" xfId="8718" xr:uid="{00000000-0005-0000-0000-000008220000}"/>
    <cellStyle name="Percent 4 2 2" xfId="17157" xr:uid="{4A0CC50B-1511-495D-BBB6-0841EC68EEC6}"/>
    <cellStyle name="Percent 4 3" xfId="8721" xr:uid="{D09CD3FC-D632-4B66-A68A-5CC92F993799}"/>
    <cellStyle name="Percent 4 3 2" xfId="8725" xr:uid="{D57AE941-8E59-43F0-AB73-09B3BCCFA234}"/>
    <cellStyle name="Percent 4 3 2 2" xfId="17163" xr:uid="{0CFEEA56-2705-4AEF-8357-FF1C1CF888A2}"/>
    <cellStyle name="Percent 4 3 3" xfId="17160" xr:uid="{400D553C-2127-4FA9-A012-0AFB855F4CED}"/>
    <cellStyle name="Percent 4 4" xfId="12943" xr:uid="{A0EB7E38-56CF-4EBA-BE88-FD11F920A3A2}"/>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1">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9525</xdr:colOff>
      <xdr:row>6</xdr:row>
      <xdr:rowOff>122334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0" dataDxfId="109"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08" dataCellStyle="Normal 15">
      <calculatedColumnFormula>IFERROR(MIN(4,MATCH(Application!B714,UnitSizes,0)-1),"")</calculatedColumnFormula>
    </tableColumn>
    <tableColumn id="3" xr3:uid="{3C170205-C158-4CBB-8CF5-9AF725351349}" name="Quantity" dataDxfId="107" dataCellStyle="Normal 15">
      <calculatedColumnFormula>Application!G714</calculatedColumnFormula>
    </tableColumn>
    <tableColumn id="6" xr3:uid="{7C05B4DE-3AC1-47F3-9C25-D16553367CFA}" name="iAMI" dataDxfId="106" dataCellStyle="Percent">
      <calculatedColumnFormula>Application!AC714</calculatedColumnFormula>
    </tableColumn>
    <tableColumn id="7" xr3:uid="{2B6706B4-1A54-4104-A649-2FE0A4FF8E92}" name="AMI" dataDxfId="105" dataCellStyle="Percent">
      <calculatedColumnFormula>IF(Cdlac[[#This Row],[Quantity]]&gt;0,IF(Cdlac[[#This Row],[Federal]],30%,IF($G$36,40%,Cdlac[[#This Row],[iAMI]])),"")</calculatedColumnFormula>
    </tableColumn>
    <tableColumn id="8" xr3:uid="{A8EB42BE-4789-45EE-A11C-67C20CB0D91B}" name="Restricted Rent" dataDxfId="104" dataCellStyle="Normal 15">
      <calculatedColumnFormula array="1">IF(Cdlac[[#This Row],[Quantity]]&gt;0,INDEX(TcacRents,$P$18,Cdlac[[#This Row],[Bedrooms]]+1)*Cdlac[[#This Row],[AMI]],"")</calculatedColumnFormula>
    </tableColumn>
    <tableColumn id="9" xr3:uid="{E7AC364D-B07B-4A38-B74E-DAE64921E290}" name="Fair Market Rent" dataDxfId="103" dataCellStyle="Normal 15">
      <calculatedColumnFormula array="1">IF(Cdlac[[#This Row],[Quantity]]&gt;0,INDEX(HudFmrs,$P$18,Cdlac[[#This Row],[Bedrooms]]+1),"")</calculatedColumnFormula>
    </tableColumn>
    <tableColumn id="10" xr3:uid="{630C504C-0251-4207-88FB-451973BE380A}" name="Delta" dataDxfId="102" dataCellStyle="Normal 15">
      <calculatedColumnFormula>IF(Cdlac[[#This Row],[Quantity]]&gt;0,MAX(0,Cdlac[[#This Row],[Fair Market Rent]]-Cdlac[[#This Row],[Restricted Rent]]),"")</calculatedColumnFormula>
    </tableColumn>
    <tableColumn id="11" xr3:uid="{9C619E83-105C-4EED-A831-1DAB5BB5AC88}" name="Population" dataDxfId="101" dataCellStyle="Normal 15">
      <calculatedColumnFormula>IF(Cdlac[[#This Row],[Quantity]]&gt;0,AND(Application!AK714&lt;&gt;"N/A",Application!AK714&lt;&gt;"")*Cdlac[[#This Row],[Quantity]],"")</calculatedColumnFormula>
    </tableColumn>
    <tableColumn id="4" xr3:uid="{5D52F6BE-992B-4621-8785-ED1E8B62A78F}" name="Federal" dataDxfId="100"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99" dataDxfId="98" headerRowCellStyle="Normal 16 3" dataCellStyle="Normal 16 3">
  <autoFilter ref="BM8:BM13" xr:uid="{EC5E3245-E94C-4732-9264-A1FF7840F5A2}"/>
  <tableColumns count="1">
    <tableColumn id="1" xr3:uid="{65240E69-32D4-48CF-98F7-C12A61079F3B}" name="Construction Type" dataDxfId="97"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activeCell="Y232" sqref="Y232"/>
    </sheetView>
  </sheetViews>
  <sheetFormatPr defaultColWidth="0" defaultRowHeight="12.75" zeroHeight="1"/>
  <cols>
    <col min="1" max="5" width="2.42578125" customWidth="1"/>
    <col min="6" max="6" width="3" customWidth="1"/>
    <col min="7" max="36" width="2.42578125" customWidth="1"/>
    <col min="37" max="38" width="2.5703125" customWidth="1"/>
    <col min="39" max="16384" width="2.42578125" hidden="1"/>
  </cols>
  <sheetData>
    <row r="1" spans="1:38">
      <c r="A1" s="1273" t="s">
        <v>559</v>
      </c>
      <c r="B1" s="1273"/>
      <c r="C1" s="1273"/>
      <c r="D1" s="1273"/>
      <c r="E1" s="1273"/>
      <c r="F1" s="1273"/>
      <c r="G1" s="1273"/>
      <c r="H1" s="1273"/>
      <c r="I1" s="1273"/>
      <c r="J1" s="1273"/>
      <c r="K1" s="1273"/>
      <c r="L1" s="1273"/>
      <c r="M1" s="1273"/>
      <c r="N1" s="1273"/>
      <c r="O1" s="1273"/>
      <c r="P1" s="1273"/>
      <c r="Q1" s="1273"/>
      <c r="R1" s="1273"/>
      <c r="S1" s="1273"/>
      <c r="T1" s="1273"/>
      <c r="U1" s="1273"/>
      <c r="V1" s="1273"/>
      <c r="W1" s="1273"/>
      <c r="X1" s="1273"/>
      <c r="Y1" s="1273"/>
      <c r="Z1" s="1273"/>
      <c r="AA1" s="1273"/>
      <c r="AB1" s="1273"/>
      <c r="AC1" s="1273"/>
      <c r="AD1" s="1273"/>
      <c r="AE1" s="1273"/>
      <c r="AF1" s="1273"/>
      <c r="AG1" s="1273"/>
      <c r="AH1" s="1273"/>
      <c r="AI1" s="1273"/>
      <c r="AJ1" s="1273"/>
      <c r="AK1" s="1273"/>
      <c r="AL1" s="1273"/>
    </row>
    <row r="2" spans="1:38" ht="13.5" thickBot="1">
      <c r="A2" s="1274"/>
      <c r="B2" s="1274"/>
      <c r="C2" s="1274"/>
      <c r="D2" s="1274"/>
      <c r="E2" s="1274"/>
      <c r="F2" s="1274"/>
      <c r="G2" s="1274"/>
      <c r="H2" s="1274"/>
      <c r="I2" s="1274"/>
      <c r="J2" s="1274"/>
      <c r="K2" s="1274"/>
      <c r="L2" s="1274"/>
      <c r="M2" s="1274"/>
      <c r="N2" s="1274"/>
      <c r="O2" s="1274"/>
      <c r="P2" s="1274"/>
      <c r="Q2" s="1274"/>
      <c r="R2" s="1274"/>
      <c r="S2" s="1274"/>
      <c r="T2" s="1274"/>
      <c r="U2" s="1274"/>
      <c r="V2" s="1274"/>
      <c r="W2" s="1274"/>
      <c r="X2" s="1274"/>
      <c r="Y2" s="1274"/>
      <c r="Z2" s="1274"/>
      <c r="AA2" s="1274"/>
      <c r="AB2" s="1274"/>
      <c r="AC2" s="1274"/>
      <c r="AD2" s="1274"/>
      <c r="AE2" s="1274"/>
      <c r="AF2" s="1274"/>
      <c r="AG2" s="1274"/>
      <c r="AH2" s="1274"/>
      <c r="AI2" s="1274"/>
      <c r="AJ2" s="1274"/>
      <c r="AK2" s="1274"/>
      <c r="AL2" s="1274"/>
    </row>
    <row r="3" spans="1:38" ht="13.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35" customHeight="1">
      <c r="A7" s="218"/>
      <c r="B7" s="218"/>
      <c r="C7" s="219"/>
      <c r="D7" s="1263" t="s">
        <v>2429</v>
      </c>
      <c r="E7" s="1263"/>
      <c r="F7" s="1263"/>
      <c r="G7" s="1263"/>
      <c r="H7" s="1263"/>
      <c r="I7" s="1263"/>
      <c r="J7" s="1263"/>
      <c r="K7" s="1263"/>
      <c r="L7" s="1263"/>
      <c r="M7" s="1263"/>
      <c r="N7" s="1263"/>
      <c r="O7" s="1263"/>
      <c r="P7" s="1263"/>
      <c r="Q7" s="1263"/>
      <c r="R7" s="1263"/>
      <c r="S7" s="1263"/>
      <c r="T7" s="1263"/>
      <c r="U7" s="1263"/>
      <c r="V7" s="1263"/>
      <c r="W7" s="1263"/>
      <c r="X7" s="1263"/>
      <c r="Y7" s="1263"/>
      <c r="Z7" s="1263"/>
      <c r="AA7" s="1263"/>
      <c r="AB7" s="1263"/>
      <c r="AC7" s="1263"/>
      <c r="AD7" s="1263"/>
      <c r="AE7" s="1263"/>
      <c r="AF7" s="1263"/>
      <c r="AG7" s="1263"/>
      <c r="AH7" s="1263"/>
      <c r="AI7" s="1263"/>
      <c r="AJ7" s="1263"/>
      <c r="AK7" s="1263"/>
      <c r="AL7" s="490"/>
    </row>
    <row r="8" spans="1:38">
      <c r="A8" s="218"/>
      <c r="B8" s="218"/>
      <c r="C8" s="219"/>
      <c r="D8" s="1263"/>
      <c r="E8" s="1263"/>
      <c r="F8" s="1263"/>
      <c r="G8" s="1263"/>
      <c r="H8" s="1263"/>
      <c r="I8" s="1263"/>
      <c r="J8" s="1263"/>
      <c r="K8" s="1263"/>
      <c r="L8" s="1263"/>
      <c r="M8" s="1263"/>
      <c r="N8" s="1263"/>
      <c r="O8" s="1263"/>
      <c r="P8" s="1263"/>
      <c r="Q8" s="1263"/>
      <c r="R8" s="1263"/>
      <c r="S8" s="1263"/>
      <c r="T8" s="1263"/>
      <c r="U8" s="1263"/>
      <c r="V8" s="1263"/>
      <c r="W8" s="1263"/>
      <c r="X8" s="1263"/>
      <c r="Y8" s="1263"/>
      <c r="Z8" s="1263"/>
      <c r="AA8" s="1263"/>
      <c r="AB8" s="1263"/>
      <c r="AC8" s="1263"/>
      <c r="AD8" s="1263"/>
      <c r="AE8" s="1263"/>
      <c r="AF8" s="1263"/>
      <c r="AG8" s="1263"/>
      <c r="AH8" s="1263"/>
      <c r="AI8" s="1263"/>
      <c r="AJ8" s="1263"/>
      <c r="AK8" s="1263"/>
      <c r="AL8" s="490"/>
    </row>
    <row r="9" spans="1:38">
      <c r="A9" s="218"/>
      <c r="B9" s="218"/>
      <c r="C9" s="219"/>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3"/>
      <c r="AB9" s="1263"/>
      <c r="AC9" s="1263"/>
      <c r="AD9" s="1263"/>
      <c r="AE9" s="1263"/>
      <c r="AF9" s="1263"/>
      <c r="AG9" s="1263"/>
      <c r="AH9" s="1263"/>
      <c r="AI9" s="1263"/>
      <c r="AJ9" s="1263"/>
      <c r="AK9" s="1263"/>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2.95" customHeight="1">
      <c r="A11" s="218"/>
      <c r="B11" s="218"/>
      <c r="C11" s="219"/>
      <c r="D11" s="1263" t="s">
        <v>2430</v>
      </c>
      <c r="E11" s="1263"/>
      <c r="F11" s="1263"/>
      <c r="G11" s="1263"/>
      <c r="H11" s="1263"/>
      <c r="I11" s="1263"/>
      <c r="J11" s="1263"/>
      <c r="K11" s="1263"/>
      <c r="L11" s="1263"/>
      <c r="M11" s="1263"/>
      <c r="N11" s="1263"/>
      <c r="O11" s="1263"/>
      <c r="P11" s="1263"/>
      <c r="Q11" s="1263"/>
      <c r="R11" s="1263"/>
      <c r="S11" s="1263"/>
      <c r="T11" s="1263"/>
      <c r="U11" s="1263"/>
      <c r="V11" s="1263"/>
      <c r="W11" s="1263"/>
      <c r="X11" s="1263"/>
      <c r="Y11" s="1263"/>
      <c r="Z11" s="1263"/>
      <c r="AA11" s="1263"/>
      <c r="AB11" s="1263"/>
      <c r="AC11" s="1263"/>
      <c r="AD11" s="1263"/>
      <c r="AE11" s="1263"/>
      <c r="AF11" s="1263"/>
      <c r="AG11" s="1263"/>
      <c r="AH11" s="1263"/>
      <c r="AI11" s="1263"/>
      <c r="AJ11" s="1263"/>
      <c r="AK11" s="1263"/>
      <c r="AL11" s="490"/>
    </row>
    <row r="12" spans="1:38">
      <c r="A12" s="218"/>
      <c r="B12" s="218"/>
      <c r="C12" s="219"/>
      <c r="D12" s="1263"/>
      <c r="E12" s="1263"/>
      <c r="F12" s="1263"/>
      <c r="G12" s="1263"/>
      <c r="H12" s="1263"/>
      <c r="I12" s="1263"/>
      <c r="J12" s="1263"/>
      <c r="K12" s="1263"/>
      <c r="L12" s="1263"/>
      <c r="M12" s="1263"/>
      <c r="N12" s="1263"/>
      <c r="O12" s="1263"/>
      <c r="P12" s="1263"/>
      <c r="Q12" s="1263"/>
      <c r="R12" s="1263"/>
      <c r="S12" s="1263"/>
      <c r="T12" s="1263"/>
      <c r="U12" s="1263"/>
      <c r="V12" s="1263"/>
      <c r="W12" s="1263"/>
      <c r="X12" s="1263"/>
      <c r="Y12" s="1263"/>
      <c r="Z12" s="1263"/>
      <c r="AA12" s="1263"/>
      <c r="AB12" s="1263"/>
      <c r="AC12" s="1263"/>
      <c r="AD12" s="1263"/>
      <c r="AE12" s="1263"/>
      <c r="AF12" s="1263"/>
      <c r="AG12" s="1263"/>
      <c r="AH12" s="1263"/>
      <c r="AI12" s="1263"/>
      <c r="AJ12" s="1263"/>
      <c r="AK12" s="1263"/>
      <c r="AL12" s="490"/>
    </row>
    <row r="13" spans="1:38">
      <c r="A13" s="218"/>
      <c r="B13" s="218"/>
      <c r="C13" s="219"/>
      <c r="D13" s="1263"/>
      <c r="E13" s="1263"/>
      <c r="F13" s="1263"/>
      <c r="G13" s="1263"/>
      <c r="H13" s="1263"/>
      <c r="I13" s="1263"/>
      <c r="J13" s="1263"/>
      <c r="K13" s="1263"/>
      <c r="L13" s="1263"/>
      <c r="M13" s="1263"/>
      <c r="N13" s="1263"/>
      <c r="O13" s="1263"/>
      <c r="P13" s="1263"/>
      <c r="Q13" s="1263"/>
      <c r="R13" s="1263"/>
      <c r="S13" s="1263"/>
      <c r="T13" s="1263"/>
      <c r="U13" s="1263"/>
      <c r="V13" s="1263"/>
      <c r="W13" s="1263"/>
      <c r="X13" s="1263"/>
      <c r="Y13" s="1263"/>
      <c r="Z13" s="1263"/>
      <c r="AA13" s="1263"/>
      <c r="AB13" s="1263"/>
      <c r="AC13" s="1263"/>
      <c r="AD13" s="1263"/>
      <c r="AE13" s="1263"/>
      <c r="AF13" s="1263"/>
      <c r="AG13" s="1263"/>
      <c r="AH13" s="1263"/>
      <c r="AI13" s="1263"/>
      <c r="AJ13" s="1263"/>
      <c r="AK13" s="1263"/>
      <c r="AL13" s="490"/>
    </row>
    <row r="14" spans="1:38" ht="13.35" customHeight="1">
      <c r="A14" s="218"/>
      <c r="B14" s="218"/>
      <c r="C14" s="219"/>
      <c r="E14" s="1263" t="s">
        <v>2619</v>
      </c>
      <c r="F14" s="1263"/>
      <c r="G14" s="1263"/>
      <c r="H14" s="1263"/>
      <c r="I14" s="1263"/>
      <c r="J14" s="1263"/>
      <c r="K14" s="1263"/>
      <c r="L14" s="1263"/>
      <c r="M14" s="1263"/>
      <c r="N14" s="1263"/>
      <c r="O14" s="1263"/>
      <c r="P14" s="1263"/>
      <c r="Q14" s="1263"/>
      <c r="R14" s="1263"/>
      <c r="S14" s="1263"/>
      <c r="T14" s="1263"/>
      <c r="U14" s="1263"/>
      <c r="V14" s="1263"/>
      <c r="W14" s="1263"/>
      <c r="X14" s="1263"/>
      <c r="Y14" s="1263"/>
      <c r="Z14" s="1263"/>
      <c r="AA14" s="1263"/>
      <c r="AB14" s="1263"/>
      <c r="AC14" s="1263"/>
      <c r="AD14" s="1263"/>
      <c r="AE14" s="1263"/>
      <c r="AF14" s="1263"/>
      <c r="AG14" s="1263"/>
      <c r="AH14" s="1263"/>
      <c r="AI14" s="1263"/>
      <c r="AJ14" s="1263"/>
      <c r="AK14" s="1263"/>
      <c r="AL14" s="490"/>
    </row>
    <row r="15" spans="1:38" ht="13.35" customHeight="1">
      <c r="A15" s="218"/>
      <c r="B15" s="218"/>
      <c r="C15" s="219"/>
      <c r="E15" s="1263"/>
      <c r="F15" s="1263"/>
      <c r="G15" s="1263"/>
      <c r="H15" s="1263"/>
      <c r="I15" s="1263"/>
      <c r="J15" s="1263"/>
      <c r="K15" s="1263"/>
      <c r="L15" s="1263"/>
      <c r="M15" s="1263"/>
      <c r="N15" s="1263"/>
      <c r="O15" s="1263"/>
      <c r="P15" s="1263"/>
      <c r="Q15" s="1263"/>
      <c r="R15" s="1263"/>
      <c r="S15" s="1263"/>
      <c r="T15" s="1263"/>
      <c r="U15" s="1263"/>
      <c r="V15" s="1263"/>
      <c r="W15" s="1263"/>
      <c r="X15" s="1263"/>
      <c r="Y15" s="1263"/>
      <c r="Z15" s="1263"/>
      <c r="AA15" s="1263"/>
      <c r="AB15" s="1263"/>
      <c r="AC15" s="1263"/>
      <c r="AD15" s="1263"/>
      <c r="AE15" s="1263"/>
      <c r="AF15" s="1263"/>
      <c r="AG15" s="1263"/>
      <c r="AH15" s="1263"/>
      <c r="AI15" s="1263"/>
      <c r="AJ15" s="1263"/>
      <c r="AK15" s="1263"/>
      <c r="AL15" s="490"/>
    </row>
    <row r="16" spans="1:38">
      <c r="A16" s="218"/>
      <c r="B16" s="218"/>
      <c r="C16" s="219"/>
      <c r="D16" s="490"/>
      <c r="E16" s="1263"/>
      <c r="F16" s="1263"/>
      <c r="G16" s="1263"/>
      <c r="H16" s="1263"/>
      <c r="I16" s="1263"/>
      <c r="J16" s="1263"/>
      <c r="K16" s="1263"/>
      <c r="L16" s="1263"/>
      <c r="M16" s="1263"/>
      <c r="N16" s="1263"/>
      <c r="O16" s="1263"/>
      <c r="P16" s="1263"/>
      <c r="Q16" s="1263"/>
      <c r="R16" s="1263"/>
      <c r="S16" s="1263"/>
      <c r="T16" s="1263"/>
      <c r="U16" s="1263"/>
      <c r="V16" s="1263"/>
      <c r="W16" s="1263"/>
      <c r="X16" s="1263"/>
      <c r="Y16" s="1263"/>
      <c r="Z16" s="1263"/>
      <c r="AA16" s="1263"/>
      <c r="AB16" s="1263"/>
      <c r="AC16" s="1263"/>
      <c r="AD16" s="1263"/>
      <c r="AE16" s="1263"/>
      <c r="AF16" s="1263"/>
      <c r="AG16" s="1263"/>
      <c r="AH16" s="1263"/>
      <c r="AI16" s="1263"/>
      <c r="AJ16" s="1263"/>
      <c r="AK16" s="1263"/>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35" customHeight="1">
      <c r="A18" s="218"/>
      <c r="B18" s="218"/>
      <c r="C18" s="219"/>
      <c r="D18" s="1263" t="s">
        <v>2431</v>
      </c>
      <c r="E18" s="1263"/>
      <c r="F18" s="1263"/>
      <c r="G18" s="1263"/>
      <c r="H18" s="1263"/>
      <c r="I18" s="1263"/>
      <c r="J18" s="1263"/>
      <c r="K18" s="1263"/>
      <c r="L18" s="1263"/>
      <c r="M18" s="1263"/>
      <c r="N18" s="1263"/>
      <c r="O18" s="1263"/>
      <c r="P18" s="1263"/>
      <c r="Q18" s="1263"/>
      <c r="R18" s="1263"/>
      <c r="S18" s="1263"/>
      <c r="T18" s="1263"/>
      <c r="U18" s="1263"/>
      <c r="V18" s="1263"/>
      <c r="W18" s="1263"/>
      <c r="X18" s="1263"/>
      <c r="Y18" s="1263"/>
      <c r="Z18" s="1263"/>
      <c r="AA18" s="1263"/>
      <c r="AB18" s="1263"/>
      <c r="AC18" s="1263"/>
      <c r="AD18" s="1263"/>
      <c r="AE18" s="1263"/>
      <c r="AF18" s="1263"/>
      <c r="AG18" s="1263"/>
      <c r="AH18" s="1263"/>
      <c r="AI18" s="1263"/>
      <c r="AJ18" s="1263"/>
      <c r="AK18" s="1263"/>
      <c r="AL18" s="218"/>
    </row>
    <row r="19" spans="1:38">
      <c r="A19" s="218"/>
      <c r="B19" s="218"/>
      <c r="C19" s="219"/>
      <c r="D19" s="1263"/>
      <c r="E19" s="1263"/>
      <c r="F19" s="1263"/>
      <c r="G19" s="1263"/>
      <c r="H19" s="1263"/>
      <c r="I19" s="1263"/>
      <c r="J19" s="1263"/>
      <c r="K19" s="1263"/>
      <c r="L19" s="1263"/>
      <c r="M19" s="1263"/>
      <c r="N19" s="1263"/>
      <c r="O19" s="1263"/>
      <c r="P19" s="1263"/>
      <c r="Q19" s="1263"/>
      <c r="R19" s="1263"/>
      <c r="S19" s="1263"/>
      <c r="T19" s="1263"/>
      <c r="U19" s="1263"/>
      <c r="V19" s="1263"/>
      <c r="W19" s="1263"/>
      <c r="X19" s="1263"/>
      <c r="Y19" s="1263"/>
      <c r="Z19" s="1263"/>
      <c r="AA19" s="1263"/>
      <c r="AB19" s="1263"/>
      <c r="AC19" s="1263"/>
      <c r="AD19" s="1263"/>
      <c r="AE19" s="1263"/>
      <c r="AF19" s="1263"/>
      <c r="AG19" s="1263"/>
      <c r="AH19" s="1263"/>
      <c r="AI19" s="1263"/>
      <c r="AJ19" s="1263"/>
      <c r="AK19" s="1263"/>
      <c r="AL19" s="218"/>
    </row>
    <row r="20" spans="1:38">
      <c r="A20" s="218"/>
      <c r="B20" s="218"/>
      <c r="C20" s="219"/>
      <c r="D20" s="1263"/>
      <c r="E20" s="1263"/>
      <c r="F20" s="1263"/>
      <c r="G20" s="1263"/>
      <c r="H20" s="1263"/>
      <c r="I20" s="1263"/>
      <c r="J20" s="1263"/>
      <c r="K20" s="1263"/>
      <c r="L20" s="1263"/>
      <c r="M20" s="1263"/>
      <c r="N20" s="1263"/>
      <c r="O20" s="1263"/>
      <c r="P20" s="1263"/>
      <c r="Q20" s="1263"/>
      <c r="R20" s="1263"/>
      <c r="S20" s="1263"/>
      <c r="T20" s="1263"/>
      <c r="U20" s="1263"/>
      <c r="V20" s="1263"/>
      <c r="W20" s="1263"/>
      <c r="X20" s="1263"/>
      <c r="Y20" s="1263"/>
      <c r="Z20" s="1263"/>
      <c r="AA20" s="1263"/>
      <c r="AB20" s="1263"/>
      <c r="AC20" s="1263"/>
      <c r="AD20" s="1263"/>
      <c r="AE20" s="1263"/>
      <c r="AF20" s="1263"/>
      <c r="AG20" s="1263"/>
      <c r="AH20" s="1263"/>
      <c r="AI20" s="1263"/>
      <c r="AJ20" s="1263"/>
      <c r="AK20" s="1263"/>
      <c r="AL20" s="218"/>
    </row>
    <row r="21" spans="1:38" ht="13.35" customHeight="1">
      <c r="A21" s="218"/>
      <c r="B21" s="218"/>
      <c r="C21" s="219"/>
      <c r="D21" s="1263"/>
      <c r="E21" s="1263"/>
      <c r="F21" s="1263"/>
      <c r="G21" s="1263"/>
      <c r="H21" s="1263"/>
      <c r="I21" s="1263"/>
      <c r="J21" s="1263"/>
      <c r="K21" s="1263"/>
      <c r="L21" s="1263"/>
      <c r="M21" s="1263"/>
      <c r="N21" s="1263"/>
      <c r="O21" s="1263"/>
      <c r="P21" s="1263"/>
      <c r="Q21" s="1263"/>
      <c r="R21" s="1263"/>
      <c r="S21" s="1263"/>
      <c r="T21" s="1263"/>
      <c r="U21" s="1263"/>
      <c r="V21" s="1263"/>
      <c r="W21" s="1263"/>
      <c r="X21" s="1263"/>
      <c r="Y21" s="1263"/>
      <c r="Z21" s="1263"/>
      <c r="AA21" s="1263"/>
      <c r="AB21" s="1263"/>
      <c r="AC21" s="1263"/>
      <c r="AD21" s="1263"/>
      <c r="AE21" s="1263"/>
      <c r="AF21" s="1263"/>
      <c r="AG21" s="1263"/>
      <c r="AH21" s="1263"/>
      <c r="AI21" s="1263"/>
      <c r="AJ21" s="1263"/>
      <c r="AK21" s="1263"/>
      <c r="AL21" s="218"/>
    </row>
    <row r="22" spans="1:38">
      <c r="A22" s="218"/>
      <c r="B22" s="218"/>
      <c r="C22" s="219"/>
      <c r="D22" s="1263"/>
      <c r="E22" s="1263"/>
      <c r="F22" s="1263"/>
      <c r="G22" s="1263"/>
      <c r="H22" s="1263"/>
      <c r="I22" s="1263"/>
      <c r="J22" s="1263"/>
      <c r="K22" s="1263"/>
      <c r="L22" s="1263"/>
      <c r="M22" s="1263"/>
      <c r="N22" s="1263"/>
      <c r="O22" s="1263"/>
      <c r="P22" s="1263"/>
      <c r="Q22" s="1263"/>
      <c r="R22" s="1263"/>
      <c r="S22" s="1263"/>
      <c r="T22" s="1263"/>
      <c r="U22" s="1263"/>
      <c r="V22" s="1263"/>
      <c r="W22" s="1263"/>
      <c r="X22" s="1263"/>
      <c r="Y22" s="1263"/>
      <c r="Z22" s="1263"/>
      <c r="AA22" s="1263"/>
      <c r="AB22" s="1263"/>
      <c r="AC22" s="1263"/>
      <c r="AD22" s="1263"/>
      <c r="AE22" s="1263"/>
      <c r="AF22" s="1263"/>
      <c r="AG22" s="1263"/>
      <c r="AH22" s="1263"/>
      <c r="AI22" s="1263"/>
      <c r="AJ22" s="1263"/>
      <c r="AK22" s="1263"/>
      <c r="AL22" s="218"/>
    </row>
    <row r="23" spans="1:38">
      <c r="A23" s="218"/>
      <c r="B23" s="218"/>
      <c r="C23" s="219"/>
      <c r="D23" s="1263"/>
      <c r="E23" s="1263"/>
      <c r="F23" s="1263"/>
      <c r="G23" s="1263"/>
      <c r="H23" s="1263"/>
      <c r="I23" s="1263"/>
      <c r="J23" s="1263"/>
      <c r="K23" s="1263"/>
      <c r="L23" s="1263"/>
      <c r="M23" s="1263"/>
      <c r="N23" s="1263"/>
      <c r="O23" s="1263"/>
      <c r="P23" s="1263"/>
      <c r="Q23" s="1263"/>
      <c r="R23" s="1263"/>
      <c r="S23" s="1263"/>
      <c r="T23" s="1263"/>
      <c r="U23" s="1263"/>
      <c r="V23" s="1263"/>
      <c r="W23" s="1263"/>
      <c r="X23" s="1263"/>
      <c r="Y23" s="1263"/>
      <c r="Z23" s="1263"/>
      <c r="AA23" s="1263"/>
      <c r="AB23" s="1263"/>
      <c r="AC23" s="1263"/>
      <c r="AD23" s="1263"/>
      <c r="AE23" s="1263"/>
      <c r="AF23" s="1263"/>
      <c r="AG23" s="1263"/>
      <c r="AH23" s="1263"/>
      <c r="AI23" s="1263"/>
      <c r="AJ23" s="1263"/>
      <c r="AK23" s="1263"/>
      <c r="AL23" s="218"/>
    </row>
    <row r="24" spans="1:38">
      <c r="A24" s="218"/>
      <c r="B24" s="218"/>
      <c r="C24" s="219"/>
      <c r="D24" s="1263"/>
      <c r="E24" s="1263"/>
      <c r="F24" s="1263"/>
      <c r="G24" s="1263"/>
      <c r="H24" s="1263"/>
      <c r="I24" s="1263"/>
      <c r="J24" s="1263"/>
      <c r="K24" s="1263"/>
      <c r="L24" s="1263"/>
      <c r="M24" s="1263"/>
      <c r="N24" s="1263"/>
      <c r="O24" s="1263"/>
      <c r="P24" s="1263"/>
      <c r="Q24" s="1263"/>
      <c r="R24" s="1263"/>
      <c r="S24" s="1263"/>
      <c r="T24" s="1263"/>
      <c r="U24" s="1263"/>
      <c r="V24" s="1263"/>
      <c r="W24" s="1263"/>
      <c r="X24" s="1263"/>
      <c r="Y24" s="1263"/>
      <c r="Z24" s="1263"/>
      <c r="AA24" s="1263"/>
      <c r="AB24" s="1263"/>
      <c r="AC24" s="1263"/>
      <c r="AD24" s="1263"/>
      <c r="AE24" s="1263"/>
      <c r="AF24" s="1263"/>
      <c r="AG24" s="1263"/>
      <c r="AH24" s="1263"/>
      <c r="AI24" s="1263"/>
      <c r="AJ24" s="1263"/>
      <c r="AK24" s="1263"/>
      <c r="AL24" s="218"/>
    </row>
    <row r="25" spans="1:38">
      <c r="A25" s="218"/>
      <c r="B25" s="218"/>
      <c r="C25" s="219"/>
      <c r="D25" s="1263"/>
      <c r="E25" s="1263"/>
      <c r="F25" s="1263"/>
      <c r="G25" s="1263"/>
      <c r="H25" s="1263"/>
      <c r="I25" s="1263"/>
      <c r="J25" s="1263"/>
      <c r="K25" s="1263"/>
      <c r="L25" s="1263"/>
      <c r="M25" s="1263"/>
      <c r="N25" s="1263"/>
      <c r="O25" s="1263"/>
      <c r="P25" s="1263"/>
      <c r="Q25" s="1263"/>
      <c r="R25" s="1263"/>
      <c r="S25" s="1263"/>
      <c r="T25" s="1263"/>
      <c r="U25" s="1263"/>
      <c r="V25" s="1263"/>
      <c r="W25" s="1263"/>
      <c r="X25" s="1263"/>
      <c r="Y25" s="1263"/>
      <c r="Z25" s="1263"/>
      <c r="AA25" s="1263"/>
      <c r="AB25" s="1263"/>
      <c r="AC25" s="1263"/>
      <c r="AD25" s="1263"/>
      <c r="AE25" s="1263"/>
      <c r="AF25" s="1263"/>
      <c r="AG25" s="1263"/>
      <c r="AH25" s="1263"/>
      <c r="AI25" s="1263"/>
      <c r="AJ25" s="1263"/>
      <c r="AK25" s="1263"/>
      <c r="AL25" s="218"/>
    </row>
    <row r="26" spans="1:38">
      <c r="A26" s="218"/>
      <c r="B26" s="218"/>
      <c r="C26" s="219"/>
      <c r="D26" s="1263"/>
      <c r="E26" s="1263"/>
      <c r="F26" s="1263"/>
      <c r="G26" s="1263"/>
      <c r="H26" s="1263"/>
      <c r="I26" s="1263"/>
      <c r="J26" s="1263"/>
      <c r="K26" s="1263"/>
      <c r="L26" s="1263"/>
      <c r="M26" s="1263"/>
      <c r="N26" s="1263"/>
      <c r="O26" s="1263"/>
      <c r="P26" s="1263"/>
      <c r="Q26" s="1263"/>
      <c r="R26" s="1263"/>
      <c r="S26" s="1263"/>
      <c r="T26" s="1263"/>
      <c r="U26" s="1263"/>
      <c r="V26" s="1263"/>
      <c r="W26" s="1263"/>
      <c r="X26" s="1263"/>
      <c r="Y26" s="1263"/>
      <c r="Z26" s="1263"/>
      <c r="AA26" s="1263"/>
      <c r="AB26" s="1263"/>
      <c r="AC26" s="1263"/>
      <c r="AD26" s="1263"/>
      <c r="AE26" s="1263"/>
      <c r="AF26" s="1263"/>
      <c r="AG26" s="1263"/>
      <c r="AH26" s="1263"/>
      <c r="AI26" s="1263"/>
      <c r="AJ26" s="1263"/>
      <c r="AK26" s="1263"/>
      <c r="AL26" s="218"/>
    </row>
    <row r="27" spans="1:38" ht="12" customHeight="1">
      <c r="A27" s="218"/>
      <c r="B27" s="218"/>
      <c r="C27" s="219"/>
      <c r="D27" s="1263"/>
      <c r="E27" s="1263"/>
      <c r="F27" s="1263"/>
      <c r="G27" s="1263"/>
      <c r="H27" s="1263"/>
      <c r="I27" s="1263"/>
      <c r="J27" s="1263"/>
      <c r="K27" s="1263"/>
      <c r="L27" s="1263"/>
      <c r="M27" s="1263"/>
      <c r="N27" s="1263"/>
      <c r="O27" s="1263"/>
      <c r="P27" s="1263"/>
      <c r="Q27" s="1263"/>
      <c r="R27" s="1263"/>
      <c r="S27" s="1263"/>
      <c r="T27" s="1263"/>
      <c r="U27" s="1263"/>
      <c r="V27" s="1263"/>
      <c r="W27" s="1263"/>
      <c r="X27" s="1263"/>
      <c r="Y27" s="1263"/>
      <c r="Z27" s="1263"/>
      <c r="AA27" s="1263"/>
      <c r="AB27" s="1263"/>
      <c r="AC27" s="1263"/>
      <c r="AD27" s="1263"/>
      <c r="AE27" s="1263"/>
      <c r="AF27" s="1263"/>
      <c r="AG27" s="1263"/>
      <c r="AH27" s="1263"/>
      <c r="AI27" s="1263"/>
      <c r="AJ27" s="1263"/>
      <c r="AK27" s="1263"/>
      <c r="AL27" s="218"/>
    </row>
    <row r="28" spans="1:38" ht="13.35" customHeight="1">
      <c r="A28" s="218"/>
      <c r="B28" s="218"/>
      <c r="C28" s="219"/>
      <c r="E28" s="1263" t="s">
        <v>2618</v>
      </c>
      <c r="F28" s="1263"/>
      <c r="G28" s="1263"/>
      <c r="H28" s="1263"/>
      <c r="I28" s="1263"/>
      <c r="J28" s="1263"/>
      <c r="K28" s="1263"/>
      <c r="L28" s="1263"/>
      <c r="M28" s="1263"/>
      <c r="N28" s="1263"/>
      <c r="O28" s="1263"/>
      <c r="P28" s="1263"/>
      <c r="Q28" s="1263"/>
      <c r="R28" s="1263"/>
      <c r="S28" s="1263"/>
      <c r="T28" s="1263"/>
      <c r="U28" s="1263"/>
      <c r="V28" s="1263"/>
      <c r="W28" s="1263"/>
      <c r="X28" s="1263"/>
      <c r="Y28" s="1263"/>
      <c r="Z28" s="1263"/>
      <c r="AA28" s="1263"/>
      <c r="AB28" s="1263"/>
      <c r="AC28" s="1263"/>
      <c r="AD28" s="1263"/>
      <c r="AE28" s="1263"/>
      <c r="AF28" s="1263"/>
      <c r="AG28" s="1263"/>
      <c r="AH28" s="1263"/>
      <c r="AI28" s="1263"/>
      <c r="AJ28" s="1263"/>
      <c r="AK28" s="1263"/>
      <c r="AL28" s="218"/>
    </row>
    <row r="29" spans="1:38" ht="13.35" customHeight="1">
      <c r="A29" s="218"/>
      <c r="B29" s="218"/>
      <c r="C29" s="219"/>
      <c r="E29" s="1263"/>
      <c r="F29" s="1263"/>
      <c r="G29" s="1263"/>
      <c r="H29" s="1263"/>
      <c r="I29" s="1263"/>
      <c r="J29" s="1263"/>
      <c r="K29" s="1263"/>
      <c r="L29" s="1263"/>
      <c r="M29" s="1263"/>
      <c r="N29" s="1263"/>
      <c r="O29" s="1263"/>
      <c r="P29" s="1263"/>
      <c r="Q29" s="1263"/>
      <c r="R29" s="1263"/>
      <c r="S29" s="1263"/>
      <c r="T29" s="1263"/>
      <c r="U29" s="1263"/>
      <c r="V29" s="1263"/>
      <c r="W29" s="1263"/>
      <c r="X29" s="1263"/>
      <c r="Y29" s="1263"/>
      <c r="Z29" s="1263"/>
      <c r="AA29" s="1263"/>
      <c r="AB29" s="1263"/>
      <c r="AC29" s="1263"/>
      <c r="AD29" s="1263"/>
      <c r="AE29" s="1263"/>
      <c r="AF29" s="1263"/>
      <c r="AG29" s="1263"/>
      <c r="AH29" s="1263"/>
      <c r="AI29" s="1263"/>
      <c r="AJ29" s="1263"/>
      <c r="AK29" s="1263"/>
      <c r="AL29" s="218"/>
    </row>
    <row r="30" spans="1:38">
      <c r="A30" s="218"/>
      <c r="B30" s="218"/>
      <c r="C30" s="219"/>
      <c r="D30" s="490"/>
      <c r="E30" s="1263"/>
      <c r="F30" s="1263"/>
      <c r="G30" s="1263"/>
      <c r="H30" s="1263"/>
      <c r="I30" s="1263"/>
      <c r="J30" s="1263"/>
      <c r="K30" s="1263"/>
      <c r="L30" s="1263"/>
      <c r="M30" s="1263"/>
      <c r="N30" s="1263"/>
      <c r="O30" s="1263"/>
      <c r="P30" s="1263"/>
      <c r="Q30" s="1263"/>
      <c r="R30" s="1263"/>
      <c r="S30" s="1263"/>
      <c r="T30" s="1263"/>
      <c r="U30" s="1263"/>
      <c r="V30" s="1263"/>
      <c r="W30" s="1263"/>
      <c r="X30" s="1263"/>
      <c r="Y30" s="1263"/>
      <c r="Z30" s="1263"/>
      <c r="AA30" s="1263"/>
      <c r="AB30" s="1263"/>
      <c r="AC30" s="1263"/>
      <c r="AD30" s="1263"/>
      <c r="AE30" s="1263"/>
      <c r="AF30" s="1263"/>
      <c r="AG30" s="1263"/>
      <c r="AH30" s="1263"/>
      <c r="AI30" s="1263"/>
      <c r="AJ30" s="1263"/>
      <c r="AK30" s="1263"/>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35" customHeight="1">
      <c r="A32" s="218"/>
      <c r="B32" s="218"/>
      <c r="C32" s="219"/>
      <c r="D32" s="1263" t="s">
        <v>2432</v>
      </c>
      <c r="E32" s="1263"/>
      <c r="F32" s="1263"/>
      <c r="G32" s="1263"/>
      <c r="H32" s="1263"/>
      <c r="I32" s="1263"/>
      <c r="J32" s="1263"/>
      <c r="K32" s="1263"/>
      <c r="L32" s="1263"/>
      <c r="M32" s="1263"/>
      <c r="N32" s="1263"/>
      <c r="O32" s="1263"/>
      <c r="P32" s="1263"/>
      <c r="Q32" s="1263"/>
      <c r="R32" s="1263"/>
      <c r="S32" s="1263"/>
      <c r="T32" s="1263"/>
      <c r="U32" s="1263"/>
      <c r="V32" s="1263"/>
      <c r="W32" s="1263"/>
      <c r="X32" s="1263"/>
      <c r="Y32" s="1263"/>
      <c r="Z32" s="1263"/>
      <c r="AA32" s="1263"/>
      <c r="AB32" s="1263"/>
      <c r="AC32" s="1263"/>
      <c r="AD32" s="1263"/>
      <c r="AE32" s="1263"/>
      <c r="AF32" s="1263"/>
      <c r="AG32" s="1263"/>
      <c r="AH32" s="1263"/>
      <c r="AI32" s="1263"/>
      <c r="AJ32" s="1263"/>
      <c r="AK32" s="1263"/>
      <c r="AL32" s="218"/>
    </row>
    <row r="33" spans="1:38">
      <c r="A33" s="218"/>
      <c r="B33" s="218"/>
      <c r="C33" s="219"/>
      <c r="D33" s="490"/>
      <c r="E33" s="1264" t="s">
        <v>2614</v>
      </c>
      <c r="F33" s="1265"/>
      <c r="G33" s="1265"/>
      <c r="H33" s="1265"/>
      <c r="I33" s="1265"/>
      <c r="J33" s="1265"/>
      <c r="K33" s="1265"/>
      <c r="L33" s="1265"/>
      <c r="M33" s="1265"/>
      <c r="N33" s="1265"/>
      <c r="O33" s="1265"/>
      <c r="P33" s="1265"/>
      <c r="Q33" s="1265"/>
      <c r="R33" s="1265"/>
      <c r="S33" s="1265"/>
      <c r="T33" s="1265"/>
      <c r="U33" s="1265"/>
      <c r="V33" s="1265"/>
      <c r="W33" s="1265"/>
      <c r="X33" s="1265"/>
      <c r="Y33" s="1265"/>
      <c r="Z33" s="1265"/>
      <c r="AA33" s="1265"/>
      <c r="AB33" s="1265"/>
      <c r="AC33" s="1265"/>
      <c r="AD33" s="1265"/>
      <c r="AE33" s="1265"/>
      <c r="AF33" s="1265"/>
      <c r="AG33" s="1265"/>
      <c r="AH33" s="1265"/>
      <c r="AI33" s="1265"/>
      <c r="AJ33" s="1265"/>
      <c r="AK33" s="1265"/>
      <c r="AL33" s="218"/>
    </row>
    <row r="34" spans="1:38">
      <c r="A34" s="4"/>
      <c r="C34" s="2"/>
    </row>
    <row r="35" spans="1:38">
      <c r="A35" s="4"/>
      <c r="D35" s="1275" t="s">
        <v>2610</v>
      </c>
      <c r="E35" s="1275"/>
      <c r="F35" s="1275"/>
      <c r="G35" s="1275"/>
      <c r="H35" s="1275"/>
      <c r="I35" s="1275"/>
      <c r="J35" s="1275"/>
      <c r="K35" s="1275"/>
      <c r="L35" s="1275"/>
      <c r="M35" s="1275"/>
      <c r="N35" s="1275"/>
      <c r="O35" s="1275"/>
      <c r="P35" s="1275"/>
      <c r="Q35" s="1275"/>
      <c r="R35" s="1275"/>
      <c r="S35" s="1275"/>
      <c r="T35" s="1275"/>
      <c r="U35" s="1275"/>
      <c r="V35" s="1275"/>
      <c r="W35" s="1275"/>
      <c r="X35" s="1275"/>
      <c r="Y35" s="1275"/>
      <c r="Z35" s="1275"/>
      <c r="AA35" s="1275"/>
      <c r="AB35" s="1275"/>
      <c r="AC35" s="1275"/>
      <c r="AD35" s="1275"/>
      <c r="AE35" s="1275"/>
      <c r="AF35" s="1275"/>
      <c r="AG35" s="1275"/>
      <c r="AH35" s="1275"/>
      <c r="AI35" s="1275"/>
      <c r="AJ35" s="1275"/>
      <c r="AK35" s="1275"/>
    </row>
    <row r="36" spans="1:38">
      <c r="A36" s="4"/>
      <c r="D36" s="1275"/>
      <c r="E36" s="1275"/>
      <c r="F36" s="1275"/>
      <c r="G36" s="1275"/>
      <c r="H36" s="1275"/>
      <c r="I36" s="1275"/>
      <c r="J36" s="1275"/>
      <c r="K36" s="1275"/>
      <c r="L36" s="1275"/>
      <c r="M36" s="1275"/>
      <c r="N36" s="1275"/>
      <c r="O36" s="1275"/>
      <c r="P36" s="1275"/>
      <c r="Q36" s="1275"/>
      <c r="R36" s="1275"/>
      <c r="S36" s="1275"/>
      <c r="T36" s="1275"/>
      <c r="U36" s="1275"/>
      <c r="V36" s="1275"/>
      <c r="W36" s="1275"/>
      <c r="X36" s="1275"/>
      <c r="Y36" s="1275"/>
      <c r="Z36" s="1275"/>
      <c r="AA36" s="1275"/>
      <c r="AB36" s="1275"/>
      <c r="AC36" s="1275"/>
      <c r="AD36" s="1275"/>
      <c r="AE36" s="1275"/>
      <c r="AF36" s="1275"/>
      <c r="AG36" s="1275"/>
      <c r="AH36" s="1275"/>
      <c r="AI36" s="1275"/>
      <c r="AJ36" s="1275"/>
      <c r="AK36" s="1275"/>
    </row>
    <row r="37" spans="1:38">
      <c r="A37" s="4"/>
      <c r="D37" s="120"/>
      <c r="E37" s="1270" t="s">
        <v>2439</v>
      </c>
      <c r="F37" s="1270"/>
      <c r="G37" s="1270"/>
      <c r="H37" s="1270"/>
      <c r="I37" s="1270"/>
      <c r="J37" s="1270"/>
      <c r="K37" s="1270"/>
      <c r="L37" s="1270"/>
      <c r="M37" s="1270"/>
      <c r="N37" s="1270"/>
      <c r="O37" s="1270"/>
      <c r="P37" s="1270"/>
      <c r="Q37" s="1270"/>
      <c r="R37" s="1270"/>
      <c r="S37" s="1270"/>
      <c r="T37" s="1270"/>
      <c r="U37" s="1270"/>
      <c r="V37" s="1270"/>
      <c r="W37" s="1270"/>
      <c r="X37" s="1270"/>
      <c r="Y37" s="1270"/>
      <c r="Z37" s="1270"/>
      <c r="AA37" s="1270"/>
      <c r="AB37" s="1270"/>
      <c r="AC37" s="1270"/>
      <c r="AD37" s="1270"/>
      <c r="AE37" s="1270"/>
      <c r="AF37" s="1270"/>
      <c r="AG37" s="1270"/>
      <c r="AH37" s="1270"/>
      <c r="AI37" s="1270"/>
      <c r="AJ37" s="1270"/>
      <c r="AK37" s="1270"/>
    </row>
    <row r="38" spans="1:38">
      <c r="A38" s="4"/>
      <c r="D38" s="120"/>
      <c r="E38" s="1270" t="s">
        <v>2440</v>
      </c>
      <c r="F38" s="1270"/>
      <c r="G38" s="1270"/>
      <c r="H38" s="1270"/>
      <c r="I38" s="1270"/>
      <c r="J38" s="1270"/>
      <c r="K38" s="1270"/>
      <c r="L38" s="1270"/>
      <c r="M38" s="1270"/>
      <c r="N38" s="1270"/>
      <c r="O38" s="1270"/>
      <c r="P38" s="1270"/>
      <c r="Q38" s="1270"/>
      <c r="R38" s="1270"/>
      <c r="S38" s="1270"/>
      <c r="T38" s="1270"/>
      <c r="U38" s="1270"/>
      <c r="V38" s="1270"/>
      <c r="W38" s="1270"/>
      <c r="X38" s="1270"/>
      <c r="Y38" s="1270"/>
      <c r="Z38" s="1270"/>
      <c r="AA38" s="1270"/>
      <c r="AB38" s="1270"/>
      <c r="AC38" s="1270"/>
      <c r="AD38" s="1270"/>
      <c r="AE38" s="1270"/>
      <c r="AF38" s="1270"/>
      <c r="AG38" s="1270"/>
      <c r="AH38" s="1270"/>
      <c r="AI38" s="1270"/>
      <c r="AJ38" s="1270"/>
      <c r="AK38" s="1270"/>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343</v>
      </c>
      <c r="D40" s="2" t="s">
        <v>749</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750</v>
      </c>
      <c r="F41" s="4"/>
      <c r="G41" s="4"/>
      <c r="H41" s="4"/>
      <c r="I41" s="4"/>
      <c r="J41" s="4"/>
      <c r="K41" s="4"/>
      <c r="L41" s="4"/>
      <c r="M41" s="4"/>
      <c r="N41" s="4"/>
      <c r="O41" s="4"/>
      <c r="P41" s="4"/>
      <c r="Q41" s="4"/>
      <c r="R41" s="4"/>
      <c r="S41" s="4"/>
      <c r="T41" s="4"/>
      <c r="U41" s="4"/>
      <c r="V41" s="4"/>
      <c r="W41" s="4"/>
      <c r="X41" s="4"/>
      <c r="Y41" s="4"/>
      <c r="Z41" s="4"/>
      <c r="AA41" s="4"/>
      <c r="AB41" s="4"/>
    </row>
    <row r="42" spans="1:38" s="1263" customFormat="1" ht="13.35" customHeight="1">
      <c r="A42" s="4"/>
      <c r="B42"/>
      <c r="C42" s="2"/>
      <c r="D42" s="4"/>
      <c r="E42" s="4" t="s">
        <v>662</v>
      </c>
      <c r="F42" s="1263" t="s">
        <v>1306</v>
      </c>
    </row>
    <row r="43" spans="1:38" s="1263" customFormat="1" ht="13.35" customHeight="1">
      <c r="A43" s="4"/>
      <c r="B43"/>
      <c r="C43" s="2"/>
      <c r="D43" s="4"/>
      <c r="E43" s="4"/>
    </row>
    <row r="44" spans="1:38">
      <c r="A44" s="4"/>
      <c r="C44" s="2"/>
      <c r="D44" s="4"/>
      <c r="E44" s="4"/>
      <c r="F44" s="35" t="s">
        <v>697</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35" customHeight="1">
      <c r="A45" s="4"/>
      <c r="B45"/>
      <c r="C45" s="2"/>
      <c r="D45" s="4"/>
      <c r="E45" s="3" t="s">
        <v>350</v>
      </c>
      <c r="F45" s="1269" t="s">
        <v>1401</v>
      </c>
      <c r="G45" s="1269"/>
      <c r="H45" s="1269"/>
      <c r="I45" s="1269"/>
      <c r="J45" s="1269"/>
      <c r="K45" s="1269"/>
      <c r="L45" s="1269"/>
      <c r="M45" s="1269"/>
      <c r="N45" s="1269"/>
      <c r="O45" s="1269"/>
      <c r="P45" s="1269"/>
      <c r="Q45" s="1269"/>
      <c r="R45" s="1269"/>
      <c r="S45" s="1269"/>
      <c r="T45" s="1269"/>
      <c r="U45" s="1269"/>
      <c r="V45" s="1269"/>
      <c r="W45" s="1269"/>
      <c r="X45" s="1269"/>
      <c r="Y45" s="1269"/>
      <c r="Z45" s="1269"/>
      <c r="AA45" s="1269"/>
      <c r="AB45" s="1269"/>
      <c r="AC45" s="1269"/>
      <c r="AD45" s="1269"/>
      <c r="AE45" s="1269"/>
      <c r="AF45" s="1269"/>
      <c r="AG45" s="1269"/>
      <c r="AH45" s="1269"/>
      <c r="AI45" s="1269"/>
      <c r="AJ45" s="1269"/>
      <c r="AK45" s="1269"/>
      <c r="AL45" s="1269"/>
    </row>
    <row r="46" spans="1:38" s="118" customFormat="1">
      <c r="A46" s="4"/>
      <c r="B46"/>
      <c r="C46" s="2"/>
      <c r="D46" s="4"/>
      <c r="E46" s="4"/>
      <c r="F46" s="1269"/>
      <c r="G46" s="1269"/>
      <c r="H46" s="1269"/>
      <c r="I46" s="1269"/>
      <c r="J46" s="1269"/>
      <c r="K46" s="1269"/>
      <c r="L46" s="1269"/>
      <c r="M46" s="1269"/>
      <c r="N46" s="1269"/>
      <c r="O46" s="1269"/>
      <c r="P46" s="1269"/>
      <c r="Q46" s="1269"/>
      <c r="R46" s="1269"/>
      <c r="S46" s="1269"/>
      <c r="T46" s="1269"/>
      <c r="U46" s="1269"/>
      <c r="V46" s="1269"/>
      <c r="W46" s="1269"/>
      <c r="X46" s="1269"/>
      <c r="Y46" s="1269"/>
      <c r="Z46" s="1269"/>
      <c r="AA46" s="1269"/>
      <c r="AB46" s="1269"/>
      <c r="AC46" s="1269"/>
      <c r="AD46" s="1269"/>
      <c r="AE46" s="1269"/>
      <c r="AF46" s="1269"/>
      <c r="AG46" s="1269"/>
      <c r="AH46" s="1269"/>
      <c r="AI46" s="1269"/>
      <c r="AJ46" s="1269"/>
      <c r="AK46" s="1269"/>
      <c r="AL46" s="1269"/>
    </row>
    <row r="47" spans="1:38" s="118" customFormat="1" ht="13.35" customHeight="1">
      <c r="A47" s="4"/>
      <c r="B47"/>
      <c r="C47" s="2"/>
      <c r="D47" s="4"/>
      <c r="E47" s="4"/>
      <c r="F47" s="1269"/>
      <c r="G47" s="1269"/>
      <c r="H47" s="1269"/>
      <c r="I47" s="1269"/>
      <c r="J47" s="1269"/>
      <c r="K47" s="1269"/>
      <c r="L47" s="1269"/>
      <c r="M47" s="1269"/>
      <c r="N47" s="1269"/>
      <c r="O47" s="1269"/>
      <c r="P47" s="1269"/>
      <c r="Q47" s="1269"/>
      <c r="R47" s="1269"/>
      <c r="S47" s="1269"/>
      <c r="T47" s="1269"/>
      <c r="U47" s="1269"/>
      <c r="V47" s="1269"/>
      <c r="W47" s="1269"/>
      <c r="X47" s="1269"/>
      <c r="Y47" s="1269"/>
      <c r="Z47" s="1269"/>
      <c r="AA47" s="1269"/>
      <c r="AB47" s="1269"/>
      <c r="AC47" s="1269"/>
      <c r="AD47" s="1269"/>
      <c r="AE47" s="1269"/>
      <c r="AF47" s="1269"/>
      <c r="AG47" s="1269"/>
      <c r="AH47" s="1269"/>
      <c r="AI47" s="1269"/>
      <c r="AJ47" s="1269"/>
      <c r="AK47" s="1269"/>
      <c r="AL47" s="1269"/>
    </row>
    <row r="48" spans="1:38">
      <c r="A48" s="4"/>
      <c r="C48" s="2"/>
      <c r="D48" s="4"/>
      <c r="E48" s="4"/>
      <c r="F48" s="118" t="s">
        <v>697</v>
      </c>
      <c r="G48" s="3" t="s">
        <v>2433</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351</v>
      </c>
      <c r="F50" s="1263" t="s">
        <v>2434</v>
      </c>
      <c r="G50" s="1263"/>
      <c r="H50" s="1263"/>
      <c r="I50" s="1263"/>
      <c r="J50" s="1263"/>
      <c r="K50" s="1263"/>
      <c r="L50" s="1263"/>
      <c r="M50" s="1263"/>
      <c r="N50" s="1263"/>
      <c r="O50" s="1263"/>
      <c r="P50" s="1263"/>
      <c r="Q50" s="1263"/>
      <c r="R50" s="1263"/>
      <c r="S50" s="1263"/>
      <c r="T50" s="1263"/>
      <c r="U50" s="1263"/>
      <c r="V50" s="1263"/>
      <c r="W50" s="1263"/>
      <c r="X50" s="1263"/>
      <c r="Y50" s="1263"/>
      <c r="Z50" s="1263"/>
      <c r="AA50" s="1263"/>
      <c r="AB50" s="1263"/>
      <c r="AC50" s="1263"/>
      <c r="AD50" s="1263"/>
      <c r="AE50" s="1263"/>
      <c r="AF50" s="1263"/>
      <c r="AG50" s="1263"/>
      <c r="AH50" s="1263"/>
      <c r="AI50" s="1263"/>
      <c r="AJ50" s="1263"/>
      <c r="AK50" s="1263"/>
    </row>
    <row r="51" spans="1:38">
      <c r="A51" s="4"/>
      <c r="C51" s="2"/>
      <c r="D51" s="4"/>
      <c r="E51" s="4"/>
      <c r="F51" s="1263"/>
      <c r="G51" s="1263"/>
      <c r="H51" s="1263"/>
      <c r="I51" s="1263"/>
      <c r="J51" s="1263"/>
      <c r="K51" s="1263"/>
      <c r="L51" s="1263"/>
      <c r="M51" s="1263"/>
      <c r="N51" s="1263"/>
      <c r="O51" s="1263"/>
      <c r="P51" s="1263"/>
      <c r="Q51" s="1263"/>
      <c r="R51" s="1263"/>
      <c r="S51" s="1263"/>
      <c r="T51" s="1263"/>
      <c r="U51" s="1263"/>
      <c r="V51" s="1263"/>
      <c r="W51" s="1263"/>
      <c r="X51" s="1263"/>
      <c r="Y51" s="1263"/>
      <c r="Z51" s="1263"/>
      <c r="AA51" s="1263"/>
      <c r="AB51" s="1263"/>
      <c r="AC51" s="1263"/>
      <c r="AD51" s="1263"/>
      <c r="AE51" s="1263"/>
      <c r="AF51" s="1263"/>
      <c r="AG51" s="1263"/>
      <c r="AH51" s="1263"/>
      <c r="AI51" s="1263"/>
      <c r="AJ51" s="1263"/>
      <c r="AK51" s="1263"/>
    </row>
    <row r="52" spans="1:38">
      <c r="A52" s="4"/>
      <c r="C52" s="2"/>
      <c r="D52" s="4"/>
      <c r="F52" s="1263"/>
      <c r="G52" s="1263"/>
      <c r="H52" s="1263"/>
      <c r="I52" s="1263"/>
      <c r="J52" s="1263"/>
      <c r="K52" s="1263"/>
      <c r="L52" s="1263"/>
      <c r="M52" s="1263"/>
      <c r="N52" s="1263"/>
      <c r="O52" s="1263"/>
      <c r="P52" s="1263"/>
      <c r="Q52" s="1263"/>
      <c r="R52" s="1263"/>
      <c r="S52" s="1263"/>
      <c r="T52" s="1263"/>
      <c r="U52" s="1263"/>
      <c r="V52" s="1263"/>
      <c r="W52" s="1263"/>
      <c r="X52" s="1263"/>
      <c r="Y52" s="1263"/>
      <c r="Z52" s="1263"/>
      <c r="AA52" s="1263"/>
      <c r="AB52" s="1263"/>
      <c r="AC52" s="1263"/>
      <c r="AD52" s="1263"/>
      <c r="AE52" s="1263"/>
      <c r="AF52" s="1263"/>
      <c r="AG52" s="1263"/>
      <c r="AH52" s="1263"/>
      <c r="AI52" s="1263"/>
      <c r="AJ52" s="1263"/>
      <c r="AK52" s="1263"/>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1334</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35" customHeight="1">
      <c r="A56" s="218"/>
      <c r="B56" s="218"/>
      <c r="C56" s="219"/>
      <c r="D56" s="219"/>
      <c r="E56" s="218"/>
      <c r="F56" s="220" t="s">
        <v>697</v>
      </c>
      <c r="G56" s="1268" t="s">
        <v>1333</v>
      </c>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218"/>
    </row>
    <row r="57" spans="1:38" ht="13.35" customHeight="1">
      <c r="A57" s="218"/>
      <c r="B57" s="218"/>
      <c r="C57" s="219"/>
      <c r="D57" s="219"/>
      <c r="E57" s="218"/>
      <c r="F57" s="220"/>
      <c r="G57" s="513" t="s">
        <v>1335</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8" t="s">
        <v>584</v>
      </c>
      <c r="H58" s="1268"/>
      <c r="I58" s="1268"/>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35" customHeight="1">
      <c r="A59" s="218"/>
      <c r="B59" s="219"/>
      <c r="C59" s="219"/>
      <c r="D59" s="219"/>
      <c r="E59" s="218"/>
      <c r="F59" s="220" t="s">
        <v>518</v>
      </c>
      <c r="G59" s="1268" t="s">
        <v>2435</v>
      </c>
      <c r="H59" s="1268"/>
      <c r="I59" s="1268"/>
      <c r="J59" s="1268"/>
      <c r="K59" s="1268"/>
      <c r="L59" s="1268"/>
      <c r="M59" s="1268"/>
      <c r="N59" s="1268"/>
      <c r="O59" s="1268"/>
      <c r="P59" s="1268"/>
      <c r="Q59" s="1268"/>
      <c r="R59" s="1268"/>
      <c r="S59" s="1268"/>
      <c r="T59" s="1268"/>
      <c r="U59" s="1268"/>
      <c r="V59" s="1268"/>
      <c r="W59" s="1268"/>
      <c r="X59" s="1268"/>
      <c r="Y59" s="1268"/>
      <c r="Z59" s="1268"/>
      <c r="AA59" s="1268"/>
      <c r="AB59" s="1268"/>
      <c r="AC59" s="1268"/>
      <c r="AD59" s="1268"/>
      <c r="AE59" s="1268"/>
      <c r="AF59" s="1268"/>
      <c r="AG59" s="1268"/>
      <c r="AH59" s="1268"/>
      <c r="AI59" s="1268"/>
      <c r="AJ59" s="1268"/>
      <c r="AK59" s="1268"/>
      <c r="AL59" s="1268"/>
    </row>
    <row r="60" spans="1:38">
      <c r="A60" s="218"/>
      <c r="B60" s="218"/>
      <c r="C60" s="219"/>
      <c r="D60" s="219"/>
      <c r="E60" s="218"/>
      <c r="F60" s="220"/>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row>
    <row r="61" spans="1:38">
      <c r="A61" s="218"/>
      <c r="B61" s="218"/>
      <c r="C61" s="219"/>
      <c r="D61" s="219"/>
      <c r="E61" s="218"/>
      <c r="F61" s="220"/>
      <c r="G61" s="514" t="s">
        <v>1442</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1307</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3" t="s">
        <v>1308</v>
      </c>
      <c r="H66" s="1263"/>
      <c r="I66" s="1263"/>
      <c r="J66" s="1263"/>
      <c r="K66" s="1263"/>
      <c r="L66" s="1263"/>
      <c r="M66" s="1263"/>
      <c r="N66" s="1263"/>
      <c r="O66" s="1263"/>
      <c r="P66" s="1263"/>
      <c r="Q66" s="1263"/>
      <c r="R66" s="1263"/>
      <c r="S66" s="1263"/>
      <c r="T66" s="1263"/>
      <c r="U66" s="1263"/>
      <c r="V66" s="1263"/>
      <c r="W66" s="1263"/>
      <c r="X66" s="1263"/>
      <c r="Y66" s="1263"/>
      <c r="Z66" s="1263"/>
      <c r="AA66" s="1263"/>
      <c r="AB66" s="1263"/>
      <c r="AC66" s="1263"/>
      <c r="AD66" s="1263"/>
      <c r="AE66" s="1263"/>
      <c r="AF66" s="1263"/>
      <c r="AG66" s="1263"/>
      <c r="AH66" s="1263"/>
      <c r="AI66" s="1263"/>
      <c r="AJ66" s="1263"/>
      <c r="AK66" s="1263"/>
    </row>
    <row r="67" spans="1:37">
      <c r="A67" s="4"/>
      <c r="C67" s="2"/>
      <c r="D67" s="4"/>
      <c r="E67" s="4"/>
      <c r="G67" s="1263"/>
      <c r="H67" s="1263"/>
      <c r="I67" s="1263"/>
      <c r="J67" s="1263"/>
      <c r="K67" s="1263"/>
      <c r="L67" s="1263"/>
      <c r="M67" s="1263"/>
      <c r="N67" s="1263"/>
      <c r="O67" s="1263"/>
      <c r="P67" s="1263"/>
      <c r="Q67" s="1263"/>
      <c r="R67" s="1263"/>
      <c r="S67" s="1263"/>
      <c r="T67" s="1263"/>
      <c r="U67" s="1263"/>
      <c r="V67" s="1263"/>
      <c r="W67" s="1263"/>
      <c r="X67" s="1263"/>
      <c r="Y67" s="1263"/>
      <c r="Z67" s="1263"/>
      <c r="AA67" s="1263"/>
      <c r="AB67" s="1263"/>
      <c r="AC67" s="1263"/>
      <c r="AD67" s="1263"/>
      <c r="AE67" s="1263"/>
      <c r="AF67" s="1263"/>
      <c r="AG67" s="1263"/>
      <c r="AH67" s="1263"/>
      <c r="AI67" s="1263"/>
      <c r="AJ67" s="1263"/>
      <c r="AK67" s="1263"/>
    </row>
    <row r="68" spans="1:37">
      <c r="A68" s="4"/>
      <c r="C68" s="2"/>
      <c r="D68" s="4"/>
      <c r="E68" s="4"/>
      <c r="G68" s="1263"/>
      <c r="H68" s="1263"/>
      <c r="I68" s="1263"/>
      <c r="J68" s="1263"/>
      <c r="K68" s="1263"/>
      <c r="L68" s="1263"/>
      <c r="M68" s="1263"/>
      <c r="N68" s="1263"/>
      <c r="O68" s="1263"/>
      <c r="P68" s="1263"/>
      <c r="Q68" s="1263"/>
      <c r="R68" s="1263"/>
      <c r="S68" s="1263"/>
      <c r="T68" s="1263"/>
      <c r="U68" s="1263"/>
      <c r="V68" s="1263"/>
      <c r="W68" s="1263"/>
      <c r="X68" s="1263"/>
      <c r="Y68" s="1263"/>
      <c r="Z68" s="1263"/>
      <c r="AA68" s="1263"/>
      <c r="AB68" s="1263"/>
      <c r="AC68" s="1263"/>
      <c r="AD68" s="1263"/>
      <c r="AE68" s="1263"/>
      <c r="AF68" s="1263"/>
      <c r="AG68" s="1263"/>
      <c r="AH68" s="1263"/>
      <c r="AI68" s="1263"/>
      <c r="AJ68" s="1263"/>
      <c r="AK68" s="1263"/>
    </row>
    <row r="69" spans="1:37" ht="13.35" customHeight="1">
      <c r="A69" s="4"/>
      <c r="C69" s="2"/>
      <c r="D69" s="4"/>
      <c r="E69" s="4"/>
      <c r="F69" t="s">
        <v>518</v>
      </c>
      <c r="G69" s="1263" t="s">
        <v>1309</v>
      </c>
      <c r="H69" s="1263"/>
      <c r="I69" s="1263"/>
      <c r="J69" s="1263"/>
      <c r="K69" s="1263"/>
      <c r="L69" s="1263"/>
      <c r="M69" s="1263"/>
      <c r="N69" s="1263"/>
      <c r="O69" s="1263"/>
      <c r="P69" s="1263"/>
      <c r="Q69" s="1263"/>
      <c r="R69" s="1263"/>
      <c r="S69" s="1263"/>
      <c r="T69" s="1263"/>
      <c r="U69" s="1263"/>
      <c r="V69" s="1263"/>
      <c r="W69" s="1263"/>
      <c r="X69" s="1263"/>
      <c r="Y69" s="1263"/>
      <c r="Z69" s="1263"/>
      <c r="AA69" s="1263"/>
      <c r="AB69" s="1263"/>
      <c r="AC69" s="1263"/>
      <c r="AD69" s="1263"/>
      <c r="AE69" s="1263"/>
      <c r="AF69" s="1263"/>
      <c r="AG69" s="1263"/>
      <c r="AH69" s="1263"/>
      <c r="AI69" s="1263"/>
      <c r="AJ69" s="1263"/>
      <c r="AK69" s="1263"/>
    </row>
    <row r="70" spans="1:37">
      <c r="A70" s="4"/>
      <c r="C70" s="2"/>
      <c r="D70" s="4"/>
      <c r="E70" s="4"/>
      <c r="F70" s="27"/>
      <c r="G70" s="1263"/>
      <c r="H70" s="1263"/>
      <c r="I70" s="1263"/>
      <c r="J70" s="1263"/>
      <c r="K70" s="1263"/>
      <c r="L70" s="1263"/>
      <c r="M70" s="1263"/>
      <c r="N70" s="1263"/>
      <c r="O70" s="1263"/>
      <c r="P70" s="1263"/>
      <c r="Q70" s="1263"/>
      <c r="R70" s="1263"/>
      <c r="S70" s="1263"/>
      <c r="T70" s="1263"/>
      <c r="U70" s="1263"/>
      <c r="V70" s="1263"/>
      <c r="W70" s="1263"/>
      <c r="X70" s="1263"/>
      <c r="Y70" s="1263"/>
      <c r="Z70" s="1263"/>
      <c r="AA70" s="1263"/>
      <c r="AB70" s="1263"/>
      <c r="AC70" s="1263"/>
      <c r="AD70" s="1263"/>
      <c r="AE70" s="1263"/>
      <c r="AF70" s="1263"/>
      <c r="AG70" s="1263"/>
      <c r="AH70" s="1263"/>
      <c r="AI70" s="1263"/>
      <c r="AJ70" s="1263"/>
      <c r="AK70" s="1263"/>
    </row>
    <row r="71" spans="1:37">
      <c r="A71" s="4"/>
      <c r="C71" s="2"/>
      <c r="D71" s="4"/>
      <c r="E71" s="4" t="s">
        <v>350</v>
      </c>
      <c r="F71" s="4" t="s">
        <v>423</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697</v>
      </c>
      <c r="G72" s="1263" t="s">
        <v>1310</v>
      </c>
      <c r="H72" s="1263"/>
      <c r="I72" s="1263"/>
      <c r="J72" s="1263"/>
      <c r="K72" s="1263"/>
      <c r="L72" s="1263"/>
      <c r="M72" s="1263"/>
      <c r="N72" s="1263"/>
      <c r="O72" s="1263"/>
      <c r="P72" s="1263"/>
      <c r="Q72" s="1263"/>
      <c r="R72" s="1263"/>
      <c r="S72" s="1263"/>
      <c r="T72" s="1263"/>
      <c r="U72" s="1263"/>
      <c r="V72" s="1263"/>
      <c r="W72" s="1263"/>
      <c r="X72" s="1263"/>
      <c r="Y72" s="1263"/>
      <c r="Z72" s="1263"/>
      <c r="AA72" s="1263"/>
      <c r="AB72" s="1263"/>
      <c r="AC72" s="1263"/>
      <c r="AD72" s="1263"/>
      <c r="AE72" s="1263"/>
      <c r="AF72" s="1263"/>
      <c r="AG72" s="1263"/>
      <c r="AH72" s="1263"/>
      <c r="AI72" s="1263"/>
      <c r="AJ72" s="1263"/>
      <c r="AK72" s="1263"/>
    </row>
    <row r="73" spans="1:37">
      <c r="A73" s="4"/>
      <c r="C73" s="2"/>
      <c r="D73" s="4"/>
      <c r="E73" s="4"/>
      <c r="F73" s="8"/>
      <c r="G73" s="1263"/>
      <c r="H73" s="1263"/>
      <c r="I73" s="1263"/>
      <c r="J73" s="1263"/>
      <c r="K73" s="1263"/>
      <c r="L73" s="1263"/>
      <c r="M73" s="1263"/>
      <c r="N73" s="1263"/>
      <c r="O73" s="1263"/>
      <c r="P73" s="1263"/>
      <c r="Q73" s="1263"/>
      <c r="R73" s="1263"/>
      <c r="S73" s="1263"/>
      <c r="T73" s="1263"/>
      <c r="U73" s="1263"/>
      <c r="V73" s="1263"/>
      <c r="W73" s="1263"/>
      <c r="X73" s="1263"/>
      <c r="Y73" s="1263"/>
      <c r="Z73" s="1263"/>
      <c r="AA73" s="1263"/>
      <c r="AB73" s="1263"/>
      <c r="AC73" s="1263"/>
      <c r="AD73" s="1263"/>
      <c r="AE73" s="1263"/>
      <c r="AF73" s="1263"/>
      <c r="AG73" s="1263"/>
      <c r="AH73" s="1263"/>
      <c r="AI73" s="1263"/>
      <c r="AJ73" s="1263"/>
      <c r="AK73" s="1263"/>
    </row>
    <row r="74" spans="1:37">
      <c r="A74" s="4"/>
      <c r="C74" s="2"/>
      <c r="D74" s="4"/>
      <c r="E74" s="4"/>
      <c r="F74" s="8" t="s">
        <v>518</v>
      </c>
      <c r="G74" s="1263" t="s">
        <v>1311</v>
      </c>
      <c r="H74" s="1263"/>
      <c r="I74" s="1263"/>
      <c r="J74" s="1263"/>
      <c r="K74" s="1263"/>
      <c r="L74" s="1263"/>
      <c r="M74" s="1263"/>
      <c r="N74" s="1263"/>
      <c r="O74" s="1263"/>
      <c r="P74" s="1263"/>
      <c r="Q74" s="1263"/>
      <c r="R74" s="1263"/>
      <c r="S74" s="1263"/>
      <c r="T74" s="1263"/>
      <c r="U74" s="1263"/>
      <c r="V74" s="1263"/>
      <c r="W74" s="1263"/>
      <c r="X74" s="1263"/>
      <c r="Y74" s="1263"/>
      <c r="Z74" s="1263"/>
      <c r="AA74" s="1263"/>
      <c r="AB74" s="1263"/>
      <c r="AC74" s="1263"/>
      <c r="AD74" s="1263"/>
      <c r="AE74" s="1263"/>
      <c r="AF74" s="1263"/>
      <c r="AG74" s="1263"/>
      <c r="AH74" s="1263"/>
      <c r="AI74" s="1263"/>
      <c r="AJ74" s="1263"/>
      <c r="AK74" s="1263"/>
    </row>
    <row r="75" spans="1:37">
      <c r="A75" s="4"/>
      <c r="C75" s="2"/>
      <c r="D75" s="4"/>
      <c r="E75" s="4"/>
      <c r="F75" s="8"/>
      <c r="G75" s="1263"/>
      <c r="H75" s="1263"/>
      <c r="I75" s="1263"/>
      <c r="J75" s="1263"/>
      <c r="K75" s="1263"/>
      <c r="L75" s="1263"/>
      <c r="M75" s="1263"/>
      <c r="N75" s="1263"/>
      <c r="O75" s="1263"/>
      <c r="P75" s="1263"/>
      <c r="Q75" s="1263"/>
      <c r="R75" s="1263"/>
      <c r="S75" s="1263"/>
      <c r="T75" s="1263"/>
      <c r="U75" s="1263"/>
      <c r="V75" s="1263"/>
      <c r="W75" s="1263"/>
      <c r="X75" s="1263"/>
      <c r="Y75" s="1263"/>
      <c r="Z75" s="1263"/>
      <c r="AA75" s="1263"/>
      <c r="AB75" s="1263"/>
      <c r="AC75" s="1263"/>
      <c r="AD75" s="1263"/>
      <c r="AE75" s="1263"/>
      <c r="AF75" s="1263"/>
      <c r="AG75" s="1263"/>
      <c r="AH75" s="1263"/>
      <c r="AI75" s="1263"/>
      <c r="AJ75" s="1263"/>
      <c r="AK75" s="1263"/>
    </row>
    <row r="76" spans="1:37">
      <c r="A76" s="4"/>
      <c r="C76" s="2"/>
      <c r="D76" s="4"/>
      <c r="E76" s="4"/>
      <c r="F76" s="8"/>
      <c r="G76" s="120" t="s">
        <v>762</v>
      </c>
      <c r="H76" s="4"/>
      <c r="J76" s="120"/>
      <c r="K76" s="120"/>
      <c r="L76" s="120"/>
      <c r="P76" s="4"/>
      <c r="Q76" s="4"/>
      <c r="R76" s="4"/>
      <c r="S76" s="4"/>
      <c r="T76" s="4"/>
      <c r="U76" s="4"/>
      <c r="V76" s="4"/>
      <c r="W76" s="4"/>
      <c r="X76" s="4"/>
      <c r="Y76" s="4"/>
      <c r="Z76" s="4"/>
      <c r="AA76" s="4"/>
      <c r="AB76" s="4"/>
    </row>
    <row r="77" spans="1:37">
      <c r="A77" s="4"/>
      <c r="C77" s="2"/>
      <c r="D77" s="4"/>
      <c r="E77" s="4"/>
      <c r="F77" s="8"/>
      <c r="G77" s="120" t="s">
        <v>892</v>
      </c>
      <c r="J77" s="120"/>
      <c r="K77" s="120"/>
      <c r="L77" s="120"/>
      <c r="P77" s="4"/>
      <c r="Q77" s="4"/>
      <c r="R77" s="4"/>
      <c r="S77" s="4"/>
      <c r="T77" s="4"/>
      <c r="U77" s="4"/>
      <c r="V77" s="4"/>
      <c r="W77" s="4"/>
      <c r="X77" s="4"/>
      <c r="Y77" s="4"/>
      <c r="Z77" s="4"/>
      <c r="AA77" s="4"/>
      <c r="AB77" s="4"/>
    </row>
    <row r="78" spans="1:37">
      <c r="A78" s="4"/>
      <c r="C78" s="2"/>
      <c r="D78" s="4"/>
      <c r="E78" s="4"/>
      <c r="F78" s="8" t="s">
        <v>280</v>
      </c>
      <c r="G78" s="4" t="s">
        <v>1071</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893</v>
      </c>
      <c r="K79" s="4"/>
      <c r="L79" s="4"/>
      <c r="M79" s="4"/>
      <c r="P79" s="4"/>
      <c r="Q79" s="4"/>
      <c r="R79" s="4"/>
      <c r="S79" s="4"/>
      <c r="T79" s="4"/>
      <c r="U79" s="4"/>
      <c r="V79" s="4"/>
      <c r="W79" s="4"/>
      <c r="X79" s="4"/>
      <c r="Y79" s="4"/>
      <c r="Z79" s="4"/>
      <c r="AA79" s="4"/>
      <c r="AB79" s="4"/>
    </row>
    <row r="80" spans="1:37">
      <c r="A80" s="4"/>
      <c r="C80" s="2"/>
      <c r="D80" s="4"/>
      <c r="E80" s="4"/>
      <c r="F80" s="4"/>
      <c r="G80" s="4" t="s">
        <v>769</v>
      </c>
      <c r="H80" s="4" t="s">
        <v>765</v>
      </c>
      <c r="K80" s="4"/>
      <c r="L80" s="4"/>
      <c r="M80" s="4"/>
      <c r="P80" s="4"/>
      <c r="Q80" s="4"/>
      <c r="R80" s="4"/>
      <c r="S80" s="4"/>
      <c r="T80" s="4"/>
      <c r="U80" s="4"/>
      <c r="V80" s="4"/>
      <c r="W80" s="4"/>
      <c r="X80" s="4"/>
      <c r="Y80" s="4"/>
      <c r="Z80" s="4"/>
      <c r="AA80" s="4"/>
      <c r="AB80" s="4"/>
    </row>
    <row r="81" spans="1:37">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3" t="s">
        <v>1312</v>
      </c>
      <c r="H82" s="1263"/>
      <c r="I82" s="1263"/>
      <c r="J82" s="1263"/>
      <c r="K82" s="1263"/>
      <c r="L82" s="1263"/>
      <c r="M82" s="1263"/>
      <c r="N82" s="1263"/>
      <c r="O82" s="1263"/>
      <c r="P82" s="1263"/>
      <c r="Q82" s="1263"/>
      <c r="R82" s="1263"/>
      <c r="S82" s="1263"/>
      <c r="T82" s="1263"/>
      <c r="U82" s="1263"/>
      <c r="V82" s="1263"/>
      <c r="W82" s="1263"/>
      <c r="X82" s="1263"/>
      <c r="Y82" s="1263"/>
      <c r="Z82" s="1263"/>
      <c r="AA82" s="1263"/>
      <c r="AB82" s="1263"/>
      <c r="AC82" s="1263"/>
      <c r="AD82" s="1263"/>
      <c r="AE82" s="1263"/>
      <c r="AF82" s="1263"/>
      <c r="AG82" s="1263"/>
      <c r="AH82" s="1263"/>
      <c r="AI82" s="1263"/>
      <c r="AJ82" s="1263"/>
      <c r="AK82" s="1263"/>
    </row>
    <row r="83" spans="1:37">
      <c r="A83" s="4"/>
      <c r="C83" s="2"/>
      <c r="D83" s="4"/>
      <c r="E83" s="4"/>
      <c r="F83" s="4"/>
      <c r="G83" s="1263"/>
      <c r="H83" s="1263"/>
      <c r="I83" s="1263"/>
      <c r="J83" s="1263"/>
      <c r="K83" s="1263"/>
      <c r="L83" s="1263"/>
      <c r="M83" s="1263"/>
      <c r="N83" s="1263"/>
      <c r="O83" s="1263"/>
      <c r="P83" s="1263"/>
      <c r="Q83" s="1263"/>
      <c r="R83" s="1263"/>
      <c r="S83" s="1263"/>
      <c r="T83" s="1263"/>
      <c r="U83" s="1263"/>
      <c r="V83" s="1263"/>
      <c r="W83" s="1263"/>
      <c r="X83" s="1263"/>
      <c r="Y83" s="1263"/>
      <c r="Z83" s="1263"/>
      <c r="AA83" s="1263"/>
      <c r="AB83" s="1263"/>
      <c r="AC83" s="1263"/>
      <c r="AD83" s="1263"/>
      <c r="AE83" s="1263"/>
      <c r="AF83" s="1263"/>
      <c r="AG83" s="1263"/>
      <c r="AH83" s="1263"/>
      <c r="AI83" s="1263"/>
      <c r="AJ83" s="1263"/>
      <c r="AK83" s="1263"/>
    </row>
    <row r="84" spans="1:37">
      <c r="A84" s="4"/>
      <c r="C84" s="2"/>
      <c r="D84" s="4"/>
      <c r="E84" s="4"/>
      <c r="F84" s="4"/>
      <c r="G84" s="1263"/>
      <c r="H84" s="1263"/>
      <c r="I84" s="1263"/>
      <c r="J84" s="1263"/>
      <c r="K84" s="1263"/>
      <c r="L84" s="1263"/>
      <c r="M84" s="1263"/>
      <c r="N84" s="1263"/>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3"/>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3" t="s">
        <v>1313</v>
      </c>
      <c r="H86" s="1263"/>
      <c r="I86" s="1263"/>
      <c r="J86" s="1263"/>
      <c r="K86" s="1263"/>
      <c r="L86" s="1263"/>
      <c r="M86" s="1263"/>
      <c r="N86" s="1263"/>
      <c r="O86" s="1263"/>
      <c r="P86" s="1263"/>
      <c r="Q86" s="1263"/>
      <c r="R86" s="1263"/>
      <c r="S86" s="1263"/>
      <c r="T86" s="1263"/>
      <c r="U86" s="1263"/>
      <c r="V86" s="1263"/>
      <c r="W86" s="1263"/>
      <c r="X86" s="1263"/>
      <c r="Y86" s="1263"/>
      <c r="Z86" s="1263"/>
      <c r="AA86" s="1263"/>
      <c r="AB86" s="1263"/>
      <c r="AC86" s="1263"/>
      <c r="AD86" s="1263"/>
      <c r="AE86" s="1263"/>
      <c r="AF86" s="1263"/>
      <c r="AG86" s="1263"/>
      <c r="AH86" s="1263"/>
      <c r="AI86" s="1263"/>
      <c r="AJ86" s="1263"/>
      <c r="AK86" s="1263"/>
    </row>
    <row r="87" spans="1:37">
      <c r="A87" s="4"/>
      <c r="C87" s="2"/>
      <c r="D87" s="4"/>
      <c r="E87" s="4"/>
      <c r="F87" s="4"/>
      <c r="G87" s="1263"/>
      <c r="H87" s="1263"/>
      <c r="I87" s="1263"/>
      <c r="J87" s="1263"/>
      <c r="K87" s="1263"/>
      <c r="L87" s="1263"/>
      <c r="M87" s="1263"/>
      <c r="N87" s="1263"/>
      <c r="O87" s="1263"/>
      <c r="P87" s="1263"/>
      <c r="Q87" s="1263"/>
      <c r="R87" s="1263"/>
      <c r="S87" s="1263"/>
      <c r="T87" s="1263"/>
      <c r="U87" s="1263"/>
      <c r="V87" s="1263"/>
      <c r="W87" s="1263"/>
      <c r="X87" s="1263"/>
      <c r="Y87" s="1263"/>
      <c r="Z87" s="1263"/>
      <c r="AA87" s="1263"/>
      <c r="AB87" s="1263"/>
      <c r="AC87" s="1263"/>
      <c r="AD87" s="1263"/>
      <c r="AE87" s="1263"/>
      <c r="AF87" s="1263"/>
      <c r="AG87" s="1263"/>
      <c r="AH87" s="1263"/>
      <c r="AI87" s="1263"/>
      <c r="AJ87" s="1263"/>
      <c r="AK87" s="1263"/>
    </row>
    <row r="88" spans="1:37">
      <c r="A88" s="4"/>
      <c r="C88" s="2"/>
      <c r="D88" s="4"/>
      <c r="E88" s="4"/>
      <c r="G88" s="1263"/>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row>
    <row r="89" spans="1:37">
      <c r="A89" s="4"/>
      <c r="C89" s="2"/>
      <c r="D89" s="4"/>
      <c r="E89" s="4" t="s">
        <v>264</v>
      </c>
      <c r="F89" t="s">
        <v>894</v>
      </c>
      <c r="G89" s="4"/>
      <c r="L89" s="4"/>
      <c r="M89" s="4"/>
      <c r="P89" s="4"/>
      <c r="Q89" s="4"/>
      <c r="R89" s="4"/>
      <c r="S89" s="4"/>
      <c r="T89" s="4"/>
      <c r="U89" s="4"/>
      <c r="V89" s="4"/>
      <c r="W89" s="4"/>
      <c r="X89" s="4"/>
      <c r="Y89" s="4"/>
      <c r="Z89" s="4"/>
      <c r="AA89" s="4"/>
      <c r="AB89" s="4"/>
    </row>
    <row r="90" spans="1:37">
      <c r="A90" s="4"/>
      <c r="C90" s="2"/>
      <c r="D90" s="4"/>
      <c r="E90" s="4"/>
      <c r="G90" s="1266" t="s">
        <v>1314</v>
      </c>
      <c r="H90" s="1266"/>
      <c r="I90" s="1266"/>
      <c r="J90" s="1266"/>
      <c r="K90" s="1266"/>
      <c r="L90" s="1266"/>
      <c r="M90" s="1266"/>
      <c r="N90" s="1266"/>
      <c r="O90" s="1266"/>
      <c r="P90" s="1266"/>
      <c r="Q90" s="1266"/>
      <c r="R90" s="1266"/>
      <c r="S90" s="1266"/>
      <c r="T90" s="1266"/>
      <c r="U90" s="1266"/>
      <c r="V90" s="1266"/>
      <c r="W90" s="1266"/>
      <c r="X90" s="1266"/>
      <c r="Y90" s="1266"/>
      <c r="Z90" s="1266"/>
      <c r="AA90" s="1266"/>
      <c r="AB90" s="1266"/>
      <c r="AC90" s="1266"/>
      <c r="AD90" s="1266"/>
      <c r="AE90" s="1266"/>
      <c r="AF90" s="1266"/>
      <c r="AG90" s="1266"/>
      <c r="AH90" s="1266"/>
      <c r="AI90" s="1266"/>
      <c r="AJ90" s="1266"/>
      <c r="AK90" s="1266"/>
    </row>
    <row r="91" spans="1:37">
      <c r="A91" s="4"/>
      <c r="C91" s="2"/>
      <c r="D91" s="4"/>
      <c r="E91" s="4"/>
      <c r="G91" s="1266"/>
      <c r="H91" s="1266"/>
      <c r="I91" s="1266"/>
      <c r="J91" s="1266"/>
      <c r="K91" s="1266"/>
      <c r="L91" s="1266"/>
      <c r="M91" s="1266"/>
      <c r="N91" s="1266"/>
      <c r="O91" s="1266"/>
      <c r="P91" s="1266"/>
      <c r="Q91" s="1266"/>
      <c r="R91" s="1266"/>
      <c r="S91" s="1266"/>
      <c r="T91" s="1266"/>
      <c r="U91" s="1266"/>
      <c r="V91" s="1266"/>
      <c r="W91" s="1266"/>
      <c r="X91" s="1266"/>
      <c r="Y91" s="1266"/>
      <c r="Z91" s="1266"/>
      <c r="AA91" s="1266"/>
      <c r="AB91" s="1266"/>
      <c r="AC91" s="1266"/>
      <c r="AD91" s="1266"/>
      <c r="AE91" s="1266"/>
      <c r="AF91" s="1266"/>
      <c r="AG91" s="1266"/>
      <c r="AH91" s="1266"/>
      <c r="AI91" s="1266"/>
      <c r="AJ91" s="1266"/>
      <c r="AK91" s="1266"/>
    </row>
    <row r="92" spans="1:37">
      <c r="A92" s="4"/>
      <c r="C92" s="2"/>
      <c r="D92" s="4"/>
      <c r="E92" s="4"/>
      <c r="G92" s="1266"/>
      <c r="H92" s="1266"/>
      <c r="I92" s="1266"/>
      <c r="J92" s="1266"/>
      <c r="K92" s="1266"/>
      <c r="L92" s="1266"/>
      <c r="M92" s="1266"/>
      <c r="N92" s="1266"/>
      <c r="O92" s="1266"/>
      <c r="P92" s="1266"/>
      <c r="Q92" s="1266"/>
      <c r="R92" s="1266"/>
      <c r="S92" s="1266"/>
      <c r="T92" s="1266"/>
      <c r="U92" s="1266"/>
      <c r="V92" s="1266"/>
      <c r="W92" s="1266"/>
      <c r="X92" s="1266"/>
      <c r="Y92" s="1266"/>
      <c r="Z92" s="1266"/>
      <c r="AA92" s="1266"/>
      <c r="AB92" s="1266"/>
      <c r="AC92" s="1266"/>
      <c r="AD92" s="1266"/>
      <c r="AE92" s="1266"/>
      <c r="AF92" s="1266"/>
      <c r="AG92" s="1266"/>
      <c r="AH92" s="1266"/>
      <c r="AI92" s="1266"/>
      <c r="AJ92" s="1266"/>
      <c r="AK92" s="1266"/>
    </row>
    <row r="93" spans="1:37">
      <c r="A93" s="4"/>
      <c r="C93" s="2"/>
      <c r="D93" s="4"/>
      <c r="E93" s="4" t="s">
        <v>265</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3" t="s">
        <v>1315</v>
      </c>
      <c r="H94" s="1263"/>
      <c r="I94" s="1263"/>
      <c r="J94" s="1263"/>
      <c r="K94" s="1263"/>
      <c r="L94" s="1263"/>
      <c r="M94" s="1263"/>
      <c r="N94" s="1263"/>
      <c r="O94" s="1263"/>
      <c r="P94" s="1263"/>
      <c r="Q94" s="1263"/>
      <c r="R94" s="1263"/>
      <c r="S94" s="1263"/>
      <c r="T94" s="1263"/>
      <c r="U94" s="1263"/>
      <c r="V94" s="1263"/>
      <c r="W94" s="1263"/>
      <c r="X94" s="1263"/>
      <c r="Y94" s="1263"/>
      <c r="Z94" s="1263"/>
      <c r="AA94" s="1263"/>
      <c r="AB94" s="1263"/>
      <c r="AC94" s="1263"/>
      <c r="AD94" s="1263"/>
      <c r="AE94" s="1263"/>
      <c r="AF94" s="1263"/>
      <c r="AG94" s="1263"/>
      <c r="AH94" s="1263"/>
      <c r="AI94" s="1263"/>
      <c r="AJ94" s="1263"/>
      <c r="AK94" s="1263"/>
    </row>
    <row r="95" spans="1:37">
      <c r="A95" s="4"/>
      <c r="C95" s="2"/>
      <c r="D95" s="4"/>
      <c r="E95" s="4"/>
      <c r="G95" s="1263"/>
      <c r="H95" s="1263"/>
      <c r="I95" s="1263"/>
      <c r="J95" s="1263"/>
      <c r="K95" s="1263"/>
      <c r="L95" s="1263"/>
      <c r="M95" s="1263"/>
      <c r="N95" s="1263"/>
      <c r="O95" s="1263"/>
      <c r="P95" s="1263"/>
      <c r="Q95" s="1263"/>
      <c r="R95" s="1263"/>
      <c r="S95" s="1263"/>
      <c r="T95" s="1263"/>
      <c r="U95" s="1263"/>
      <c r="V95" s="1263"/>
      <c r="W95" s="1263"/>
      <c r="X95" s="1263"/>
      <c r="Y95" s="1263"/>
      <c r="Z95" s="1263"/>
      <c r="AA95" s="1263"/>
      <c r="AB95" s="1263"/>
      <c r="AC95" s="1263"/>
      <c r="AD95" s="1263"/>
      <c r="AE95" s="1263"/>
      <c r="AF95" s="1263"/>
      <c r="AG95" s="1263"/>
      <c r="AH95" s="1263"/>
      <c r="AI95" s="1263"/>
      <c r="AJ95" s="1263"/>
      <c r="AK95" s="1263"/>
    </row>
    <row r="96" spans="1:37">
      <c r="A96" s="4"/>
      <c r="C96" s="2"/>
      <c r="D96" s="4"/>
      <c r="E96" s="4" t="s">
        <v>937</v>
      </c>
      <c r="F96" s="218" t="s">
        <v>938</v>
      </c>
      <c r="G96" s="218"/>
      <c r="L96" s="4"/>
      <c r="M96" s="4"/>
      <c r="P96" s="4"/>
      <c r="Q96" s="4"/>
      <c r="R96" s="4"/>
      <c r="S96" s="4"/>
      <c r="T96" s="4"/>
      <c r="U96" s="4"/>
      <c r="V96" s="4"/>
      <c r="W96" s="4"/>
      <c r="X96" s="4"/>
      <c r="Y96" s="4"/>
      <c r="Z96" s="4"/>
      <c r="AA96" s="4"/>
      <c r="AB96" s="4"/>
    </row>
    <row r="97" spans="1:38">
      <c r="A97" s="4"/>
      <c r="C97" s="2"/>
      <c r="D97" s="4"/>
      <c r="E97" s="4"/>
      <c r="G97" s="1263" t="s">
        <v>1316</v>
      </c>
      <c r="H97" s="1263"/>
      <c r="I97" s="1263"/>
      <c r="J97" s="1263"/>
      <c r="K97" s="1263"/>
      <c r="L97" s="1263"/>
      <c r="M97" s="1263"/>
      <c r="N97" s="1263"/>
      <c r="O97" s="1263"/>
      <c r="P97" s="1263"/>
      <c r="Q97" s="1263"/>
      <c r="R97" s="1263"/>
      <c r="S97" s="1263"/>
      <c r="T97" s="1263"/>
      <c r="U97" s="1263"/>
      <c r="V97" s="1263"/>
      <c r="W97" s="1263"/>
      <c r="X97" s="1263"/>
      <c r="Y97" s="1263"/>
      <c r="Z97" s="1263"/>
      <c r="AA97" s="1263"/>
      <c r="AB97" s="1263"/>
      <c r="AC97" s="1263"/>
      <c r="AD97" s="1263"/>
      <c r="AE97" s="1263"/>
      <c r="AF97" s="1263"/>
      <c r="AG97" s="1263"/>
      <c r="AH97" s="1263"/>
      <c r="AI97" s="1263"/>
      <c r="AJ97" s="1263"/>
      <c r="AK97" s="1263"/>
    </row>
    <row r="98" spans="1:38">
      <c r="A98" s="4"/>
      <c r="C98" s="2"/>
      <c r="D98" s="4"/>
      <c r="E98" s="4"/>
      <c r="G98" s="1263"/>
      <c r="H98" s="1263"/>
      <c r="I98" s="1263"/>
      <c r="J98" s="1263"/>
      <c r="K98" s="1263"/>
      <c r="L98" s="1263"/>
      <c r="M98" s="1263"/>
      <c r="N98" s="1263"/>
      <c r="O98" s="1263"/>
      <c r="P98" s="1263"/>
      <c r="Q98" s="1263"/>
      <c r="R98" s="1263"/>
      <c r="S98" s="1263"/>
      <c r="T98" s="1263"/>
      <c r="U98" s="1263"/>
      <c r="V98" s="1263"/>
      <c r="W98" s="1263"/>
      <c r="X98" s="1263"/>
      <c r="Y98" s="1263"/>
      <c r="Z98" s="1263"/>
      <c r="AA98" s="1263"/>
      <c r="AB98" s="1263"/>
      <c r="AC98" s="1263"/>
      <c r="AD98" s="1263"/>
      <c r="AE98" s="1263"/>
      <c r="AF98" s="1263"/>
      <c r="AG98" s="1263"/>
      <c r="AH98" s="1263"/>
      <c r="AI98" s="1263"/>
      <c r="AJ98" s="1263"/>
      <c r="AK98" s="1263"/>
    </row>
    <row r="99" spans="1:38">
      <c r="A99" s="4"/>
      <c r="C99" s="2"/>
      <c r="D99" s="4"/>
      <c r="E99" s="4"/>
      <c r="G99" s="1263"/>
      <c r="H99" s="1263"/>
      <c r="I99" s="1263"/>
      <c r="J99" s="1263"/>
      <c r="K99" s="1263"/>
      <c r="L99" s="1263"/>
      <c r="M99" s="1263"/>
      <c r="N99" s="1263"/>
      <c r="O99" s="1263"/>
      <c r="P99" s="1263"/>
      <c r="Q99" s="1263"/>
      <c r="R99" s="1263"/>
      <c r="S99" s="1263"/>
      <c r="T99" s="1263"/>
      <c r="U99" s="1263"/>
      <c r="V99" s="1263"/>
      <c r="W99" s="1263"/>
      <c r="X99" s="1263"/>
      <c r="Y99" s="1263"/>
      <c r="Z99" s="1263"/>
      <c r="AA99" s="1263"/>
      <c r="AB99" s="1263"/>
      <c r="AC99" s="1263"/>
      <c r="AD99" s="1263"/>
      <c r="AE99" s="1263"/>
      <c r="AF99" s="1263"/>
      <c r="AG99" s="1263"/>
      <c r="AH99" s="1263"/>
      <c r="AI99" s="1263"/>
      <c r="AJ99" s="1263"/>
      <c r="AK99" s="1263"/>
    </row>
    <row r="100" spans="1:38">
      <c r="A100" s="4"/>
      <c r="D100" s="99"/>
      <c r="E100" s="1267" t="s">
        <v>1317</v>
      </c>
      <c r="F100" s="1267"/>
      <c r="G100" s="1267"/>
      <c r="H100" s="1267"/>
      <c r="I100" s="1267"/>
      <c r="J100" s="1267"/>
      <c r="K100" s="1267"/>
      <c r="L100" s="1267"/>
      <c r="M100" s="1267"/>
      <c r="N100" s="1267"/>
      <c r="O100" s="1267"/>
      <c r="P100" s="1267"/>
      <c r="Q100" s="1267"/>
      <c r="R100" s="1267"/>
      <c r="S100" s="1267"/>
      <c r="T100" s="1267"/>
      <c r="U100" s="1267"/>
      <c r="V100" s="1267"/>
      <c r="W100" s="1267"/>
      <c r="X100" s="1267"/>
      <c r="Y100" s="1267"/>
      <c r="Z100" s="1267"/>
      <c r="AA100" s="1267"/>
      <c r="AB100" s="1267"/>
      <c r="AC100" s="1267"/>
      <c r="AD100" s="1267"/>
      <c r="AE100" s="1267"/>
      <c r="AF100" s="1267"/>
      <c r="AG100" s="1267"/>
      <c r="AH100" s="1267"/>
      <c r="AI100" s="1267"/>
      <c r="AJ100" s="1267"/>
      <c r="AK100" s="1267"/>
    </row>
    <row r="101" spans="1:38">
      <c r="A101" s="4"/>
      <c r="D101" s="99"/>
      <c r="E101" s="1267"/>
      <c r="F101" s="1267"/>
      <c r="G101" s="1267"/>
      <c r="H101" s="1267"/>
      <c r="I101" s="1267"/>
      <c r="J101" s="1267"/>
      <c r="K101" s="1267"/>
      <c r="L101" s="1267"/>
      <c r="M101" s="1267"/>
      <c r="N101" s="1267"/>
      <c r="O101" s="1267"/>
      <c r="P101" s="1267"/>
      <c r="Q101" s="1267"/>
      <c r="R101" s="1267"/>
      <c r="S101" s="1267"/>
      <c r="T101" s="1267"/>
      <c r="U101" s="1267"/>
      <c r="V101" s="1267"/>
      <c r="W101" s="1267"/>
      <c r="X101" s="1267"/>
      <c r="Y101" s="1267"/>
      <c r="Z101" s="1267"/>
      <c r="AA101" s="1267"/>
      <c r="AB101" s="1267"/>
      <c r="AC101" s="1267"/>
      <c r="AD101" s="1267"/>
      <c r="AE101" s="1267"/>
      <c r="AF101" s="1267"/>
      <c r="AG101" s="1267"/>
      <c r="AH101" s="1267"/>
      <c r="AI101" s="1267"/>
      <c r="AJ101" s="1267"/>
      <c r="AK101" s="1267"/>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432</v>
      </c>
      <c r="E105" s="2"/>
      <c r="F105" s="2"/>
      <c r="G105" s="2" t="s">
        <v>1328</v>
      </c>
      <c r="H105" s="2"/>
      <c r="I105" s="2"/>
      <c r="K105" s="2"/>
    </row>
    <row r="106" spans="1:38">
      <c r="B106" s="2"/>
      <c r="C106" s="2"/>
      <c r="D106" s="2" t="s">
        <v>209</v>
      </c>
      <c r="E106" s="2" t="s">
        <v>1330</v>
      </c>
      <c r="F106" s="2"/>
      <c r="G106" s="2"/>
      <c r="H106" s="2"/>
      <c r="I106" s="2"/>
      <c r="J106" s="2"/>
      <c r="K106" s="2"/>
      <c r="L106" s="2"/>
      <c r="M106" s="2"/>
    </row>
    <row r="107" spans="1:38">
      <c r="B107" s="2"/>
      <c r="C107" s="2"/>
      <c r="E107" s="4" t="s">
        <v>113</v>
      </c>
      <c r="F107" s="98" t="s">
        <v>661</v>
      </c>
      <c r="G107" s="2"/>
      <c r="H107" s="2"/>
      <c r="I107" s="2"/>
      <c r="J107" s="2"/>
      <c r="K107" s="2"/>
    </row>
    <row r="108" spans="1:38">
      <c r="E108" s="4"/>
      <c r="F108" t="s">
        <v>663</v>
      </c>
    </row>
    <row r="109" spans="1:38">
      <c r="E109" s="4"/>
      <c r="F109" t="s">
        <v>664</v>
      </c>
    </row>
    <row r="110" spans="1:38">
      <c r="E110" s="4"/>
    </row>
    <row r="111" spans="1:38">
      <c r="E111" s="4" t="s">
        <v>114</v>
      </c>
      <c r="F111" s="98" t="s">
        <v>665</v>
      </c>
      <c r="G111" s="2"/>
      <c r="H111" s="2"/>
      <c r="I111" s="2"/>
      <c r="J111" s="2"/>
    </row>
    <row r="112" spans="1:38">
      <c r="E112" s="4"/>
      <c r="F112" t="s">
        <v>666</v>
      </c>
    </row>
    <row r="113" spans="2:16">
      <c r="E113" s="4"/>
    </row>
    <row r="114" spans="2:16">
      <c r="E114" s="4" t="s">
        <v>120</v>
      </c>
      <c r="F114" s="98" t="s">
        <v>667</v>
      </c>
      <c r="G114" s="2"/>
      <c r="H114" s="2"/>
      <c r="I114" s="2"/>
      <c r="J114" s="2"/>
      <c r="K114" s="2"/>
      <c r="L114" s="2"/>
      <c r="M114" s="2"/>
      <c r="N114" s="2"/>
      <c r="O114" s="2"/>
      <c r="P114" s="2"/>
    </row>
    <row r="115" spans="2:16">
      <c r="E115" s="4"/>
      <c r="F115" s="4" t="s">
        <v>960</v>
      </c>
    </row>
    <row r="116" spans="2:16" ht="12.75" customHeight="1">
      <c r="F116" s="4" t="s">
        <v>990</v>
      </c>
    </row>
    <row r="117" spans="2:16"/>
    <row r="118" spans="2:16">
      <c r="E118" t="s">
        <v>590</v>
      </c>
      <c r="F118" s="98" t="s">
        <v>961</v>
      </c>
    </row>
    <row r="119" spans="2:16">
      <c r="F119" s="4" t="s">
        <v>1072</v>
      </c>
      <c r="G119" s="4"/>
    </row>
    <row r="120" spans="2:16">
      <c r="F120" s="99" t="s">
        <v>1329</v>
      </c>
      <c r="G120" s="99"/>
    </row>
    <row r="121" spans="2:16">
      <c r="G121" s="99"/>
    </row>
    <row r="122" spans="2:16">
      <c r="E122" s="4" t="s">
        <v>787</v>
      </c>
      <c r="F122" s="98" t="s">
        <v>380</v>
      </c>
    </row>
    <row r="123" spans="2:16">
      <c r="E123" s="4"/>
      <c r="F123" s="4" t="s">
        <v>1063</v>
      </c>
    </row>
    <row r="124" spans="2:16">
      <c r="B124" s="2"/>
      <c r="C124" s="2"/>
      <c r="F124" s="2"/>
    </row>
    <row r="125" spans="2:16">
      <c r="B125" s="2"/>
      <c r="C125" s="2" t="s">
        <v>433</v>
      </c>
      <c r="G125" s="2" t="s">
        <v>381</v>
      </c>
    </row>
    <row r="126" spans="2:16">
      <c r="B126" s="2"/>
      <c r="C126" s="2"/>
      <c r="D126" s="2" t="s">
        <v>209</v>
      </c>
      <c r="E126" s="2" t="s">
        <v>322</v>
      </c>
      <c r="F126" s="2"/>
      <c r="G126" s="2"/>
      <c r="H126" s="2"/>
      <c r="I126" s="2"/>
      <c r="J126" s="2"/>
    </row>
    <row r="127" spans="2:16">
      <c r="B127" s="2"/>
      <c r="C127" s="2"/>
      <c r="E127" s="4" t="s">
        <v>962</v>
      </c>
      <c r="F127" s="4"/>
    </row>
    <row r="128" spans="2:16"/>
    <row r="129" spans="4:37">
      <c r="D129" s="2" t="s">
        <v>343</v>
      </c>
      <c r="E129" s="2" t="s">
        <v>586</v>
      </c>
    </row>
    <row r="130" spans="4:37">
      <c r="E130" s="4" t="s">
        <v>962</v>
      </c>
      <c r="F130" s="4"/>
    </row>
    <row r="131" spans="4:37"/>
    <row r="132" spans="4:37">
      <c r="D132" s="2" t="s">
        <v>583</v>
      </c>
      <c r="E132" s="2" t="s">
        <v>736</v>
      </c>
      <c r="G132" s="2"/>
      <c r="H132" s="2"/>
      <c r="I132" s="2"/>
      <c r="J132" s="2"/>
      <c r="K132" s="2"/>
      <c r="L132" s="2"/>
      <c r="M132" s="2"/>
      <c r="N132" s="2"/>
    </row>
    <row r="133" spans="4:37">
      <c r="D133" s="2"/>
      <c r="E133" s="119" t="s">
        <v>1414</v>
      </c>
      <c r="G133" s="2"/>
      <c r="H133" s="2"/>
      <c r="I133" s="2"/>
      <c r="J133" s="2"/>
      <c r="K133" s="2"/>
      <c r="L133" s="2"/>
      <c r="M133" s="2"/>
      <c r="N133" s="2"/>
    </row>
    <row r="134" spans="4:37" ht="12.75" customHeight="1">
      <c r="E134" s="119" t="s">
        <v>1412</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1413</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523</v>
      </c>
      <c r="E137" s="2" t="s">
        <v>526</v>
      </c>
      <c r="F137" s="2"/>
    </row>
    <row r="138" spans="4:37">
      <c r="E138" s="3" t="s">
        <v>1355</v>
      </c>
      <c r="F138" s="4"/>
    </row>
    <row r="139" spans="4:37">
      <c r="F139" s="4"/>
    </row>
    <row r="140" spans="4:37">
      <c r="D140" s="2" t="s">
        <v>305</v>
      </c>
      <c r="E140" s="2" t="s">
        <v>2436</v>
      </c>
      <c r="F140" s="2"/>
      <c r="G140" s="2"/>
      <c r="H140" s="2"/>
    </row>
    <row r="141" spans="4:37">
      <c r="E141" t="s">
        <v>113</v>
      </c>
      <c r="F141" t="s">
        <v>52</v>
      </c>
    </row>
    <row r="142" spans="4:37">
      <c r="E142" t="s">
        <v>114</v>
      </c>
      <c r="F142" t="s">
        <v>475</v>
      </c>
    </row>
    <row r="143" spans="4:37"/>
    <row r="144" spans="4:37">
      <c r="D144" s="2" t="s">
        <v>431</v>
      </c>
      <c r="E144" s="2" t="s">
        <v>2437</v>
      </c>
    </row>
    <row r="145" spans="3:7">
      <c r="E145" s="218" t="s">
        <v>2438</v>
      </c>
      <c r="F145" s="218"/>
    </row>
    <row r="146" spans="3:7"/>
    <row r="147" spans="3:7">
      <c r="C147" s="2" t="s">
        <v>6</v>
      </c>
      <c r="G147" s="2" t="s">
        <v>382</v>
      </c>
    </row>
    <row r="148" spans="3:7">
      <c r="D148" s="2" t="s">
        <v>209</v>
      </c>
      <c r="E148" s="2" t="s">
        <v>136</v>
      </c>
    </row>
    <row r="149" spans="3:7">
      <c r="E149" t="s">
        <v>821</v>
      </c>
    </row>
    <row r="150" spans="3:7"/>
    <row r="151" spans="3:7">
      <c r="D151" s="2" t="s">
        <v>343</v>
      </c>
      <c r="E151" s="2" t="s">
        <v>533</v>
      </c>
      <c r="F151" s="2"/>
    </row>
    <row r="152" spans="3:7">
      <c r="E152" s="4" t="s">
        <v>964</v>
      </c>
      <c r="F152" s="4"/>
    </row>
    <row r="153" spans="3:7"/>
    <row r="154" spans="3:7">
      <c r="D154" s="2" t="s">
        <v>583</v>
      </c>
      <c r="E154" s="2" t="s">
        <v>562</v>
      </c>
    </row>
    <row r="155" spans="3:7">
      <c r="E155" s="4" t="s">
        <v>965</v>
      </c>
    </row>
    <row r="156" spans="3:7">
      <c r="E156" s="4" t="s">
        <v>963</v>
      </c>
      <c r="G156" s="4"/>
    </row>
    <row r="157" spans="3:7"/>
    <row r="158" spans="3:7">
      <c r="D158" s="2" t="s">
        <v>523</v>
      </c>
      <c r="E158" s="2" t="s">
        <v>542</v>
      </c>
    </row>
    <row r="159" spans="3:7">
      <c r="E159" t="s">
        <v>113</v>
      </c>
      <c r="F159" s="4" t="s">
        <v>966</v>
      </c>
    </row>
    <row r="160" spans="3:7">
      <c r="E160" s="4" t="s">
        <v>114</v>
      </c>
      <c r="F160" s="4" t="s">
        <v>967</v>
      </c>
    </row>
    <row r="161" spans="3:20">
      <c r="E161" s="4" t="s">
        <v>120</v>
      </c>
      <c r="F161" t="s">
        <v>737</v>
      </c>
    </row>
    <row r="162" spans="3:20"/>
    <row r="163" spans="3:20">
      <c r="D163" s="2" t="s">
        <v>305</v>
      </c>
      <c r="E163" s="2" t="s">
        <v>383</v>
      </c>
    </row>
    <row r="164" spans="3:20">
      <c r="E164" s="4" t="s">
        <v>968</v>
      </c>
      <c r="F164" s="4"/>
    </row>
    <row r="165" spans="3:20"/>
    <row r="166" spans="3:20">
      <c r="D166" s="2" t="s">
        <v>431</v>
      </c>
      <c r="E166" s="2" t="s">
        <v>173</v>
      </c>
    </row>
    <row r="167" spans="3:20">
      <c r="E167" s="4" t="s">
        <v>970</v>
      </c>
    </row>
    <row r="168" spans="3:20">
      <c r="E168" s="4" t="s">
        <v>969</v>
      </c>
    </row>
    <row r="169" spans="3:20"/>
    <row r="170" spans="3:20">
      <c r="D170" s="2" t="s">
        <v>566</v>
      </c>
      <c r="E170" s="2" t="s">
        <v>631</v>
      </c>
    </row>
    <row r="171" spans="3:20">
      <c r="E171" t="s">
        <v>113</v>
      </c>
      <c r="F171" t="s">
        <v>738</v>
      </c>
    </row>
    <row r="172" spans="3:20">
      <c r="E172" t="s">
        <v>114</v>
      </c>
      <c r="F172" t="s">
        <v>299</v>
      </c>
    </row>
    <row r="173" spans="3:20">
      <c r="F173" s="4"/>
    </row>
    <row r="174" spans="3:20">
      <c r="C174" s="2" t="s">
        <v>7</v>
      </c>
      <c r="E174" s="4"/>
      <c r="G174" s="2" t="s">
        <v>384</v>
      </c>
    </row>
    <row r="175" spans="3:20">
      <c r="E175" s="4" t="s">
        <v>895</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209</v>
      </c>
      <c r="E178" s="2" t="s">
        <v>300</v>
      </c>
      <c r="G178" s="4"/>
      <c r="H178" s="4"/>
      <c r="I178" s="4"/>
      <c r="J178" s="4"/>
      <c r="K178" s="4"/>
      <c r="L178" s="4"/>
      <c r="M178" s="4"/>
      <c r="N178" s="4"/>
    </row>
    <row r="179" spans="2:19">
      <c r="E179" t="s">
        <v>113</v>
      </c>
      <c r="F179" s="4" t="s">
        <v>971</v>
      </c>
    </row>
    <row r="180" spans="2:19">
      <c r="F180" s="120" t="s">
        <v>1286</v>
      </c>
      <c r="I180" s="120"/>
    </row>
    <row r="181" spans="2:19">
      <c r="I181" s="120"/>
    </row>
    <row r="182" spans="2:19">
      <c r="B182" s="4"/>
      <c r="C182" s="4"/>
      <c r="E182" t="s">
        <v>114</v>
      </c>
      <c r="F182" s="3" t="s">
        <v>896</v>
      </c>
      <c r="H182" s="4"/>
    </row>
    <row r="183" spans="2:19">
      <c r="B183" s="4"/>
      <c r="C183" s="4"/>
      <c r="F183" t="s">
        <v>662</v>
      </c>
      <c r="G183" t="s">
        <v>720</v>
      </c>
      <c r="H183" s="4"/>
      <c r="O183" s="4"/>
      <c r="P183" s="4"/>
      <c r="Q183" s="4"/>
      <c r="R183" s="4"/>
      <c r="S183" s="4"/>
    </row>
    <row r="184" spans="2:19">
      <c r="B184" s="4"/>
      <c r="C184" s="4"/>
      <c r="H184" s="4"/>
      <c r="O184" s="4"/>
      <c r="P184" s="4"/>
      <c r="Q184" s="4"/>
      <c r="R184" s="4"/>
      <c r="S184" s="4"/>
    </row>
    <row r="185" spans="2:19">
      <c r="D185" s="2" t="s">
        <v>343</v>
      </c>
      <c r="E185" s="2" t="s">
        <v>1064</v>
      </c>
    </row>
    <row r="186" spans="2:19">
      <c r="B186" s="4"/>
      <c r="C186" s="4"/>
      <c r="E186" s="4" t="s">
        <v>721</v>
      </c>
      <c r="F186" s="4"/>
      <c r="I186" s="4"/>
    </row>
    <row r="187" spans="2:19">
      <c r="B187" s="4"/>
      <c r="C187" s="4"/>
      <c r="E187" s="4" t="s">
        <v>1062</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301</v>
      </c>
      <c r="F190" s="4"/>
      <c r="G190" s="4"/>
      <c r="I190" s="120"/>
    </row>
    <row r="191" spans="2:19">
      <c r="B191" s="4"/>
      <c r="C191" s="4"/>
      <c r="F191" s="120"/>
      <c r="G191" s="4"/>
      <c r="I191" s="120"/>
    </row>
    <row r="192" spans="2:19">
      <c r="D192" s="2" t="s">
        <v>523</v>
      </c>
      <c r="E192" s="2" t="s">
        <v>112</v>
      </c>
    </row>
    <row r="193" spans="2:37">
      <c r="B193" s="4"/>
      <c r="C193" s="2"/>
      <c r="E193" t="s">
        <v>113</v>
      </c>
      <c r="F193" s="4" t="s">
        <v>1073</v>
      </c>
      <c r="G193" s="4"/>
      <c r="H193" s="4"/>
      <c r="I193" s="4"/>
    </row>
    <row r="194" spans="2:37">
      <c r="B194" s="4"/>
      <c r="C194" s="2"/>
      <c r="F194" s="4" t="s">
        <v>662</v>
      </c>
      <c r="G194" s="3" t="s">
        <v>1349</v>
      </c>
    </row>
    <row r="195" spans="2:37">
      <c r="B195" s="4"/>
      <c r="C195" s="4"/>
      <c r="F195" s="4" t="s">
        <v>350</v>
      </c>
      <c r="G195" s="3" t="s">
        <v>1350</v>
      </c>
      <c r="I195" s="4"/>
      <c r="J195" s="4"/>
      <c r="M195" s="4"/>
      <c r="N195" s="4"/>
      <c r="O195" s="4"/>
      <c r="P195" s="4"/>
      <c r="Q195" s="4"/>
      <c r="R195" s="4"/>
      <c r="S195" s="4"/>
    </row>
    <row r="196" spans="2:37">
      <c r="B196" s="4"/>
      <c r="C196" s="4"/>
      <c r="F196" s="4" t="s">
        <v>351</v>
      </c>
      <c r="G196" s="4" t="s">
        <v>972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305</v>
      </c>
      <c r="E198" s="2" t="s">
        <v>115</v>
      </c>
      <c r="G198" s="4"/>
      <c r="H198" s="4"/>
      <c r="I198" s="4"/>
      <c r="J198" s="4"/>
      <c r="M198" s="4"/>
      <c r="N198" s="4"/>
      <c r="O198" s="4"/>
      <c r="P198" s="4"/>
      <c r="Q198" s="4"/>
      <c r="R198" s="4"/>
      <c r="S198" s="4"/>
    </row>
    <row r="199" spans="2:37">
      <c r="B199" s="4"/>
      <c r="C199" s="4"/>
      <c r="D199" s="4"/>
      <c r="E199" s="4" t="s">
        <v>973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431</v>
      </c>
      <c r="E201" s="2" t="s">
        <v>121</v>
      </c>
      <c r="G201" s="4"/>
      <c r="H201" s="4"/>
      <c r="I201" s="4"/>
      <c r="J201" s="4"/>
      <c r="M201" s="4"/>
      <c r="N201" s="4"/>
      <c r="O201" s="4"/>
      <c r="P201" s="4"/>
      <c r="Q201" s="4"/>
      <c r="R201" s="4"/>
      <c r="S201" s="4"/>
    </row>
    <row r="202" spans="2:37">
      <c r="B202" s="4"/>
      <c r="C202" s="4"/>
      <c r="D202" s="2"/>
      <c r="E202" s="4" t="s">
        <v>113</v>
      </c>
      <c r="F202" s="4" t="s">
        <v>974</v>
      </c>
      <c r="M202" s="4"/>
      <c r="N202" s="4"/>
      <c r="O202" s="4"/>
      <c r="P202" s="4"/>
      <c r="Q202" s="4"/>
      <c r="R202" s="4"/>
      <c r="S202" s="4"/>
    </row>
    <row r="203" spans="2:37">
      <c r="B203" s="4"/>
      <c r="C203" s="4"/>
      <c r="D203" s="2"/>
      <c r="E203" s="4" t="s">
        <v>114</v>
      </c>
      <c r="F203" s="4" t="s">
        <v>1074</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722</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975</v>
      </c>
      <c r="I205" s="4"/>
      <c r="J205" s="4"/>
      <c r="M205" s="4"/>
      <c r="N205" s="4"/>
      <c r="O205" s="4"/>
      <c r="P205" s="4"/>
      <c r="Q205" s="4"/>
      <c r="R205" s="4"/>
      <c r="S205" s="4"/>
      <c r="T205" s="4"/>
      <c r="U205" s="4"/>
      <c r="V205" s="4"/>
      <c r="W205" s="4"/>
      <c r="X205" s="4"/>
      <c r="Y205" s="4"/>
    </row>
    <row r="206" spans="2:37">
      <c r="B206" s="4"/>
      <c r="C206" s="4"/>
      <c r="D206" s="2"/>
      <c r="E206" s="4" t="s">
        <v>590</v>
      </c>
      <c r="F206" s="4" t="s">
        <v>976</v>
      </c>
      <c r="M206" s="4"/>
      <c r="N206" s="4"/>
      <c r="O206" s="4"/>
      <c r="P206" s="4"/>
      <c r="Q206" s="4"/>
      <c r="R206" s="4"/>
      <c r="S206" s="4"/>
    </row>
    <row r="207" spans="2:37">
      <c r="B207" s="4"/>
      <c r="C207" s="4"/>
      <c r="D207" s="2"/>
      <c r="F207" t="s">
        <v>662</v>
      </c>
      <c r="G207" s="1263" t="s">
        <v>1318</v>
      </c>
      <c r="H207" s="1263"/>
      <c r="I207" s="1263"/>
      <c r="J207" s="1263"/>
      <c r="K207" s="1263"/>
      <c r="L207" s="1263"/>
      <c r="M207" s="1263"/>
      <c r="N207" s="1263"/>
      <c r="O207" s="1263"/>
      <c r="P207" s="1263"/>
      <c r="Q207" s="1263"/>
      <c r="R207" s="1263"/>
      <c r="S207" s="1263"/>
      <c r="T207" s="1263"/>
      <c r="U207" s="1263"/>
      <c r="V207" s="1263"/>
      <c r="W207" s="1263"/>
      <c r="X207" s="1263"/>
      <c r="Y207" s="1263"/>
      <c r="Z207" s="1263"/>
      <c r="AA207" s="1263"/>
      <c r="AB207" s="1263"/>
      <c r="AC207" s="1263"/>
      <c r="AD207" s="1263"/>
      <c r="AE207" s="1263"/>
      <c r="AF207" s="1263"/>
      <c r="AG207" s="1263"/>
      <c r="AH207" s="1263"/>
      <c r="AI207" s="1263"/>
      <c r="AJ207" s="1263"/>
      <c r="AK207" s="1263"/>
    </row>
    <row r="208" spans="2:37">
      <c r="B208" s="4"/>
      <c r="C208" s="4"/>
      <c r="D208" s="2"/>
      <c r="G208" s="1263"/>
      <c r="H208" s="1263"/>
      <c r="I208" s="1263"/>
      <c r="J208" s="1263"/>
      <c r="K208" s="1263"/>
      <c r="L208" s="1263"/>
      <c r="M208" s="1263"/>
      <c r="N208" s="1263"/>
      <c r="O208" s="1263"/>
      <c r="P208" s="1263"/>
      <c r="Q208" s="1263"/>
      <c r="R208" s="1263"/>
      <c r="S208" s="1263"/>
      <c r="T208" s="1263"/>
      <c r="U208" s="1263"/>
      <c r="V208" s="1263"/>
      <c r="W208" s="1263"/>
      <c r="X208" s="1263"/>
      <c r="Y208" s="1263"/>
      <c r="Z208" s="1263"/>
      <c r="AA208" s="1263"/>
      <c r="AB208" s="1263"/>
      <c r="AC208" s="1263"/>
      <c r="AD208" s="1263"/>
      <c r="AE208" s="1263"/>
      <c r="AF208" s="1263"/>
      <c r="AG208" s="1263"/>
      <c r="AH208" s="1263"/>
      <c r="AI208" s="1263"/>
      <c r="AJ208" s="1263"/>
      <c r="AK208" s="1263"/>
    </row>
    <row r="209" spans="1:38">
      <c r="B209" s="4"/>
      <c r="C209" s="4"/>
      <c r="D209" s="2"/>
      <c r="M209" s="4"/>
      <c r="N209" s="4"/>
      <c r="O209" s="4"/>
      <c r="P209" s="4"/>
      <c r="Q209" s="4"/>
      <c r="R209" s="4"/>
      <c r="S209" s="4"/>
    </row>
    <row r="210" spans="1:38">
      <c r="B210" s="4"/>
      <c r="C210" s="4"/>
      <c r="D210" s="2" t="s">
        <v>566</v>
      </c>
      <c r="E210" s="2" t="s">
        <v>788</v>
      </c>
      <c r="G210" s="4"/>
      <c r="H210" s="4"/>
      <c r="I210" s="4"/>
      <c r="J210" s="4"/>
      <c r="M210" s="4"/>
      <c r="N210" s="4"/>
      <c r="O210" s="4"/>
      <c r="P210" s="4"/>
      <c r="Q210" s="4"/>
      <c r="R210" s="4"/>
      <c r="S210" s="4"/>
      <c r="T210" s="4"/>
      <c r="U210" s="4"/>
      <c r="V210" s="4"/>
      <c r="W210" s="4"/>
    </row>
    <row r="211" spans="1:38">
      <c r="B211" s="4"/>
      <c r="C211" s="4"/>
      <c r="E211" s="4" t="s">
        <v>723</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250</v>
      </c>
      <c r="F213" s="4"/>
      <c r="G213" s="4"/>
      <c r="I213" s="4"/>
      <c r="J213" s="4"/>
      <c r="M213" s="4"/>
      <c r="N213" s="4"/>
      <c r="O213" s="4"/>
      <c r="P213" s="4"/>
      <c r="Q213" s="4"/>
      <c r="R213" s="4"/>
      <c r="S213" s="4"/>
      <c r="T213" s="4"/>
      <c r="U213" s="4"/>
      <c r="V213" s="4"/>
      <c r="W213" s="4"/>
    </row>
    <row r="214" spans="1:38">
      <c r="B214" s="4"/>
      <c r="C214" s="4"/>
      <c r="D214" s="2"/>
      <c r="E214" s="4" t="s">
        <v>301</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724</v>
      </c>
      <c r="D216" s="2"/>
      <c r="G216" s="2" t="s">
        <v>834</v>
      </c>
      <c r="M216" s="4"/>
      <c r="N216" s="4"/>
      <c r="O216" s="4"/>
      <c r="P216" s="4"/>
      <c r="Q216" s="4"/>
      <c r="R216" s="4"/>
      <c r="S216" s="4"/>
    </row>
    <row r="217" spans="1:38">
      <c r="B217" s="4"/>
      <c r="C217" s="4"/>
      <c r="E217" t="s">
        <v>113</v>
      </c>
      <c r="F217" s="4" t="s">
        <v>833</v>
      </c>
      <c r="G217" s="4"/>
      <c r="H217" s="4"/>
      <c r="I217" s="4"/>
      <c r="L217" s="4"/>
      <c r="N217" s="4"/>
      <c r="O217" s="4"/>
      <c r="P217" s="4"/>
      <c r="Q217" s="4"/>
      <c r="R217" s="4"/>
      <c r="S217" s="4"/>
    </row>
    <row r="218" spans="1:38">
      <c r="B218" s="4"/>
      <c r="C218" s="4"/>
      <c r="F218" s="4" t="s">
        <v>662</v>
      </c>
      <c r="G218" s="4" t="s">
        <v>727</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662</v>
      </c>
      <c r="G220" s="4" t="s">
        <v>725</v>
      </c>
      <c r="I220" s="4"/>
      <c r="M220" s="4"/>
      <c r="N220" s="4"/>
      <c r="O220" s="4"/>
      <c r="P220" s="4"/>
      <c r="Q220" s="4"/>
      <c r="R220" s="4"/>
      <c r="S220" s="4"/>
    </row>
    <row r="221" spans="1:38">
      <c r="B221" s="4"/>
      <c r="C221" s="4"/>
      <c r="F221" s="4"/>
      <c r="G221" s="4" t="s">
        <v>726</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432</v>
      </c>
      <c r="D225" s="4"/>
      <c r="E225" s="4"/>
      <c r="F225" s="4"/>
      <c r="G225" s="2" t="s">
        <v>461</v>
      </c>
      <c r="I225" s="4"/>
      <c r="J225" s="4"/>
      <c r="K225" s="4"/>
      <c r="M225" s="4"/>
      <c r="N225" s="4"/>
      <c r="O225" s="4"/>
      <c r="P225" s="4"/>
      <c r="Q225" s="4"/>
      <c r="R225" s="4"/>
      <c r="S225" s="4"/>
    </row>
    <row r="226" spans="2:19">
      <c r="B226" s="2"/>
      <c r="E226" s="4" t="s">
        <v>113</v>
      </c>
      <c r="F226" s="4" t="s">
        <v>728</v>
      </c>
      <c r="G226" s="4"/>
      <c r="I226" s="4"/>
      <c r="J226" s="4"/>
      <c r="K226" s="4"/>
      <c r="L226" s="4"/>
      <c r="M226" s="4"/>
      <c r="N226" s="4"/>
      <c r="O226" s="4"/>
      <c r="P226" s="4"/>
      <c r="Q226" s="4"/>
      <c r="R226" s="4"/>
      <c r="S226" s="4"/>
    </row>
    <row r="227" spans="2:19">
      <c r="B227" s="2"/>
      <c r="E227" s="4" t="s">
        <v>114</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433</v>
      </c>
      <c r="D229" s="4"/>
      <c r="E229" s="4"/>
      <c r="F229" s="4"/>
      <c r="G229" s="2" t="s">
        <v>21</v>
      </c>
      <c r="I229" s="4"/>
      <c r="J229" s="4"/>
      <c r="K229" s="4"/>
      <c r="L229" s="4"/>
      <c r="M229" s="4"/>
      <c r="N229" s="4"/>
      <c r="O229" s="4"/>
      <c r="P229" s="4"/>
      <c r="Q229" s="4"/>
      <c r="R229" s="4"/>
      <c r="S229" s="4"/>
    </row>
    <row r="230" spans="2:19">
      <c r="B230" s="2"/>
      <c r="E230" s="4" t="s">
        <v>113</v>
      </c>
      <c r="F230" s="4" t="s">
        <v>729</v>
      </c>
      <c r="G230" s="4"/>
      <c r="I230" s="4"/>
      <c r="J230" s="4"/>
      <c r="K230" s="4"/>
      <c r="L230" s="4"/>
      <c r="M230" s="4"/>
      <c r="N230" s="4"/>
      <c r="O230" s="4"/>
      <c r="P230" s="4"/>
      <c r="Q230" s="4"/>
      <c r="R230" s="4"/>
      <c r="S230" s="4"/>
    </row>
    <row r="231" spans="2:19">
      <c r="B231" s="2"/>
      <c r="E231" s="4"/>
      <c r="F231" s="4" t="s">
        <v>730</v>
      </c>
      <c r="G231" s="4"/>
      <c r="H231" s="4"/>
      <c r="I231" s="4"/>
      <c r="J231" s="4"/>
      <c r="K231" s="4"/>
      <c r="L231" s="4"/>
      <c r="M231" s="4"/>
      <c r="N231" s="4"/>
      <c r="O231" s="4"/>
      <c r="P231" s="4"/>
      <c r="Q231" s="4"/>
      <c r="R231" s="4"/>
      <c r="S231" s="4"/>
    </row>
    <row r="232" spans="2:19">
      <c r="B232" s="2"/>
      <c r="D232" s="4"/>
      <c r="E232" s="4" t="s">
        <v>114</v>
      </c>
      <c r="F232" s="4" t="s">
        <v>689</v>
      </c>
      <c r="G232" s="4"/>
      <c r="I232" s="4"/>
      <c r="J232" s="4"/>
      <c r="K232" s="4"/>
      <c r="L232" s="4"/>
      <c r="M232" s="4"/>
      <c r="N232" s="4"/>
      <c r="O232" s="4"/>
      <c r="P232" s="4"/>
      <c r="Q232" s="4"/>
      <c r="R232" s="4"/>
      <c r="S232" s="4"/>
    </row>
    <row r="233" spans="2:19">
      <c r="B233" s="2"/>
      <c r="E233" s="4" t="s">
        <v>120</v>
      </c>
      <c r="F233" s="98" t="s">
        <v>991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329</v>
      </c>
      <c r="F235" s="4"/>
      <c r="J235" s="4"/>
      <c r="K235" s="4"/>
      <c r="M235" s="4"/>
      <c r="N235" s="4"/>
      <c r="O235" s="4"/>
      <c r="P235" s="4"/>
      <c r="Q235" s="4"/>
      <c r="R235" s="4"/>
      <c r="S235" s="4"/>
    </row>
    <row r="236" spans="2:19">
      <c r="B236" s="4"/>
      <c r="C236" s="4"/>
      <c r="E236" t="s">
        <v>113</v>
      </c>
      <c r="F236" s="4" t="s">
        <v>329</v>
      </c>
      <c r="G236" s="2"/>
      <c r="H236" s="2"/>
      <c r="I236" s="2"/>
      <c r="L236" s="2"/>
      <c r="M236" s="2"/>
      <c r="N236" s="2"/>
      <c r="O236" s="2"/>
      <c r="P236" s="2"/>
      <c r="Q236" s="2"/>
      <c r="R236" s="4"/>
      <c r="S236" s="4"/>
    </row>
    <row r="237" spans="2:19">
      <c r="B237" s="4"/>
      <c r="C237" s="4"/>
      <c r="F237" s="4" t="s">
        <v>662</v>
      </c>
      <c r="G237" s="4" t="s">
        <v>731</v>
      </c>
      <c r="I237" s="4"/>
      <c r="M237" s="4"/>
      <c r="N237" s="4"/>
      <c r="O237" s="4"/>
      <c r="P237" s="4"/>
      <c r="Q237" s="4"/>
      <c r="R237" s="4"/>
      <c r="S237" s="4"/>
    </row>
    <row r="238" spans="2:19">
      <c r="B238" s="4"/>
      <c r="C238" s="4"/>
      <c r="F238" s="4"/>
      <c r="G238" s="4" t="s">
        <v>822</v>
      </c>
      <c r="I238" s="4"/>
      <c r="M238" s="4"/>
      <c r="N238" s="4"/>
      <c r="O238" s="4"/>
      <c r="P238" s="4"/>
      <c r="Q238" s="4"/>
      <c r="R238" s="4"/>
      <c r="S238" s="4"/>
    </row>
    <row r="239" spans="2:19">
      <c r="B239" s="4"/>
      <c r="C239" s="4"/>
      <c r="E239" t="s">
        <v>114</v>
      </c>
      <c r="F239" s="136" t="s">
        <v>448</v>
      </c>
      <c r="G239" s="2"/>
      <c r="H239" s="2"/>
      <c r="I239" s="2"/>
      <c r="L239" s="2"/>
      <c r="M239" s="2"/>
      <c r="N239" s="2"/>
      <c r="O239" s="2"/>
      <c r="P239" s="2"/>
      <c r="Q239" s="2"/>
      <c r="R239" s="2"/>
      <c r="S239" s="2"/>
    </row>
    <row r="240" spans="2:19">
      <c r="B240" s="4"/>
      <c r="C240" s="4"/>
      <c r="F240" s="4" t="s">
        <v>662</v>
      </c>
      <c r="G240" s="4" t="s">
        <v>734</v>
      </c>
      <c r="I240" s="4"/>
      <c r="M240" s="4"/>
      <c r="N240" s="4"/>
      <c r="O240" s="4"/>
      <c r="P240" s="4"/>
      <c r="Q240" s="4"/>
      <c r="R240" s="4"/>
      <c r="S240" s="4"/>
    </row>
    <row r="241" spans="2:21">
      <c r="B241" s="4"/>
      <c r="C241" s="4"/>
      <c r="F241" s="4"/>
      <c r="G241" s="4" t="s">
        <v>697</v>
      </c>
      <c r="H241" s="4" t="s">
        <v>980</v>
      </c>
      <c r="I241" s="4"/>
      <c r="M241" s="4"/>
      <c r="N241" s="4"/>
      <c r="O241" s="4"/>
      <c r="P241" s="4"/>
      <c r="Q241" s="4"/>
      <c r="R241" s="4"/>
      <c r="S241" s="4"/>
    </row>
    <row r="242" spans="2:21">
      <c r="B242" s="4"/>
      <c r="C242" s="4"/>
      <c r="F242" s="4" t="s">
        <v>350</v>
      </c>
      <c r="G242" s="136" t="s">
        <v>735</v>
      </c>
      <c r="I242" s="4"/>
      <c r="M242" s="4"/>
      <c r="N242" s="4"/>
      <c r="O242" s="4"/>
      <c r="P242" s="4"/>
      <c r="Q242" s="4"/>
      <c r="R242" s="4"/>
      <c r="S242" s="4"/>
    </row>
    <row r="243" spans="2:21">
      <c r="B243" s="4"/>
      <c r="C243" s="4"/>
      <c r="E243" t="s">
        <v>120</v>
      </c>
      <c r="F243" s="4" t="s">
        <v>662</v>
      </c>
      <c r="G243" s="136" t="s">
        <v>981</v>
      </c>
      <c r="I243" s="4"/>
      <c r="M243" s="4"/>
      <c r="N243" s="4"/>
      <c r="O243" s="4"/>
      <c r="P243" s="4"/>
      <c r="Q243" s="4"/>
      <c r="R243" s="4"/>
      <c r="S243" s="4"/>
    </row>
    <row r="244" spans="2:21">
      <c r="B244" s="4"/>
      <c r="C244" s="4"/>
      <c r="F244" s="4" t="s">
        <v>350</v>
      </c>
      <c r="G244" s="136" t="s">
        <v>982</v>
      </c>
      <c r="I244" s="4"/>
      <c r="M244" s="4"/>
      <c r="N244" s="4"/>
      <c r="O244" s="4"/>
      <c r="P244" s="4"/>
      <c r="Q244" s="4"/>
      <c r="R244" s="4"/>
      <c r="S244" s="4"/>
    </row>
    <row r="245" spans="2:21">
      <c r="B245" s="4"/>
      <c r="C245" s="4"/>
      <c r="F245" s="4" t="s">
        <v>351</v>
      </c>
      <c r="G245" s="136" t="s">
        <v>732</v>
      </c>
      <c r="I245" s="4"/>
      <c r="M245" s="4"/>
      <c r="N245" s="4"/>
      <c r="O245" s="4"/>
      <c r="P245" s="4"/>
      <c r="Q245" s="4"/>
      <c r="R245" s="4"/>
      <c r="S245" s="4"/>
    </row>
    <row r="246" spans="2:21">
      <c r="B246" s="4"/>
      <c r="C246" s="4"/>
      <c r="F246" s="4"/>
      <c r="G246" s="136" t="s">
        <v>733</v>
      </c>
      <c r="I246" s="4"/>
      <c r="M246" s="4"/>
      <c r="N246" s="4"/>
      <c r="O246" s="4"/>
      <c r="P246" s="4"/>
      <c r="Q246" s="4"/>
      <c r="R246" s="4"/>
      <c r="S246" s="4"/>
    </row>
    <row r="247" spans="2:21">
      <c r="B247" s="4"/>
      <c r="C247" s="4"/>
      <c r="D247" s="2"/>
      <c r="E247" s="4" t="s">
        <v>120</v>
      </c>
      <c r="F247" s="4" t="s">
        <v>330</v>
      </c>
      <c r="H247" s="4"/>
      <c r="I247" s="4"/>
      <c r="M247" s="4"/>
      <c r="N247" s="4"/>
      <c r="O247" s="4"/>
      <c r="P247" s="4"/>
      <c r="Q247" s="4"/>
      <c r="R247" s="4"/>
      <c r="S247" s="4"/>
    </row>
    <row r="248" spans="2:21">
      <c r="B248" s="4"/>
      <c r="C248" s="4"/>
      <c r="D248" s="2"/>
      <c r="E248" s="2"/>
      <c r="F248" t="s">
        <v>662</v>
      </c>
      <c r="G248" s="4" t="s">
        <v>435</v>
      </c>
      <c r="I248" s="4"/>
      <c r="M248" s="4"/>
      <c r="N248" s="4"/>
      <c r="O248" s="4"/>
      <c r="P248" s="4"/>
      <c r="Q248" s="4"/>
      <c r="R248" s="4"/>
      <c r="S248" s="4"/>
    </row>
    <row r="249" spans="2:21">
      <c r="B249" s="4"/>
      <c r="C249" s="4"/>
      <c r="D249" s="2"/>
      <c r="E249" s="2"/>
      <c r="F249" s="4"/>
      <c r="G249" s="4" t="s">
        <v>436</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385</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1287</v>
      </c>
      <c r="G253" s="4"/>
      <c r="I253" s="120"/>
      <c r="J253" s="4"/>
      <c r="K253" s="4"/>
      <c r="L253" s="4"/>
      <c r="M253" s="4"/>
      <c r="N253" s="4"/>
      <c r="O253" s="4"/>
      <c r="P253" s="4"/>
      <c r="Q253" s="4"/>
      <c r="R253" s="4"/>
      <c r="S253" s="4"/>
      <c r="T253" s="4"/>
      <c r="U253" s="4"/>
    </row>
    <row r="254" spans="2:21">
      <c r="B254" s="2"/>
      <c r="C254" s="2"/>
      <c r="E254" s="4" t="s">
        <v>114</v>
      </c>
      <c r="F254" s="4" t="s">
        <v>977</v>
      </c>
      <c r="I254" s="4"/>
      <c r="J254" s="4"/>
      <c r="K254" s="4"/>
      <c r="L254" s="4"/>
      <c r="M254" s="4"/>
      <c r="N254" s="4"/>
      <c r="O254" s="4"/>
      <c r="P254" s="4"/>
      <c r="Q254" s="4"/>
      <c r="R254" s="4"/>
      <c r="S254" s="4"/>
      <c r="T254" s="4"/>
      <c r="U254" s="4"/>
    </row>
    <row r="255" spans="2:21">
      <c r="B255" s="2"/>
      <c r="C255" s="2"/>
      <c r="E255" s="4"/>
      <c r="F255" s="218" t="s">
        <v>662</v>
      </c>
      <c r="G255" s="218" t="s">
        <v>836</v>
      </c>
      <c r="I255" s="3"/>
      <c r="K255" s="3"/>
      <c r="L255" s="3"/>
      <c r="M255" s="3"/>
      <c r="N255" s="3"/>
      <c r="O255" s="3"/>
      <c r="Q255" s="4"/>
      <c r="R255" s="4"/>
      <c r="S255" s="4"/>
      <c r="T255" s="4"/>
      <c r="U255" s="4"/>
    </row>
    <row r="256" spans="2:21">
      <c r="B256" s="2"/>
      <c r="C256" s="2"/>
      <c r="E256" s="4"/>
      <c r="F256" s="218"/>
      <c r="G256" s="218" t="s">
        <v>837</v>
      </c>
      <c r="I256" s="3"/>
      <c r="K256" s="3"/>
      <c r="L256" s="3"/>
      <c r="M256" s="3"/>
      <c r="N256" s="3"/>
      <c r="O256" s="3"/>
      <c r="P256" s="3"/>
    </row>
    <row r="257" spans="2:21">
      <c r="B257" s="2"/>
      <c r="C257" s="2"/>
      <c r="E257" s="4"/>
      <c r="F257" s="218" t="s">
        <v>350</v>
      </c>
      <c r="G257" s="218" t="s">
        <v>983</v>
      </c>
      <c r="I257" s="4"/>
      <c r="K257" s="4"/>
      <c r="L257" s="4"/>
      <c r="M257" s="4"/>
      <c r="N257" s="4"/>
      <c r="O257" s="4"/>
      <c r="P257" s="3"/>
    </row>
    <row r="258" spans="2:21">
      <c r="B258" s="2"/>
      <c r="C258" s="2"/>
      <c r="E258" s="4"/>
      <c r="F258" s="218"/>
      <c r="G258" s="218" t="s">
        <v>898</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209</v>
      </c>
      <c r="E260" s="2" t="s">
        <v>386</v>
      </c>
      <c r="G260" s="4"/>
      <c r="H260" s="4"/>
      <c r="I260" s="4"/>
      <c r="J260" s="4"/>
      <c r="K260" s="4"/>
      <c r="L260" s="4"/>
      <c r="M260" s="4"/>
      <c r="N260" s="4"/>
      <c r="O260" s="4"/>
      <c r="P260" s="4"/>
      <c r="Q260" s="4"/>
      <c r="R260" s="4"/>
      <c r="S260" s="4"/>
    </row>
    <row r="261" spans="2:21">
      <c r="B261" s="2"/>
      <c r="C261" s="2"/>
      <c r="E261" s="4" t="s">
        <v>113</v>
      </c>
      <c r="F261" s="4" t="s">
        <v>255</v>
      </c>
      <c r="G261" s="4"/>
      <c r="I261" s="4"/>
      <c r="J261" s="4"/>
      <c r="K261" s="4"/>
      <c r="L261" s="4"/>
      <c r="M261" s="4"/>
      <c r="N261" s="4"/>
      <c r="O261" s="4"/>
      <c r="P261" s="4"/>
      <c r="Q261" s="4"/>
      <c r="R261" s="4"/>
      <c r="S261" s="4"/>
    </row>
    <row r="262" spans="2:21">
      <c r="B262" s="2"/>
      <c r="C262" s="2"/>
      <c r="E262" s="4" t="s">
        <v>114</v>
      </c>
      <c r="F262" s="4" t="s">
        <v>828</v>
      </c>
      <c r="G262" s="4"/>
      <c r="I262" s="4"/>
      <c r="J262" s="4"/>
      <c r="K262" s="4"/>
      <c r="L262" s="4"/>
      <c r="M262" s="4"/>
      <c r="N262" s="4"/>
      <c r="O262" s="4"/>
      <c r="P262" s="4"/>
      <c r="Q262" s="4"/>
      <c r="R262" s="4"/>
      <c r="S262" s="4"/>
    </row>
    <row r="263" spans="2:21">
      <c r="B263" s="2"/>
      <c r="C263" s="2"/>
      <c r="E263" s="4" t="s">
        <v>120</v>
      </c>
      <c r="F263" s="4" t="s">
        <v>256</v>
      </c>
      <c r="I263" s="4"/>
      <c r="J263" s="4"/>
      <c r="K263" s="4"/>
      <c r="L263" s="4"/>
      <c r="M263" s="4"/>
      <c r="N263" s="4"/>
      <c r="O263" s="4"/>
      <c r="P263" s="4"/>
      <c r="Q263" s="4"/>
      <c r="R263" s="4"/>
      <c r="S263" s="4"/>
    </row>
    <row r="264" spans="2:21">
      <c r="B264" s="2"/>
      <c r="C264" s="2"/>
      <c r="E264" s="2"/>
      <c r="F264" s="4" t="s">
        <v>829</v>
      </c>
      <c r="I264" s="4"/>
      <c r="J264" s="4"/>
      <c r="K264" s="4"/>
      <c r="L264" s="4"/>
      <c r="M264" s="4"/>
      <c r="N264" s="4"/>
      <c r="O264" s="4"/>
      <c r="P264" s="4"/>
      <c r="Q264" s="4"/>
      <c r="R264" s="4"/>
      <c r="S264" s="4"/>
    </row>
    <row r="265" spans="2:21">
      <c r="B265" s="2"/>
      <c r="C265" s="2"/>
      <c r="E265" s="4" t="s">
        <v>590</v>
      </c>
      <c r="F265" s="218" t="s">
        <v>838</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343</v>
      </c>
      <c r="E267" s="2" t="s">
        <v>73</v>
      </c>
      <c r="G267" s="4"/>
      <c r="H267" s="4"/>
      <c r="I267" s="4"/>
      <c r="J267" s="4"/>
      <c r="K267" s="4"/>
      <c r="L267" s="4"/>
      <c r="M267" s="4"/>
      <c r="N267" s="4"/>
      <c r="O267" s="4"/>
      <c r="P267" s="4"/>
      <c r="Q267" s="4"/>
      <c r="R267" s="4"/>
      <c r="S267" s="4"/>
    </row>
    <row r="268" spans="2:21">
      <c r="B268" s="2"/>
      <c r="C268" s="2"/>
      <c r="E268" s="4" t="s">
        <v>1075</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289</v>
      </c>
      <c r="G270" s="4"/>
    </row>
    <row r="271" spans="2:21">
      <c r="B271" s="2"/>
      <c r="C271" s="2"/>
      <c r="E271" s="4" t="s">
        <v>257</v>
      </c>
      <c r="F271" s="4"/>
      <c r="G271" s="4"/>
      <c r="J271" s="4"/>
      <c r="K271" s="4"/>
      <c r="L271" s="4"/>
      <c r="M271" s="4"/>
      <c r="N271" s="4"/>
    </row>
    <row r="272" spans="2:21">
      <c r="B272" s="2"/>
      <c r="C272" s="2"/>
      <c r="E272" s="4" t="s">
        <v>984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1067</v>
      </c>
      <c r="J275" s="4"/>
      <c r="K275" s="4"/>
      <c r="L275" s="4"/>
      <c r="M275" s="4"/>
      <c r="N275" s="4"/>
      <c r="O275" s="4"/>
      <c r="P275" s="4"/>
      <c r="Q275" s="4"/>
      <c r="R275" s="4"/>
      <c r="S275" s="4"/>
      <c r="T275" s="4"/>
      <c r="U275" s="4"/>
    </row>
    <row r="276" spans="2:21">
      <c r="B276" s="2"/>
      <c r="D276" s="4"/>
      <c r="E276" s="4" t="s">
        <v>978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305</v>
      </c>
      <c r="E278" s="2" t="s">
        <v>290</v>
      </c>
      <c r="K278" s="4"/>
      <c r="L278" s="4"/>
      <c r="M278" s="4"/>
      <c r="N278" s="4"/>
      <c r="O278" s="4"/>
      <c r="P278" s="4"/>
      <c r="Q278" s="4"/>
      <c r="R278" s="4"/>
      <c r="S278" s="4"/>
      <c r="T278" s="4"/>
      <c r="U278" s="4"/>
    </row>
    <row r="279" spans="2:21">
      <c r="B279" s="2"/>
      <c r="D279" s="2"/>
      <c r="E279" t="s">
        <v>258</v>
      </c>
      <c r="K279" s="4"/>
      <c r="L279" s="4"/>
      <c r="M279" s="4"/>
      <c r="N279" s="4"/>
      <c r="O279" s="4"/>
      <c r="P279" s="4"/>
      <c r="Q279" s="4"/>
      <c r="R279" s="4"/>
      <c r="S279" s="4"/>
    </row>
    <row r="280" spans="2:21">
      <c r="B280" s="2"/>
      <c r="D280" s="4"/>
      <c r="E280" s="4" t="s">
        <v>985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431</v>
      </c>
      <c r="E282" s="2" t="s">
        <v>427</v>
      </c>
      <c r="G282" s="4"/>
      <c r="H282" s="4"/>
      <c r="I282" s="4"/>
      <c r="J282" s="4"/>
      <c r="K282" s="4"/>
      <c r="L282" s="4"/>
      <c r="M282" s="4"/>
      <c r="O282" s="4"/>
      <c r="P282" s="4"/>
      <c r="Q282" s="4"/>
      <c r="R282" s="4"/>
      <c r="S282" s="4"/>
    </row>
    <row r="283" spans="2:21">
      <c r="B283" s="2"/>
      <c r="D283" s="2"/>
      <c r="E283" t="s">
        <v>259</v>
      </c>
      <c r="G283" s="4"/>
      <c r="H283" s="4"/>
      <c r="I283" s="4"/>
      <c r="J283" s="4"/>
      <c r="K283" s="4"/>
      <c r="L283" s="4"/>
      <c r="M283" s="4"/>
      <c r="P283" s="4"/>
      <c r="Q283" s="4"/>
      <c r="R283" s="4"/>
      <c r="S283" s="4"/>
    </row>
    <row r="284" spans="2:21">
      <c r="B284" s="2"/>
      <c r="D284" s="2"/>
      <c r="E284" t="s">
        <v>260</v>
      </c>
      <c r="G284" s="4"/>
      <c r="H284" s="4"/>
      <c r="I284" s="4"/>
      <c r="J284" s="4"/>
      <c r="K284" s="4"/>
      <c r="L284" s="4"/>
      <c r="M284" s="4"/>
      <c r="P284" s="4"/>
      <c r="Q284" s="4"/>
      <c r="R284" s="4"/>
      <c r="S284" s="4"/>
    </row>
    <row r="285" spans="2:21">
      <c r="B285" s="2"/>
      <c r="D285" s="2"/>
      <c r="E285" s="120" t="s">
        <v>986</v>
      </c>
      <c r="F285" s="120"/>
      <c r="G285" s="4"/>
      <c r="H285" s="120"/>
      <c r="I285" s="120"/>
      <c r="J285" s="4"/>
      <c r="K285" s="4"/>
      <c r="L285" s="4"/>
      <c r="M285" s="4"/>
      <c r="P285" s="4"/>
      <c r="Q285" s="4"/>
      <c r="R285" s="4"/>
      <c r="S285" s="4"/>
    </row>
    <row r="286" spans="2:21">
      <c r="B286" s="2"/>
      <c r="D286" s="2"/>
      <c r="E286" s="484" t="s">
        <v>897</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113</v>
      </c>
      <c r="F289" s="4" t="s">
        <v>568</v>
      </c>
      <c r="G289" s="4"/>
      <c r="O289" s="4"/>
      <c r="P289" s="4"/>
      <c r="Q289" s="4"/>
      <c r="R289" s="4"/>
      <c r="S289" s="4"/>
      <c r="T289" s="4"/>
      <c r="U289" s="4"/>
      <c r="V289" s="4"/>
      <c r="W289" s="4"/>
    </row>
    <row r="290" spans="2:23">
      <c r="B290" s="2"/>
      <c r="D290" s="4"/>
      <c r="E290" s="4"/>
      <c r="F290" s="120" t="s">
        <v>1288</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569</v>
      </c>
      <c r="G291" s="4"/>
      <c r="L291" s="4"/>
      <c r="M291" s="4"/>
      <c r="N291" s="4"/>
      <c r="O291" s="4"/>
      <c r="P291" s="4"/>
      <c r="Q291" s="4"/>
      <c r="R291" s="4"/>
      <c r="S291" s="4"/>
      <c r="T291" s="4"/>
      <c r="U291" s="4"/>
      <c r="V291" s="4"/>
      <c r="W291" s="4"/>
    </row>
    <row r="292" spans="2:23">
      <c r="B292" s="2"/>
      <c r="D292" s="4"/>
      <c r="E292" s="4" t="s">
        <v>120</v>
      </c>
      <c r="F292" s="4" t="s">
        <v>261</v>
      </c>
      <c r="G292" s="4"/>
      <c r="H292" s="4"/>
      <c r="K292" s="4"/>
      <c r="L292" s="4"/>
      <c r="M292" s="4"/>
      <c r="N292" s="4"/>
      <c r="O292" s="4"/>
      <c r="P292" s="4"/>
      <c r="Q292" s="4"/>
      <c r="R292" s="4"/>
      <c r="S292" s="4"/>
      <c r="T292" s="4"/>
      <c r="U292" s="4"/>
      <c r="V292" s="4"/>
      <c r="W292" s="4"/>
    </row>
    <row r="293" spans="2:23">
      <c r="B293" s="2"/>
      <c r="D293" s="4"/>
      <c r="E293" s="4"/>
      <c r="F293" s="4" t="s">
        <v>662</v>
      </c>
      <c r="G293" s="4" t="s">
        <v>262</v>
      </c>
      <c r="K293" s="4"/>
      <c r="L293" s="4"/>
      <c r="M293" s="4"/>
      <c r="N293" s="4"/>
      <c r="O293" s="4"/>
      <c r="P293" s="4"/>
      <c r="Q293" s="4"/>
      <c r="R293" s="4"/>
      <c r="S293" s="4"/>
      <c r="T293" s="4"/>
      <c r="U293" s="4"/>
      <c r="V293" s="4"/>
      <c r="W293" s="4"/>
    </row>
    <row r="294" spans="2:23">
      <c r="B294" s="2"/>
      <c r="D294" s="4"/>
      <c r="E294" s="4"/>
      <c r="F294" s="4" t="s">
        <v>350</v>
      </c>
      <c r="G294" s="4" t="s">
        <v>979</v>
      </c>
      <c r="H294" s="4"/>
      <c r="K294" s="4"/>
      <c r="L294" s="4"/>
      <c r="M294" s="4"/>
      <c r="N294" s="4"/>
      <c r="O294" s="4"/>
      <c r="P294" s="4"/>
      <c r="Q294" s="4"/>
      <c r="R294" s="4"/>
      <c r="S294" s="4"/>
      <c r="T294" s="4"/>
      <c r="U294" s="4"/>
      <c r="V294" s="4"/>
      <c r="W294" s="4"/>
    </row>
    <row r="295" spans="2:23">
      <c r="B295" s="2"/>
      <c r="D295" s="4"/>
      <c r="E295" s="4"/>
      <c r="F295" s="4" t="s">
        <v>351</v>
      </c>
      <c r="G295" s="4" t="s">
        <v>570</v>
      </c>
      <c r="K295" s="4"/>
      <c r="L295" s="4"/>
      <c r="M295" s="4"/>
      <c r="N295" s="4"/>
      <c r="O295" s="4"/>
      <c r="P295" s="4"/>
      <c r="Q295" s="4"/>
      <c r="R295" s="4"/>
      <c r="S295" s="4"/>
      <c r="T295" s="4"/>
      <c r="U295" s="4"/>
      <c r="V295" s="4"/>
      <c r="W295" s="4"/>
    </row>
    <row r="296" spans="2:23">
      <c r="B296" s="2"/>
      <c r="D296" s="4"/>
      <c r="E296" s="4"/>
      <c r="F296" s="4" t="s">
        <v>447</v>
      </c>
      <c r="G296" s="4" t="s">
        <v>263</v>
      </c>
      <c r="H296" s="4"/>
      <c r="K296" s="4"/>
      <c r="L296" s="4"/>
      <c r="M296" s="4"/>
      <c r="N296" s="4"/>
      <c r="O296" s="4"/>
      <c r="P296" s="4"/>
      <c r="Q296" s="4"/>
      <c r="R296" s="4"/>
      <c r="S296" s="4"/>
      <c r="T296" s="4"/>
      <c r="U296" s="4"/>
      <c r="V296" s="4"/>
      <c r="W296" s="4"/>
    </row>
    <row r="297" spans="2:23">
      <c r="B297" s="2"/>
      <c r="D297" s="4"/>
      <c r="E297" s="4"/>
      <c r="F297" s="4" t="s">
        <v>264</v>
      </c>
      <c r="G297" s="4" t="s">
        <v>392</v>
      </c>
      <c r="K297" s="4"/>
      <c r="L297" s="4"/>
      <c r="M297" s="4"/>
      <c r="N297" s="4"/>
      <c r="O297" s="4"/>
      <c r="P297" s="4"/>
      <c r="Q297" s="4"/>
      <c r="R297" s="4"/>
      <c r="S297" s="4"/>
      <c r="T297" s="4"/>
      <c r="U297" s="4"/>
      <c r="V297" s="4"/>
      <c r="W297" s="4"/>
    </row>
    <row r="298" spans="2:23">
      <c r="B298" s="2"/>
      <c r="D298" s="4"/>
      <c r="E298" s="4"/>
      <c r="F298" s="4" t="s">
        <v>265</v>
      </c>
      <c r="G298" s="4" t="s">
        <v>171</v>
      </c>
      <c r="H298" s="4"/>
      <c r="K298" s="4"/>
      <c r="L298" s="4"/>
      <c r="M298" s="4"/>
      <c r="N298" s="4"/>
      <c r="O298" s="4"/>
      <c r="P298" s="4"/>
      <c r="Q298" s="4"/>
      <c r="R298" s="4"/>
      <c r="S298" s="4"/>
      <c r="T298" s="4"/>
      <c r="U298" s="4"/>
      <c r="V298" s="4"/>
      <c r="W298" s="4"/>
    </row>
    <row r="299" spans="2:23">
      <c r="B299" s="2"/>
      <c r="D299" s="4"/>
      <c r="E299" s="4" t="s">
        <v>590</v>
      </c>
      <c r="F299" s="4" t="s">
        <v>754</v>
      </c>
      <c r="G299" s="4"/>
      <c r="K299" s="4"/>
      <c r="L299" s="4"/>
      <c r="M299" s="4"/>
      <c r="N299" s="4"/>
      <c r="O299" s="4"/>
      <c r="P299" s="4"/>
      <c r="Q299" s="4"/>
      <c r="R299" s="4"/>
      <c r="S299" s="4"/>
      <c r="T299" s="4"/>
      <c r="U299" s="4"/>
      <c r="V299" s="4"/>
      <c r="W299" s="4"/>
    </row>
    <row r="300" spans="2:23">
      <c r="B300" s="2"/>
      <c r="D300" s="4"/>
      <c r="E300" s="4" t="s">
        <v>787</v>
      </c>
      <c r="F300" s="4" t="s">
        <v>761</v>
      </c>
      <c r="G300" s="4"/>
      <c r="K300" s="4"/>
      <c r="L300" s="4"/>
      <c r="M300" s="4"/>
      <c r="N300" s="4"/>
      <c r="O300" s="4"/>
      <c r="P300" s="4"/>
      <c r="Q300" s="4"/>
      <c r="R300" s="4"/>
      <c r="S300" s="4"/>
      <c r="T300" s="4"/>
      <c r="U300" s="4"/>
      <c r="V300" s="4"/>
      <c r="W300" s="4"/>
    </row>
    <row r="301" spans="2:23">
      <c r="B301" s="2"/>
      <c r="D301" s="4"/>
      <c r="E301" s="4"/>
      <c r="F301" s="120" t="s">
        <v>1002</v>
      </c>
      <c r="G301" s="120"/>
      <c r="H301" s="120"/>
      <c r="I301" s="120"/>
      <c r="J301" s="120"/>
      <c r="K301" s="120"/>
      <c r="L301" s="120"/>
      <c r="M301" s="4"/>
      <c r="N301" s="4"/>
      <c r="O301" s="4"/>
      <c r="P301" s="4"/>
      <c r="Q301" s="4"/>
      <c r="R301" s="4"/>
      <c r="S301" s="4"/>
      <c r="T301" s="4"/>
      <c r="U301" s="4"/>
      <c r="V301" s="4"/>
      <c r="W301" s="4"/>
    </row>
    <row r="302" spans="2:23">
      <c r="B302" s="2"/>
      <c r="D302" s="4"/>
      <c r="E302" s="4"/>
      <c r="F302" s="120" t="s">
        <v>1003</v>
      </c>
      <c r="G302" s="120"/>
      <c r="H302" s="120"/>
      <c r="I302" s="120"/>
      <c r="J302" s="120"/>
      <c r="K302" s="120"/>
      <c r="L302" s="120"/>
      <c r="M302" s="4"/>
      <c r="N302" s="4"/>
      <c r="O302" s="4"/>
      <c r="P302" s="4"/>
      <c r="Q302" s="4"/>
      <c r="R302" s="4"/>
      <c r="S302" s="4"/>
      <c r="T302" s="4"/>
      <c r="U302" s="4"/>
      <c r="V302" s="4"/>
      <c r="W302" s="4"/>
    </row>
    <row r="303" spans="2:23">
      <c r="B303" s="2"/>
      <c r="D303" s="4"/>
      <c r="E303" s="4"/>
      <c r="F303" s="120" t="s">
        <v>1004</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291</v>
      </c>
      <c r="G305" s="4"/>
      <c r="H305" s="4"/>
      <c r="I305" s="4"/>
      <c r="J305" s="4"/>
      <c r="K305" s="4"/>
      <c r="L305" s="4"/>
      <c r="M305" s="4"/>
      <c r="N305" s="4"/>
      <c r="O305" s="4"/>
      <c r="P305" s="4"/>
      <c r="Q305" s="4"/>
      <c r="R305" s="4"/>
      <c r="S305" s="4"/>
      <c r="T305" s="4"/>
      <c r="U305" s="4"/>
      <c r="V305" s="4"/>
      <c r="W305" s="4"/>
    </row>
    <row r="306" spans="2:23">
      <c r="B306" s="2"/>
      <c r="D306" s="2"/>
      <c r="E306" s="4" t="s">
        <v>987</v>
      </c>
      <c r="F306" s="4"/>
      <c r="K306" s="4"/>
      <c r="L306" s="4"/>
      <c r="M306" s="4"/>
      <c r="N306" s="4"/>
      <c r="O306" s="4"/>
      <c r="P306" s="4"/>
      <c r="Q306" s="4"/>
      <c r="R306" s="4"/>
      <c r="S306" s="4"/>
      <c r="T306" s="4"/>
      <c r="U306" s="4"/>
      <c r="V306" s="4"/>
      <c r="W306" s="4"/>
    </row>
    <row r="307" spans="2:23">
      <c r="B307" s="2"/>
      <c r="D307" s="2"/>
      <c r="E307" s="4" t="s">
        <v>985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209</v>
      </c>
      <c r="E310" s="2" t="s">
        <v>266</v>
      </c>
      <c r="G310" s="2"/>
      <c r="H310" s="2"/>
      <c r="I310" s="2"/>
      <c r="J310" s="2"/>
      <c r="K310" s="2"/>
      <c r="L310" s="2"/>
      <c r="M310" s="2"/>
      <c r="N310" s="2"/>
      <c r="O310" s="2"/>
      <c r="P310" s="2"/>
      <c r="Q310" s="2"/>
      <c r="R310" s="2"/>
    </row>
    <row r="311" spans="2:23">
      <c r="B311" s="2"/>
      <c r="D311" s="2"/>
      <c r="E311" t="s">
        <v>267</v>
      </c>
      <c r="G311" s="4"/>
      <c r="I311" s="4"/>
      <c r="K311" s="4"/>
    </row>
    <row r="312" spans="2:23">
      <c r="B312" s="2"/>
      <c r="D312" s="2"/>
      <c r="E312" s="4" t="s">
        <v>823</v>
      </c>
      <c r="F312" s="4"/>
      <c r="G312" s="4"/>
      <c r="I312" s="4"/>
      <c r="K312" s="4"/>
    </row>
    <row r="313" spans="2:23">
      <c r="B313" s="2"/>
      <c r="D313" s="2"/>
      <c r="E313" s="4" t="s">
        <v>988</v>
      </c>
      <c r="F313" s="4"/>
      <c r="G313" s="4"/>
      <c r="I313" s="4"/>
      <c r="K313" s="4"/>
    </row>
    <row r="314" spans="2:23">
      <c r="B314" s="2"/>
      <c r="D314" s="2"/>
      <c r="E314" s="4" t="s">
        <v>824</v>
      </c>
      <c r="F314" s="4"/>
      <c r="G314" s="4"/>
      <c r="I314" s="4"/>
      <c r="K314" s="4"/>
    </row>
    <row r="315" spans="2:23">
      <c r="B315" s="2"/>
      <c r="D315" s="2"/>
      <c r="G315" s="4"/>
      <c r="I315" s="4"/>
      <c r="K315" s="4"/>
    </row>
    <row r="316" spans="2:23">
      <c r="B316" s="2"/>
      <c r="D316" s="2" t="s">
        <v>343</v>
      </c>
      <c r="E316" s="2" t="s">
        <v>763</v>
      </c>
      <c r="G316" s="4"/>
      <c r="H316" s="4"/>
      <c r="I316" s="4"/>
      <c r="J316" s="4"/>
      <c r="K316" s="4"/>
      <c r="P316" s="4"/>
      <c r="Q316" s="4"/>
      <c r="R316" s="4"/>
      <c r="S316" s="4"/>
    </row>
    <row r="317" spans="2:23">
      <c r="B317" s="2"/>
      <c r="D317" s="2"/>
      <c r="E317" t="s">
        <v>268</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747</v>
      </c>
      <c r="F319" s="3"/>
      <c r="G319" s="4"/>
      <c r="H319" s="4"/>
      <c r="I319" s="4"/>
      <c r="J319" s="4"/>
      <c r="K319" s="4"/>
      <c r="L319" s="4"/>
      <c r="M319" s="4"/>
      <c r="N319" s="4"/>
      <c r="O319" s="4"/>
      <c r="P319" s="4"/>
      <c r="Q319" s="4"/>
      <c r="R319" s="4"/>
      <c r="S319" s="4"/>
    </row>
    <row r="320" spans="2:23">
      <c r="B320" s="2"/>
      <c r="E320" t="s">
        <v>744</v>
      </c>
      <c r="I320" s="4"/>
      <c r="J320" s="4"/>
      <c r="K320" s="4"/>
      <c r="L320" s="4"/>
      <c r="M320" s="4"/>
      <c r="N320" s="4"/>
      <c r="O320" s="4"/>
      <c r="P320" s="4"/>
      <c r="Q320" s="4"/>
      <c r="R320" s="4"/>
      <c r="S320" s="4"/>
    </row>
    <row r="321" spans="1:38">
      <c r="B321" s="2"/>
      <c r="E321" t="s">
        <v>745</v>
      </c>
      <c r="I321" s="4"/>
      <c r="J321" s="4"/>
      <c r="K321" s="4"/>
      <c r="L321" s="4"/>
      <c r="M321" s="4"/>
      <c r="N321" s="4"/>
      <c r="O321" s="4"/>
      <c r="P321" s="4"/>
      <c r="Q321" s="4"/>
      <c r="R321" s="4"/>
      <c r="S321" s="4"/>
    </row>
    <row r="322" spans="1:38">
      <c r="B322" s="2"/>
      <c r="E322" t="s">
        <v>746</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252</v>
      </c>
      <c r="D325" s="2" t="s">
        <v>209</v>
      </c>
      <c r="E325" s="2" t="s">
        <v>624</v>
      </c>
      <c r="J325" s="2"/>
      <c r="K325" s="2"/>
      <c r="L325" s="2"/>
      <c r="M325" s="4"/>
      <c r="N325" s="4"/>
      <c r="O325" s="4"/>
      <c r="P325" s="4"/>
      <c r="Q325" s="4"/>
      <c r="R325" s="4"/>
      <c r="S325" s="4"/>
    </row>
    <row r="326" spans="1:38">
      <c r="E326" t="s">
        <v>113</v>
      </c>
      <c r="F326" s="4" t="s">
        <v>989</v>
      </c>
      <c r="J326" s="4"/>
      <c r="K326" s="4"/>
      <c r="L326" s="4"/>
      <c r="M326" s="4"/>
      <c r="N326" s="4"/>
      <c r="O326" s="4"/>
      <c r="P326" s="4"/>
      <c r="Q326" s="4"/>
      <c r="R326" s="4"/>
      <c r="S326" s="4"/>
    </row>
    <row r="327" spans="1:38">
      <c r="E327" s="4" t="s">
        <v>114</v>
      </c>
      <c r="F327" t="s">
        <v>748</v>
      </c>
      <c r="J327" s="4"/>
      <c r="K327" s="4"/>
      <c r="L327" s="4"/>
      <c r="M327" s="4"/>
      <c r="N327" s="4"/>
      <c r="O327" s="4"/>
      <c r="P327" s="4"/>
      <c r="Q327" s="4"/>
      <c r="R327" s="4"/>
      <c r="S327" s="4"/>
    </row>
    <row r="328" spans="1:38">
      <c r="F328" s="120" t="s">
        <v>1289</v>
      </c>
      <c r="I328" s="120"/>
      <c r="J328" s="4"/>
      <c r="K328" s="4"/>
      <c r="L328" s="4"/>
      <c r="M328" s="4"/>
      <c r="N328" s="4"/>
      <c r="O328" s="4"/>
      <c r="P328" s="4"/>
      <c r="Q328" s="4"/>
      <c r="R328" s="4"/>
      <c r="S328" s="4"/>
    </row>
    <row r="329" spans="1:38">
      <c r="F329" s="120" t="s">
        <v>1290</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432</v>
      </c>
      <c r="G333" s="2" t="s">
        <v>22</v>
      </c>
      <c r="I333" s="2"/>
      <c r="J333" s="4"/>
      <c r="K333" s="4"/>
      <c r="L333" s="4"/>
      <c r="M333" s="4"/>
      <c r="N333" s="4"/>
      <c r="O333" s="4"/>
      <c r="P333" s="4"/>
      <c r="Q333" s="4"/>
      <c r="R333" s="4"/>
      <c r="S333" s="4"/>
    </row>
    <row r="334" spans="1:38">
      <c r="B334" s="2"/>
      <c r="C334" s="2"/>
      <c r="D334" s="2" t="s">
        <v>209</v>
      </c>
      <c r="E334" s="2" t="s">
        <v>22</v>
      </c>
      <c r="G334" s="2"/>
      <c r="I334" s="2"/>
      <c r="J334" s="4"/>
      <c r="K334" s="4"/>
      <c r="L334" s="4"/>
      <c r="M334" s="4"/>
      <c r="N334" s="4"/>
      <c r="O334" s="4"/>
      <c r="P334" s="4"/>
      <c r="Q334" s="4"/>
      <c r="R334" s="4"/>
      <c r="S334" s="4"/>
    </row>
    <row r="335" spans="1:38">
      <c r="B335" s="2"/>
      <c r="E335" t="s">
        <v>113</v>
      </c>
      <c r="F335" t="s">
        <v>751</v>
      </c>
      <c r="J335" s="4"/>
      <c r="K335" s="4"/>
      <c r="L335" s="4"/>
      <c r="M335" s="4"/>
      <c r="N335" s="4"/>
      <c r="O335" s="4"/>
      <c r="P335" s="4"/>
      <c r="Q335" s="4"/>
      <c r="R335" s="4"/>
      <c r="S335" s="4"/>
    </row>
    <row r="336" spans="1:38">
      <c r="B336" s="2"/>
      <c r="E336" s="4"/>
      <c r="F336" s="4" t="s">
        <v>752</v>
      </c>
      <c r="J336" s="4"/>
      <c r="K336" s="4"/>
      <c r="L336" s="4"/>
      <c r="M336" s="4"/>
      <c r="N336" s="4"/>
      <c r="O336" s="4"/>
      <c r="P336" s="4"/>
      <c r="Q336" s="4"/>
      <c r="R336" s="4"/>
      <c r="S336" s="4"/>
    </row>
    <row r="337" spans="2:37">
      <c r="B337" s="2"/>
      <c r="E337" s="4"/>
      <c r="F337" s="4" t="s">
        <v>753</v>
      </c>
      <c r="I337" s="4"/>
      <c r="J337" s="4"/>
      <c r="K337" s="4"/>
      <c r="L337" s="4"/>
      <c r="M337" s="4"/>
      <c r="N337" s="4"/>
      <c r="O337" s="4"/>
      <c r="P337" s="4"/>
      <c r="Q337" s="4"/>
      <c r="R337" s="4"/>
      <c r="S337" s="4"/>
    </row>
    <row r="338" spans="2:37">
      <c r="B338" s="2"/>
      <c r="E338" s="4" t="s">
        <v>114</v>
      </c>
      <c r="F338" s="1263" t="s">
        <v>1293</v>
      </c>
      <c r="G338" s="1263"/>
      <c r="H338" s="1263"/>
      <c r="I338" s="1263"/>
      <c r="J338" s="1263"/>
      <c r="K338" s="1263"/>
      <c r="L338" s="1263"/>
      <c r="M338" s="1263"/>
      <c r="N338" s="1263"/>
      <c r="O338" s="1263"/>
      <c r="P338" s="1263"/>
      <c r="Q338" s="1263"/>
      <c r="R338" s="1263"/>
      <c r="S338" s="1263"/>
      <c r="T338" s="1263"/>
      <c r="U338" s="1263"/>
      <c r="V338" s="1263"/>
      <c r="W338" s="1263"/>
      <c r="X338" s="1263"/>
      <c r="Y338" s="1263"/>
      <c r="Z338" s="1263"/>
      <c r="AA338" s="1263"/>
      <c r="AB338" s="1263"/>
      <c r="AC338" s="1263"/>
      <c r="AD338" s="1263"/>
      <c r="AE338" s="1263"/>
      <c r="AF338" s="1263"/>
      <c r="AG338" s="1263"/>
      <c r="AH338" s="1263"/>
      <c r="AI338" s="1263"/>
      <c r="AJ338" s="1263"/>
      <c r="AK338" s="1263"/>
    </row>
    <row r="339" spans="2:37">
      <c r="B339" s="2"/>
      <c r="E339" s="4"/>
      <c r="F339" s="1263"/>
      <c r="G339" s="1263"/>
      <c r="H339" s="1263"/>
      <c r="I339" s="1263"/>
      <c r="J339" s="1263"/>
      <c r="K339" s="1263"/>
      <c r="L339" s="1263"/>
      <c r="M339" s="1263"/>
      <c r="N339" s="1263"/>
      <c r="O339" s="1263"/>
      <c r="P339" s="1263"/>
      <c r="Q339" s="1263"/>
      <c r="R339" s="1263"/>
      <c r="S339" s="1263"/>
      <c r="T339" s="1263"/>
      <c r="U339" s="1263"/>
      <c r="V339" s="1263"/>
      <c r="W339" s="1263"/>
      <c r="X339" s="1263"/>
      <c r="Y339" s="1263"/>
      <c r="Z339" s="1263"/>
      <c r="AA339" s="1263"/>
      <c r="AB339" s="1263"/>
      <c r="AC339" s="1263"/>
      <c r="AD339" s="1263"/>
      <c r="AE339" s="1263"/>
      <c r="AF339" s="1263"/>
      <c r="AG339" s="1263"/>
      <c r="AH339" s="1263"/>
      <c r="AI339" s="1263"/>
      <c r="AJ339" s="1263"/>
      <c r="AK339" s="1263"/>
    </row>
    <row r="340" spans="2:37">
      <c r="B340" s="2"/>
      <c r="E340" s="4"/>
      <c r="F340" s="1263"/>
      <c r="G340" s="1263"/>
      <c r="H340" s="1263"/>
      <c r="I340" s="1263"/>
      <c r="J340" s="1263"/>
      <c r="K340" s="1263"/>
      <c r="L340" s="1263"/>
      <c r="M340" s="1263"/>
      <c r="N340" s="1263"/>
      <c r="O340" s="1263"/>
      <c r="P340" s="1263"/>
      <c r="Q340" s="1263"/>
      <c r="R340" s="1263"/>
      <c r="S340" s="1263"/>
      <c r="T340" s="1263"/>
      <c r="U340" s="1263"/>
      <c r="V340" s="1263"/>
      <c r="W340" s="1263"/>
      <c r="X340" s="1263"/>
      <c r="Y340" s="1263"/>
      <c r="Z340" s="1263"/>
      <c r="AA340" s="1263"/>
      <c r="AB340" s="1263"/>
      <c r="AC340" s="1263"/>
      <c r="AD340" s="1263"/>
      <c r="AE340" s="1263"/>
      <c r="AF340" s="1263"/>
      <c r="AG340" s="1263"/>
      <c r="AH340" s="1263"/>
      <c r="AI340" s="1263"/>
      <c r="AJ340" s="1263"/>
      <c r="AK340" s="1263"/>
    </row>
    <row r="341" spans="2:37">
      <c r="B341" s="2"/>
      <c r="F341" s="4"/>
      <c r="H341" s="4"/>
      <c r="I341" s="4"/>
      <c r="J341" s="4"/>
      <c r="K341" s="4"/>
      <c r="L341" s="4"/>
      <c r="M341" s="4"/>
      <c r="N341" s="4"/>
      <c r="O341" s="4"/>
      <c r="P341" s="4"/>
      <c r="Q341" s="4"/>
      <c r="R341" s="4"/>
      <c r="S341" s="4"/>
    </row>
    <row r="342" spans="2:37">
      <c r="B342" s="2"/>
      <c r="C342" s="2" t="s">
        <v>433</v>
      </c>
      <c r="G342" s="2" t="s">
        <v>1374</v>
      </c>
      <c r="I342" s="2"/>
      <c r="J342" s="4"/>
      <c r="K342" s="4"/>
      <c r="L342" s="4"/>
      <c r="M342" s="4"/>
      <c r="N342" s="4"/>
      <c r="O342" s="4"/>
      <c r="P342" s="4"/>
      <c r="Q342" s="4"/>
      <c r="R342" s="4"/>
      <c r="S342" s="4"/>
    </row>
    <row r="343" spans="2:37" ht="13.35" customHeight="1">
      <c r="B343" s="2"/>
      <c r="E343" s="1268" t="s">
        <v>1381</v>
      </c>
      <c r="F343" s="1268"/>
      <c r="G343" s="1268"/>
      <c r="H343" s="1268"/>
      <c r="I343" s="1268"/>
      <c r="J343" s="1268"/>
      <c r="K343" s="1268"/>
      <c r="L343" s="1268"/>
      <c r="M343" s="1268"/>
      <c r="N343" s="1268"/>
      <c r="O343" s="1268"/>
      <c r="P343" s="1268"/>
      <c r="Q343" s="1268"/>
      <c r="R343" s="1268"/>
      <c r="S343" s="1268"/>
      <c r="T343" s="1268"/>
      <c r="U343" s="1268"/>
      <c r="V343" s="1268"/>
      <c r="W343" s="1268"/>
      <c r="X343" s="1268"/>
      <c r="Y343" s="1268"/>
      <c r="Z343" s="1268"/>
      <c r="AA343" s="1268"/>
      <c r="AB343" s="1268"/>
      <c r="AC343" s="1268"/>
      <c r="AD343" s="1268"/>
      <c r="AE343" s="1268"/>
      <c r="AF343" s="1268"/>
      <c r="AG343" s="1268"/>
      <c r="AH343" s="1268"/>
      <c r="AI343" s="1268"/>
      <c r="AJ343" s="1268"/>
      <c r="AK343" s="1268"/>
    </row>
    <row r="344" spans="2:37">
      <c r="B344" s="2"/>
      <c r="E344" s="1268"/>
      <c r="F344" s="1268"/>
      <c r="G344" s="1268"/>
      <c r="H344" s="1268"/>
      <c r="I344" s="1268"/>
      <c r="J344" s="1268"/>
      <c r="K344" s="1268"/>
      <c r="L344" s="1268"/>
      <c r="M344" s="1268"/>
      <c r="N344" s="1268"/>
      <c r="O344" s="1268"/>
      <c r="P344" s="1268"/>
      <c r="Q344" s="1268"/>
      <c r="R344" s="1268"/>
      <c r="S344" s="1268"/>
      <c r="T344" s="1268"/>
      <c r="U344" s="1268"/>
      <c r="V344" s="1268"/>
      <c r="W344" s="1268"/>
      <c r="X344" s="1268"/>
      <c r="Y344" s="1268"/>
      <c r="Z344" s="1268"/>
      <c r="AA344" s="1268"/>
      <c r="AB344" s="1268"/>
      <c r="AC344" s="1268"/>
      <c r="AD344" s="1268"/>
      <c r="AE344" s="1268"/>
      <c r="AF344" s="1268"/>
      <c r="AG344" s="1268"/>
      <c r="AH344" s="1268"/>
      <c r="AI344" s="1268"/>
      <c r="AJ344" s="1268"/>
      <c r="AK344" s="1268"/>
    </row>
    <row r="345" spans="2:37">
      <c r="B345" s="2"/>
      <c r="E345" s="1268"/>
      <c r="F345" s="1268"/>
      <c r="G345" s="1268"/>
      <c r="H345" s="1268"/>
      <c r="I345" s="1268"/>
      <c r="J345" s="1268"/>
      <c r="K345" s="1268"/>
      <c r="L345" s="1268"/>
      <c r="M345" s="1268"/>
      <c r="N345" s="1268"/>
      <c r="O345" s="1268"/>
      <c r="P345" s="1268"/>
      <c r="Q345" s="1268"/>
      <c r="R345" s="1268"/>
      <c r="S345" s="1268"/>
      <c r="T345" s="1268"/>
      <c r="U345" s="1268"/>
      <c r="V345" s="1268"/>
      <c r="W345" s="1268"/>
      <c r="X345" s="1268"/>
      <c r="Y345" s="1268"/>
      <c r="Z345" s="1268"/>
      <c r="AA345" s="1268"/>
      <c r="AB345" s="1268"/>
      <c r="AC345" s="1268"/>
      <c r="AD345" s="1268"/>
      <c r="AE345" s="1268"/>
      <c r="AF345" s="1268"/>
      <c r="AG345" s="1268"/>
      <c r="AH345" s="1268"/>
      <c r="AI345" s="1268"/>
      <c r="AJ345" s="1268"/>
      <c r="AK345" s="1268"/>
    </row>
    <row r="346" spans="2:37">
      <c r="B346" s="2"/>
      <c r="E346" s="1268"/>
      <c r="F346" s="1268"/>
      <c r="G346" s="1268"/>
      <c r="H346" s="1268"/>
      <c r="I346" s="1268"/>
      <c r="J346" s="1268"/>
      <c r="K346" s="1268"/>
      <c r="L346" s="1268"/>
      <c r="M346" s="1268"/>
      <c r="N346" s="1268"/>
      <c r="O346" s="1268"/>
      <c r="P346" s="1268"/>
      <c r="Q346" s="1268"/>
      <c r="R346" s="1268"/>
      <c r="S346" s="1268"/>
      <c r="T346" s="1268"/>
      <c r="U346" s="1268"/>
      <c r="V346" s="1268"/>
      <c r="W346" s="1268"/>
      <c r="X346" s="1268"/>
      <c r="Y346" s="1268"/>
      <c r="Z346" s="1268"/>
      <c r="AA346" s="1268"/>
      <c r="AB346" s="1268"/>
      <c r="AC346" s="1268"/>
      <c r="AD346" s="1268"/>
      <c r="AE346" s="1268"/>
      <c r="AF346" s="1268"/>
      <c r="AG346" s="1268"/>
      <c r="AH346" s="1268"/>
      <c r="AI346" s="1268"/>
      <c r="AJ346" s="1268"/>
      <c r="AK346" s="1268"/>
    </row>
    <row r="347" spans="2:37">
      <c r="B347" s="2"/>
      <c r="E347" s="1268"/>
      <c r="F347" s="1268"/>
      <c r="G347" s="1268"/>
      <c r="H347" s="1268"/>
      <c r="I347" s="1268"/>
      <c r="J347" s="1268"/>
      <c r="K347" s="1268"/>
      <c r="L347" s="1268"/>
      <c r="M347" s="1268"/>
      <c r="N347" s="1268"/>
      <c r="O347" s="1268"/>
      <c r="P347" s="1268"/>
      <c r="Q347" s="1268"/>
      <c r="R347" s="1268"/>
      <c r="S347" s="1268"/>
      <c r="T347" s="1268"/>
      <c r="U347" s="1268"/>
      <c r="V347" s="1268"/>
      <c r="W347" s="1268"/>
      <c r="X347" s="1268"/>
      <c r="Y347" s="1268"/>
      <c r="Z347" s="1268"/>
      <c r="AA347" s="1268"/>
      <c r="AB347" s="1268"/>
      <c r="AC347" s="1268"/>
      <c r="AD347" s="1268"/>
      <c r="AE347" s="1268"/>
      <c r="AF347" s="1268"/>
      <c r="AG347" s="1268"/>
      <c r="AH347" s="1268"/>
      <c r="AI347" s="1268"/>
      <c r="AJ347" s="1268"/>
      <c r="AK347" s="1268"/>
    </row>
    <row r="348" spans="2:37">
      <c r="B348" s="2"/>
      <c r="E348" s="3" t="s">
        <v>113</v>
      </c>
      <c r="F348" s="1263" t="s">
        <v>1383</v>
      </c>
      <c r="G348" s="1263"/>
      <c r="H348" s="1263"/>
      <c r="I348" s="1263"/>
      <c r="J348" s="1263"/>
      <c r="K348" s="1263"/>
      <c r="L348" s="1263"/>
      <c r="M348" s="1263"/>
      <c r="N348" s="1263"/>
      <c r="O348" s="1263"/>
      <c r="P348" s="1263"/>
      <c r="Q348" s="1263"/>
      <c r="R348" s="1263"/>
      <c r="S348" s="1263"/>
      <c r="T348" s="1263"/>
      <c r="U348" s="1263"/>
      <c r="V348" s="1263"/>
      <c r="W348" s="1263"/>
      <c r="X348" s="1263"/>
      <c r="Y348" s="1263"/>
      <c r="Z348" s="1263"/>
      <c r="AA348" s="1263"/>
      <c r="AB348" s="1263"/>
      <c r="AC348" s="1263"/>
      <c r="AD348" s="1263"/>
      <c r="AE348" s="1263"/>
      <c r="AF348" s="1263"/>
      <c r="AG348" s="1263"/>
      <c r="AH348" s="1263"/>
      <c r="AI348" s="1263"/>
      <c r="AJ348" s="1263"/>
      <c r="AK348" s="1263"/>
    </row>
    <row r="349" spans="2:37">
      <c r="B349" s="2"/>
      <c r="E349" s="3"/>
      <c r="F349" s="1263"/>
      <c r="G349" s="1263"/>
      <c r="H349" s="1263"/>
      <c r="I349" s="1263"/>
      <c r="J349" s="1263"/>
      <c r="K349" s="1263"/>
      <c r="L349" s="1263"/>
      <c r="M349" s="1263"/>
      <c r="N349" s="1263"/>
      <c r="O349" s="1263"/>
      <c r="P349" s="1263"/>
      <c r="Q349" s="1263"/>
      <c r="R349" s="1263"/>
      <c r="S349" s="1263"/>
      <c r="T349" s="1263"/>
      <c r="U349" s="1263"/>
      <c r="V349" s="1263"/>
      <c r="W349" s="1263"/>
      <c r="X349" s="1263"/>
      <c r="Y349" s="1263"/>
      <c r="Z349" s="1263"/>
      <c r="AA349" s="1263"/>
      <c r="AB349" s="1263"/>
      <c r="AC349" s="1263"/>
      <c r="AD349" s="1263"/>
      <c r="AE349" s="1263"/>
      <c r="AF349" s="1263"/>
      <c r="AG349" s="1263"/>
      <c r="AH349" s="1263"/>
      <c r="AI349" s="1263"/>
      <c r="AJ349" s="1263"/>
      <c r="AK349" s="1263"/>
    </row>
    <row r="350" spans="2:37">
      <c r="B350" s="2"/>
      <c r="E350" s="3"/>
      <c r="F350" s="1263"/>
      <c r="G350" s="1263"/>
      <c r="H350" s="1263"/>
      <c r="I350" s="1263"/>
      <c r="J350" s="1263"/>
      <c r="K350" s="1263"/>
      <c r="L350" s="1263"/>
      <c r="M350" s="1263"/>
      <c r="N350" s="1263"/>
      <c r="O350" s="1263"/>
      <c r="P350" s="1263"/>
      <c r="Q350" s="1263"/>
      <c r="R350" s="1263"/>
      <c r="S350" s="1263"/>
      <c r="T350" s="1263"/>
      <c r="U350" s="1263"/>
      <c r="V350" s="1263"/>
      <c r="W350" s="1263"/>
      <c r="X350" s="1263"/>
      <c r="Y350" s="1263"/>
      <c r="Z350" s="1263"/>
      <c r="AA350" s="1263"/>
      <c r="AB350" s="1263"/>
      <c r="AC350" s="1263"/>
      <c r="AD350" s="1263"/>
      <c r="AE350" s="1263"/>
      <c r="AF350" s="1263"/>
      <c r="AG350" s="1263"/>
      <c r="AH350" s="1263"/>
      <c r="AI350" s="1263"/>
      <c r="AJ350" s="1263"/>
      <c r="AK350" s="1263"/>
    </row>
    <row r="351" spans="2:37">
      <c r="B351" s="2"/>
      <c r="E351" s="3"/>
      <c r="F351" s="1263"/>
      <c r="G351" s="1263"/>
      <c r="H351" s="1263"/>
      <c r="I351" s="1263"/>
      <c r="J351" s="1263"/>
      <c r="K351" s="1263"/>
      <c r="L351" s="1263"/>
      <c r="M351" s="1263"/>
      <c r="N351" s="1263"/>
      <c r="O351" s="1263"/>
      <c r="P351" s="1263"/>
      <c r="Q351" s="1263"/>
      <c r="R351" s="1263"/>
      <c r="S351" s="1263"/>
      <c r="T351" s="1263"/>
      <c r="U351" s="1263"/>
      <c r="V351" s="1263"/>
      <c r="W351" s="1263"/>
      <c r="X351" s="1263"/>
      <c r="Y351" s="1263"/>
      <c r="Z351" s="1263"/>
      <c r="AA351" s="1263"/>
      <c r="AB351" s="1263"/>
      <c r="AC351" s="1263"/>
      <c r="AD351" s="1263"/>
      <c r="AE351" s="1263"/>
      <c r="AF351" s="1263"/>
      <c r="AG351" s="1263"/>
      <c r="AH351" s="1263"/>
      <c r="AI351" s="1263"/>
      <c r="AJ351" s="1263"/>
      <c r="AK351" s="1263"/>
    </row>
    <row r="352" spans="2:37">
      <c r="B352" s="2"/>
      <c r="E352" s="3" t="s">
        <v>114</v>
      </c>
      <c r="F352" s="1263" t="s">
        <v>1382</v>
      </c>
      <c r="G352" s="1263"/>
      <c r="H352" s="1263"/>
      <c r="I352" s="1263"/>
      <c r="J352" s="1263"/>
      <c r="K352" s="1263"/>
      <c r="L352" s="1263"/>
      <c r="M352" s="1263"/>
      <c r="N352" s="1263"/>
      <c r="O352" s="1263"/>
      <c r="P352" s="1263"/>
      <c r="Q352" s="1263"/>
      <c r="R352" s="1263"/>
      <c r="S352" s="1263"/>
      <c r="T352" s="1263"/>
      <c r="U352" s="1263"/>
      <c r="V352" s="1263"/>
      <c r="W352" s="1263"/>
      <c r="X352" s="1263"/>
      <c r="Y352" s="1263"/>
      <c r="Z352" s="1263"/>
      <c r="AA352" s="1263"/>
      <c r="AB352" s="1263"/>
      <c r="AC352" s="1263"/>
      <c r="AD352" s="1263"/>
      <c r="AE352" s="1263"/>
      <c r="AF352" s="1263"/>
      <c r="AG352" s="1263"/>
      <c r="AH352" s="1263"/>
      <c r="AI352" s="1263"/>
      <c r="AJ352" s="1263"/>
      <c r="AK352" s="1263"/>
    </row>
    <row r="353" spans="1:38">
      <c r="B353" s="2"/>
      <c r="F353" s="1263"/>
      <c r="G353" s="1263"/>
      <c r="H353" s="1263"/>
      <c r="I353" s="1263"/>
      <c r="J353" s="1263"/>
      <c r="K353" s="1263"/>
      <c r="L353" s="1263"/>
      <c r="M353" s="1263"/>
      <c r="N353" s="1263"/>
      <c r="O353" s="1263"/>
      <c r="P353" s="1263"/>
      <c r="Q353" s="1263"/>
      <c r="R353" s="1263"/>
      <c r="S353" s="1263"/>
      <c r="T353" s="1263"/>
      <c r="U353" s="1263"/>
      <c r="V353" s="1263"/>
      <c r="W353" s="1263"/>
      <c r="X353" s="1263"/>
      <c r="Y353" s="1263"/>
      <c r="Z353" s="1263"/>
      <c r="AA353" s="1263"/>
      <c r="AB353" s="1263"/>
      <c r="AC353" s="1263"/>
      <c r="AD353" s="1263"/>
      <c r="AE353" s="1263"/>
      <c r="AF353" s="1263"/>
      <c r="AG353" s="1263"/>
      <c r="AH353" s="1263"/>
      <c r="AI353" s="1263"/>
      <c r="AJ353" s="1263"/>
      <c r="AK353" s="1263"/>
    </row>
    <row r="354" spans="1:38">
      <c r="B354" s="2"/>
      <c r="F354" s="1263"/>
      <c r="G354" s="1263"/>
      <c r="H354" s="1263"/>
      <c r="I354" s="1263"/>
      <c r="J354" s="1263"/>
      <c r="K354" s="1263"/>
      <c r="L354" s="1263"/>
      <c r="M354" s="1263"/>
      <c r="N354" s="1263"/>
      <c r="O354" s="1263"/>
      <c r="P354" s="1263"/>
      <c r="Q354" s="1263"/>
      <c r="R354" s="1263"/>
      <c r="S354" s="1263"/>
      <c r="T354" s="1263"/>
      <c r="U354" s="1263"/>
      <c r="V354" s="1263"/>
      <c r="W354" s="1263"/>
      <c r="X354" s="1263"/>
      <c r="Y354" s="1263"/>
      <c r="Z354" s="1263"/>
      <c r="AA354" s="1263"/>
      <c r="AB354" s="1263"/>
      <c r="AC354" s="1263"/>
      <c r="AD354" s="1263"/>
      <c r="AE354" s="1263"/>
      <c r="AF354" s="1263"/>
      <c r="AG354" s="1263"/>
      <c r="AH354" s="1263"/>
      <c r="AI354" s="1263"/>
      <c r="AJ354" s="1263"/>
      <c r="AK354" s="1263"/>
    </row>
    <row r="355" spans="1:38">
      <c r="B355" s="2"/>
      <c r="F355" s="4"/>
      <c r="H355" s="4"/>
      <c r="I355" s="4"/>
      <c r="J355" s="4"/>
      <c r="K355" s="4"/>
      <c r="L355" s="4"/>
      <c r="M355" s="4"/>
      <c r="N355" s="4"/>
      <c r="O355" s="4"/>
      <c r="P355" s="4"/>
      <c r="Q355" s="4"/>
      <c r="R355" s="4"/>
      <c r="S355" s="4"/>
    </row>
    <row r="356" spans="1:38">
      <c r="A356" s="5"/>
      <c r="B356" s="11" t="s">
        <v>764</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35" customHeight="1">
      <c r="B358" s="2"/>
      <c r="C358" s="11" t="s">
        <v>1361</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35"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209</v>
      </c>
      <c r="E360" s="2" t="s">
        <v>123</v>
      </c>
      <c r="I360" s="4"/>
      <c r="J360" s="4"/>
      <c r="K360" s="4"/>
      <c r="L360" s="4"/>
      <c r="M360" s="4"/>
      <c r="N360" s="4"/>
      <c r="O360" s="4"/>
      <c r="P360" s="4"/>
      <c r="Q360" s="4"/>
      <c r="R360" s="4"/>
      <c r="S360" s="4"/>
    </row>
    <row r="361" spans="1:38">
      <c r="B361" s="2"/>
      <c r="E361" t="s">
        <v>113</v>
      </c>
      <c r="F361" s="4" t="s">
        <v>755</v>
      </c>
      <c r="I361" s="4"/>
      <c r="J361" s="4"/>
      <c r="K361" s="4"/>
      <c r="L361" s="4"/>
      <c r="M361" s="4"/>
      <c r="N361" s="4"/>
      <c r="O361" s="4"/>
      <c r="P361" s="4"/>
      <c r="Q361" s="4"/>
      <c r="R361" s="4"/>
      <c r="S361" s="4"/>
    </row>
    <row r="362" spans="1:38">
      <c r="B362" s="2"/>
      <c r="F362" s="4" t="s">
        <v>756</v>
      </c>
      <c r="I362" s="4"/>
      <c r="J362" s="4"/>
      <c r="K362" s="4"/>
      <c r="L362" s="4"/>
      <c r="M362" s="4"/>
      <c r="N362" s="4"/>
      <c r="O362" s="4"/>
      <c r="P362" s="4"/>
      <c r="Q362" s="4"/>
      <c r="R362" s="4"/>
      <c r="S362" s="4"/>
    </row>
    <row r="363" spans="1:38">
      <c r="B363" s="2"/>
      <c r="F363" s="4" t="s">
        <v>900</v>
      </c>
      <c r="G363" s="4"/>
      <c r="K363" s="4"/>
      <c r="L363" s="4"/>
      <c r="M363" s="4"/>
      <c r="N363" s="4"/>
      <c r="O363" s="4"/>
      <c r="P363" s="4"/>
      <c r="Q363" s="4"/>
      <c r="R363" s="4"/>
      <c r="S363" s="4"/>
    </row>
    <row r="364" spans="1:38">
      <c r="B364" s="2"/>
      <c r="E364" t="s">
        <v>114</v>
      </c>
      <c r="F364" s="4" t="s">
        <v>899</v>
      </c>
      <c r="I364" s="4"/>
      <c r="J364" s="4"/>
      <c r="K364" s="4"/>
      <c r="L364" s="4"/>
      <c r="M364" s="4"/>
      <c r="N364" s="4"/>
      <c r="O364" s="4"/>
      <c r="P364" s="4"/>
      <c r="Q364" s="4"/>
      <c r="R364" s="4"/>
      <c r="S364" s="4"/>
    </row>
    <row r="365" spans="1:38">
      <c r="B365" s="2"/>
      <c r="E365" t="s">
        <v>120</v>
      </c>
      <c r="F365" s="4" t="s">
        <v>757</v>
      </c>
      <c r="I365" s="4"/>
      <c r="J365" s="4"/>
      <c r="K365" s="4"/>
      <c r="L365" s="4"/>
      <c r="M365" s="4"/>
      <c r="N365" s="4"/>
      <c r="O365" s="4"/>
      <c r="P365" s="4"/>
      <c r="Q365" s="4"/>
      <c r="R365" s="4"/>
      <c r="S365" s="4"/>
    </row>
    <row r="366" spans="1:38">
      <c r="B366" s="2"/>
      <c r="F366" s="4" t="s">
        <v>758</v>
      </c>
      <c r="J366" s="4"/>
      <c r="K366" s="4"/>
      <c r="L366" s="4"/>
      <c r="M366" s="4"/>
      <c r="N366" s="4"/>
      <c r="O366" s="4"/>
      <c r="P366" s="4"/>
      <c r="Q366" s="4"/>
      <c r="R366" s="4"/>
      <c r="S366" s="4"/>
    </row>
    <row r="367" spans="1:38">
      <c r="B367" s="2"/>
      <c r="E367" s="1271" t="s">
        <v>1372</v>
      </c>
      <c r="F367" s="1271"/>
      <c r="G367" s="1271"/>
      <c r="H367" s="1271"/>
      <c r="I367" s="1271"/>
      <c r="J367" s="1271"/>
      <c r="K367" s="1271"/>
      <c r="L367" s="1271"/>
      <c r="M367" s="1271"/>
      <c r="N367" s="1271"/>
      <c r="O367" s="1271"/>
      <c r="P367" s="1271"/>
      <c r="Q367" s="1271"/>
      <c r="R367" s="1271"/>
      <c r="S367" s="1271"/>
      <c r="T367" s="1271"/>
      <c r="U367" s="1271"/>
      <c r="V367" s="1271"/>
      <c r="W367" s="1271"/>
      <c r="X367" s="1271"/>
      <c r="Y367" s="1271"/>
      <c r="Z367" s="1271"/>
      <c r="AA367" s="1271"/>
      <c r="AB367" s="1271"/>
      <c r="AC367" s="1271"/>
      <c r="AD367" s="1271"/>
      <c r="AE367" s="1271"/>
      <c r="AF367" s="1271"/>
      <c r="AG367" s="1271"/>
      <c r="AH367" s="1271"/>
      <c r="AI367" s="1271"/>
      <c r="AJ367" s="1271"/>
      <c r="AK367" s="1271"/>
      <c r="AL367" s="1271"/>
    </row>
    <row r="368" spans="1:38">
      <c r="B368" s="2"/>
      <c r="E368" s="1271"/>
      <c r="F368" s="1271"/>
      <c r="G368" s="1271"/>
      <c r="H368" s="1271"/>
      <c r="I368" s="1271"/>
      <c r="J368" s="1271"/>
      <c r="K368" s="1271"/>
      <c r="L368" s="1271"/>
      <c r="M368" s="1271"/>
      <c r="N368" s="1271"/>
      <c r="O368" s="1271"/>
      <c r="P368" s="1271"/>
      <c r="Q368" s="1271"/>
      <c r="R368" s="1271"/>
      <c r="S368" s="1271"/>
      <c r="T368" s="1271"/>
      <c r="U368" s="1271"/>
      <c r="V368" s="1271"/>
      <c r="W368" s="1271"/>
      <c r="X368" s="1271"/>
      <c r="Y368" s="1271"/>
      <c r="Z368" s="1271"/>
      <c r="AA368" s="1271"/>
      <c r="AB368" s="1271"/>
      <c r="AC368" s="1271"/>
      <c r="AD368" s="1271"/>
      <c r="AE368" s="1271"/>
      <c r="AF368" s="1271"/>
      <c r="AG368" s="1271"/>
      <c r="AH368" s="1271"/>
      <c r="AI368" s="1271"/>
      <c r="AJ368" s="1271"/>
      <c r="AK368" s="1271"/>
      <c r="AL368" s="1271"/>
    </row>
    <row r="369" spans="1:37" s="1272" customFormat="1">
      <c r="A369"/>
      <c r="B369" s="2"/>
      <c r="C369"/>
      <c r="D369"/>
      <c r="E369" s="1269" t="s">
        <v>1415</v>
      </c>
    </row>
    <row r="370" spans="1:37" s="1272"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343</v>
      </c>
      <c r="E372" s="2" t="s">
        <v>577</v>
      </c>
      <c r="J372" s="4"/>
      <c r="K372" s="4"/>
      <c r="L372" s="4"/>
      <c r="M372" s="4"/>
      <c r="N372" s="4"/>
      <c r="O372" s="4"/>
      <c r="P372" s="4"/>
      <c r="Q372" s="4"/>
      <c r="R372" s="4"/>
      <c r="S372" s="4"/>
    </row>
    <row r="373" spans="1:37">
      <c r="B373" s="2"/>
      <c r="E373" s="4" t="s">
        <v>759</v>
      </c>
      <c r="F373" s="4"/>
      <c r="G373" s="4"/>
      <c r="H373" s="4"/>
      <c r="I373" s="4"/>
      <c r="J373" s="4"/>
      <c r="K373" s="4"/>
      <c r="L373" s="4"/>
      <c r="M373" s="4"/>
      <c r="N373" s="4"/>
      <c r="O373" s="4"/>
      <c r="P373" s="4"/>
      <c r="Q373" s="4"/>
      <c r="R373" s="4"/>
      <c r="S373" s="4"/>
    </row>
    <row r="374" spans="1:37">
      <c r="B374" s="2"/>
      <c r="E374" s="4" t="s">
        <v>760</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284</v>
      </c>
      <c r="J376" s="4"/>
      <c r="K376" s="4"/>
      <c r="L376" s="4"/>
      <c r="M376" s="4"/>
      <c r="N376" s="4"/>
      <c r="O376" s="4"/>
      <c r="P376" s="4"/>
      <c r="Q376" s="4"/>
      <c r="R376" s="4"/>
      <c r="S376" s="4"/>
    </row>
    <row r="377" spans="1:37">
      <c r="B377" s="2"/>
      <c r="E377" s="4" t="s">
        <v>113</v>
      </c>
      <c r="F377" s="4" t="s">
        <v>253</v>
      </c>
      <c r="G377" s="4"/>
      <c r="I377" s="4"/>
      <c r="J377" s="4"/>
      <c r="K377" s="4"/>
      <c r="L377" s="4"/>
      <c r="M377" s="4"/>
      <c r="N377" s="4"/>
      <c r="O377" s="4"/>
      <c r="P377" s="4"/>
      <c r="Q377" s="4"/>
      <c r="R377" s="4"/>
      <c r="S377" s="4"/>
    </row>
    <row r="378" spans="1:37">
      <c r="B378" s="2"/>
      <c r="E378" s="4"/>
      <c r="F378" s="120" t="s">
        <v>1291</v>
      </c>
      <c r="G378" s="4"/>
      <c r="I378" s="120"/>
      <c r="J378" s="4"/>
      <c r="K378" s="4"/>
      <c r="L378" s="4"/>
      <c r="M378" s="4"/>
      <c r="N378" s="4"/>
      <c r="O378" s="4"/>
      <c r="P378" s="4"/>
      <c r="Q378" s="4"/>
      <c r="R378" s="4"/>
      <c r="S378" s="4"/>
    </row>
    <row r="379" spans="1:37">
      <c r="B379" s="2"/>
      <c r="E379" s="4" t="s">
        <v>114</v>
      </c>
      <c r="F379" s="4" t="s">
        <v>254</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1416</v>
      </c>
      <c r="J381" s="3"/>
      <c r="K381" s="3"/>
      <c r="L381" s="3"/>
      <c r="M381" s="3"/>
      <c r="N381" s="3"/>
      <c r="O381" s="3"/>
      <c r="P381" s="3"/>
      <c r="Q381" s="3"/>
      <c r="R381" s="3"/>
      <c r="S381" s="3"/>
    </row>
    <row r="382" spans="1:37">
      <c r="B382" s="2"/>
      <c r="D382" s="2"/>
      <c r="E382" s="3" t="s">
        <v>759</v>
      </c>
      <c r="F382" s="3"/>
      <c r="G382" s="3"/>
      <c r="J382" s="3"/>
      <c r="K382" s="3"/>
      <c r="L382" s="3"/>
      <c r="M382" s="3"/>
      <c r="N382" s="3"/>
      <c r="O382" s="3"/>
      <c r="P382" s="3"/>
      <c r="Q382" s="3"/>
      <c r="R382" s="3"/>
      <c r="S382" s="3"/>
    </row>
    <row r="383" spans="1:37">
      <c r="B383" s="2"/>
      <c r="D383" s="2"/>
      <c r="E383" s="3" t="s">
        <v>1294</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1417</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1291</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3" t="s">
        <v>1426</v>
      </c>
      <c r="G388" s="1263"/>
      <c r="H388" s="1263"/>
      <c r="I388" s="1263"/>
      <c r="J388" s="1263"/>
      <c r="K388" s="1263"/>
      <c r="L388" s="1263"/>
      <c r="M388" s="1263"/>
      <c r="N388" s="1263"/>
      <c r="O388" s="1263"/>
      <c r="P388" s="1263"/>
      <c r="Q388" s="1263"/>
      <c r="R388" s="1263"/>
      <c r="S388" s="1263"/>
      <c r="T388" s="1263"/>
      <c r="U388" s="1263"/>
      <c r="V388" s="1263"/>
      <c r="W388" s="1263"/>
      <c r="X388" s="1263"/>
      <c r="Y388" s="1263"/>
      <c r="Z388" s="1263"/>
      <c r="AA388" s="1263"/>
      <c r="AB388" s="1263"/>
      <c r="AC388" s="1263"/>
      <c r="AD388" s="1263"/>
      <c r="AE388" s="1263"/>
      <c r="AF388" s="1263"/>
      <c r="AG388" s="1263"/>
      <c r="AH388" s="1263"/>
      <c r="AI388" s="1263"/>
      <c r="AJ388" s="1263"/>
      <c r="AK388" s="1263"/>
    </row>
    <row r="389" spans="1:38">
      <c r="B389" s="2"/>
      <c r="E389" s="3"/>
      <c r="F389" s="1263"/>
      <c r="G389" s="1263"/>
      <c r="H389" s="1263"/>
      <c r="I389" s="1263"/>
      <c r="J389" s="1263"/>
      <c r="K389" s="1263"/>
      <c r="L389" s="1263"/>
      <c r="M389" s="1263"/>
      <c r="N389" s="1263"/>
      <c r="O389" s="1263"/>
      <c r="P389" s="1263"/>
      <c r="Q389" s="1263"/>
      <c r="R389" s="1263"/>
      <c r="S389" s="1263"/>
      <c r="T389" s="1263"/>
      <c r="U389" s="1263"/>
      <c r="V389" s="1263"/>
      <c r="W389" s="1263"/>
      <c r="X389" s="1263"/>
      <c r="Y389" s="1263"/>
      <c r="Z389" s="1263"/>
      <c r="AA389" s="1263"/>
      <c r="AB389" s="1263"/>
      <c r="AC389" s="1263"/>
      <c r="AD389" s="1263"/>
      <c r="AE389" s="1263"/>
      <c r="AF389" s="1263"/>
      <c r="AG389" s="1263"/>
      <c r="AH389" s="1263"/>
      <c r="AI389" s="1263"/>
      <c r="AJ389" s="1263"/>
      <c r="AK389" s="1263"/>
    </row>
    <row r="390" spans="1:38">
      <c r="B390" s="2"/>
      <c r="E390" s="3"/>
      <c r="F390" s="1263"/>
      <c r="G390" s="1263"/>
      <c r="H390" s="1263"/>
      <c r="I390" s="1263"/>
      <c r="J390" s="1263"/>
      <c r="K390" s="1263"/>
      <c r="L390" s="1263"/>
      <c r="M390" s="1263"/>
      <c r="N390" s="1263"/>
      <c r="O390" s="1263"/>
      <c r="P390" s="1263"/>
      <c r="Q390" s="1263"/>
      <c r="R390" s="1263"/>
      <c r="S390" s="1263"/>
      <c r="T390" s="1263"/>
      <c r="U390" s="1263"/>
      <c r="V390" s="1263"/>
      <c r="W390" s="1263"/>
      <c r="X390" s="1263"/>
      <c r="Y390" s="1263"/>
      <c r="Z390" s="1263"/>
      <c r="AA390" s="1263"/>
      <c r="AB390" s="1263"/>
      <c r="AC390" s="1263"/>
      <c r="AD390" s="1263"/>
      <c r="AE390" s="1263"/>
      <c r="AF390" s="1263"/>
      <c r="AG390" s="1263"/>
      <c r="AH390" s="1263"/>
      <c r="AI390" s="1263"/>
      <c r="AJ390" s="1263"/>
      <c r="AK390" s="1263"/>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431</v>
      </c>
      <c r="E392" s="2" t="s">
        <v>1432</v>
      </c>
      <c r="F392" s="3"/>
      <c r="G392" s="2"/>
      <c r="I392" s="120"/>
      <c r="J392" s="3"/>
      <c r="K392" s="3"/>
      <c r="L392" s="3"/>
      <c r="M392" s="3"/>
      <c r="N392" s="3"/>
      <c r="O392" s="3"/>
      <c r="P392" s="3"/>
      <c r="Q392" s="3"/>
      <c r="R392" s="3"/>
      <c r="S392" s="3"/>
    </row>
    <row r="393" spans="1:38" ht="13.35" customHeight="1">
      <c r="B393" s="2"/>
      <c r="D393" s="2"/>
      <c r="E393" s="3" t="s">
        <v>1431</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1294</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G8P9qZ4Fc6/dgNYzIWNAep8R98IAWkt8riLyT7EtYbW6jOGjNC5xdwtWED3Gq/XEvkGKostcBwP8CPCb49JhMA==" saltValue="JhNoEXyVRAJQei/5InSyP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AL13" sqref="AL13"/>
    </sheetView>
  </sheetViews>
  <sheetFormatPr defaultColWidth="2.5703125" defaultRowHeight="15.75" customHeight="1"/>
  <cols>
    <col min="1" max="37" width="2.5703125" style="1204"/>
    <col min="38" max="38" width="3" style="1204" customWidth="1"/>
    <col min="39" max="64" width="2.5703125" style="1204"/>
    <col min="65" max="65" width="10.42578125" style="1204" hidden="1" customWidth="1"/>
    <col min="66" max="70" width="5.42578125" style="1204" bestFit="1" customWidth="1"/>
    <col min="71" max="71" width="6.140625" style="1204" bestFit="1" customWidth="1"/>
    <col min="72" max="76" width="5.42578125" style="1204" bestFit="1" customWidth="1"/>
    <col min="77" max="77" width="6.140625" style="1204" bestFit="1" customWidth="1"/>
    <col min="78" max="78" width="5.42578125" style="1204" bestFit="1" customWidth="1"/>
    <col min="79" max="16384" width="2.5703125" style="1204"/>
  </cols>
  <sheetData>
    <row r="1" spans="1:65" ht="15.75" customHeight="1">
      <c r="A1" s="2165" t="s">
        <v>2513</v>
      </c>
      <c r="B1" s="2166"/>
      <c r="C1" s="2166"/>
      <c r="D1" s="2166"/>
      <c r="E1" s="2166"/>
      <c r="F1" s="2166"/>
      <c r="G1" s="2166"/>
      <c r="H1" s="2166"/>
      <c r="I1" s="2166"/>
      <c r="J1" s="2166"/>
      <c r="K1" s="2166"/>
      <c r="L1" s="2166"/>
      <c r="M1" s="2166"/>
      <c r="N1" s="2166"/>
      <c r="O1" s="2166"/>
      <c r="P1" s="2166"/>
      <c r="Q1" s="2166"/>
      <c r="R1" s="2166"/>
      <c r="S1" s="2166"/>
      <c r="T1" s="2166"/>
      <c r="U1" s="2166"/>
      <c r="V1" s="2166"/>
      <c r="W1" s="2166"/>
      <c r="X1" s="2166"/>
      <c r="Y1" s="2166"/>
      <c r="Z1" s="2166"/>
      <c r="AA1" s="2166"/>
      <c r="AB1" s="2166"/>
      <c r="AC1" s="2166"/>
      <c r="AD1" s="2166"/>
      <c r="AE1" s="2166"/>
      <c r="AF1" s="2166"/>
      <c r="AG1" s="2166"/>
      <c r="AH1" s="2166"/>
      <c r="AI1" s="2166"/>
      <c r="AJ1" s="2166"/>
      <c r="AK1" s="2166"/>
      <c r="AL1" s="2166"/>
      <c r="AM1" s="2166"/>
      <c r="AN1" s="2166"/>
      <c r="AO1" s="2166"/>
      <c r="AP1" s="2166"/>
      <c r="AQ1" s="2166"/>
      <c r="AR1" s="2166"/>
      <c r="AS1" s="2166"/>
      <c r="AT1" s="2166"/>
      <c r="AU1" s="2166"/>
      <c r="AV1" s="2166"/>
      <c r="AW1" s="2166"/>
      <c r="AX1" s="2166"/>
      <c r="AY1" s="2166"/>
      <c r="AZ1" s="2166"/>
      <c r="BA1" s="2166"/>
      <c r="BB1" s="2166"/>
      <c r="BC1" s="2166"/>
      <c r="BD1" s="2166"/>
      <c r="BE1" s="2167"/>
    </row>
    <row r="2" spans="1:65" ht="15.75" customHeight="1">
      <c r="A2" s="2168" t="s">
        <v>2561</v>
      </c>
      <c r="B2" s="2169"/>
      <c r="C2" s="2169"/>
      <c r="D2" s="2169"/>
      <c r="E2" s="2169"/>
      <c r="F2" s="2169"/>
      <c r="G2" s="2169"/>
      <c r="H2" s="2169"/>
      <c r="I2" s="2169"/>
      <c r="J2" s="2169"/>
      <c r="K2" s="2169"/>
      <c r="L2" s="2169"/>
      <c r="M2" s="2169"/>
      <c r="N2" s="2169"/>
      <c r="O2" s="2169"/>
      <c r="P2" s="2169"/>
      <c r="Q2" s="2169"/>
      <c r="R2" s="2169"/>
      <c r="S2" s="2169"/>
      <c r="T2" s="2169"/>
      <c r="U2" s="2169"/>
      <c r="V2" s="2169"/>
      <c r="W2" s="2169"/>
      <c r="X2" s="2169"/>
      <c r="Y2" s="2169"/>
      <c r="Z2" s="2169"/>
      <c r="AA2" s="2169"/>
      <c r="AB2" s="2169"/>
      <c r="AC2" s="2169"/>
      <c r="AD2" s="2169"/>
      <c r="AE2" s="2169"/>
      <c r="AF2" s="2169"/>
      <c r="AG2" s="2169"/>
      <c r="AH2" s="2169"/>
      <c r="AI2" s="2169"/>
      <c r="AJ2" s="2169"/>
      <c r="AK2" s="2169"/>
      <c r="AL2" s="2169"/>
      <c r="AM2" s="2169"/>
      <c r="AN2" s="2169"/>
      <c r="AO2" s="2169"/>
      <c r="AP2" s="2169"/>
      <c r="AQ2" s="2169"/>
      <c r="AR2" s="2169"/>
      <c r="AS2" s="2169"/>
      <c r="AT2" s="2169"/>
      <c r="AU2" s="2169"/>
      <c r="AV2" s="2169"/>
      <c r="AW2" s="2169"/>
      <c r="AX2" s="2169"/>
      <c r="AY2" s="2169"/>
      <c r="AZ2" s="2169"/>
      <c r="BA2" s="2169"/>
      <c r="BB2" s="2169"/>
      <c r="BC2" s="2169"/>
      <c r="BD2" s="2169"/>
      <c r="BE2" s="2170"/>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665</v>
      </c>
      <c r="C4" s="1209"/>
      <c r="D4" s="1209"/>
      <c r="E4" s="1209"/>
      <c r="F4" s="1209"/>
      <c r="G4" s="1207"/>
      <c r="H4" s="1207"/>
      <c r="I4" s="1207"/>
      <c r="J4" s="1207"/>
      <c r="K4" s="1207"/>
      <c r="L4" s="2157" t="str">
        <f>IF(Application!H18="","",Application!H18)</f>
        <v>Transbay Block 2 Family</v>
      </c>
      <c r="M4" s="2158"/>
      <c r="N4" s="2158"/>
      <c r="O4" s="2158"/>
      <c r="P4" s="2158"/>
      <c r="Q4" s="2158"/>
      <c r="R4" s="2158"/>
      <c r="S4" s="2158"/>
      <c r="T4" s="2158"/>
      <c r="U4" s="2158"/>
      <c r="V4" s="2158"/>
      <c r="W4" s="2158"/>
      <c r="X4" s="2158"/>
      <c r="Y4" s="2158"/>
      <c r="Z4" s="2158"/>
      <c r="AA4" s="2158"/>
      <c r="AB4" s="2158"/>
      <c r="AC4" s="2159"/>
      <c r="AD4" s="1207"/>
      <c r="AE4" s="1207"/>
      <c r="AF4" s="2171" t="s">
        <v>2562</v>
      </c>
      <c r="AG4" s="2171"/>
      <c r="AH4" s="2171"/>
      <c r="AI4" s="2171"/>
      <c r="AJ4" s="2171"/>
      <c r="AK4" s="2171"/>
      <c r="AL4" s="2171"/>
      <c r="AM4" s="2171"/>
      <c r="AN4" s="2171"/>
      <c r="AO4" s="2171"/>
      <c r="AP4" s="2172"/>
      <c r="AQ4" s="2173"/>
      <c r="AR4" s="2173"/>
      <c r="AS4" s="2173"/>
      <c r="AT4" s="2173"/>
      <c r="AU4" s="2173"/>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171" t="s">
        <v>2563</v>
      </c>
      <c r="AG5" s="2171"/>
      <c r="AH5" s="2171"/>
      <c r="AI5" s="2171"/>
      <c r="AJ5" s="2171"/>
      <c r="AK5" s="2171"/>
      <c r="AL5" s="2171"/>
      <c r="AM5" s="2171"/>
      <c r="AN5" s="2171"/>
      <c r="AO5" s="2171"/>
      <c r="AP5" s="2172"/>
      <c r="AQ5" s="2173"/>
      <c r="AR5" s="2173"/>
      <c r="AS5" s="2173"/>
      <c r="AT5" s="2173"/>
      <c r="AU5" s="2173"/>
      <c r="AV5" s="1207"/>
      <c r="AW5" s="1207"/>
      <c r="AX5" s="1207"/>
      <c r="AY5" s="1207"/>
      <c r="AZ5" s="1207"/>
      <c r="BA5" s="1207"/>
      <c r="BB5" s="1207"/>
      <c r="BC5" s="1207"/>
      <c r="BD5" s="1207"/>
      <c r="BE5" s="1208"/>
    </row>
    <row r="6" spans="1:65" ht="15.75" customHeight="1" thickBot="1">
      <c r="A6" s="1206"/>
      <c r="B6" s="1209" t="s">
        <v>1856</v>
      </c>
      <c r="C6" s="1207"/>
      <c r="D6" s="1207"/>
      <c r="E6" s="1207"/>
      <c r="F6" s="1207"/>
      <c r="G6" s="1207"/>
      <c r="H6" s="1207"/>
      <c r="I6" s="1207"/>
      <c r="J6" s="1207"/>
      <c r="K6" s="1207"/>
      <c r="L6" s="2157" t="str">
        <f>IF(Application!H16="","",Application!H16)</f>
        <v>Transbay 2 Family, L.P.</v>
      </c>
      <c r="M6" s="2158"/>
      <c r="N6" s="2158"/>
      <c r="O6" s="2158"/>
      <c r="P6" s="2158"/>
      <c r="Q6" s="2158"/>
      <c r="R6" s="2158"/>
      <c r="S6" s="2158"/>
      <c r="T6" s="2158"/>
      <c r="U6" s="2158"/>
      <c r="V6" s="2158"/>
      <c r="W6" s="2158"/>
      <c r="X6" s="2158"/>
      <c r="Y6" s="2158"/>
      <c r="Z6" s="2158"/>
      <c r="AA6" s="2158"/>
      <c r="AB6" s="2158"/>
      <c r="AC6" s="2159"/>
      <c r="AD6" s="1207"/>
      <c r="AE6" s="1207"/>
      <c r="AF6" s="2160" t="s">
        <v>2564</v>
      </c>
      <c r="AG6" s="2160"/>
      <c r="AH6" s="2160"/>
      <c r="AI6" s="2160"/>
      <c r="AJ6" s="2160"/>
      <c r="AK6" s="2160"/>
      <c r="AL6" s="2160"/>
      <c r="AM6" s="2160"/>
      <c r="AN6" s="2160"/>
      <c r="AO6" s="2160"/>
      <c r="AP6" s="2161">
        <v>0</v>
      </c>
      <c r="AQ6" s="2161"/>
      <c r="AR6" s="2161"/>
      <c r="AS6" s="2161"/>
      <c r="AT6" s="2161"/>
      <c r="AU6" s="2161"/>
      <c r="AV6" s="1207"/>
      <c r="AW6" s="1207"/>
      <c r="AX6" s="1207"/>
      <c r="AY6" s="1207"/>
      <c r="AZ6" s="1207"/>
      <c r="BA6" s="1207"/>
      <c r="BB6" s="1207"/>
      <c r="BC6" s="1207"/>
      <c r="BD6" s="1207"/>
      <c r="BE6" s="1208"/>
    </row>
    <row r="7" spans="1:6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160" t="s">
        <v>2565</v>
      </c>
      <c r="AG7" s="2160"/>
      <c r="AH7" s="2160"/>
      <c r="AI7" s="2160"/>
      <c r="AJ7" s="2160"/>
      <c r="AK7" s="2160"/>
      <c r="AL7" s="2160"/>
      <c r="AM7" s="2160"/>
      <c r="AN7" s="2160"/>
      <c r="AO7" s="2160"/>
      <c r="AP7" s="2161">
        <v>0</v>
      </c>
      <c r="AQ7" s="2161"/>
      <c r="AR7" s="2161"/>
      <c r="AS7" s="2161"/>
      <c r="AT7" s="2161"/>
      <c r="AU7" s="2161"/>
      <c r="AV7" s="1207"/>
      <c r="AW7" s="1207"/>
      <c r="AX7" s="1207"/>
      <c r="AY7" s="1207"/>
      <c r="AZ7" s="1207"/>
      <c r="BA7" s="1207"/>
      <c r="BB7" s="1207"/>
      <c r="BC7" s="1207"/>
      <c r="BD7" s="1207"/>
      <c r="BE7" s="1208"/>
    </row>
    <row r="8" spans="1:65" thickBot="1">
      <c r="A8" s="1206"/>
      <c r="B8" s="1209" t="s">
        <v>1857</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162" t="str">
        <f>Application!T196</f>
        <v>No</v>
      </c>
      <c r="AC8" s="2163"/>
      <c r="AD8" s="2164"/>
      <c r="AE8" s="1207"/>
      <c r="AF8" s="2160" t="s">
        <v>2566</v>
      </c>
      <c r="AG8" s="2160"/>
      <c r="AH8" s="2160"/>
      <c r="AI8" s="2160"/>
      <c r="AJ8" s="2160"/>
      <c r="AK8" s="2160"/>
      <c r="AL8" s="2160"/>
      <c r="AM8" s="2160"/>
      <c r="AN8" s="2160"/>
      <c r="AO8" s="2160"/>
      <c r="AP8" s="2161" t="s">
        <v>2518</v>
      </c>
      <c r="AQ8" s="2161"/>
      <c r="AR8" s="2161"/>
      <c r="AS8" s="2161"/>
      <c r="AT8" s="2161"/>
      <c r="AU8" s="2161"/>
      <c r="AV8" s="1207"/>
      <c r="AW8" s="1207"/>
      <c r="AX8" s="1207"/>
      <c r="AY8" s="1207"/>
      <c r="AZ8" s="1207"/>
      <c r="BA8" s="1207"/>
      <c r="BB8" s="1207"/>
      <c r="BC8" s="1207"/>
      <c r="BD8" s="1207"/>
      <c r="BE8" s="1208"/>
      <c r="BM8" s="1204" t="s">
        <v>2373</v>
      </c>
    </row>
    <row r="9" spans="1:65" ht="15">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2567</v>
      </c>
    </row>
    <row r="10" spans="1:65" ht="15">
      <c r="A10" s="1206"/>
      <c r="B10" s="1209" t="s">
        <v>1858</v>
      </c>
      <c r="C10" s="1209"/>
      <c r="D10" s="1209"/>
      <c r="E10" s="1209"/>
      <c r="F10" s="1209"/>
      <c r="G10" s="1209"/>
      <c r="H10" s="1209"/>
      <c r="I10" s="1209"/>
      <c r="J10" s="1209"/>
      <c r="K10" s="1209"/>
      <c r="L10" s="1209"/>
      <c r="M10" s="1207"/>
      <c r="N10" s="2188">
        <f>Application!AO623</f>
        <v>1840000</v>
      </c>
      <c r="O10" s="2188"/>
      <c r="P10" s="2188"/>
      <c r="Q10" s="2188"/>
      <c r="R10" s="2188"/>
      <c r="S10" s="2188"/>
      <c r="T10" s="2188"/>
      <c r="U10" s="1207"/>
      <c r="V10" s="1207"/>
      <c r="W10" s="1207"/>
      <c r="X10" s="2174" t="s">
        <v>2568</v>
      </c>
      <c r="Y10" s="2174"/>
      <c r="Z10" s="2174"/>
      <c r="AA10" s="2174"/>
      <c r="AB10" s="2174"/>
      <c r="AC10" s="2174"/>
      <c r="AD10" s="2174"/>
      <c r="AE10" s="2174"/>
      <c r="AF10" s="2174"/>
      <c r="AG10" s="2174"/>
      <c r="AH10" s="2174"/>
      <c r="AI10" s="2174"/>
      <c r="AJ10" s="2174"/>
      <c r="AK10" s="2174"/>
      <c r="AL10" s="2189">
        <f>Application!W471</f>
        <v>28</v>
      </c>
      <c r="AM10" s="2190"/>
      <c r="AN10" s="2190"/>
      <c r="AO10" s="2190"/>
      <c r="AP10" s="2190"/>
      <c r="AQ10" s="1210"/>
      <c r="AR10" s="1210"/>
      <c r="AS10" s="1210"/>
      <c r="AT10" s="1210"/>
      <c r="AU10" s="1210"/>
      <c r="AV10" s="1210"/>
      <c r="AW10" s="1210"/>
      <c r="AX10" s="1207"/>
      <c r="AY10" s="1207"/>
      <c r="AZ10" s="1207"/>
      <c r="BA10" s="1207"/>
      <c r="BB10" s="1207"/>
      <c r="BC10" s="1207"/>
      <c r="BD10" s="1207"/>
      <c r="BE10" s="1208"/>
      <c r="BM10" s="1204" t="s">
        <v>2569</v>
      </c>
    </row>
    <row r="11" spans="1:65" ht="15">
      <c r="A11" s="1206"/>
      <c r="B11" s="1209" t="s">
        <v>1859</v>
      </c>
      <c r="C11" s="1209"/>
      <c r="D11" s="1209"/>
      <c r="E11" s="1209"/>
      <c r="F11" s="1209"/>
      <c r="G11" s="1209"/>
      <c r="H11" s="1209"/>
      <c r="I11" s="1209"/>
      <c r="J11" s="1209"/>
      <c r="K11" s="1209"/>
      <c r="L11" s="1209"/>
      <c r="M11" s="1207"/>
      <c r="N11" s="2188">
        <f>Application!AA911</f>
        <v>0</v>
      </c>
      <c r="O11" s="2188"/>
      <c r="P11" s="2188"/>
      <c r="Q11" s="2188"/>
      <c r="R11" s="2188"/>
      <c r="S11" s="2188"/>
      <c r="T11" s="2188"/>
      <c r="U11" s="1207"/>
      <c r="V11" s="1207"/>
      <c r="W11" s="1207"/>
      <c r="X11" s="2191" t="s">
        <v>2570</v>
      </c>
      <c r="Y11" s="2191"/>
      <c r="Z11" s="2191"/>
      <c r="AA11" s="2191"/>
      <c r="AB11" s="2191"/>
      <c r="AC11" s="2191"/>
      <c r="AD11" s="2191"/>
      <c r="AE11" s="2191"/>
      <c r="AF11" s="2191"/>
      <c r="AG11" s="2191"/>
      <c r="AH11" s="2191"/>
      <c r="AI11" s="2191"/>
      <c r="AJ11" s="2191"/>
      <c r="AK11" s="2191"/>
      <c r="AL11" s="2175"/>
      <c r="AM11" s="2176"/>
      <c r="AN11" s="2176"/>
      <c r="AO11" s="2176"/>
      <c r="AP11" s="2176"/>
      <c r="AQ11" s="1211"/>
      <c r="AR11" s="1212"/>
      <c r="AS11" s="1210"/>
      <c r="AT11" s="1210"/>
      <c r="AU11" s="1210"/>
      <c r="AV11" s="1210"/>
      <c r="AW11" s="1210"/>
      <c r="AX11" s="1207"/>
      <c r="AY11" s="1207"/>
      <c r="AZ11" s="1207"/>
      <c r="BA11" s="1207"/>
      <c r="BB11" s="1207"/>
      <c r="BC11" s="1207"/>
      <c r="BD11" s="1207"/>
      <c r="BE11" s="1208"/>
      <c r="BM11" s="1204" t="s">
        <v>2518</v>
      </c>
    </row>
    <row r="12" spans="1:6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174" t="s">
        <v>2571</v>
      </c>
      <c r="Y12" s="2174"/>
      <c r="Z12" s="2174"/>
      <c r="AA12" s="2174"/>
      <c r="AB12" s="2174"/>
      <c r="AC12" s="2174"/>
      <c r="AD12" s="2174"/>
      <c r="AE12" s="2174"/>
      <c r="AF12" s="2174"/>
      <c r="AG12" s="2174"/>
      <c r="AH12" s="2174"/>
      <c r="AI12" s="2174"/>
      <c r="AJ12" s="2174"/>
      <c r="AK12" s="2174"/>
      <c r="AL12" s="2175"/>
      <c r="AM12" s="2176"/>
      <c r="AN12" s="2176"/>
      <c r="AO12" s="2176"/>
      <c r="AP12" s="2176"/>
      <c r="AQ12" s="1210"/>
      <c r="AR12" s="1210"/>
      <c r="AS12" s="1210"/>
      <c r="AT12" s="1210"/>
      <c r="AU12" s="1210"/>
      <c r="AV12" s="1207"/>
      <c r="AW12" s="1207"/>
      <c r="AX12" s="1207"/>
      <c r="AY12" s="1207"/>
      <c r="AZ12" s="1207"/>
      <c r="BA12" s="1207"/>
      <c r="BB12" s="1207"/>
      <c r="BC12" s="1207"/>
      <c r="BD12" s="1207"/>
      <c r="BE12" s="1213"/>
      <c r="BM12" s="1204" t="s">
        <v>2572</v>
      </c>
    </row>
    <row r="13" spans="1:65" thickBot="1">
      <c r="A13" s="1207"/>
      <c r="B13" s="2177" t="s">
        <v>1860</v>
      </c>
      <c r="C13" s="2178"/>
      <c r="D13" s="2178"/>
      <c r="E13" s="2178"/>
      <c r="F13" s="2178"/>
      <c r="G13" s="2178"/>
      <c r="H13" s="2178"/>
      <c r="I13" s="2178"/>
      <c r="J13" s="2178"/>
      <c r="K13" s="2178"/>
      <c r="L13" s="2178"/>
      <c r="M13" s="2178"/>
      <c r="N13" s="2178"/>
      <c r="O13" s="2178"/>
      <c r="P13" s="2179"/>
      <c r="Q13" s="2180" t="s">
        <v>678</v>
      </c>
      <c r="R13" s="2181"/>
      <c r="S13" s="2181"/>
      <c r="T13" s="2182"/>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2573</v>
      </c>
    </row>
    <row r="14" spans="1:6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thickBot="1">
      <c r="A15" s="1207"/>
      <c r="B15" s="2183" t="s">
        <v>1861</v>
      </c>
      <c r="C15" s="2184"/>
      <c r="D15" s="2184"/>
      <c r="E15" s="2184"/>
      <c r="F15" s="2184"/>
      <c r="G15" s="2184"/>
      <c r="H15" s="2184"/>
      <c r="I15" s="2184"/>
      <c r="J15" s="2184"/>
      <c r="K15" s="2184"/>
      <c r="L15" s="2184"/>
      <c r="M15" s="2184"/>
      <c r="N15" s="2184"/>
      <c r="O15" s="2184"/>
      <c r="P15" s="2184"/>
      <c r="Q15" s="2184"/>
      <c r="R15" s="2185"/>
      <c r="S15" s="2186" t="str">
        <f>IF(Application!AB214="","",Application!AB214)</f>
        <v/>
      </c>
      <c r="T15" s="2186"/>
      <c r="U15" s="2186"/>
      <c r="V15" s="2186"/>
      <c r="W15" s="2187"/>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5">
      <c r="A17" s="1207"/>
      <c r="B17" s="2192" t="s">
        <v>1862</v>
      </c>
      <c r="C17" s="2193"/>
      <c r="D17" s="2193"/>
      <c r="E17" s="2193"/>
      <c r="F17" s="2193"/>
      <c r="G17" s="2193"/>
      <c r="H17" s="2193"/>
      <c r="I17" s="2193"/>
      <c r="J17" s="2193"/>
      <c r="K17" s="2193"/>
      <c r="L17" s="2193"/>
      <c r="M17" s="2193"/>
      <c r="N17" s="2193"/>
      <c r="O17" s="2193"/>
      <c r="P17" s="2193"/>
      <c r="Q17" s="2193"/>
      <c r="R17" s="2193"/>
      <c r="S17" s="2193"/>
      <c r="T17" s="2193"/>
      <c r="U17" s="2193"/>
      <c r="V17" s="2193"/>
      <c r="W17" s="2193"/>
      <c r="X17" s="2193"/>
      <c r="Y17" s="2193"/>
      <c r="Z17" s="2193"/>
      <c r="AA17" s="2193"/>
      <c r="AB17" s="2193"/>
      <c r="AC17" s="2193"/>
      <c r="AD17" s="2193"/>
      <c r="AE17" s="2193"/>
      <c r="AF17" s="2193"/>
      <c r="AG17" s="2193"/>
      <c r="AH17" s="2193"/>
      <c r="AI17" s="2193"/>
      <c r="AJ17" s="2193"/>
      <c r="AK17" s="2193"/>
      <c r="AL17" s="2193"/>
      <c r="AM17" s="2193"/>
      <c r="AN17" s="2193"/>
      <c r="AO17" s="2193"/>
      <c r="AP17" s="2193"/>
      <c r="AQ17" s="2193"/>
      <c r="AR17" s="2193"/>
      <c r="AS17" s="2193"/>
      <c r="AT17" s="2193"/>
      <c r="AU17" s="2193"/>
      <c r="AV17" s="2193"/>
      <c r="AW17" s="2193"/>
      <c r="AX17" s="2193"/>
      <c r="AY17" s="2194"/>
      <c r="AZ17" s="1207"/>
      <c r="BA17" s="1207"/>
      <c r="BB17" s="1207"/>
      <c r="BC17" s="1207"/>
      <c r="BD17" s="1207"/>
      <c r="BE17" s="1213"/>
      <c r="BF17" s="1205"/>
    </row>
    <row r="18" spans="1:58" ht="15.75" customHeight="1">
      <c r="A18" s="1207"/>
      <c r="B18" s="2195" t="s">
        <v>1863</v>
      </c>
      <c r="C18" s="2196"/>
      <c r="D18" s="2196"/>
      <c r="E18" s="2196"/>
      <c r="F18" s="2196"/>
      <c r="G18" s="2196"/>
      <c r="H18" s="2196"/>
      <c r="I18" s="2197"/>
      <c r="J18" s="2198" t="s">
        <v>1762</v>
      </c>
      <c r="K18" s="2199"/>
      <c r="L18" s="2199"/>
      <c r="M18" s="2199"/>
      <c r="N18" s="2199"/>
      <c r="O18" s="2200"/>
      <c r="P18" s="2198" t="s">
        <v>326</v>
      </c>
      <c r="Q18" s="2199"/>
      <c r="R18" s="2199"/>
      <c r="S18" s="2199"/>
      <c r="T18" s="2199"/>
      <c r="U18" s="2200"/>
      <c r="V18" s="2198" t="s">
        <v>327</v>
      </c>
      <c r="W18" s="2199"/>
      <c r="X18" s="2199"/>
      <c r="Y18" s="2199"/>
      <c r="Z18" s="2199"/>
      <c r="AA18" s="2200"/>
      <c r="AB18" s="2198" t="s">
        <v>164</v>
      </c>
      <c r="AC18" s="2199"/>
      <c r="AD18" s="2199"/>
      <c r="AE18" s="2199"/>
      <c r="AF18" s="2199"/>
      <c r="AG18" s="2200"/>
      <c r="AH18" s="2198" t="s">
        <v>165</v>
      </c>
      <c r="AI18" s="2199"/>
      <c r="AJ18" s="2199"/>
      <c r="AK18" s="2199"/>
      <c r="AL18" s="2199"/>
      <c r="AM18" s="2200"/>
      <c r="AN18" s="2198" t="s">
        <v>166</v>
      </c>
      <c r="AO18" s="2199"/>
      <c r="AP18" s="2199"/>
      <c r="AQ18" s="2199"/>
      <c r="AR18" s="2199"/>
      <c r="AS18" s="2200"/>
      <c r="AT18" s="2198" t="s">
        <v>1864</v>
      </c>
      <c r="AU18" s="2199"/>
      <c r="AV18" s="2199"/>
      <c r="AW18" s="2199"/>
      <c r="AX18" s="2199"/>
      <c r="AY18" s="2201"/>
      <c r="AZ18" s="1207"/>
      <c r="BA18" s="1207"/>
      <c r="BB18" s="1207"/>
      <c r="BC18" s="1207"/>
      <c r="BD18" s="1207"/>
      <c r="BE18" s="1213"/>
    </row>
    <row r="19" spans="1:58" ht="15">
      <c r="A19" s="1207"/>
      <c r="B19" s="2208">
        <v>0.3</v>
      </c>
      <c r="C19" s="2209"/>
      <c r="D19" s="2209"/>
      <c r="E19" s="2209"/>
      <c r="F19" s="2209"/>
      <c r="G19" s="2209"/>
      <c r="H19" s="2209"/>
      <c r="I19" s="2210"/>
      <c r="J19" s="2202">
        <f>SUM(P19:AS19)</f>
        <v>19</v>
      </c>
      <c r="K19" s="2203"/>
      <c r="L19" s="2203"/>
      <c r="M19" s="2203"/>
      <c r="N19" s="2203"/>
      <c r="O19" s="2204"/>
      <c r="P19" s="2202" cm="1">
        <f t="array" ref="P19">SUMPRODUCT((Application!$B$714:$B$738 = 'CalHFA Addendum'!P$18)*(Application!$AC$714:$AC$738 = 'CalHFA Addendum'!$B19),Application!$G$714:$G$738)</f>
        <v>2</v>
      </c>
      <c r="Q19" s="2203"/>
      <c r="R19" s="2203"/>
      <c r="S19" s="2203"/>
      <c r="T19" s="2203"/>
      <c r="U19" s="2204"/>
      <c r="V19" s="2202" cm="1">
        <f t="array" ref="V19">SUMPRODUCT((Application!$B$714:$B$738 = 'CalHFA Addendum'!V$18)*(Application!$AC$714:$AC$738 = 'CalHFA Addendum'!$B19),Application!$G$714:$G$738)</f>
        <v>7</v>
      </c>
      <c r="W19" s="2203"/>
      <c r="X19" s="2203"/>
      <c r="Y19" s="2203"/>
      <c r="Z19" s="2203"/>
      <c r="AA19" s="2204"/>
      <c r="AB19" s="2202" cm="1">
        <f t="array" ref="AB19">SUMPRODUCT((Application!$B$714:$B$738 = 'CalHFA Addendum'!AB$18)*(Application!$AC$714:$AC$738 = 'CalHFA Addendum'!$B19),Application!$G$714:$G$738)</f>
        <v>6</v>
      </c>
      <c r="AC19" s="2203"/>
      <c r="AD19" s="2203"/>
      <c r="AE19" s="2203"/>
      <c r="AF19" s="2203"/>
      <c r="AG19" s="2204"/>
      <c r="AH19" s="2202" cm="1">
        <f t="array" ref="AH19">SUMPRODUCT((Application!$B$714:$B$738 = 'CalHFA Addendum'!AH$18)*(Application!$AC$714:$AC$738 = 'CalHFA Addendum'!$B19),Application!$G$714:$G$738)</f>
        <v>4</v>
      </c>
      <c r="AI19" s="2203"/>
      <c r="AJ19" s="2203"/>
      <c r="AK19" s="2203"/>
      <c r="AL19" s="2203"/>
      <c r="AM19" s="2204"/>
      <c r="AN19" s="2202" cm="1">
        <f t="array" ref="AN19">SUMPRODUCT((Application!$B$714:$B$738 = 'CalHFA Addendum'!AN$18)*(Application!$AC$714:$AC$738 = 'CalHFA Addendum'!$B19),Application!$G$714:$G$738)</f>
        <v>0</v>
      </c>
      <c r="AO19" s="2203"/>
      <c r="AP19" s="2203"/>
      <c r="AQ19" s="2203"/>
      <c r="AR19" s="2203"/>
      <c r="AS19" s="2204"/>
      <c r="AT19" s="2205">
        <f t="shared" ref="AT19:AT28" si="0">J19/$J$29</f>
        <v>0.125</v>
      </c>
      <c r="AU19" s="2206"/>
      <c r="AV19" s="2206"/>
      <c r="AW19" s="2206"/>
      <c r="AX19" s="2206"/>
      <c r="AY19" s="2207"/>
      <c r="AZ19" s="1214"/>
      <c r="BA19" s="1207"/>
      <c r="BB19" s="1207"/>
      <c r="BC19" s="1207"/>
      <c r="BD19" s="1207"/>
      <c r="BE19" s="1213"/>
    </row>
    <row r="20" spans="1:58" ht="15" customHeight="1">
      <c r="A20" s="1207"/>
      <c r="B20" s="2208">
        <v>0.4</v>
      </c>
      <c r="C20" s="2209"/>
      <c r="D20" s="2209"/>
      <c r="E20" s="2209"/>
      <c r="F20" s="2209"/>
      <c r="G20" s="2209"/>
      <c r="H20" s="2209"/>
      <c r="I20" s="2210"/>
      <c r="J20" s="2202">
        <f t="shared" ref="J20:J28" si="1">SUM(P20:AS20)</f>
        <v>0</v>
      </c>
      <c r="K20" s="2203"/>
      <c r="L20" s="2203"/>
      <c r="M20" s="2203"/>
      <c r="N20" s="2203"/>
      <c r="O20" s="2204"/>
      <c r="P20" s="2202" cm="1">
        <f t="array" ref="P20">SUMPRODUCT((Application!$B$714:$B$738 = 'CalHFA Addendum'!P$18)*(Application!$AC$714:$AC$738 = 'CalHFA Addendum'!$B20),Application!$G$714:$G$738)</f>
        <v>0</v>
      </c>
      <c r="Q20" s="2203"/>
      <c r="R20" s="2203"/>
      <c r="S20" s="2203"/>
      <c r="T20" s="2203"/>
      <c r="U20" s="2204"/>
      <c r="V20" s="2202" cm="1">
        <f t="array" ref="V20">SUMPRODUCT((Application!$B$714:$B$738 = 'CalHFA Addendum'!V$18)*(Application!$AC$714:$AC$738 = 'CalHFA Addendum'!$B20),Application!$G$714:$G$738)</f>
        <v>0</v>
      </c>
      <c r="W20" s="2203"/>
      <c r="X20" s="2203"/>
      <c r="Y20" s="2203"/>
      <c r="Z20" s="2203"/>
      <c r="AA20" s="2204"/>
      <c r="AB20" s="2202" cm="1">
        <f t="array" ref="AB20">SUMPRODUCT((Application!$B$714:$B$738 = 'CalHFA Addendum'!AB$18)*(Application!$AC$714:$AC$738 = 'CalHFA Addendum'!$B20),Application!$G$714:$G$738)</f>
        <v>0</v>
      </c>
      <c r="AC20" s="2203"/>
      <c r="AD20" s="2203"/>
      <c r="AE20" s="2203"/>
      <c r="AF20" s="2203"/>
      <c r="AG20" s="2204"/>
      <c r="AH20" s="2202" cm="1">
        <f t="array" ref="AH20">SUMPRODUCT((Application!$B$714:$B$738 = 'CalHFA Addendum'!AH$18)*(Application!$AC$714:$AC$738 = 'CalHFA Addendum'!$B20),Application!$G$714:$G$738)</f>
        <v>0</v>
      </c>
      <c r="AI20" s="2203"/>
      <c r="AJ20" s="2203"/>
      <c r="AK20" s="2203"/>
      <c r="AL20" s="2203"/>
      <c r="AM20" s="2204"/>
      <c r="AN20" s="2202" cm="1">
        <f t="array" ref="AN20">SUMPRODUCT((Application!$B$714:$B$738 = 'CalHFA Addendum'!AN$18)*(Application!$AC$714:$AC$738 = 'CalHFA Addendum'!$B20),Application!$G$714:$G$738)</f>
        <v>0</v>
      </c>
      <c r="AO20" s="2203"/>
      <c r="AP20" s="2203"/>
      <c r="AQ20" s="2203"/>
      <c r="AR20" s="2203"/>
      <c r="AS20" s="2204"/>
      <c r="AT20" s="2205">
        <f t="shared" si="0"/>
        <v>0</v>
      </c>
      <c r="AU20" s="2206"/>
      <c r="AV20" s="2206"/>
      <c r="AW20" s="2206"/>
      <c r="AX20" s="2206"/>
      <c r="AY20" s="2207"/>
      <c r="AZ20" s="1207"/>
      <c r="BA20" s="1207"/>
      <c r="BB20" s="1207"/>
      <c r="BC20" s="1207"/>
      <c r="BD20" s="1207"/>
      <c r="BE20" s="1213"/>
    </row>
    <row r="21" spans="1:58" ht="15">
      <c r="A21" s="1207"/>
      <c r="B21" s="2208">
        <v>0.5</v>
      </c>
      <c r="C21" s="2209"/>
      <c r="D21" s="2209"/>
      <c r="E21" s="2209"/>
      <c r="F21" s="2209"/>
      <c r="G21" s="2209"/>
      <c r="H21" s="2209"/>
      <c r="I21" s="2210"/>
      <c r="J21" s="2202">
        <f t="shared" si="1"/>
        <v>95</v>
      </c>
      <c r="K21" s="2203"/>
      <c r="L21" s="2203"/>
      <c r="M21" s="2203"/>
      <c r="N21" s="2203"/>
      <c r="O21" s="2204"/>
      <c r="P21" s="2202" cm="1">
        <f t="array" ref="P21">SUMPRODUCT((Application!$B$714:$B$738 = 'CalHFA Addendum'!P$18)*(Application!$AC$714:$AC$738 = 'CalHFA Addendum'!$B21),Application!$G$714:$G$738)</f>
        <v>15</v>
      </c>
      <c r="Q21" s="2203"/>
      <c r="R21" s="2203"/>
      <c r="S21" s="2203"/>
      <c r="T21" s="2203"/>
      <c r="U21" s="2204"/>
      <c r="V21" s="2202" cm="1">
        <f t="array" ref="V21">SUMPRODUCT((Application!$B$714:$B$738 = 'CalHFA Addendum'!V$18)*(Application!$AC$714:$AC$738 = 'CalHFA Addendum'!$B21),Application!$G$714:$G$738)</f>
        <v>39</v>
      </c>
      <c r="W21" s="2203"/>
      <c r="X21" s="2203"/>
      <c r="Y21" s="2203"/>
      <c r="Z21" s="2203"/>
      <c r="AA21" s="2204"/>
      <c r="AB21" s="2202" cm="1">
        <f t="array" ref="AB21">SUMPRODUCT((Application!$B$714:$B$738 = 'CalHFA Addendum'!AB$18)*(Application!$AC$714:$AC$738 = 'CalHFA Addendum'!$B21),Application!$G$714:$G$738)</f>
        <v>16</v>
      </c>
      <c r="AC21" s="2203"/>
      <c r="AD21" s="2203"/>
      <c r="AE21" s="2203"/>
      <c r="AF21" s="2203"/>
      <c r="AG21" s="2204"/>
      <c r="AH21" s="2202" cm="1">
        <f t="array" ref="AH21">SUMPRODUCT((Application!$B$714:$B$738 = 'CalHFA Addendum'!AH$18)*(Application!$AC$714:$AC$738 = 'CalHFA Addendum'!$B21),Application!$G$714:$G$738)</f>
        <v>25</v>
      </c>
      <c r="AI21" s="2203"/>
      <c r="AJ21" s="2203"/>
      <c r="AK21" s="2203"/>
      <c r="AL21" s="2203"/>
      <c r="AM21" s="2204"/>
      <c r="AN21" s="2202" cm="1">
        <f t="array" ref="AN21">SUMPRODUCT((Application!$B$714:$B$738 = 'CalHFA Addendum'!AN$18)*(Application!$AC$714:$AC$738 = 'CalHFA Addendum'!$B21),Application!$G$714:$G$738)</f>
        <v>0</v>
      </c>
      <c r="AO21" s="2203"/>
      <c r="AP21" s="2203"/>
      <c r="AQ21" s="2203"/>
      <c r="AR21" s="2203"/>
      <c r="AS21" s="2204"/>
      <c r="AT21" s="2205">
        <f t="shared" si="0"/>
        <v>0.625</v>
      </c>
      <c r="AU21" s="2206"/>
      <c r="AV21" s="2206"/>
      <c r="AW21" s="2206"/>
      <c r="AX21" s="2206"/>
      <c r="AY21" s="2207"/>
      <c r="AZ21" s="1207"/>
      <c r="BA21" s="1207"/>
      <c r="BB21" s="1207"/>
      <c r="BC21" s="1207"/>
      <c r="BD21" s="1207"/>
      <c r="BE21" s="1213"/>
    </row>
    <row r="22" spans="1:58" ht="15">
      <c r="A22" s="1207"/>
      <c r="B22" s="2208">
        <v>0.6</v>
      </c>
      <c r="C22" s="2209"/>
      <c r="D22" s="2209"/>
      <c r="E22" s="2209"/>
      <c r="F22" s="2209"/>
      <c r="G22" s="2209"/>
      <c r="H22" s="2209"/>
      <c r="I22" s="2210"/>
      <c r="J22" s="2202">
        <f t="shared" si="1"/>
        <v>36</v>
      </c>
      <c r="K22" s="2203"/>
      <c r="L22" s="2203"/>
      <c r="M22" s="2203"/>
      <c r="N22" s="2203"/>
      <c r="O22" s="2204"/>
      <c r="P22" s="2202" cm="1">
        <f t="array" ref="P22">SUMPRODUCT((Application!$B$714:$B$738 = 'CalHFA Addendum'!P$18)*(Application!$AC$714:$AC$738 = 'CalHFA Addendum'!$B22),Application!$G$714:$G$738)</f>
        <v>0</v>
      </c>
      <c r="Q22" s="2203"/>
      <c r="R22" s="2203"/>
      <c r="S22" s="2203"/>
      <c r="T22" s="2203"/>
      <c r="U22" s="2204"/>
      <c r="V22" s="2202" cm="1">
        <f t="array" ref="V22">SUMPRODUCT((Application!$B$714:$B$738 = 'CalHFA Addendum'!V$18)*(Application!$AC$714:$AC$738 = 'CalHFA Addendum'!$B22),Application!$G$714:$G$738)</f>
        <v>23</v>
      </c>
      <c r="W22" s="2203"/>
      <c r="X22" s="2203"/>
      <c r="Y22" s="2203"/>
      <c r="Z22" s="2203"/>
      <c r="AA22" s="2204"/>
      <c r="AB22" s="2202" cm="1">
        <f t="array" ref="AB22">SUMPRODUCT((Application!$B$714:$B$738 = 'CalHFA Addendum'!AB$18)*(Application!$AC$714:$AC$738 = 'CalHFA Addendum'!$B22),Application!$G$714:$G$738)</f>
        <v>13</v>
      </c>
      <c r="AC22" s="2203"/>
      <c r="AD22" s="2203"/>
      <c r="AE22" s="2203"/>
      <c r="AF22" s="2203"/>
      <c r="AG22" s="2204"/>
      <c r="AH22" s="2202" cm="1">
        <f t="array" ref="AH22">SUMPRODUCT((Application!$B$714:$B$738 = 'CalHFA Addendum'!AH$18)*(Application!$AC$714:$AC$738 = 'CalHFA Addendum'!$B22),Application!$G$714:$G$738)</f>
        <v>0</v>
      </c>
      <c r="AI22" s="2203"/>
      <c r="AJ22" s="2203"/>
      <c r="AK22" s="2203"/>
      <c r="AL22" s="2203"/>
      <c r="AM22" s="2204"/>
      <c r="AN22" s="2202" cm="1">
        <f t="array" ref="AN22">SUMPRODUCT((Application!$B$714:$B$738 = 'CalHFA Addendum'!AN$18)*(Application!$AC$714:$AC$738 = 'CalHFA Addendum'!$B22),Application!$G$714:$G$738)</f>
        <v>0</v>
      </c>
      <c r="AO22" s="2203"/>
      <c r="AP22" s="2203"/>
      <c r="AQ22" s="2203"/>
      <c r="AR22" s="2203"/>
      <c r="AS22" s="2204"/>
      <c r="AT22" s="2205">
        <f t="shared" si="0"/>
        <v>0.23684210526315788</v>
      </c>
      <c r="AU22" s="2206"/>
      <c r="AV22" s="2206"/>
      <c r="AW22" s="2206"/>
      <c r="AX22" s="2206"/>
      <c r="AY22" s="2207"/>
      <c r="AZ22" s="1207"/>
      <c r="BA22" s="1207"/>
      <c r="BB22" s="1207"/>
      <c r="BC22" s="1207"/>
      <c r="BD22" s="1207"/>
      <c r="BE22" s="1213"/>
    </row>
    <row r="23" spans="1:58" ht="15">
      <c r="A23" s="1207"/>
      <c r="B23" s="2208">
        <v>0.7</v>
      </c>
      <c r="C23" s="2209"/>
      <c r="D23" s="2209"/>
      <c r="E23" s="2209"/>
      <c r="F23" s="2209"/>
      <c r="G23" s="2209"/>
      <c r="H23" s="2209"/>
      <c r="I23" s="2210"/>
      <c r="J23" s="2202">
        <f t="shared" si="1"/>
        <v>0</v>
      </c>
      <c r="K23" s="2203"/>
      <c r="L23" s="2203"/>
      <c r="M23" s="2203"/>
      <c r="N23" s="2203"/>
      <c r="O23" s="2204"/>
      <c r="P23" s="2202" cm="1">
        <f t="array" ref="P23">SUMPRODUCT((Application!$B$714:$B$738 = 'CalHFA Addendum'!P$18)*(Application!$AC$714:$AC$738 = 'CalHFA Addendum'!$B23),Application!$G$714:$G$738)</f>
        <v>0</v>
      </c>
      <c r="Q23" s="2203"/>
      <c r="R23" s="2203"/>
      <c r="S23" s="2203"/>
      <c r="T23" s="2203"/>
      <c r="U23" s="2204"/>
      <c r="V23" s="2202" cm="1">
        <f t="array" ref="V23">SUMPRODUCT((Application!$B$714:$B$738 = 'CalHFA Addendum'!V$18)*(Application!$AC$714:$AC$738 = 'CalHFA Addendum'!$B23),Application!$G$714:$G$738)</f>
        <v>0</v>
      </c>
      <c r="W23" s="2203"/>
      <c r="X23" s="2203"/>
      <c r="Y23" s="2203"/>
      <c r="Z23" s="2203"/>
      <c r="AA23" s="2204"/>
      <c r="AB23" s="2202" cm="1">
        <f t="array" ref="AB23">SUMPRODUCT((Application!$B$714:$B$738 = 'CalHFA Addendum'!AB$18)*(Application!$AC$714:$AC$738 = 'CalHFA Addendum'!$B23),Application!$G$714:$G$738)</f>
        <v>0</v>
      </c>
      <c r="AC23" s="2203"/>
      <c r="AD23" s="2203"/>
      <c r="AE23" s="2203"/>
      <c r="AF23" s="2203"/>
      <c r="AG23" s="2204"/>
      <c r="AH23" s="2202" cm="1">
        <f t="array" ref="AH23">SUMPRODUCT((Application!$B$714:$B$738 = 'CalHFA Addendum'!AH$18)*(Application!$AC$714:$AC$738 = 'CalHFA Addendum'!$B23),Application!$G$714:$G$738)</f>
        <v>0</v>
      </c>
      <c r="AI23" s="2203"/>
      <c r="AJ23" s="2203"/>
      <c r="AK23" s="2203"/>
      <c r="AL23" s="2203"/>
      <c r="AM23" s="2204"/>
      <c r="AN23" s="2202" cm="1">
        <f t="array" ref="AN23">SUMPRODUCT((Application!$B$714:$B$738 = 'CalHFA Addendum'!AN$18)*(Application!$AC$714:$AC$738 = 'CalHFA Addendum'!$B23),Application!$G$714:$G$738)</f>
        <v>0</v>
      </c>
      <c r="AO23" s="2203"/>
      <c r="AP23" s="2203"/>
      <c r="AQ23" s="2203"/>
      <c r="AR23" s="2203"/>
      <c r="AS23" s="2204"/>
      <c r="AT23" s="2205">
        <f t="shared" si="0"/>
        <v>0</v>
      </c>
      <c r="AU23" s="2206"/>
      <c r="AV23" s="2206"/>
      <c r="AW23" s="2206"/>
      <c r="AX23" s="2206"/>
      <c r="AY23" s="2207"/>
      <c r="AZ23" s="1207"/>
      <c r="BA23" s="1207"/>
      <c r="BB23" s="1207"/>
      <c r="BC23" s="1207"/>
      <c r="BD23" s="1207"/>
      <c r="BE23" s="1213"/>
    </row>
    <row r="24" spans="1:58" ht="15">
      <c r="A24" s="1207"/>
      <c r="B24" s="2208">
        <v>0.8</v>
      </c>
      <c r="C24" s="2209"/>
      <c r="D24" s="2209"/>
      <c r="E24" s="2209"/>
      <c r="F24" s="2209"/>
      <c r="G24" s="2209"/>
      <c r="H24" s="2209"/>
      <c r="I24" s="2210"/>
      <c r="J24" s="2202">
        <f t="shared" si="1"/>
        <v>0</v>
      </c>
      <c r="K24" s="2203"/>
      <c r="L24" s="2203"/>
      <c r="M24" s="2203"/>
      <c r="N24" s="2203"/>
      <c r="O24" s="2204"/>
      <c r="P24" s="2202" cm="1">
        <f t="array" ref="P24">SUMPRODUCT((Application!$B$714:$B$738 = 'CalHFA Addendum'!P$18)*(Application!$AC$714:$AC$738 = 'CalHFA Addendum'!$B24),Application!$G$714:$G$738)</f>
        <v>0</v>
      </c>
      <c r="Q24" s="2203"/>
      <c r="R24" s="2203"/>
      <c r="S24" s="2203"/>
      <c r="T24" s="2203"/>
      <c r="U24" s="2204"/>
      <c r="V24" s="2202" cm="1">
        <f t="array" ref="V24">SUMPRODUCT((Application!$B$714:$B$738 = 'CalHFA Addendum'!V$18)*(Application!$AC$714:$AC$738 = 'CalHFA Addendum'!$B24),Application!$G$714:$G$738)</f>
        <v>0</v>
      </c>
      <c r="W24" s="2203"/>
      <c r="X24" s="2203"/>
      <c r="Y24" s="2203"/>
      <c r="Z24" s="2203"/>
      <c r="AA24" s="2204"/>
      <c r="AB24" s="2202" cm="1">
        <f t="array" ref="AB24">SUMPRODUCT((Application!$B$714:$B$738 = 'CalHFA Addendum'!AB$18)*(Application!$AC$714:$AC$738 = 'CalHFA Addendum'!$B24),Application!$G$714:$G$738)</f>
        <v>0</v>
      </c>
      <c r="AC24" s="2203"/>
      <c r="AD24" s="2203"/>
      <c r="AE24" s="2203"/>
      <c r="AF24" s="2203"/>
      <c r="AG24" s="2204"/>
      <c r="AH24" s="2202" cm="1">
        <f t="array" ref="AH24">SUMPRODUCT((Application!$B$714:$B$738 = 'CalHFA Addendum'!AH$18)*(Application!$AC$714:$AC$738 = 'CalHFA Addendum'!$B24),Application!$G$714:$G$738)</f>
        <v>0</v>
      </c>
      <c r="AI24" s="2203"/>
      <c r="AJ24" s="2203"/>
      <c r="AK24" s="2203"/>
      <c r="AL24" s="2203"/>
      <c r="AM24" s="2204"/>
      <c r="AN24" s="2202" cm="1">
        <f t="array" ref="AN24">SUMPRODUCT((Application!$B$714:$B$738 = 'CalHFA Addendum'!AN$18)*(Application!$AC$714:$AC$738 = 'CalHFA Addendum'!$B24),Application!$G$714:$G$738)</f>
        <v>0</v>
      </c>
      <c r="AO24" s="2203"/>
      <c r="AP24" s="2203"/>
      <c r="AQ24" s="2203"/>
      <c r="AR24" s="2203"/>
      <c r="AS24" s="2204"/>
      <c r="AT24" s="2205">
        <f t="shared" si="0"/>
        <v>0</v>
      </c>
      <c r="AU24" s="2206"/>
      <c r="AV24" s="2206"/>
      <c r="AW24" s="2206"/>
      <c r="AX24" s="2206"/>
      <c r="AY24" s="2207"/>
      <c r="AZ24" s="1207"/>
      <c r="BA24" s="1207"/>
      <c r="BB24" s="1207"/>
      <c r="BC24" s="1207"/>
      <c r="BD24" s="1207"/>
      <c r="BE24" s="1213"/>
    </row>
    <row r="25" spans="1:58" ht="15">
      <c r="A25" s="1207"/>
      <c r="B25" s="2208">
        <v>0.9</v>
      </c>
      <c r="C25" s="2209"/>
      <c r="D25" s="2209"/>
      <c r="E25" s="2209"/>
      <c r="F25" s="2209"/>
      <c r="G25" s="2209"/>
      <c r="H25" s="2209"/>
      <c r="I25" s="2210"/>
      <c r="J25" s="2202">
        <f t="shared" si="1"/>
        <v>0</v>
      </c>
      <c r="K25" s="2203"/>
      <c r="L25" s="2203"/>
      <c r="M25" s="2203"/>
      <c r="N25" s="2203"/>
      <c r="O25" s="2204"/>
      <c r="P25" s="2202" cm="1">
        <f t="array" ref="P25">SUMPRODUCT((Application!$B$714:$B$738 = 'CalHFA Addendum'!P$18)*(Application!$AC$714:$AC$738 = 'CalHFA Addendum'!$B25),Application!$G$714:$G$738)</f>
        <v>0</v>
      </c>
      <c r="Q25" s="2203"/>
      <c r="R25" s="2203"/>
      <c r="S25" s="2203"/>
      <c r="T25" s="2203"/>
      <c r="U25" s="2204"/>
      <c r="V25" s="2202" cm="1">
        <f t="array" ref="V25">SUMPRODUCT((Application!$B$714:$B$738 = 'CalHFA Addendum'!V$18)*(Application!$AC$714:$AC$738 = 'CalHFA Addendum'!$B25),Application!$G$714:$G$738)</f>
        <v>0</v>
      </c>
      <c r="W25" s="2203"/>
      <c r="X25" s="2203"/>
      <c r="Y25" s="2203"/>
      <c r="Z25" s="2203"/>
      <c r="AA25" s="2204"/>
      <c r="AB25" s="2202" cm="1">
        <f t="array" ref="AB25">SUMPRODUCT((Application!$B$714:$B$738 = 'CalHFA Addendum'!AB$18)*(Application!$AC$714:$AC$738 = 'CalHFA Addendum'!$B25),Application!$G$714:$G$738)</f>
        <v>0</v>
      </c>
      <c r="AC25" s="2203"/>
      <c r="AD25" s="2203"/>
      <c r="AE25" s="2203"/>
      <c r="AF25" s="2203"/>
      <c r="AG25" s="2204"/>
      <c r="AH25" s="2202" cm="1">
        <f t="array" ref="AH25">SUMPRODUCT((Application!$B$714:$B$738 = 'CalHFA Addendum'!AH$18)*(Application!$AC$714:$AC$738 = 'CalHFA Addendum'!$B25),Application!$G$714:$G$738)</f>
        <v>0</v>
      </c>
      <c r="AI25" s="2203"/>
      <c r="AJ25" s="2203"/>
      <c r="AK25" s="2203"/>
      <c r="AL25" s="2203"/>
      <c r="AM25" s="2204"/>
      <c r="AN25" s="2202" cm="1">
        <f t="array" ref="AN25">SUMPRODUCT((Application!$B$714:$B$738 = 'CalHFA Addendum'!AN$18)*(Application!$AC$714:$AC$738 = 'CalHFA Addendum'!$B25),Application!$G$714:$G$738)</f>
        <v>0</v>
      </c>
      <c r="AO25" s="2203"/>
      <c r="AP25" s="2203"/>
      <c r="AQ25" s="2203"/>
      <c r="AR25" s="2203"/>
      <c r="AS25" s="2204"/>
      <c r="AT25" s="2205">
        <f t="shared" si="0"/>
        <v>0</v>
      </c>
      <c r="AU25" s="2206"/>
      <c r="AV25" s="2206"/>
      <c r="AW25" s="2206"/>
      <c r="AX25" s="2206"/>
      <c r="AY25" s="2207"/>
      <c r="AZ25" s="1207"/>
      <c r="BA25" s="1207"/>
      <c r="BB25" s="1207"/>
      <c r="BC25" s="1207"/>
      <c r="BD25" s="1207"/>
      <c r="BE25" s="1213"/>
    </row>
    <row r="26" spans="1:58" ht="15">
      <c r="A26" s="1207"/>
      <c r="B26" s="2208">
        <v>1</v>
      </c>
      <c r="C26" s="2209"/>
      <c r="D26" s="2209"/>
      <c r="E26" s="2209"/>
      <c r="F26" s="2209"/>
      <c r="G26" s="2209"/>
      <c r="H26" s="2209"/>
      <c r="I26" s="2210"/>
      <c r="J26" s="2202">
        <f t="shared" si="1"/>
        <v>0</v>
      </c>
      <c r="K26" s="2203"/>
      <c r="L26" s="2203"/>
      <c r="M26" s="2203"/>
      <c r="N26" s="2203"/>
      <c r="O26" s="2204"/>
      <c r="P26" s="2202" cm="1">
        <f t="array" ref="P26">SUMPRODUCT((Application!$B$714:$B$738 = 'CalHFA Addendum'!P$18)*(Application!$AC$714:$AC$738 = 'CalHFA Addendum'!$B26),Application!$G$714:$G$738)</f>
        <v>0</v>
      </c>
      <c r="Q26" s="2203"/>
      <c r="R26" s="2203"/>
      <c r="S26" s="2203"/>
      <c r="T26" s="2203"/>
      <c r="U26" s="2204"/>
      <c r="V26" s="2202" cm="1">
        <f t="array" ref="V26">SUMPRODUCT((Application!$B$714:$B$738 = 'CalHFA Addendum'!V$18)*(Application!$AC$714:$AC$738 = 'CalHFA Addendum'!$B26),Application!$G$714:$G$738)</f>
        <v>0</v>
      </c>
      <c r="W26" s="2203"/>
      <c r="X26" s="2203"/>
      <c r="Y26" s="2203"/>
      <c r="Z26" s="2203"/>
      <c r="AA26" s="2204"/>
      <c r="AB26" s="2202" cm="1">
        <f t="array" ref="AB26">SUMPRODUCT((Application!$B$714:$B$738 = 'CalHFA Addendum'!AB$18)*(Application!$AC$714:$AC$738 = 'CalHFA Addendum'!$B26),Application!$G$714:$G$738)</f>
        <v>0</v>
      </c>
      <c r="AC26" s="2203"/>
      <c r="AD26" s="2203"/>
      <c r="AE26" s="2203"/>
      <c r="AF26" s="2203"/>
      <c r="AG26" s="2204"/>
      <c r="AH26" s="2202" cm="1">
        <f t="array" ref="AH26">SUMPRODUCT((Application!$B$714:$B$738 = 'CalHFA Addendum'!AH$18)*(Application!$AC$714:$AC$738 = 'CalHFA Addendum'!$B26),Application!$G$714:$G$738)</f>
        <v>0</v>
      </c>
      <c r="AI26" s="2203"/>
      <c r="AJ26" s="2203"/>
      <c r="AK26" s="2203"/>
      <c r="AL26" s="2203"/>
      <c r="AM26" s="2204"/>
      <c r="AN26" s="2202" cm="1">
        <f t="array" ref="AN26">SUMPRODUCT((Application!$B$714:$B$738 = 'CalHFA Addendum'!AN$18)*(Application!$AC$714:$AC$738 = 'CalHFA Addendum'!$B26),Application!$G$714:$G$738)</f>
        <v>0</v>
      </c>
      <c r="AO26" s="2203"/>
      <c r="AP26" s="2203"/>
      <c r="AQ26" s="2203"/>
      <c r="AR26" s="2203"/>
      <c r="AS26" s="2204"/>
      <c r="AT26" s="2205">
        <f t="shared" si="0"/>
        <v>0</v>
      </c>
      <c r="AU26" s="2206"/>
      <c r="AV26" s="2206"/>
      <c r="AW26" s="2206"/>
      <c r="AX26" s="2206"/>
      <c r="AY26" s="2207"/>
      <c r="AZ26" s="1207"/>
      <c r="BA26" s="1207"/>
      <c r="BB26" s="1207"/>
      <c r="BC26" s="1207"/>
      <c r="BD26" s="1207"/>
      <c r="BE26" s="1213"/>
    </row>
    <row r="27" spans="1:58" ht="15">
      <c r="A27" s="1207"/>
      <c r="B27" s="2208">
        <v>1.1000000000000001</v>
      </c>
      <c r="C27" s="2209"/>
      <c r="D27" s="2209"/>
      <c r="E27" s="2209"/>
      <c r="F27" s="2209"/>
      <c r="G27" s="2209"/>
      <c r="H27" s="2209"/>
      <c r="I27" s="2210"/>
      <c r="J27" s="2202">
        <f t="shared" si="1"/>
        <v>0</v>
      </c>
      <c r="K27" s="2203"/>
      <c r="L27" s="2203"/>
      <c r="M27" s="2203"/>
      <c r="N27" s="2203"/>
      <c r="O27" s="2204"/>
      <c r="P27" s="2202" cm="1">
        <f t="array" ref="P27">SUMPRODUCT((Application!$B$714:$B$738 = 'CalHFA Addendum'!P$18)*(Application!$AC$714:$AC$738 = 'CalHFA Addendum'!$B27),Application!$G$714:$G$738)</f>
        <v>0</v>
      </c>
      <c r="Q27" s="2203"/>
      <c r="R27" s="2203"/>
      <c r="S27" s="2203"/>
      <c r="T27" s="2203"/>
      <c r="U27" s="2204"/>
      <c r="V27" s="2202" cm="1">
        <f t="array" ref="V27">SUMPRODUCT((Application!$B$714:$B$738 = 'CalHFA Addendum'!V$18)*(Application!$AC$714:$AC$738 = 'CalHFA Addendum'!$B27),Application!$G$714:$G$738)</f>
        <v>0</v>
      </c>
      <c r="W27" s="2203"/>
      <c r="X27" s="2203"/>
      <c r="Y27" s="2203"/>
      <c r="Z27" s="2203"/>
      <c r="AA27" s="2204"/>
      <c r="AB27" s="2202" cm="1">
        <f t="array" ref="AB27">SUMPRODUCT((Application!$B$714:$B$738 = 'CalHFA Addendum'!AB$18)*(Application!$AC$714:$AC$738 = 'CalHFA Addendum'!$B27),Application!$G$714:$G$738)</f>
        <v>0</v>
      </c>
      <c r="AC27" s="2203"/>
      <c r="AD27" s="2203"/>
      <c r="AE27" s="2203"/>
      <c r="AF27" s="2203"/>
      <c r="AG27" s="2204"/>
      <c r="AH27" s="2202" cm="1">
        <f t="array" ref="AH27">SUMPRODUCT((Application!$B$714:$B$738 = 'CalHFA Addendum'!AH$18)*(Application!$AC$714:$AC$738 = 'CalHFA Addendum'!$B27),Application!$G$714:$G$738)</f>
        <v>0</v>
      </c>
      <c r="AI27" s="2203"/>
      <c r="AJ27" s="2203"/>
      <c r="AK27" s="2203"/>
      <c r="AL27" s="2203"/>
      <c r="AM27" s="2204"/>
      <c r="AN27" s="2202" cm="1">
        <f t="array" ref="AN27">SUMPRODUCT((Application!$B$714:$B$738 = 'CalHFA Addendum'!AN$18)*(Application!$AC$714:$AC$738 = 'CalHFA Addendum'!$B27),Application!$G$714:$G$738)</f>
        <v>0</v>
      </c>
      <c r="AO27" s="2203"/>
      <c r="AP27" s="2203"/>
      <c r="AQ27" s="2203"/>
      <c r="AR27" s="2203"/>
      <c r="AS27" s="2204"/>
      <c r="AT27" s="2205">
        <f t="shared" si="0"/>
        <v>0</v>
      </c>
      <c r="AU27" s="2206"/>
      <c r="AV27" s="2206"/>
      <c r="AW27" s="2206"/>
      <c r="AX27" s="2206"/>
      <c r="AY27" s="2207"/>
      <c r="AZ27" s="1207"/>
      <c r="BA27" s="1207"/>
      <c r="BB27" s="1207"/>
      <c r="BC27" s="1207"/>
      <c r="BD27" s="1207"/>
      <c r="BE27" s="1213"/>
    </row>
    <row r="28" spans="1:58" thickBot="1">
      <c r="A28" s="1207"/>
      <c r="B28" s="2211" t="s">
        <v>1865</v>
      </c>
      <c r="C28" s="2212"/>
      <c r="D28" s="2212"/>
      <c r="E28" s="2212"/>
      <c r="F28" s="2212"/>
      <c r="G28" s="2212"/>
      <c r="H28" s="2212"/>
      <c r="I28" s="2213"/>
      <c r="J28" s="2214">
        <f t="shared" si="1"/>
        <v>2</v>
      </c>
      <c r="K28" s="2215"/>
      <c r="L28" s="2215"/>
      <c r="M28" s="2215"/>
      <c r="N28" s="2215"/>
      <c r="O28" s="2216"/>
      <c r="P28" s="2214">
        <f>_xlfn.IFNA(VLOOKUP(P$18,Application!$J$758:$S$761,6,FALSE), 0)</f>
        <v>0</v>
      </c>
      <c r="Q28" s="2215"/>
      <c r="R28" s="2215"/>
      <c r="S28" s="2215"/>
      <c r="T28" s="2215"/>
      <c r="U28" s="2216"/>
      <c r="V28" s="2214">
        <f>_xlfn.IFNA(VLOOKUP(V$18,Application!$J$758:$S$761,6,FALSE), 0)</f>
        <v>1</v>
      </c>
      <c r="W28" s="2215"/>
      <c r="X28" s="2215"/>
      <c r="Y28" s="2215"/>
      <c r="Z28" s="2215"/>
      <c r="AA28" s="2216"/>
      <c r="AB28" s="2214">
        <f>_xlfn.IFNA(VLOOKUP(AB$18,Application!$J$758:$S$761,6,FALSE), 0)</f>
        <v>1</v>
      </c>
      <c r="AC28" s="2215"/>
      <c r="AD28" s="2215"/>
      <c r="AE28" s="2215"/>
      <c r="AF28" s="2215"/>
      <c r="AG28" s="2216"/>
      <c r="AH28" s="2214">
        <f>_xlfn.IFNA(VLOOKUP(AH$18,Application!$J$758:$S$761,6,FALSE), 0)</f>
        <v>0</v>
      </c>
      <c r="AI28" s="2215"/>
      <c r="AJ28" s="2215"/>
      <c r="AK28" s="2215"/>
      <c r="AL28" s="2215"/>
      <c r="AM28" s="2216"/>
      <c r="AN28" s="2214">
        <f>_xlfn.IFNA(VLOOKUP(AN$18,Application!$J$758:$S$761,6,FALSE), 0)</f>
        <v>0</v>
      </c>
      <c r="AO28" s="2215"/>
      <c r="AP28" s="2215"/>
      <c r="AQ28" s="2215"/>
      <c r="AR28" s="2215"/>
      <c r="AS28" s="2216"/>
      <c r="AT28" s="2217">
        <f t="shared" si="0"/>
        <v>1.3157894736842105E-2</v>
      </c>
      <c r="AU28" s="2218"/>
      <c r="AV28" s="2218"/>
      <c r="AW28" s="2218"/>
      <c r="AX28" s="2218"/>
      <c r="AY28" s="2219"/>
      <c r="AZ28" s="1207"/>
      <c r="BA28" s="1207"/>
      <c r="BB28" s="1207"/>
      <c r="BC28" s="1207"/>
      <c r="BD28" s="1207"/>
      <c r="BE28" s="1213"/>
    </row>
    <row r="29" spans="1:58" thickBot="1">
      <c r="A29" s="1207"/>
      <c r="B29" s="2242" t="s">
        <v>1762</v>
      </c>
      <c r="C29" s="2225"/>
      <c r="D29" s="2225"/>
      <c r="E29" s="2225"/>
      <c r="F29" s="2225"/>
      <c r="G29" s="2225"/>
      <c r="H29" s="2225"/>
      <c r="I29" s="2226"/>
      <c r="J29" s="2224">
        <f>SUM(J19:O28)</f>
        <v>152</v>
      </c>
      <c r="K29" s="2225"/>
      <c r="L29" s="2225"/>
      <c r="M29" s="2225"/>
      <c r="N29" s="2225"/>
      <c r="O29" s="2226"/>
      <c r="P29" s="2224">
        <f>SUM(P19:U28)</f>
        <v>17</v>
      </c>
      <c r="Q29" s="2225"/>
      <c r="R29" s="2225"/>
      <c r="S29" s="2225"/>
      <c r="T29" s="2225"/>
      <c r="U29" s="2226"/>
      <c r="V29" s="2224">
        <f>SUM(V19:AA28)</f>
        <v>70</v>
      </c>
      <c r="W29" s="2225"/>
      <c r="X29" s="2225"/>
      <c r="Y29" s="2225"/>
      <c r="Z29" s="2225"/>
      <c r="AA29" s="2226"/>
      <c r="AB29" s="2224">
        <f>SUM(AB19:AG28)</f>
        <v>36</v>
      </c>
      <c r="AC29" s="2225"/>
      <c r="AD29" s="2225"/>
      <c r="AE29" s="2225"/>
      <c r="AF29" s="2225"/>
      <c r="AG29" s="2226"/>
      <c r="AH29" s="2224">
        <f>SUM(AH19:AM28)</f>
        <v>29</v>
      </c>
      <c r="AI29" s="2225"/>
      <c r="AJ29" s="2225"/>
      <c r="AK29" s="2225"/>
      <c r="AL29" s="2225"/>
      <c r="AM29" s="2226"/>
      <c r="AN29" s="2224">
        <f>SUM(AN19:AS28)</f>
        <v>0</v>
      </c>
      <c r="AO29" s="2225"/>
      <c r="AP29" s="2225"/>
      <c r="AQ29" s="2225"/>
      <c r="AR29" s="2225"/>
      <c r="AS29" s="2226"/>
      <c r="AT29" s="2227">
        <f>J29/$J$29</f>
        <v>1</v>
      </c>
      <c r="AU29" s="2228"/>
      <c r="AV29" s="2228"/>
      <c r="AW29" s="2228"/>
      <c r="AX29" s="2228"/>
      <c r="AY29" s="2229"/>
      <c r="AZ29" s="1207"/>
      <c r="BA29" s="1207"/>
      <c r="BB29" s="1207"/>
      <c r="BC29" s="1207"/>
      <c r="BD29" s="1207"/>
      <c r="BE29" s="1213"/>
    </row>
    <row r="30" spans="1:58"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5">
      <c r="A31" s="1207"/>
      <c r="B31" s="2230" t="s">
        <v>1866</v>
      </c>
      <c r="C31" s="2231"/>
      <c r="D31" s="2231"/>
      <c r="E31" s="2231"/>
      <c r="F31" s="2231"/>
      <c r="G31" s="2231"/>
      <c r="H31" s="2231"/>
      <c r="I31" s="2231"/>
      <c r="J31" s="2231"/>
      <c r="K31" s="2231"/>
      <c r="L31" s="2231"/>
      <c r="M31" s="2231"/>
      <c r="N31" s="2231"/>
      <c r="O31" s="2231"/>
      <c r="P31" s="2231"/>
      <c r="Q31" s="2231"/>
      <c r="R31" s="2231"/>
      <c r="S31" s="2231"/>
      <c r="T31" s="2231"/>
      <c r="U31" s="2231"/>
      <c r="V31" s="2231"/>
      <c r="W31" s="2231"/>
      <c r="X31" s="2231"/>
      <c r="Y31" s="2231"/>
      <c r="Z31" s="2231"/>
      <c r="AA31" s="2231"/>
      <c r="AB31" s="2231"/>
      <c r="AC31" s="2231"/>
      <c r="AD31" s="2231"/>
      <c r="AE31" s="2231"/>
      <c r="AF31" s="2231"/>
      <c r="AG31" s="2231"/>
      <c r="AH31" s="2231"/>
      <c r="AI31" s="2231"/>
      <c r="AJ31" s="2231"/>
      <c r="AK31" s="2231"/>
      <c r="AL31" s="2231"/>
      <c r="AM31" s="2231"/>
      <c r="AN31" s="2231"/>
      <c r="AO31" s="2231"/>
      <c r="AP31" s="2231"/>
      <c r="AQ31" s="2231"/>
      <c r="AR31" s="2231"/>
      <c r="AS31" s="2231"/>
      <c r="AT31" s="2231"/>
      <c r="AU31" s="2231"/>
      <c r="AV31" s="2231"/>
      <c r="AW31" s="2231"/>
      <c r="AX31" s="2231"/>
      <c r="AY31" s="2231"/>
      <c r="AZ31" s="2232"/>
      <c r="BA31" s="1207"/>
      <c r="BB31" s="1207"/>
      <c r="BC31" s="1207"/>
      <c r="BD31" s="1207"/>
      <c r="BE31" s="1213"/>
    </row>
    <row r="32" spans="1:58" ht="15">
      <c r="A32" s="1207"/>
      <c r="B32" s="2233" t="s">
        <v>2574</v>
      </c>
      <c r="C32" s="2234"/>
      <c r="D32" s="2234"/>
      <c r="E32" s="2234"/>
      <c r="F32" s="2234"/>
      <c r="G32" s="2234"/>
      <c r="H32" s="2234"/>
      <c r="I32" s="2234"/>
      <c r="J32" s="2236" t="s">
        <v>2575</v>
      </c>
      <c r="K32" s="2237"/>
      <c r="L32" s="2237"/>
      <c r="M32" s="2237"/>
      <c r="N32" s="2236" t="s">
        <v>1867</v>
      </c>
      <c r="O32" s="2237"/>
      <c r="P32" s="2237"/>
      <c r="Q32" s="2237"/>
      <c r="R32" s="2238" t="s">
        <v>1868</v>
      </c>
      <c r="S32" s="2238"/>
      <c r="T32" s="2238"/>
      <c r="U32" s="2238"/>
      <c r="V32" s="2238"/>
      <c r="W32" s="2238"/>
      <c r="X32" s="2238"/>
      <c r="Y32" s="2238"/>
      <c r="Z32" s="2238"/>
      <c r="AA32" s="2238"/>
      <c r="AB32" s="2238"/>
      <c r="AC32" s="2238"/>
      <c r="AD32" s="2238"/>
      <c r="AE32" s="2238"/>
      <c r="AF32" s="2238"/>
      <c r="AG32" s="2238"/>
      <c r="AH32" s="2238"/>
      <c r="AI32" s="2238"/>
      <c r="AJ32" s="2238"/>
      <c r="AK32" s="2238"/>
      <c r="AL32" s="2238"/>
      <c r="AM32" s="2238"/>
      <c r="AN32" s="2238"/>
      <c r="AO32" s="2238"/>
      <c r="AP32" s="2238"/>
      <c r="AQ32" s="2238"/>
      <c r="AR32" s="2238"/>
      <c r="AS32" s="2238"/>
      <c r="AT32" s="2238"/>
      <c r="AU32" s="2238"/>
      <c r="AV32" s="2238"/>
      <c r="AW32" s="2238"/>
      <c r="AX32" s="2238"/>
      <c r="AY32" s="2238"/>
      <c r="AZ32" s="2239"/>
      <c r="BA32" s="1207"/>
      <c r="BB32" s="1207"/>
      <c r="BC32" s="1207"/>
      <c r="BD32" s="1207"/>
      <c r="BE32" s="1213"/>
    </row>
    <row r="33" spans="1:58" ht="15" customHeight="1">
      <c r="A33" s="1207"/>
      <c r="B33" s="2235"/>
      <c r="C33" s="2234"/>
      <c r="D33" s="2234"/>
      <c r="E33" s="2234"/>
      <c r="F33" s="2234"/>
      <c r="G33" s="2234"/>
      <c r="H33" s="2234"/>
      <c r="I33" s="2234"/>
      <c r="J33" s="2237"/>
      <c r="K33" s="2237"/>
      <c r="L33" s="2237"/>
      <c r="M33" s="2237"/>
      <c r="N33" s="2237"/>
      <c r="O33" s="2237"/>
      <c r="P33" s="2237"/>
      <c r="Q33" s="2237"/>
      <c r="R33" s="2240" t="s">
        <v>1869</v>
      </c>
      <c r="S33" s="2236"/>
      <c r="T33" s="2236"/>
      <c r="U33" s="2236"/>
      <c r="V33" s="2236"/>
      <c r="W33" s="2236"/>
      <c r="X33" s="2236"/>
      <c r="Y33" s="2236"/>
      <c r="Z33" s="2236"/>
      <c r="AA33" s="2236"/>
      <c r="AB33" s="2236"/>
      <c r="AC33" s="2236"/>
      <c r="AD33" s="2236"/>
      <c r="AE33" s="2236"/>
      <c r="AF33" s="2236"/>
      <c r="AG33" s="2236"/>
      <c r="AH33" s="2236"/>
      <c r="AI33" s="2236"/>
      <c r="AJ33" s="2236"/>
      <c r="AK33" s="2236"/>
      <c r="AL33" s="2236"/>
      <c r="AM33" s="2236"/>
      <c r="AN33" s="2236"/>
      <c r="AO33" s="2236"/>
      <c r="AP33" s="2236"/>
      <c r="AQ33" s="2236"/>
      <c r="AR33" s="2236"/>
      <c r="AS33" s="2236"/>
      <c r="AT33" s="2236"/>
      <c r="AU33" s="2236"/>
      <c r="AV33" s="2236"/>
      <c r="AW33" s="2236"/>
      <c r="AX33" s="2236"/>
      <c r="AY33" s="2236"/>
      <c r="AZ33" s="2241"/>
      <c r="BA33" s="1214"/>
      <c r="BB33" s="1207"/>
      <c r="BC33" s="1207"/>
      <c r="BD33" s="1207"/>
      <c r="BE33" s="1213"/>
    </row>
    <row r="34" spans="1:58" ht="15.75" customHeight="1">
      <c r="A34" s="1207"/>
      <c r="B34" s="2235"/>
      <c r="C34" s="2234"/>
      <c r="D34" s="2234"/>
      <c r="E34" s="2234"/>
      <c r="F34" s="2234"/>
      <c r="G34" s="2234"/>
      <c r="H34" s="2234"/>
      <c r="I34" s="2234"/>
      <c r="J34" s="2237"/>
      <c r="K34" s="2237"/>
      <c r="L34" s="2237"/>
      <c r="M34" s="2237"/>
      <c r="N34" s="2237"/>
      <c r="O34" s="2237"/>
      <c r="P34" s="2237"/>
      <c r="Q34" s="2237"/>
      <c r="R34" s="2236"/>
      <c r="S34" s="2236"/>
      <c r="T34" s="2236"/>
      <c r="U34" s="2236"/>
      <c r="V34" s="2236"/>
      <c r="W34" s="2236"/>
      <c r="X34" s="2236"/>
      <c r="Y34" s="2236"/>
      <c r="Z34" s="2236"/>
      <c r="AA34" s="2236"/>
      <c r="AB34" s="2236"/>
      <c r="AC34" s="2236"/>
      <c r="AD34" s="2236"/>
      <c r="AE34" s="2236"/>
      <c r="AF34" s="2236"/>
      <c r="AG34" s="2236"/>
      <c r="AH34" s="2236"/>
      <c r="AI34" s="2236"/>
      <c r="AJ34" s="2236"/>
      <c r="AK34" s="2236"/>
      <c r="AL34" s="2236"/>
      <c r="AM34" s="2236"/>
      <c r="AN34" s="2236"/>
      <c r="AO34" s="2236"/>
      <c r="AP34" s="2236"/>
      <c r="AQ34" s="2236"/>
      <c r="AR34" s="2236"/>
      <c r="AS34" s="2236"/>
      <c r="AT34" s="2236"/>
      <c r="AU34" s="2236"/>
      <c r="AV34" s="2236"/>
      <c r="AW34" s="2236"/>
      <c r="AX34" s="2236"/>
      <c r="AY34" s="2236"/>
      <c r="AZ34" s="2241"/>
      <c r="BA34" s="1214"/>
      <c r="BB34" s="1207"/>
      <c r="BC34" s="1207"/>
      <c r="BD34" s="1207"/>
      <c r="BE34" s="1213"/>
    </row>
    <row r="35" spans="1:58" ht="15.75" customHeight="1">
      <c r="A35" s="1207"/>
      <c r="B35" s="2235"/>
      <c r="C35" s="2234"/>
      <c r="D35" s="2234"/>
      <c r="E35" s="2234"/>
      <c r="F35" s="2234"/>
      <c r="G35" s="2234"/>
      <c r="H35" s="2234"/>
      <c r="I35" s="2234"/>
      <c r="J35" s="2237"/>
      <c r="K35" s="2237"/>
      <c r="L35" s="2237"/>
      <c r="M35" s="2237"/>
      <c r="N35" s="2237"/>
      <c r="O35" s="2237"/>
      <c r="P35" s="2237"/>
      <c r="Q35" s="2237"/>
      <c r="R35" s="2220">
        <v>0.3</v>
      </c>
      <c r="S35" s="2220"/>
      <c r="T35" s="2220"/>
      <c r="U35" s="2220"/>
      <c r="V35" s="2220">
        <v>0.4</v>
      </c>
      <c r="W35" s="2220"/>
      <c r="X35" s="2220"/>
      <c r="Y35" s="2220"/>
      <c r="Z35" s="2220">
        <v>0.5</v>
      </c>
      <c r="AA35" s="2220"/>
      <c r="AB35" s="2220"/>
      <c r="AC35" s="2220"/>
      <c r="AD35" s="2220">
        <v>0.6</v>
      </c>
      <c r="AE35" s="2220"/>
      <c r="AF35" s="2220"/>
      <c r="AG35" s="2220"/>
      <c r="AH35" s="2220">
        <v>0.8</v>
      </c>
      <c r="AI35" s="2220"/>
      <c r="AJ35" s="2220"/>
      <c r="AK35" s="2220"/>
      <c r="AL35" s="2221">
        <v>1</v>
      </c>
      <c r="AM35" s="2221"/>
      <c r="AN35" s="2221"/>
      <c r="AO35" s="2222" t="s">
        <v>1870</v>
      </c>
      <c r="AP35" s="2222"/>
      <c r="AQ35" s="2222"/>
      <c r="AR35" s="2222"/>
      <c r="AS35" s="2222"/>
      <c r="AT35" s="2222"/>
      <c r="AU35" s="2222" t="s">
        <v>1871</v>
      </c>
      <c r="AV35" s="2222"/>
      <c r="AW35" s="2222"/>
      <c r="AX35" s="2222"/>
      <c r="AY35" s="2222"/>
      <c r="AZ35" s="2223"/>
      <c r="BA35" s="1214"/>
      <c r="BB35" s="1207"/>
      <c r="BC35" s="1207"/>
      <c r="BD35" s="1207"/>
      <c r="BE35" s="1213"/>
      <c r="BF35" s="1205"/>
    </row>
    <row r="36" spans="1:58" ht="15.75" customHeight="1">
      <c r="A36" s="1207"/>
      <c r="B36" s="2243" t="s">
        <v>1872</v>
      </c>
      <c r="C36" s="2244"/>
      <c r="D36" s="2244"/>
      <c r="E36" s="2244"/>
      <c r="F36" s="2244"/>
      <c r="G36" s="2244"/>
      <c r="H36" s="2244"/>
      <c r="I36" s="2244"/>
      <c r="J36" s="2245" t="s">
        <v>1873</v>
      </c>
      <c r="K36" s="2245"/>
      <c r="L36" s="2245"/>
      <c r="M36" s="2245"/>
      <c r="N36" s="2245">
        <v>55</v>
      </c>
      <c r="O36" s="2245"/>
      <c r="P36" s="2245"/>
      <c r="Q36" s="2245"/>
      <c r="R36" s="2246">
        <v>0</v>
      </c>
      <c r="S36" s="2246"/>
      <c r="T36" s="2246"/>
      <c r="U36" s="2246"/>
      <c r="V36" s="2246">
        <v>0</v>
      </c>
      <c r="W36" s="2246"/>
      <c r="X36" s="2246"/>
      <c r="Y36" s="2246"/>
      <c r="Z36" s="2246">
        <v>10</v>
      </c>
      <c r="AA36" s="2246"/>
      <c r="AB36" s="2246"/>
      <c r="AC36" s="2246"/>
      <c r="AD36" s="2246">
        <v>30</v>
      </c>
      <c r="AE36" s="2246"/>
      <c r="AF36" s="2246"/>
      <c r="AG36" s="2246"/>
      <c r="AH36" s="2246">
        <v>0</v>
      </c>
      <c r="AI36" s="2246"/>
      <c r="AJ36" s="2246"/>
      <c r="AK36" s="2246"/>
      <c r="AL36" s="2246">
        <v>0</v>
      </c>
      <c r="AM36" s="2246"/>
      <c r="AN36" s="2246"/>
      <c r="AO36" s="2247">
        <f>SUM(R36:AN36)</f>
        <v>40</v>
      </c>
      <c r="AP36" s="2247"/>
      <c r="AQ36" s="2247"/>
      <c r="AR36" s="2247"/>
      <c r="AS36" s="2247"/>
      <c r="AT36" s="2247"/>
      <c r="AU36" s="2248">
        <f>AO36/$J$29</f>
        <v>0.26315789473684209</v>
      </c>
      <c r="AV36" s="2248"/>
      <c r="AW36" s="2248"/>
      <c r="AX36" s="2248"/>
      <c r="AY36" s="2248"/>
      <c r="AZ36" s="2249"/>
      <c r="BA36" s="1207"/>
      <c r="BB36" s="1207"/>
      <c r="BC36" s="1207"/>
      <c r="BD36" s="1207"/>
      <c r="BE36" s="1213"/>
      <c r="BF36" s="1205"/>
    </row>
    <row r="37" spans="1:58" ht="15.75" customHeight="1">
      <c r="A37" s="1207"/>
      <c r="B37" s="2243" t="s">
        <v>2576</v>
      </c>
      <c r="C37" s="2244"/>
      <c r="D37" s="2244"/>
      <c r="E37" s="2244"/>
      <c r="F37" s="2244"/>
      <c r="G37" s="2244"/>
      <c r="H37" s="2244"/>
      <c r="I37" s="2244"/>
      <c r="J37" s="2245" t="s">
        <v>1874</v>
      </c>
      <c r="K37" s="2245"/>
      <c r="L37" s="2245"/>
      <c r="M37" s="2245"/>
      <c r="N37" s="2245">
        <v>55</v>
      </c>
      <c r="O37" s="2245"/>
      <c r="P37" s="2245"/>
      <c r="Q37" s="2245"/>
      <c r="R37" s="2246">
        <v>10</v>
      </c>
      <c r="S37" s="2246"/>
      <c r="T37" s="2246"/>
      <c r="U37" s="2246"/>
      <c r="V37" s="2246"/>
      <c r="W37" s="2246"/>
      <c r="X37" s="2246"/>
      <c r="Y37" s="2246"/>
      <c r="Z37" s="2246"/>
      <c r="AA37" s="2246"/>
      <c r="AB37" s="2246"/>
      <c r="AC37" s="2246"/>
      <c r="AD37" s="2246"/>
      <c r="AE37" s="2246"/>
      <c r="AF37" s="2246"/>
      <c r="AG37" s="2246"/>
      <c r="AH37" s="2246"/>
      <c r="AI37" s="2246"/>
      <c r="AJ37" s="2246"/>
      <c r="AK37" s="2246"/>
      <c r="AL37" s="2246"/>
      <c r="AM37" s="2246"/>
      <c r="AN37" s="2246"/>
      <c r="AO37" s="2247">
        <f t="shared" ref="AO37:AO47" si="2">SUM(R37:AN37)</f>
        <v>10</v>
      </c>
      <c r="AP37" s="2247"/>
      <c r="AQ37" s="2247"/>
      <c r="AR37" s="2247"/>
      <c r="AS37" s="2247"/>
      <c r="AT37" s="2247"/>
      <c r="AU37" s="2248">
        <f t="shared" ref="AU37:AU47" si="3">AO37/$J$29</f>
        <v>6.5789473684210523E-2</v>
      </c>
      <c r="AV37" s="2248"/>
      <c r="AW37" s="2248"/>
      <c r="AX37" s="2248"/>
      <c r="AY37" s="2248"/>
      <c r="AZ37" s="2249"/>
      <c r="BA37" s="1207"/>
      <c r="BB37" s="1207"/>
      <c r="BC37" s="1207"/>
      <c r="BD37" s="1207"/>
      <c r="BE37" s="1213"/>
      <c r="BF37" s="1205"/>
    </row>
    <row r="38" spans="1:58" ht="15.75" customHeight="1">
      <c r="A38" s="1207"/>
      <c r="B38" s="2243" t="s">
        <v>2514</v>
      </c>
      <c r="C38" s="2244"/>
      <c r="D38" s="2244"/>
      <c r="E38" s="2244"/>
      <c r="F38" s="2244"/>
      <c r="G38" s="2244"/>
      <c r="H38" s="2244"/>
      <c r="I38" s="2244"/>
      <c r="J38" s="2245" t="s">
        <v>1875</v>
      </c>
      <c r="K38" s="2245"/>
      <c r="L38" s="2245"/>
      <c r="M38" s="2245"/>
      <c r="N38" s="2245">
        <v>55</v>
      </c>
      <c r="O38" s="2245"/>
      <c r="P38" s="2245"/>
      <c r="Q38" s="2245"/>
      <c r="R38" s="2246"/>
      <c r="S38" s="2246"/>
      <c r="T38" s="2246"/>
      <c r="U38" s="2246"/>
      <c r="V38" s="2246"/>
      <c r="W38" s="2246"/>
      <c r="X38" s="2246"/>
      <c r="Y38" s="2246"/>
      <c r="Z38" s="2246"/>
      <c r="AA38" s="2246"/>
      <c r="AB38" s="2246"/>
      <c r="AC38" s="2246"/>
      <c r="AD38" s="2246"/>
      <c r="AE38" s="2246"/>
      <c r="AF38" s="2246"/>
      <c r="AG38" s="2246"/>
      <c r="AH38" s="2246"/>
      <c r="AI38" s="2246"/>
      <c r="AJ38" s="2246"/>
      <c r="AK38" s="2246"/>
      <c r="AL38" s="2246"/>
      <c r="AM38" s="2246"/>
      <c r="AN38" s="2246"/>
      <c r="AO38" s="2247">
        <f t="shared" si="2"/>
        <v>0</v>
      </c>
      <c r="AP38" s="2247"/>
      <c r="AQ38" s="2247"/>
      <c r="AR38" s="2247"/>
      <c r="AS38" s="2247"/>
      <c r="AT38" s="2247"/>
      <c r="AU38" s="2248">
        <f t="shared" si="3"/>
        <v>0</v>
      </c>
      <c r="AV38" s="2248"/>
      <c r="AW38" s="2248"/>
      <c r="AX38" s="2248"/>
      <c r="AY38" s="2248"/>
      <c r="AZ38" s="2249"/>
      <c r="BA38" s="1207"/>
      <c r="BB38" s="1207"/>
      <c r="BC38" s="1207"/>
      <c r="BD38" s="1207"/>
      <c r="BE38" s="1213"/>
      <c r="BF38" s="1205"/>
    </row>
    <row r="39" spans="1:58" ht="15.75" customHeight="1">
      <c r="A39" s="1207"/>
      <c r="B39" s="2243" t="s">
        <v>1876</v>
      </c>
      <c r="C39" s="2244"/>
      <c r="D39" s="2244"/>
      <c r="E39" s="2244"/>
      <c r="F39" s="2244"/>
      <c r="G39" s="2244"/>
      <c r="H39" s="2244"/>
      <c r="I39" s="2244"/>
      <c r="J39" s="2245"/>
      <c r="K39" s="2245"/>
      <c r="L39" s="2245"/>
      <c r="M39" s="2245"/>
      <c r="N39" s="2245"/>
      <c r="O39" s="2245"/>
      <c r="P39" s="2245"/>
      <c r="Q39" s="2245"/>
      <c r="R39" s="2246"/>
      <c r="S39" s="2246"/>
      <c r="T39" s="2246"/>
      <c r="U39" s="2246"/>
      <c r="V39" s="2246"/>
      <c r="W39" s="2246"/>
      <c r="X39" s="2246"/>
      <c r="Y39" s="2246"/>
      <c r="Z39" s="2246"/>
      <c r="AA39" s="2246"/>
      <c r="AB39" s="2246"/>
      <c r="AC39" s="2246"/>
      <c r="AD39" s="2246"/>
      <c r="AE39" s="2246"/>
      <c r="AF39" s="2246"/>
      <c r="AG39" s="2246"/>
      <c r="AH39" s="2246"/>
      <c r="AI39" s="2246"/>
      <c r="AJ39" s="2246"/>
      <c r="AK39" s="2246"/>
      <c r="AL39" s="2246"/>
      <c r="AM39" s="2246"/>
      <c r="AN39" s="2246"/>
      <c r="AO39" s="2247">
        <f t="shared" si="2"/>
        <v>0</v>
      </c>
      <c r="AP39" s="2247"/>
      <c r="AQ39" s="2247"/>
      <c r="AR39" s="2247"/>
      <c r="AS39" s="2247"/>
      <c r="AT39" s="2247"/>
      <c r="AU39" s="2248">
        <f t="shared" si="3"/>
        <v>0</v>
      </c>
      <c r="AV39" s="2248"/>
      <c r="AW39" s="2248"/>
      <c r="AX39" s="2248"/>
      <c r="AY39" s="2248"/>
      <c r="AZ39" s="2249"/>
      <c r="BA39" s="1207"/>
      <c r="BB39" s="1207"/>
      <c r="BC39" s="1207"/>
      <c r="BD39" s="1207"/>
      <c r="BE39" s="1213"/>
    </row>
    <row r="40" spans="1:58" ht="15.75" customHeight="1">
      <c r="A40" s="1207"/>
      <c r="B40" s="2243" t="s">
        <v>1876</v>
      </c>
      <c r="C40" s="2244"/>
      <c r="D40" s="2244"/>
      <c r="E40" s="2244"/>
      <c r="F40" s="2244"/>
      <c r="G40" s="2244"/>
      <c r="H40" s="2244"/>
      <c r="I40" s="2244"/>
      <c r="J40" s="2245"/>
      <c r="K40" s="2245"/>
      <c r="L40" s="2245"/>
      <c r="M40" s="2245"/>
      <c r="N40" s="2245"/>
      <c r="O40" s="2245"/>
      <c r="P40" s="2245"/>
      <c r="Q40" s="2245"/>
      <c r="R40" s="2246"/>
      <c r="S40" s="2246"/>
      <c r="T40" s="2246"/>
      <c r="U40" s="2246"/>
      <c r="V40" s="2246"/>
      <c r="W40" s="2246"/>
      <c r="X40" s="2246"/>
      <c r="Y40" s="2246"/>
      <c r="Z40" s="2246"/>
      <c r="AA40" s="2246"/>
      <c r="AB40" s="2246"/>
      <c r="AC40" s="2246"/>
      <c r="AD40" s="2246"/>
      <c r="AE40" s="2246"/>
      <c r="AF40" s="2246"/>
      <c r="AG40" s="2246"/>
      <c r="AH40" s="2246"/>
      <c r="AI40" s="2246"/>
      <c r="AJ40" s="2246"/>
      <c r="AK40" s="2246"/>
      <c r="AL40" s="2246"/>
      <c r="AM40" s="2246"/>
      <c r="AN40" s="2246"/>
      <c r="AO40" s="2247">
        <f t="shared" si="2"/>
        <v>0</v>
      </c>
      <c r="AP40" s="2247"/>
      <c r="AQ40" s="2247"/>
      <c r="AR40" s="2247"/>
      <c r="AS40" s="2247"/>
      <c r="AT40" s="2247"/>
      <c r="AU40" s="2248">
        <f t="shared" si="3"/>
        <v>0</v>
      </c>
      <c r="AV40" s="2248"/>
      <c r="AW40" s="2248"/>
      <c r="AX40" s="2248"/>
      <c r="AY40" s="2248"/>
      <c r="AZ40" s="2249"/>
      <c r="BA40" s="1207"/>
      <c r="BB40" s="1207"/>
      <c r="BC40" s="1207"/>
      <c r="BD40" s="1207"/>
      <c r="BE40" s="1213"/>
    </row>
    <row r="41" spans="1:58" ht="15.75" customHeight="1">
      <c r="A41" s="1207"/>
      <c r="B41" s="2243" t="s">
        <v>1877</v>
      </c>
      <c r="C41" s="2244"/>
      <c r="D41" s="2244"/>
      <c r="E41" s="2244"/>
      <c r="F41" s="2244"/>
      <c r="G41" s="2244"/>
      <c r="H41" s="2244"/>
      <c r="I41" s="2244"/>
      <c r="J41" s="2245"/>
      <c r="K41" s="2245"/>
      <c r="L41" s="2245"/>
      <c r="M41" s="2245"/>
      <c r="N41" s="2245"/>
      <c r="O41" s="2245"/>
      <c r="P41" s="2245"/>
      <c r="Q41" s="2245"/>
      <c r="R41" s="2246"/>
      <c r="S41" s="2246"/>
      <c r="T41" s="2246"/>
      <c r="U41" s="2246"/>
      <c r="V41" s="2246"/>
      <c r="W41" s="2246"/>
      <c r="X41" s="2246"/>
      <c r="Y41" s="2246"/>
      <c r="Z41" s="2246"/>
      <c r="AA41" s="2246"/>
      <c r="AB41" s="2246"/>
      <c r="AC41" s="2246"/>
      <c r="AD41" s="2246"/>
      <c r="AE41" s="2246"/>
      <c r="AF41" s="2246"/>
      <c r="AG41" s="2246"/>
      <c r="AH41" s="2246"/>
      <c r="AI41" s="2246"/>
      <c r="AJ41" s="2246"/>
      <c r="AK41" s="2246"/>
      <c r="AL41" s="2246"/>
      <c r="AM41" s="2246"/>
      <c r="AN41" s="2246"/>
      <c r="AO41" s="2247">
        <f t="shared" si="2"/>
        <v>0</v>
      </c>
      <c r="AP41" s="2247"/>
      <c r="AQ41" s="2247"/>
      <c r="AR41" s="2247"/>
      <c r="AS41" s="2247"/>
      <c r="AT41" s="2247"/>
      <c r="AU41" s="2248">
        <f t="shared" si="3"/>
        <v>0</v>
      </c>
      <c r="AV41" s="2248"/>
      <c r="AW41" s="2248"/>
      <c r="AX41" s="2248"/>
      <c r="AY41" s="2248"/>
      <c r="AZ41" s="2249"/>
      <c r="BA41" s="1207"/>
      <c r="BB41" s="1207"/>
      <c r="BC41" s="1207"/>
      <c r="BD41" s="1207"/>
      <c r="BE41" s="1213"/>
    </row>
    <row r="42" spans="1:58" ht="15.75" customHeight="1">
      <c r="A42" s="1207"/>
      <c r="B42" s="2243" t="s">
        <v>1877</v>
      </c>
      <c r="C42" s="2244"/>
      <c r="D42" s="2244"/>
      <c r="E42" s="2244"/>
      <c r="F42" s="2244"/>
      <c r="G42" s="2244"/>
      <c r="H42" s="2244"/>
      <c r="I42" s="2244"/>
      <c r="J42" s="2245"/>
      <c r="K42" s="2245"/>
      <c r="L42" s="2245"/>
      <c r="M42" s="2245"/>
      <c r="N42" s="2245"/>
      <c r="O42" s="2245"/>
      <c r="P42" s="2245"/>
      <c r="Q42" s="2245"/>
      <c r="R42" s="2246"/>
      <c r="S42" s="2246"/>
      <c r="T42" s="2246"/>
      <c r="U42" s="2246"/>
      <c r="V42" s="2246"/>
      <c r="W42" s="2246"/>
      <c r="X42" s="2246"/>
      <c r="Y42" s="2246"/>
      <c r="Z42" s="2246"/>
      <c r="AA42" s="2246"/>
      <c r="AB42" s="2246"/>
      <c r="AC42" s="2246"/>
      <c r="AD42" s="2246"/>
      <c r="AE42" s="2246"/>
      <c r="AF42" s="2246"/>
      <c r="AG42" s="2246"/>
      <c r="AH42" s="2246"/>
      <c r="AI42" s="2246"/>
      <c r="AJ42" s="2246"/>
      <c r="AK42" s="2246"/>
      <c r="AL42" s="2246"/>
      <c r="AM42" s="2246"/>
      <c r="AN42" s="2246"/>
      <c r="AO42" s="2247">
        <f t="shared" si="2"/>
        <v>0</v>
      </c>
      <c r="AP42" s="2247"/>
      <c r="AQ42" s="2247"/>
      <c r="AR42" s="2247"/>
      <c r="AS42" s="2247"/>
      <c r="AT42" s="2247"/>
      <c r="AU42" s="2248">
        <f t="shared" si="3"/>
        <v>0</v>
      </c>
      <c r="AV42" s="2248"/>
      <c r="AW42" s="2248"/>
      <c r="AX42" s="2248"/>
      <c r="AY42" s="2248"/>
      <c r="AZ42" s="2249"/>
      <c r="BA42" s="1207"/>
      <c r="BB42" s="1207"/>
      <c r="BC42" s="1207"/>
      <c r="BD42" s="1207"/>
      <c r="BE42" s="1213"/>
    </row>
    <row r="43" spans="1:58" ht="15.75" customHeight="1">
      <c r="A43" s="1207"/>
      <c r="B43" s="2250" t="s">
        <v>1878</v>
      </c>
      <c r="C43" s="2251"/>
      <c r="D43" s="2251"/>
      <c r="E43" s="2251"/>
      <c r="F43" s="2251"/>
      <c r="G43" s="2251"/>
      <c r="H43" s="2251"/>
      <c r="I43" s="2251"/>
      <c r="J43" s="2245"/>
      <c r="K43" s="2245"/>
      <c r="L43" s="2245"/>
      <c r="M43" s="2245"/>
      <c r="N43" s="2245"/>
      <c r="O43" s="2245"/>
      <c r="P43" s="2245"/>
      <c r="Q43" s="2245"/>
      <c r="R43" s="2246"/>
      <c r="S43" s="2246"/>
      <c r="T43" s="2246"/>
      <c r="U43" s="2246"/>
      <c r="V43" s="2246"/>
      <c r="W43" s="2246"/>
      <c r="X43" s="2246"/>
      <c r="Y43" s="2246"/>
      <c r="Z43" s="2246"/>
      <c r="AA43" s="2246"/>
      <c r="AB43" s="2246"/>
      <c r="AC43" s="2246"/>
      <c r="AD43" s="2246"/>
      <c r="AE43" s="2246"/>
      <c r="AF43" s="2246"/>
      <c r="AG43" s="2246"/>
      <c r="AH43" s="2246"/>
      <c r="AI43" s="2246"/>
      <c r="AJ43" s="2246"/>
      <c r="AK43" s="2246"/>
      <c r="AL43" s="2246"/>
      <c r="AM43" s="2246"/>
      <c r="AN43" s="2246"/>
      <c r="AO43" s="2247">
        <f t="shared" si="2"/>
        <v>0</v>
      </c>
      <c r="AP43" s="2247"/>
      <c r="AQ43" s="2247"/>
      <c r="AR43" s="2247"/>
      <c r="AS43" s="2247"/>
      <c r="AT43" s="2247"/>
      <c r="AU43" s="2248">
        <f t="shared" si="3"/>
        <v>0</v>
      </c>
      <c r="AV43" s="2248"/>
      <c r="AW43" s="2248"/>
      <c r="AX43" s="2248"/>
      <c r="AY43" s="2248"/>
      <c r="AZ43" s="2249"/>
      <c r="BA43" s="1207"/>
      <c r="BB43" s="1207"/>
      <c r="BC43" s="1207"/>
      <c r="BD43" s="1207"/>
      <c r="BE43" s="1213"/>
    </row>
    <row r="44" spans="1:58" ht="15.75" customHeight="1">
      <c r="A44" s="1207"/>
      <c r="B44" s="2250" t="s">
        <v>1879</v>
      </c>
      <c r="C44" s="2251"/>
      <c r="D44" s="2251"/>
      <c r="E44" s="2251"/>
      <c r="F44" s="2251"/>
      <c r="G44" s="2251"/>
      <c r="H44" s="2251"/>
      <c r="I44" s="2251"/>
      <c r="J44" s="2245"/>
      <c r="K44" s="2245"/>
      <c r="L44" s="2245"/>
      <c r="M44" s="2245"/>
      <c r="N44" s="2245"/>
      <c r="O44" s="2245"/>
      <c r="P44" s="2245"/>
      <c r="Q44" s="2245"/>
      <c r="R44" s="2246"/>
      <c r="S44" s="2246"/>
      <c r="T44" s="2246"/>
      <c r="U44" s="2246"/>
      <c r="V44" s="2246"/>
      <c r="W44" s="2246"/>
      <c r="X44" s="2246"/>
      <c r="Y44" s="2246"/>
      <c r="Z44" s="2246"/>
      <c r="AA44" s="2246"/>
      <c r="AB44" s="2246"/>
      <c r="AC44" s="2246"/>
      <c r="AD44" s="2246"/>
      <c r="AE44" s="2246"/>
      <c r="AF44" s="2246"/>
      <c r="AG44" s="2246"/>
      <c r="AH44" s="2246"/>
      <c r="AI44" s="2246"/>
      <c r="AJ44" s="2246"/>
      <c r="AK44" s="2246"/>
      <c r="AL44" s="2246"/>
      <c r="AM44" s="2246"/>
      <c r="AN44" s="2246"/>
      <c r="AO44" s="2247">
        <f t="shared" si="2"/>
        <v>0</v>
      </c>
      <c r="AP44" s="2247"/>
      <c r="AQ44" s="2247"/>
      <c r="AR44" s="2247"/>
      <c r="AS44" s="2247"/>
      <c r="AT44" s="2247"/>
      <c r="AU44" s="2248">
        <f t="shared" si="3"/>
        <v>0</v>
      </c>
      <c r="AV44" s="2248"/>
      <c r="AW44" s="2248"/>
      <c r="AX44" s="2248"/>
      <c r="AY44" s="2248"/>
      <c r="AZ44" s="2249"/>
      <c r="BA44" s="1207"/>
      <c r="BB44" s="1207"/>
      <c r="BC44" s="1207"/>
      <c r="BD44" s="1207"/>
      <c r="BE44" s="1213"/>
    </row>
    <row r="45" spans="1:58" ht="15.75" customHeight="1">
      <c r="A45" s="1207"/>
      <c r="B45" s="2250" t="s">
        <v>1880</v>
      </c>
      <c r="C45" s="2251"/>
      <c r="D45" s="2251"/>
      <c r="E45" s="2251"/>
      <c r="F45" s="2251"/>
      <c r="G45" s="2251"/>
      <c r="H45" s="2251"/>
      <c r="I45" s="2251"/>
      <c r="J45" s="2245"/>
      <c r="K45" s="2245"/>
      <c r="L45" s="2245"/>
      <c r="M45" s="2245"/>
      <c r="N45" s="2245"/>
      <c r="O45" s="2245"/>
      <c r="P45" s="2245"/>
      <c r="Q45" s="2245"/>
      <c r="R45" s="2246"/>
      <c r="S45" s="2246"/>
      <c r="T45" s="2246"/>
      <c r="U45" s="2246"/>
      <c r="V45" s="2246"/>
      <c r="W45" s="2246"/>
      <c r="X45" s="2246"/>
      <c r="Y45" s="2246"/>
      <c r="Z45" s="2246"/>
      <c r="AA45" s="2246"/>
      <c r="AB45" s="2246"/>
      <c r="AC45" s="2246"/>
      <c r="AD45" s="2246"/>
      <c r="AE45" s="2246"/>
      <c r="AF45" s="2246"/>
      <c r="AG45" s="2246"/>
      <c r="AH45" s="2246"/>
      <c r="AI45" s="2246"/>
      <c r="AJ45" s="2246"/>
      <c r="AK45" s="2246"/>
      <c r="AL45" s="2246"/>
      <c r="AM45" s="2246"/>
      <c r="AN45" s="2246"/>
      <c r="AO45" s="2247">
        <f t="shared" si="2"/>
        <v>0</v>
      </c>
      <c r="AP45" s="2247"/>
      <c r="AQ45" s="2247"/>
      <c r="AR45" s="2247"/>
      <c r="AS45" s="2247"/>
      <c r="AT45" s="2247"/>
      <c r="AU45" s="2248">
        <f t="shared" si="3"/>
        <v>0</v>
      </c>
      <c r="AV45" s="2248"/>
      <c r="AW45" s="2248"/>
      <c r="AX45" s="2248"/>
      <c r="AY45" s="2248"/>
      <c r="AZ45" s="2249"/>
      <c r="BA45" s="1207"/>
      <c r="BB45" s="1207"/>
      <c r="BC45" s="1207"/>
      <c r="BD45" s="1207"/>
      <c r="BE45" s="1213"/>
    </row>
    <row r="46" spans="1:58" ht="15.75" customHeight="1">
      <c r="A46" s="1207"/>
      <c r="B46" s="2250" t="s">
        <v>1881</v>
      </c>
      <c r="C46" s="2251"/>
      <c r="D46" s="2251"/>
      <c r="E46" s="2251"/>
      <c r="F46" s="2251"/>
      <c r="G46" s="2251"/>
      <c r="H46" s="2251"/>
      <c r="I46" s="2251"/>
      <c r="J46" s="2245"/>
      <c r="K46" s="2245"/>
      <c r="L46" s="2245"/>
      <c r="M46" s="2245"/>
      <c r="N46" s="2245">
        <v>99</v>
      </c>
      <c r="O46" s="2245"/>
      <c r="P46" s="2245"/>
      <c r="Q46" s="2245"/>
      <c r="R46" s="2246"/>
      <c r="S46" s="2246"/>
      <c r="T46" s="2246"/>
      <c r="U46" s="2246"/>
      <c r="V46" s="2246"/>
      <c r="W46" s="2246"/>
      <c r="X46" s="2246"/>
      <c r="Y46" s="2246"/>
      <c r="Z46" s="2246"/>
      <c r="AA46" s="2246"/>
      <c r="AB46" s="2246"/>
      <c r="AC46" s="2246"/>
      <c r="AD46" s="2246"/>
      <c r="AE46" s="2246"/>
      <c r="AF46" s="2246"/>
      <c r="AG46" s="2246"/>
      <c r="AH46" s="2246"/>
      <c r="AI46" s="2246"/>
      <c r="AJ46" s="2246"/>
      <c r="AK46" s="2246"/>
      <c r="AL46" s="2246"/>
      <c r="AM46" s="2246"/>
      <c r="AN46" s="2246"/>
      <c r="AO46" s="2247">
        <f t="shared" si="2"/>
        <v>0</v>
      </c>
      <c r="AP46" s="2247"/>
      <c r="AQ46" s="2247"/>
      <c r="AR46" s="2247"/>
      <c r="AS46" s="2247"/>
      <c r="AT46" s="2247"/>
      <c r="AU46" s="2248">
        <f t="shared" si="3"/>
        <v>0</v>
      </c>
      <c r="AV46" s="2248"/>
      <c r="AW46" s="2248"/>
      <c r="AX46" s="2248"/>
      <c r="AY46" s="2248"/>
      <c r="AZ46" s="2249"/>
      <c r="BA46" s="1207"/>
      <c r="BB46" s="1207"/>
      <c r="BC46" s="1207"/>
      <c r="BD46" s="1207"/>
      <c r="BE46" s="1213"/>
    </row>
    <row r="47" spans="1:58" ht="15.75" customHeight="1" thickBot="1">
      <c r="A47" s="1207"/>
      <c r="B47" s="2254" t="s">
        <v>302</v>
      </c>
      <c r="C47" s="2255"/>
      <c r="D47" s="2255"/>
      <c r="E47" s="2255"/>
      <c r="F47" s="2255"/>
      <c r="G47" s="2255"/>
      <c r="H47" s="2255"/>
      <c r="I47" s="2255"/>
      <c r="J47" s="2256"/>
      <c r="K47" s="2256"/>
      <c r="L47" s="2256"/>
      <c r="M47" s="2256"/>
      <c r="N47" s="2256"/>
      <c r="O47" s="2256"/>
      <c r="P47" s="2256"/>
      <c r="Q47" s="2256"/>
      <c r="R47" s="2257"/>
      <c r="S47" s="2257"/>
      <c r="T47" s="2257"/>
      <c r="U47" s="2257"/>
      <c r="V47" s="2257"/>
      <c r="W47" s="2257"/>
      <c r="X47" s="2257"/>
      <c r="Y47" s="2257"/>
      <c r="Z47" s="2257"/>
      <c r="AA47" s="2257"/>
      <c r="AB47" s="2257"/>
      <c r="AC47" s="2257"/>
      <c r="AD47" s="2257"/>
      <c r="AE47" s="2257"/>
      <c r="AF47" s="2257"/>
      <c r="AG47" s="2257"/>
      <c r="AH47" s="2257"/>
      <c r="AI47" s="2257"/>
      <c r="AJ47" s="2257"/>
      <c r="AK47" s="2257"/>
      <c r="AL47" s="2257"/>
      <c r="AM47" s="2257"/>
      <c r="AN47" s="2257"/>
      <c r="AO47" s="2261">
        <f t="shared" si="2"/>
        <v>0</v>
      </c>
      <c r="AP47" s="2261"/>
      <c r="AQ47" s="2261"/>
      <c r="AR47" s="2261"/>
      <c r="AS47" s="2261"/>
      <c r="AT47" s="2261"/>
      <c r="AU47" s="2252">
        <f t="shared" si="3"/>
        <v>0</v>
      </c>
      <c r="AV47" s="2252"/>
      <c r="AW47" s="2252"/>
      <c r="AX47" s="2252"/>
      <c r="AY47" s="2252"/>
      <c r="AZ47" s="2253"/>
      <c r="BA47" s="1207"/>
      <c r="BB47" s="1207"/>
      <c r="BC47" s="1207"/>
      <c r="BD47" s="1207"/>
      <c r="BE47" s="1213"/>
    </row>
    <row r="48" spans="1:58" ht="15.75" customHeight="1">
      <c r="A48" s="1207"/>
      <c r="B48" s="1215" t="s">
        <v>2577</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2257</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30" t="s">
        <v>1882</v>
      </c>
      <c r="C50" s="2231"/>
      <c r="D50" s="2231"/>
      <c r="E50" s="2231"/>
      <c r="F50" s="2231"/>
      <c r="G50" s="2231"/>
      <c r="H50" s="2231"/>
      <c r="I50" s="2231"/>
      <c r="J50" s="2231"/>
      <c r="K50" s="2231"/>
      <c r="L50" s="2231"/>
      <c r="M50" s="2231"/>
      <c r="N50" s="2231"/>
      <c r="O50" s="2231"/>
      <c r="P50" s="2231"/>
      <c r="Q50" s="2231"/>
      <c r="R50" s="2231"/>
      <c r="S50" s="2231"/>
      <c r="T50" s="2231"/>
      <c r="U50" s="2231"/>
      <c r="V50" s="2231"/>
      <c r="W50" s="2231"/>
      <c r="X50" s="2231"/>
      <c r="Y50" s="2231"/>
      <c r="Z50" s="2231"/>
      <c r="AA50" s="2231"/>
      <c r="AB50" s="2231"/>
      <c r="AC50" s="2231"/>
      <c r="AD50" s="2231"/>
      <c r="AE50" s="2231"/>
      <c r="AF50" s="2231"/>
      <c r="AG50" s="2231"/>
      <c r="AH50" s="2231"/>
      <c r="AI50" s="2231"/>
      <c r="AJ50" s="2231"/>
      <c r="AK50" s="2231"/>
      <c r="AL50" s="2231"/>
      <c r="AM50" s="2231"/>
      <c r="AN50" s="2231"/>
      <c r="AO50" s="2232"/>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258" t="s">
        <v>1883</v>
      </c>
      <c r="C51" s="2259"/>
      <c r="D51" s="2259"/>
      <c r="E51" s="2259"/>
      <c r="F51" s="2259"/>
      <c r="G51" s="2259"/>
      <c r="H51" s="2259"/>
      <c r="I51" s="2259"/>
      <c r="J51" s="2259" t="s">
        <v>2578</v>
      </c>
      <c r="K51" s="2259"/>
      <c r="L51" s="2259"/>
      <c r="M51" s="2259"/>
      <c r="N51" s="2259"/>
      <c r="O51" s="2259"/>
      <c r="P51" s="2259"/>
      <c r="Q51" s="2259"/>
      <c r="R51" s="2240" t="s">
        <v>2579</v>
      </c>
      <c r="S51" s="2240"/>
      <c r="T51" s="2240"/>
      <c r="U51" s="2240"/>
      <c r="V51" s="2240"/>
      <c r="W51" s="2240"/>
      <c r="X51" s="2240"/>
      <c r="Y51" s="2240"/>
      <c r="Z51" s="2240" t="s">
        <v>1884</v>
      </c>
      <c r="AA51" s="2240"/>
      <c r="AB51" s="2240"/>
      <c r="AC51" s="2240"/>
      <c r="AD51" s="2240"/>
      <c r="AE51" s="2240"/>
      <c r="AF51" s="2240"/>
      <c r="AG51" s="2240"/>
      <c r="AH51" s="2240" t="s">
        <v>1885</v>
      </c>
      <c r="AI51" s="2240"/>
      <c r="AJ51" s="2240"/>
      <c r="AK51" s="2240"/>
      <c r="AL51" s="2240"/>
      <c r="AM51" s="2240"/>
      <c r="AN51" s="2240"/>
      <c r="AO51" s="2260"/>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250" t="s">
        <v>2258</v>
      </c>
      <c r="C52" s="2251"/>
      <c r="D52" s="2251"/>
      <c r="E52" s="2251"/>
      <c r="F52" s="2251"/>
      <c r="G52" s="2251"/>
      <c r="H52" s="2251"/>
      <c r="I52" s="2251"/>
      <c r="J52" s="2262">
        <v>0</v>
      </c>
      <c r="K52" s="2262"/>
      <c r="L52" s="2262"/>
      <c r="M52" s="2262"/>
      <c r="N52" s="2262"/>
      <c r="O52" s="2262"/>
      <c r="P52" s="2262"/>
      <c r="Q52" s="2262"/>
      <c r="R52" s="2263">
        <v>0</v>
      </c>
      <c r="S52" s="2263"/>
      <c r="T52" s="2263"/>
      <c r="U52" s="2263"/>
      <c r="V52" s="2263"/>
      <c r="W52" s="2263"/>
      <c r="X52" s="2263"/>
      <c r="Y52" s="2263"/>
      <c r="Z52" s="2264">
        <v>0</v>
      </c>
      <c r="AA52" s="2264"/>
      <c r="AB52" s="2264"/>
      <c r="AC52" s="2264"/>
      <c r="AD52" s="2264"/>
      <c r="AE52" s="2264"/>
      <c r="AF52" s="2264"/>
      <c r="AG52" s="2264"/>
      <c r="AH52" s="2265"/>
      <c r="AI52" s="2265"/>
      <c r="AJ52" s="2265"/>
      <c r="AK52" s="2265"/>
      <c r="AL52" s="2265"/>
      <c r="AM52" s="2265"/>
      <c r="AN52" s="2265"/>
      <c r="AO52" s="2266"/>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250" t="s">
        <v>2259</v>
      </c>
      <c r="C53" s="2251"/>
      <c r="D53" s="2251"/>
      <c r="E53" s="2251"/>
      <c r="F53" s="2251"/>
      <c r="G53" s="2251"/>
      <c r="H53" s="2251"/>
      <c r="I53" s="2251"/>
      <c r="J53" s="2262">
        <v>0</v>
      </c>
      <c r="K53" s="2262"/>
      <c r="L53" s="2262"/>
      <c r="M53" s="2262"/>
      <c r="N53" s="2262"/>
      <c r="O53" s="2262"/>
      <c r="P53" s="2262"/>
      <c r="Q53" s="2262"/>
      <c r="R53" s="2263">
        <v>0</v>
      </c>
      <c r="S53" s="2263"/>
      <c r="T53" s="2263"/>
      <c r="U53" s="2263"/>
      <c r="V53" s="2263"/>
      <c r="W53" s="2263"/>
      <c r="X53" s="2263"/>
      <c r="Y53" s="2263"/>
      <c r="Z53" s="2264">
        <v>0</v>
      </c>
      <c r="AA53" s="2264"/>
      <c r="AB53" s="2264"/>
      <c r="AC53" s="2264"/>
      <c r="AD53" s="2264"/>
      <c r="AE53" s="2264"/>
      <c r="AF53" s="2264"/>
      <c r="AG53" s="2264"/>
      <c r="AH53" s="2265"/>
      <c r="AI53" s="2265"/>
      <c r="AJ53" s="2265"/>
      <c r="AK53" s="2265"/>
      <c r="AL53" s="2265"/>
      <c r="AM53" s="2265"/>
      <c r="AN53" s="2265"/>
      <c r="AO53" s="2266"/>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250"/>
      <c r="C54" s="2251"/>
      <c r="D54" s="2251"/>
      <c r="E54" s="2251"/>
      <c r="F54" s="2251"/>
      <c r="G54" s="2251"/>
      <c r="H54" s="2251"/>
      <c r="I54" s="2251"/>
      <c r="J54" s="2262"/>
      <c r="K54" s="2262"/>
      <c r="L54" s="2262"/>
      <c r="M54" s="2262"/>
      <c r="N54" s="2262"/>
      <c r="O54" s="2262"/>
      <c r="P54" s="2262"/>
      <c r="Q54" s="2262"/>
      <c r="R54" s="2263"/>
      <c r="S54" s="2263"/>
      <c r="T54" s="2263"/>
      <c r="U54" s="2263"/>
      <c r="V54" s="2263"/>
      <c r="W54" s="2263"/>
      <c r="X54" s="2263"/>
      <c r="Y54" s="2263"/>
      <c r="Z54" s="2264"/>
      <c r="AA54" s="2264"/>
      <c r="AB54" s="2264"/>
      <c r="AC54" s="2264"/>
      <c r="AD54" s="2264"/>
      <c r="AE54" s="2264"/>
      <c r="AF54" s="2264"/>
      <c r="AG54" s="2264"/>
      <c r="AH54" s="2265"/>
      <c r="AI54" s="2265"/>
      <c r="AJ54" s="2265"/>
      <c r="AK54" s="2265"/>
      <c r="AL54" s="2265"/>
      <c r="AM54" s="2265"/>
      <c r="AN54" s="2265"/>
      <c r="AO54" s="2266"/>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250"/>
      <c r="C55" s="2251"/>
      <c r="D55" s="2251"/>
      <c r="E55" s="2251"/>
      <c r="F55" s="2251"/>
      <c r="G55" s="2251"/>
      <c r="H55" s="2251"/>
      <c r="I55" s="2251"/>
      <c r="J55" s="2262"/>
      <c r="K55" s="2262"/>
      <c r="L55" s="2262"/>
      <c r="M55" s="2262"/>
      <c r="N55" s="2262"/>
      <c r="O55" s="2262"/>
      <c r="P55" s="2262"/>
      <c r="Q55" s="2262"/>
      <c r="R55" s="2263"/>
      <c r="S55" s="2263"/>
      <c r="T55" s="2263"/>
      <c r="U55" s="2263"/>
      <c r="V55" s="2263"/>
      <c r="W55" s="2263"/>
      <c r="X55" s="2263"/>
      <c r="Y55" s="2263"/>
      <c r="Z55" s="2264"/>
      <c r="AA55" s="2264"/>
      <c r="AB55" s="2264"/>
      <c r="AC55" s="2264"/>
      <c r="AD55" s="2264"/>
      <c r="AE55" s="2264"/>
      <c r="AF55" s="2264"/>
      <c r="AG55" s="2264"/>
      <c r="AH55" s="2265"/>
      <c r="AI55" s="2265"/>
      <c r="AJ55" s="2265"/>
      <c r="AK55" s="2265"/>
      <c r="AL55" s="2265"/>
      <c r="AM55" s="2265"/>
      <c r="AN55" s="2265"/>
      <c r="AO55" s="2266"/>
      <c r="AP55" s="1209"/>
      <c r="AQ55" s="1209"/>
      <c r="AR55" s="1209"/>
      <c r="AS55" s="1209"/>
      <c r="AT55" s="1209" t="s">
        <v>252</v>
      </c>
      <c r="AU55" s="1209"/>
      <c r="AV55" s="1209"/>
      <c r="AW55" s="1209"/>
      <c r="AX55" s="1207"/>
      <c r="AY55" s="1207"/>
      <c r="AZ55" s="1207"/>
      <c r="BA55" s="1207"/>
      <c r="BB55" s="1207"/>
      <c r="BC55" s="1207"/>
      <c r="BD55" s="1207"/>
      <c r="BE55" s="1213"/>
    </row>
    <row r="56" spans="1:58" ht="15.75" customHeight="1">
      <c r="A56" s="1207"/>
      <c r="B56" s="2250"/>
      <c r="C56" s="2251"/>
      <c r="D56" s="2251"/>
      <c r="E56" s="2251"/>
      <c r="F56" s="2251"/>
      <c r="G56" s="2251"/>
      <c r="H56" s="2251"/>
      <c r="I56" s="2251"/>
      <c r="J56" s="2262"/>
      <c r="K56" s="2262"/>
      <c r="L56" s="2262"/>
      <c r="M56" s="2262"/>
      <c r="N56" s="2262"/>
      <c r="O56" s="2262"/>
      <c r="P56" s="2262"/>
      <c r="Q56" s="2262"/>
      <c r="R56" s="2263"/>
      <c r="S56" s="2263"/>
      <c r="T56" s="2263"/>
      <c r="U56" s="2263"/>
      <c r="V56" s="2263"/>
      <c r="W56" s="2263"/>
      <c r="X56" s="2263"/>
      <c r="Y56" s="2263"/>
      <c r="Z56" s="2264"/>
      <c r="AA56" s="2264"/>
      <c r="AB56" s="2264"/>
      <c r="AC56" s="2264"/>
      <c r="AD56" s="2264"/>
      <c r="AE56" s="2264"/>
      <c r="AF56" s="2264"/>
      <c r="AG56" s="2264"/>
      <c r="AH56" s="2265"/>
      <c r="AI56" s="2265"/>
      <c r="AJ56" s="2265"/>
      <c r="AK56" s="2265"/>
      <c r="AL56" s="2265"/>
      <c r="AM56" s="2265"/>
      <c r="AN56" s="2265"/>
      <c r="AO56" s="2266"/>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276" t="s">
        <v>1762</v>
      </c>
      <c r="C57" s="2277"/>
      <c r="D57" s="2277"/>
      <c r="E57" s="2277"/>
      <c r="F57" s="2277"/>
      <c r="G57" s="2277"/>
      <c r="H57" s="2277"/>
      <c r="I57" s="2277"/>
      <c r="J57" s="2277"/>
      <c r="K57" s="2277"/>
      <c r="L57" s="2277"/>
      <c r="M57" s="2277"/>
      <c r="N57" s="2277"/>
      <c r="O57" s="2277"/>
      <c r="P57" s="2277"/>
      <c r="Q57" s="2277"/>
      <c r="R57" s="2278">
        <f>SUM(R52:Y56)</f>
        <v>0</v>
      </c>
      <c r="S57" s="2278"/>
      <c r="T57" s="2278"/>
      <c r="U57" s="2278"/>
      <c r="V57" s="2278"/>
      <c r="W57" s="2278"/>
      <c r="X57" s="2278"/>
      <c r="Y57" s="2278"/>
      <c r="Z57" s="2279">
        <f>SUM(Z52:AG56)</f>
        <v>0</v>
      </c>
      <c r="AA57" s="2279"/>
      <c r="AB57" s="2279"/>
      <c r="AC57" s="2279"/>
      <c r="AD57" s="2279"/>
      <c r="AE57" s="2279"/>
      <c r="AF57" s="2279"/>
      <c r="AG57" s="2279"/>
      <c r="AH57" s="2280"/>
      <c r="AI57" s="2280"/>
      <c r="AJ57" s="2280"/>
      <c r="AK57" s="2280"/>
      <c r="AL57" s="2280"/>
      <c r="AM57" s="2280"/>
      <c r="AN57" s="2280"/>
      <c r="AO57" s="2281"/>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267" t="s">
        <v>1883</v>
      </c>
      <c r="C59" s="2268"/>
      <c r="D59" s="2268"/>
      <c r="E59" s="2268"/>
      <c r="F59" s="2268"/>
      <c r="G59" s="2268"/>
      <c r="H59" s="2268"/>
      <c r="I59" s="2269"/>
      <c r="J59" s="2193" t="s">
        <v>2580</v>
      </c>
      <c r="K59" s="2193"/>
      <c r="L59" s="2193"/>
      <c r="M59" s="2193"/>
      <c r="N59" s="2193"/>
      <c r="O59" s="2193"/>
      <c r="P59" s="2193"/>
      <c r="Q59" s="2193"/>
      <c r="R59" s="2193"/>
      <c r="S59" s="2193"/>
      <c r="T59" s="2193"/>
      <c r="U59" s="2193"/>
      <c r="V59" s="2193"/>
      <c r="W59" s="2193"/>
      <c r="X59" s="2193"/>
      <c r="Y59" s="2193"/>
      <c r="Z59" s="2193"/>
      <c r="AA59" s="2193"/>
      <c r="AB59" s="2193"/>
      <c r="AC59" s="2193"/>
      <c r="AD59" s="2193"/>
      <c r="AE59" s="2193"/>
      <c r="AF59" s="2193"/>
      <c r="AG59" s="2193"/>
      <c r="AH59" s="2193"/>
      <c r="AI59" s="2193"/>
      <c r="AJ59" s="2193"/>
      <c r="AK59" s="2193"/>
      <c r="AL59" s="2193"/>
      <c r="AM59" s="2193"/>
      <c r="AN59" s="2193"/>
      <c r="AO59" s="2193"/>
      <c r="AP59" s="2193"/>
      <c r="AQ59" s="2193"/>
      <c r="AR59" s="2193"/>
      <c r="AS59" s="2193"/>
      <c r="AT59" s="2193"/>
      <c r="AU59" s="2193"/>
      <c r="AV59" s="2193"/>
      <c r="AW59" s="2194"/>
      <c r="AX59" s="1207"/>
      <c r="AY59" s="1207"/>
      <c r="AZ59" s="1207"/>
      <c r="BA59" s="1207"/>
      <c r="BB59" s="1207"/>
      <c r="BC59" s="1207"/>
      <c r="BD59" s="1207"/>
      <c r="BE59" s="1213"/>
    </row>
    <row r="60" spans="1:58" ht="15.75" customHeight="1">
      <c r="A60" s="1207"/>
      <c r="B60" s="2270" t="str">
        <f>IF(B52="", "", B52)</f>
        <v>Services Company 1</v>
      </c>
      <c r="C60" s="2271"/>
      <c r="D60" s="2271"/>
      <c r="E60" s="2271"/>
      <c r="F60" s="2271"/>
      <c r="G60" s="2271"/>
      <c r="H60" s="2271"/>
      <c r="I60" s="2272"/>
      <c r="J60" s="2273"/>
      <c r="K60" s="2274"/>
      <c r="L60" s="2274"/>
      <c r="M60" s="2274"/>
      <c r="N60" s="2274"/>
      <c r="O60" s="2274"/>
      <c r="P60" s="2274"/>
      <c r="Q60" s="2274"/>
      <c r="R60" s="2274"/>
      <c r="S60" s="2274"/>
      <c r="T60" s="2274"/>
      <c r="U60" s="2274"/>
      <c r="V60" s="2274"/>
      <c r="W60" s="2274"/>
      <c r="X60" s="2274"/>
      <c r="Y60" s="2274"/>
      <c r="Z60" s="2274"/>
      <c r="AA60" s="2274"/>
      <c r="AB60" s="2274"/>
      <c r="AC60" s="2274"/>
      <c r="AD60" s="2274"/>
      <c r="AE60" s="2274"/>
      <c r="AF60" s="2274"/>
      <c r="AG60" s="2274"/>
      <c r="AH60" s="2274"/>
      <c r="AI60" s="2274"/>
      <c r="AJ60" s="2274"/>
      <c r="AK60" s="2274"/>
      <c r="AL60" s="2274"/>
      <c r="AM60" s="2274"/>
      <c r="AN60" s="2274"/>
      <c r="AO60" s="2274"/>
      <c r="AP60" s="2274"/>
      <c r="AQ60" s="2274"/>
      <c r="AR60" s="2274"/>
      <c r="AS60" s="2274"/>
      <c r="AT60" s="2274"/>
      <c r="AU60" s="2274"/>
      <c r="AV60" s="2274"/>
      <c r="AW60" s="2275"/>
      <c r="AX60" s="1207"/>
      <c r="AY60" s="1207"/>
      <c r="AZ60" s="1207"/>
      <c r="BA60" s="1207"/>
      <c r="BB60" s="1207"/>
      <c r="BC60" s="1207"/>
      <c r="BD60" s="1207"/>
      <c r="BE60" s="1213"/>
    </row>
    <row r="61" spans="1:58" ht="15.75" customHeight="1">
      <c r="A61" s="1207"/>
      <c r="B61" s="2270" t="str">
        <f>IF(B53="", "", B53)</f>
        <v>Services Company 2</v>
      </c>
      <c r="C61" s="2271"/>
      <c r="D61" s="2271"/>
      <c r="E61" s="2271"/>
      <c r="F61" s="2271"/>
      <c r="G61" s="2271"/>
      <c r="H61" s="2271"/>
      <c r="I61" s="2272"/>
      <c r="J61" s="2273"/>
      <c r="K61" s="2274"/>
      <c r="L61" s="2274"/>
      <c r="M61" s="2274"/>
      <c r="N61" s="2274"/>
      <c r="O61" s="2274"/>
      <c r="P61" s="2274"/>
      <c r="Q61" s="2274"/>
      <c r="R61" s="2274"/>
      <c r="S61" s="2274"/>
      <c r="T61" s="2274"/>
      <c r="U61" s="2274"/>
      <c r="V61" s="2274"/>
      <c r="W61" s="2274"/>
      <c r="X61" s="2274"/>
      <c r="Y61" s="2274"/>
      <c r="Z61" s="2274"/>
      <c r="AA61" s="2274"/>
      <c r="AB61" s="2274"/>
      <c r="AC61" s="2274"/>
      <c r="AD61" s="2274"/>
      <c r="AE61" s="2274"/>
      <c r="AF61" s="2274"/>
      <c r="AG61" s="2274"/>
      <c r="AH61" s="2274"/>
      <c r="AI61" s="2274"/>
      <c r="AJ61" s="2274"/>
      <c r="AK61" s="2274"/>
      <c r="AL61" s="2274"/>
      <c r="AM61" s="2274"/>
      <c r="AN61" s="2274"/>
      <c r="AO61" s="2274"/>
      <c r="AP61" s="2274"/>
      <c r="AQ61" s="2274"/>
      <c r="AR61" s="2274"/>
      <c r="AS61" s="2274"/>
      <c r="AT61" s="2274"/>
      <c r="AU61" s="2274"/>
      <c r="AV61" s="2274"/>
      <c r="AW61" s="2275"/>
      <c r="AX61" s="1207"/>
      <c r="AY61" s="1207"/>
      <c r="AZ61" s="1207"/>
      <c r="BA61" s="1207"/>
      <c r="BB61" s="1207"/>
      <c r="BC61" s="1207"/>
      <c r="BD61" s="1207"/>
      <c r="BE61" s="1213"/>
    </row>
    <row r="62" spans="1:58" ht="15.75" customHeight="1">
      <c r="A62" s="1207"/>
      <c r="B62" s="2270" t="str">
        <f>IF(B54="", "", B54)</f>
        <v/>
      </c>
      <c r="C62" s="2271"/>
      <c r="D62" s="2271"/>
      <c r="E62" s="2271"/>
      <c r="F62" s="2271"/>
      <c r="G62" s="2271"/>
      <c r="H62" s="2271"/>
      <c r="I62" s="2272"/>
      <c r="J62" s="2273"/>
      <c r="K62" s="2274"/>
      <c r="L62" s="2274"/>
      <c r="M62" s="2274"/>
      <c r="N62" s="2274"/>
      <c r="O62" s="2274"/>
      <c r="P62" s="2274"/>
      <c r="Q62" s="2274"/>
      <c r="R62" s="2274"/>
      <c r="S62" s="2274"/>
      <c r="T62" s="2274"/>
      <c r="U62" s="2274"/>
      <c r="V62" s="2274"/>
      <c r="W62" s="2274"/>
      <c r="X62" s="2274"/>
      <c r="Y62" s="2274"/>
      <c r="Z62" s="2274"/>
      <c r="AA62" s="2274"/>
      <c r="AB62" s="2274"/>
      <c r="AC62" s="2274"/>
      <c r="AD62" s="2274"/>
      <c r="AE62" s="2274"/>
      <c r="AF62" s="2274"/>
      <c r="AG62" s="2274"/>
      <c r="AH62" s="2274"/>
      <c r="AI62" s="2274"/>
      <c r="AJ62" s="2274"/>
      <c r="AK62" s="2274"/>
      <c r="AL62" s="2274"/>
      <c r="AM62" s="2274"/>
      <c r="AN62" s="2274"/>
      <c r="AO62" s="2274"/>
      <c r="AP62" s="2274"/>
      <c r="AQ62" s="2274"/>
      <c r="AR62" s="2274"/>
      <c r="AS62" s="2274"/>
      <c r="AT62" s="2274"/>
      <c r="AU62" s="2274"/>
      <c r="AV62" s="2274"/>
      <c r="AW62" s="2275"/>
      <c r="AX62" s="1207"/>
      <c r="AY62" s="1207"/>
      <c r="AZ62" s="1207"/>
      <c r="BA62" s="1207"/>
      <c r="BB62" s="1207"/>
      <c r="BC62" s="1207"/>
      <c r="BD62" s="1207"/>
      <c r="BE62" s="1213"/>
    </row>
    <row r="63" spans="1:58" ht="15.75" customHeight="1">
      <c r="A63" s="1207"/>
      <c r="B63" s="2270" t="str">
        <f>IF(B55="", "", B55)</f>
        <v/>
      </c>
      <c r="C63" s="2271"/>
      <c r="D63" s="2271"/>
      <c r="E63" s="2271"/>
      <c r="F63" s="2271"/>
      <c r="G63" s="2271"/>
      <c r="H63" s="2271"/>
      <c r="I63" s="2272"/>
      <c r="J63" s="2273"/>
      <c r="K63" s="2274"/>
      <c r="L63" s="2274"/>
      <c r="M63" s="2274"/>
      <c r="N63" s="2274"/>
      <c r="O63" s="2274"/>
      <c r="P63" s="2274"/>
      <c r="Q63" s="2274"/>
      <c r="R63" s="2274"/>
      <c r="S63" s="2274"/>
      <c r="T63" s="2274"/>
      <c r="U63" s="2274"/>
      <c r="V63" s="2274"/>
      <c r="W63" s="2274"/>
      <c r="X63" s="2274"/>
      <c r="Y63" s="2274"/>
      <c r="Z63" s="2274"/>
      <c r="AA63" s="2274"/>
      <c r="AB63" s="2274"/>
      <c r="AC63" s="2274"/>
      <c r="AD63" s="2274"/>
      <c r="AE63" s="2274"/>
      <c r="AF63" s="2274"/>
      <c r="AG63" s="2274"/>
      <c r="AH63" s="2274"/>
      <c r="AI63" s="2274"/>
      <c r="AJ63" s="2274"/>
      <c r="AK63" s="2274"/>
      <c r="AL63" s="2274"/>
      <c r="AM63" s="2274"/>
      <c r="AN63" s="2274"/>
      <c r="AO63" s="2274"/>
      <c r="AP63" s="2274"/>
      <c r="AQ63" s="2274"/>
      <c r="AR63" s="2274"/>
      <c r="AS63" s="2274"/>
      <c r="AT63" s="2274"/>
      <c r="AU63" s="2274"/>
      <c r="AV63" s="2274"/>
      <c r="AW63" s="2275"/>
      <c r="AX63" s="1207"/>
      <c r="AY63" s="1207"/>
      <c r="AZ63" s="1207"/>
      <c r="BA63" s="1207"/>
      <c r="BB63" s="1207"/>
      <c r="BC63" s="1207"/>
      <c r="BD63" s="1207"/>
      <c r="BE63" s="1213"/>
    </row>
    <row r="64" spans="1:58" ht="15.75" customHeight="1" thickBot="1">
      <c r="A64" s="1207"/>
      <c r="B64" s="2295" t="str">
        <f>IF(B56="", "", B56)</f>
        <v/>
      </c>
      <c r="C64" s="2296"/>
      <c r="D64" s="2296"/>
      <c r="E64" s="2296"/>
      <c r="F64" s="2296"/>
      <c r="G64" s="2296"/>
      <c r="H64" s="2296"/>
      <c r="I64" s="2297"/>
      <c r="J64" s="2298"/>
      <c r="K64" s="2299"/>
      <c r="L64" s="2299"/>
      <c r="M64" s="2299"/>
      <c r="N64" s="2299"/>
      <c r="O64" s="2299"/>
      <c r="P64" s="2299"/>
      <c r="Q64" s="2299"/>
      <c r="R64" s="2299"/>
      <c r="S64" s="2299"/>
      <c r="T64" s="2299"/>
      <c r="U64" s="2299"/>
      <c r="V64" s="2299"/>
      <c r="W64" s="2299"/>
      <c r="X64" s="2299"/>
      <c r="Y64" s="2299"/>
      <c r="Z64" s="2299"/>
      <c r="AA64" s="2299"/>
      <c r="AB64" s="2299"/>
      <c r="AC64" s="2299"/>
      <c r="AD64" s="2299"/>
      <c r="AE64" s="2299"/>
      <c r="AF64" s="2299"/>
      <c r="AG64" s="2299"/>
      <c r="AH64" s="2299"/>
      <c r="AI64" s="2299"/>
      <c r="AJ64" s="2299"/>
      <c r="AK64" s="2299"/>
      <c r="AL64" s="2299"/>
      <c r="AM64" s="2299"/>
      <c r="AN64" s="2299"/>
      <c r="AO64" s="2299"/>
      <c r="AP64" s="2299"/>
      <c r="AQ64" s="2299"/>
      <c r="AR64" s="2299"/>
      <c r="AS64" s="2299"/>
      <c r="AT64" s="2299"/>
      <c r="AU64" s="2299"/>
      <c r="AV64" s="2299"/>
      <c r="AW64" s="2300"/>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1886</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192" t="s">
        <v>1887</v>
      </c>
      <c r="C68" s="2193"/>
      <c r="D68" s="2193"/>
      <c r="E68" s="2193"/>
      <c r="F68" s="2193"/>
      <c r="G68" s="2193"/>
      <c r="H68" s="2193"/>
      <c r="I68" s="2193"/>
      <c r="J68" s="2193"/>
      <c r="K68" s="2193"/>
      <c r="L68" s="2193"/>
      <c r="M68" s="2193"/>
      <c r="N68" s="2193"/>
      <c r="O68" s="2193"/>
      <c r="P68" s="2193"/>
      <c r="Q68" s="2193"/>
      <c r="R68" s="2193"/>
      <c r="S68" s="2193"/>
      <c r="T68" s="2193"/>
      <c r="U68" s="2193"/>
      <c r="V68" s="2193"/>
      <c r="W68" s="2193"/>
      <c r="X68" s="2193"/>
      <c r="Y68" s="2193"/>
      <c r="Z68" s="2193"/>
      <c r="AA68" s="2194"/>
      <c r="AB68" s="1207"/>
      <c r="AC68" s="2307" t="s">
        <v>1888</v>
      </c>
      <c r="AD68" s="2308"/>
      <c r="AE68" s="2308"/>
      <c r="AF68" s="2308"/>
      <c r="AG68" s="2308"/>
      <c r="AH68" s="2308"/>
      <c r="AI68" s="2308"/>
      <c r="AJ68" s="2308"/>
      <c r="AK68" s="2308"/>
      <c r="AL68" s="2308"/>
      <c r="AM68" s="2308"/>
      <c r="AN68" s="2308"/>
      <c r="AO68" s="2308"/>
      <c r="AP68" s="2308"/>
      <c r="AQ68" s="2308"/>
      <c r="AR68" s="2308"/>
      <c r="AS68" s="2308"/>
      <c r="AT68" s="2308"/>
      <c r="AU68" s="2308"/>
      <c r="AV68" s="2282" t="s">
        <v>678</v>
      </c>
      <c r="AW68" s="2283"/>
      <c r="AX68" s="2283"/>
      <c r="AY68" s="2283"/>
      <c r="AZ68" s="2283"/>
      <c r="BA68" s="2283"/>
      <c r="BB68" s="2283"/>
      <c r="BC68" s="2284"/>
      <c r="BD68" s="1207"/>
      <c r="BE68" s="1213"/>
      <c r="BM68" s="1218" t="s">
        <v>2581</v>
      </c>
    </row>
    <row r="69" spans="1:65" ht="15.75" customHeight="1" thickTop="1" thickBot="1">
      <c r="A69" s="1207"/>
      <c r="B69" s="2285" t="s">
        <v>1889</v>
      </c>
      <c r="C69" s="2286"/>
      <c r="D69" s="2286"/>
      <c r="E69" s="2286"/>
      <c r="F69" s="2286"/>
      <c r="G69" s="2286"/>
      <c r="H69" s="2286"/>
      <c r="I69" s="2286"/>
      <c r="J69" s="2286"/>
      <c r="K69" s="2286"/>
      <c r="L69" s="2286"/>
      <c r="M69" s="2286"/>
      <c r="N69" s="2286"/>
      <c r="O69" s="2287" t="s">
        <v>1890</v>
      </c>
      <c r="P69" s="2288"/>
      <c r="Q69" s="2288"/>
      <c r="R69" s="2288"/>
      <c r="S69" s="2288"/>
      <c r="T69" s="2288"/>
      <c r="U69" s="2288"/>
      <c r="V69" s="2288"/>
      <c r="W69" s="2288"/>
      <c r="X69" s="2288"/>
      <c r="Y69" s="2288"/>
      <c r="Z69" s="2288"/>
      <c r="AA69" s="2289"/>
      <c r="AB69" s="1207"/>
      <c r="AC69" s="2290" t="s">
        <v>1891</v>
      </c>
      <c r="AD69" s="2291"/>
      <c r="AE69" s="2291"/>
      <c r="AF69" s="2291"/>
      <c r="AG69" s="2291"/>
      <c r="AH69" s="2291"/>
      <c r="AI69" s="2291"/>
      <c r="AJ69" s="2291"/>
      <c r="AK69" s="2291"/>
      <c r="AL69" s="2291"/>
      <c r="AM69" s="2291"/>
      <c r="AN69" s="2291"/>
      <c r="AO69" s="2291"/>
      <c r="AP69" s="2291"/>
      <c r="AQ69" s="2291"/>
      <c r="AR69" s="2291"/>
      <c r="AS69" s="2291"/>
      <c r="AT69" s="2291"/>
      <c r="AU69" s="2291"/>
      <c r="AV69" s="2292"/>
      <c r="AW69" s="2293"/>
      <c r="AX69" s="2293"/>
      <c r="AY69" s="2293"/>
      <c r="AZ69" s="2293"/>
      <c r="BA69" s="2293"/>
      <c r="BB69" s="2293"/>
      <c r="BC69" s="2294"/>
      <c r="BD69" s="1207"/>
      <c r="BE69" s="1213"/>
      <c r="BM69" s="1219" t="s">
        <v>554</v>
      </c>
    </row>
    <row r="70" spans="1:65" ht="15.75" customHeight="1">
      <c r="A70" s="1207"/>
      <c r="B70" s="2243" t="s">
        <v>2582</v>
      </c>
      <c r="C70" s="2244"/>
      <c r="D70" s="2244"/>
      <c r="E70" s="2244"/>
      <c r="F70" s="2244"/>
      <c r="G70" s="2244"/>
      <c r="H70" s="2244"/>
      <c r="I70" s="2244"/>
      <c r="J70" s="2244"/>
      <c r="K70" s="2244"/>
      <c r="L70" s="2244"/>
      <c r="M70" s="2244"/>
      <c r="N70" s="2244"/>
      <c r="O70" s="2301">
        <v>0</v>
      </c>
      <c r="P70" s="2301"/>
      <c r="Q70" s="2301"/>
      <c r="R70" s="2301"/>
      <c r="S70" s="2301"/>
      <c r="T70" s="2301"/>
      <c r="U70" s="2301"/>
      <c r="V70" s="2301"/>
      <c r="W70" s="2301"/>
      <c r="X70" s="2301"/>
      <c r="Y70" s="2301"/>
      <c r="Z70" s="2301"/>
      <c r="AA70" s="2302"/>
      <c r="AB70" s="1207"/>
      <c r="AC70" s="2230" t="s">
        <v>1892</v>
      </c>
      <c r="AD70" s="2231"/>
      <c r="AE70" s="2231"/>
      <c r="AF70" s="2303"/>
      <c r="AG70" s="2303"/>
      <c r="AH70" s="2303"/>
      <c r="AI70" s="2303"/>
      <c r="AJ70" s="2303"/>
      <c r="AK70" s="2303"/>
      <c r="AL70" s="2303"/>
      <c r="AM70" s="2303"/>
      <c r="AN70" s="2303"/>
      <c r="AO70" s="2303"/>
      <c r="AP70" s="2303"/>
      <c r="AQ70" s="2303"/>
      <c r="AR70" s="2303"/>
      <c r="AS70" s="2303"/>
      <c r="AT70" s="2303"/>
      <c r="AU70" s="2304"/>
      <c r="AV70" s="1207"/>
      <c r="AW70" s="1207"/>
      <c r="AX70" s="1207"/>
      <c r="AY70" s="1207"/>
      <c r="AZ70" s="1207"/>
      <c r="BA70" s="1207"/>
      <c r="BB70" s="1207"/>
      <c r="BC70" s="1207"/>
      <c r="BD70" s="1207"/>
      <c r="BE70" s="1213"/>
      <c r="BM70" s="1220" t="s">
        <v>678</v>
      </c>
    </row>
    <row r="71" spans="1:65" ht="15.75" customHeight="1" thickBot="1">
      <c r="A71" s="1207"/>
      <c r="B71" s="2243" t="s">
        <v>2583</v>
      </c>
      <c r="C71" s="2244"/>
      <c r="D71" s="2244"/>
      <c r="E71" s="2244"/>
      <c r="F71" s="2244"/>
      <c r="G71" s="2244"/>
      <c r="H71" s="2244"/>
      <c r="I71" s="2244"/>
      <c r="J71" s="2244"/>
      <c r="K71" s="2244"/>
      <c r="L71" s="2244"/>
      <c r="M71" s="2244"/>
      <c r="N71" s="2244"/>
      <c r="O71" s="2301">
        <v>0</v>
      </c>
      <c r="P71" s="2301"/>
      <c r="Q71" s="2301"/>
      <c r="R71" s="2301"/>
      <c r="S71" s="2301"/>
      <c r="T71" s="2301"/>
      <c r="U71" s="2301"/>
      <c r="V71" s="2301"/>
      <c r="W71" s="2301"/>
      <c r="X71" s="2301"/>
      <c r="Y71" s="2301"/>
      <c r="Z71" s="2301"/>
      <c r="AA71" s="2302"/>
      <c r="AB71" s="1207"/>
      <c r="AC71" s="2305" t="s">
        <v>1893</v>
      </c>
      <c r="AD71" s="2306"/>
      <c r="AE71" s="2306"/>
      <c r="AF71" s="2299"/>
      <c r="AG71" s="2299"/>
      <c r="AH71" s="2299"/>
      <c r="AI71" s="2299"/>
      <c r="AJ71" s="2299"/>
      <c r="AK71" s="2299"/>
      <c r="AL71" s="2299"/>
      <c r="AM71" s="2299"/>
      <c r="AN71" s="2299"/>
      <c r="AO71" s="2299"/>
      <c r="AP71" s="2299"/>
      <c r="AQ71" s="2299"/>
      <c r="AR71" s="2299"/>
      <c r="AS71" s="2299"/>
      <c r="AT71" s="2299"/>
      <c r="AU71" s="2300"/>
      <c r="AV71" s="1207"/>
      <c r="AW71" s="1207"/>
      <c r="AX71" s="1207"/>
      <c r="AY71" s="1207"/>
      <c r="AZ71" s="1207"/>
      <c r="BA71" s="1207"/>
      <c r="BB71" s="1207"/>
      <c r="BC71" s="1207"/>
      <c r="BD71" s="1207"/>
      <c r="BE71" s="1213"/>
      <c r="BM71" s="1204" t="s">
        <v>2584</v>
      </c>
    </row>
    <row r="72" spans="1:65" ht="15.75" customHeight="1">
      <c r="A72" s="1207"/>
      <c r="B72" s="2243" t="s">
        <v>2585</v>
      </c>
      <c r="C72" s="2244"/>
      <c r="D72" s="2244"/>
      <c r="E72" s="2244"/>
      <c r="F72" s="2244"/>
      <c r="G72" s="2244"/>
      <c r="H72" s="2244"/>
      <c r="I72" s="2244"/>
      <c r="J72" s="2244"/>
      <c r="K72" s="2244"/>
      <c r="L72" s="2244"/>
      <c r="M72" s="2244"/>
      <c r="N72" s="2244"/>
      <c r="O72" s="2301">
        <v>0</v>
      </c>
      <c r="P72" s="2301"/>
      <c r="Q72" s="2301"/>
      <c r="R72" s="2301"/>
      <c r="S72" s="2301"/>
      <c r="T72" s="2301"/>
      <c r="U72" s="2301"/>
      <c r="V72" s="2301"/>
      <c r="W72" s="2301"/>
      <c r="X72" s="2301"/>
      <c r="Y72" s="2301"/>
      <c r="Z72" s="2301"/>
      <c r="AA72" s="2302"/>
      <c r="AB72" s="1207"/>
      <c r="AC72" s="2309" t="s">
        <v>2586</v>
      </c>
      <c r="AD72" s="2310"/>
      <c r="AE72" s="2310"/>
      <c r="AF72" s="2310"/>
      <c r="AG72" s="2310"/>
      <c r="AH72" s="2310"/>
      <c r="AI72" s="2310"/>
      <c r="AJ72" s="2310"/>
      <c r="AK72" s="2310"/>
      <c r="AL72" s="2310"/>
      <c r="AM72" s="2310"/>
      <c r="AN72" s="2310"/>
      <c r="AO72" s="2310"/>
      <c r="AP72" s="2310"/>
      <c r="AQ72" s="2310"/>
      <c r="AR72" s="2310"/>
      <c r="AS72" s="2310"/>
      <c r="AT72" s="2310"/>
      <c r="AU72" s="2310"/>
      <c r="AV72" s="2231"/>
      <c r="AW72" s="2231"/>
      <c r="AX72" s="2231"/>
      <c r="AY72" s="2231"/>
      <c r="AZ72" s="2231"/>
      <c r="BA72" s="2231"/>
      <c r="BB72" s="2231"/>
      <c r="BC72" s="2232"/>
      <c r="BD72" s="1207"/>
      <c r="BE72" s="1213"/>
    </row>
    <row r="73" spans="1:65" ht="15.75" customHeight="1">
      <c r="A73" s="1207"/>
      <c r="B73" s="2250" t="s">
        <v>2587</v>
      </c>
      <c r="C73" s="2251"/>
      <c r="D73" s="2251"/>
      <c r="E73" s="2251"/>
      <c r="F73" s="2251"/>
      <c r="G73" s="2251"/>
      <c r="H73" s="2251"/>
      <c r="I73" s="2251"/>
      <c r="J73" s="2251"/>
      <c r="K73" s="2251"/>
      <c r="L73" s="2251"/>
      <c r="M73" s="2251"/>
      <c r="N73" s="2251"/>
      <c r="O73" s="2301">
        <v>0</v>
      </c>
      <c r="P73" s="2301"/>
      <c r="Q73" s="2301"/>
      <c r="R73" s="2301"/>
      <c r="S73" s="2301"/>
      <c r="T73" s="2301"/>
      <c r="U73" s="2301"/>
      <c r="V73" s="2301"/>
      <c r="W73" s="2301"/>
      <c r="X73" s="2301"/>
      <c r="Y73" s="2301"/>
      <c r="Z73" s="2301"/>
      <c r="AA73" s="2302"/>
      <c r="AB73" s="1207"/>
      <c r="AC73" s="2311" t="s">
        <v>2260</v>
      </c>
      <c r="AD73" s="2312"/>
      <c r="AE73" s="2312"/>
      <c r="AF73" s="2312"/>
      <c r="AG73" s="2312"/>
      <c r="AH73" s="2312"/>
      <c r="AI73" s="2312"/>
      <c r="AJ73" s="2312"/>
      <c r="AK73" s="2312"/>
      <c r="AL73" s="2312"/>
      <c r="AM73" s="2312"/>
      <c r="AN73" s="2312"/>
      <c r="AO73" s="2312"/>
      <c r="AP73" s="2312"/>
      <c r="AQ73" s="2312"/>
      <c r="AR73" s="2312"/>
      <c r="AS73" s="2312"/>
      <c r="AT73" s="2312"/>
      <c r="AU73" s="2312"/>
      <c r="AV73" s="2312"/>
      <c r="AW73" s="2312"/>
      <c r="AX73" s="2312"/>
      <c r="AY73" s="2312"/>
      <c r="AZ73" s="2312"/>
      <c r="BA73" s="2312"/>
      <c r="BB73" s="2312"/>
      <c r="BC73" s="2313"/>
      <c r="BD73" s="1207"/>
      <c r="BE73" s="1213"/>
    </row>
    <row r="74" spans="1:65" ht="15.75" customHeight="1">
      <c r="A74" s="1207"/>
      <c r="B74" s="2317"/>
      <c r="C74" s="2262"/>
      <c r="D74" s="2262"/>
      <c r="E74" s="2262"/>
      <c r="F74" s="2262"/>
      <c r="G74" s="2262"/>
      <c r="H74" s="2262"/>
      <c r="I74" s="2262"/>
      <c r="J74" s="2262"/>
      <c r="K74" s="2262"/>
      <c r="L74" s="2262"/>
      <c r="M74" s="2262"/>
      <c r="N74" s="2262"/>
      <c r="O74" s="2301"/>
      <c r="P74" s="2301"/>
      <c r="Q74" s="2301"/>
      <c r="R74" s="2301"/>
      <c r="S74" s="2301"/>
      <c r="T74" s="2301"/>
      <c r="U74" s="2301"/>
      <c r="V74" s="2301"/>
      <c r="W74" s="2301"/>
      <c r="X74" s="2301"/>
      <c r="Y74" s="2301"/>
      <c r="Z74" s="2301"/>
      <c r="AA74" s="2302"/>
      <c r="AB74" s="1207"/>
      <c r="AC74" s="2311"/>
      <c r="AD74" s="2312"/>
      <c r="AE74" s="2312"/>
      <c r="AF74" s="2312"/>
      <c r="AG74" s="2312"/>
      <c r="AH74" s="2312"/>
      <c r="AI74" s="2312"/>
      <c r="AJ74" s="2312"/>
      <c r="AK74" s="2312"/>
      <c r="AL74" s="2312"/>
      <c r="AM74" s="2312"/>
      <c r="AN74" s="2312"/>
      <c r="AO74" s="2312"/>
      <c r="AP74" s="2312"/>
      <c r="AQ74" s="2312"/>
      <c r="AR74" s="2312"/>
      <c r="AS74" s="2312"/>
      <c r="AT74" s="2312"/>
      <c r="AU74" s="2312"/>
      <c r="AV74" s="2312"/>
      <c r="AW74" s="2312"/>
      <c r="AX74" s="2312"/>
      <c r="AY74" s="2312"/>
      <c r="AZ74" s="2312"/>
      <c r="BA74" s="2312"/>
      <c r="BB74" s="2312"/>
      <c r="BC74" s="2313"/>
      <c r="BD74" s="1207"/>
      <c r="BE74" s="1213"/>
    </row>
    <row r="75" spans="1:65" ht="15.75" customHeight="1" thickBot="1">
      <c r="A75" s="1207"/>
      <c r="B75" s="2318" t="s">
        <v>125</v>
      </c>
      <c r="C75" s="2319"/>
      <c r="D75" s="2319"/>
      <c r="E75" s="2319"/>
      <c r="F75" s="2319"/>
      <c r="G75" s="2319"/>
      <c r="H75" s="2319"/>
      <c r="I75" s="2319"/>
      <c r="J75" s="2319"/>
      <c r="K75" s="2319"/>
      <c r="L75" s="2319"/>
      <c r="M75" s="2319"/>
      <c r="N75" s="2319"/>
      <c r="O75" s="2320">
        <f>SUM(O70:AA74)</f>
        <v>0</v>
      </c>
      <c r="P75" s="2320"/>
      <c r="Q75" s="2320"/>
      <c r="R75" s="2320"/>
      <c r="S75" s="2320"/>
      <c r="T75" s="2320"/>
      <c r="U75" s="2320"/>
      <c r="V75" s="2320"/>
      <c r="W75" s="2320"/>
      <c r="X75" s="2320"/>
      <c r="Y75" s="2320"/>
      <c r="Z75" s="2320"/>
      <c r="AA75" s="2321"/>
      <c r="AB75" s="1207"/>
      <c r="AC75" s="2311"/>
      <c r="AD75" s="2312"/>
      <c r="AE75" s="2312"/>
      <c r="AF75" s="2312"/>
      <c r="AG75" s="2312"/>
      <c r="AH75" s="2312"/>
      <c r="AI75" s="2312"/>
      <c r="AJ75" s="2312"/>
      <c r="AK75" s="2312"/>
      <c r="AL75" s="2312"/>
      <c r="AM75" s="2312"/>
      <c r="AN75" s="2312"/>
      <c r="AO75" s="2312"/>
      <c r="AP75" s="2312"/>
      <c r="AQ75" s="2312"/>
      <c r="AR75" s="2312"/>
      <c r="AS75" s="2312"/>
      <c r="AT75" s="2312"/>
      <c r="AU75" s="2312"/>
      <c r="AV75" s="2312"/>
      <c r="AW75" s="2312"/>
      <c r="AX75" s="2312"/>
      <c r="AY75" s="2312"/>
      <c r="AZ75" s="2312"/>
      <c r="BA75" s="2312"/>
      <c r="BB75" s="2312"/>
      <c r="BC75" s="2313"/>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311"/>
      <c r="AD76" s="2312"/>
      <c r="AE76" s="2312"/>
      <c r="AF76" s="2312"/>
      <c r="AG76" s="2312"/>
      <c r="AH76" s="2312"/>
      <c r="AI76" s="2312"/>
      <c r="AJ76" s="2312"/>
      <c r="AK76" s="2312"/>
      <c r="AL76" s="2312"/>
      <c r="AM76" s="2312"/>
      <c r="AN76" s="2312"/>
      <c r="AO76" s="2312"/>
      <c r="AP76" s="2312"/>
      <c r="AQ76" s="2312"/>
      <c r="AR76" s="2312"/>
      <c r="AS76" s="2312"/>
      <c r="AT76" s="2312"/>
      <c r="AU76" s="2312"/>
      <c r="AV76" s="2312"/>
      <c r="AW76" s="2312"/>
      <c r="AX76" s="2312"/>
      <c r="AY76" s="2312"/>
      <c r="AZ76" s="2312"/>
      <c r="BA76" s="2312"/>
      <c r="BB76" s="2312"/>
      <c r="BC76" s="2313"/>
      <c r="BD76" s="1207"/>
      <c r="BE76" s="1213"/>
    </row>
    <row r="77" spans="1:65" ht="15.75" customHeight="1" thickBot="1">
      <c r="A77" s="1207"/>
      <c r="B77" s="1221" t="s">
        <v>1894</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314"/>
      <c r="AD77" s="2315"/>
      <c r="AE77" s="2315"/>
      <c r="AF77" s="2315"/>
      <c r="AG77" s="2315"/>
      <c r="AH77" s="2315"/>
      <c r="AI77" s="2315"/>
      <c r="AJ77" s="2315"/>
      <c r="AK77" s="2315"/>
      <c r="AL77" s="2315"/>
      <c r="AM77" s="2315"/>
      <c r="AN77" s="2315"/>
      <c r="AO77" s="2315"/>
      <c r="AP77" s="2315"/>
      <c r="AQ77" s="2315"/>
      <c r="AR77" s="2315"/>
      <c r="AS77" s="2315"/>
      <c r="AT77" s="2315"/>
      <c r="AU77" s="2315"/>
      <c r="AV77" s="2315"/>
      <c r="AW77" s="2315"/>
      <c r="AX77" s="2315"/>
      <c r="AY77" s="2315"/>
      <c r="AZ77" s="2315"/>
      <c r="BA77" s="2315"/>
      <c r="BB77" s="2315"/>
      <c r="BC77" s="2316"/>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22" t="s">
        <v>2243</v>
      </c>
      <c r="C79" s="2323"/>
      <c r="D79" s="2323"/>
      <c r="E79" s="2323"/>
      <c r="F79" s="2323"/>
      <c r="G79" s="2323"/>
      <c r="H79" s="2323"/>
      <c r="I79" s="2323"/>
      <c r="J79" s="2323"/>
      <c r="K79" s="2323"/>
      <c r="L79" s="2323"/>
      <c r="M79" s="2323"/>
      <c r="N79" s="2323"/>
      <c r="O79" s="2323"/>
      <c r="P79" s="2323"/>
      <c r="Q79" s="2323"/>
      <c r="R79" s="2323"/>
      <c r="S79" s="2323"/>
      <c r="T79" s="2323"/>
      <c r="U79" s="2323"/>
      <c r="V79" s="2323"/>
      <c r="W79" s="2323"/>
      <c r="X79" s="2323"/>
      <c r="Y79" s="2323"/>
      <c r="Z79" s="2323"/>
      <c r="AA79" s="2323"/>
      <c r="AB79" s="2323"/>
      <c r="AC79" s="2323"/>
      <c r="AD79" s="2323"/>
      <c r="AE79" s="2323"/>
      <c r="AF79" s="2323"/>
      <c r="AG79" s="2323"/>
      <c r="AH79" s="2324"/>
      <c r="AI79" s="1207"/>
      <c r="AJ79" s="2325" t="s">
        <v>2588</v>
      </c>
      <c r="AK79" s="2326"/>
      <c r="AL79" s="2326"/>
      <c r="AM79" s="2326"/>
      <c r="AN79" s="2326"/>
      <c r="AO79" s="2326"/>
      <c r="AP79" s="2326"/>
      <c r="AQ79" s="2326"/>
      <c r="AR79" s="2326"/>
      <c r="AS79" s="2326"/>
      <c r="AT79" s="2326"/>
      <c r="AU79" s="2326"/>
      <c r="AV79" s="2326"/>
      <c r="AW79" s="2326"/>
      <c r="AX79" s="2326"/>
      <c r="AY79" s="2329" t="s">
        <v>554</v>
      </c>
      <c r="AZ79" s="2329"/>
      <c r="BA79" s="2329"/>
      <c r="BB79" s="2330"/>
      <c r="BC79" s="1207"/>
      <c r="BD79" s="1207"/>
      <c r="BE79" s="1213"/>
    </row>
    <row r="80" spans="1:65" ht="15.75" customHeight="1">
      <c r="A80" s="1207"/>
      <c r="B80" s="2258"/>
      <c r="C80" s="2259"/>
      <c r="D80" s="2259"/>
      <c r="E80" s="2259"/>
      <c r="F80" s="2259"/>
      <c r="G80" s="2259"/>
      <c r="H80" s="2259"/>
      <c r="I80" s="2259" t="s">
        <v>1895</v>
      </c>
      <c r="J80" s="2259"/>
      <c r="K80" s="2259"/>
      <c r="L80" s="2259"/>
      <c r="M80" s="2259"/>
      <c r="N80" s="2259"/>
      <c r="O80" s="2259" t="s">
        <v>1896</v>
      </c>
      <c r="P80" s="2259"/>
      <c r="Q80" s="2259"/>
      <c r="R80" s="2259"/>
      <c r="S80" s="2259"/>
      <c r="T80" s="2259"/>
      <c r="U80" s="2259"/>
      <c r="V80" s="2333" t="s">
        <v>2261</v>
      </c>
      <c r="W80" s="2333"/>
      <c r="X80" s="2333"/>
      <c r="Y80" s="2333"/>
      <c r="Z80" s="2333"/>
      <c r="AA80" s="2333"/>
      <c r="AB80" s="2238" t="s">
        <v>1897</v>
      </c>
      <c r="AC80" s="2238"/>
      <c r="AD80" s="2238"/>
      <c r="AE80" s="2238"/>
      <c r="AF80" s="2238"/>
      <c r="AG80" s="2238"/>
      <c r="AH80" s="2239"/>
      <c r="AI80" s="1207"/>
      <c r="AJ80" s="2327"/>
      <c r="AK80" s="2328"/>
      <c r="AL80" s="2328"/>
      <c r="AM80" s="2328"/>
      <c r="AN80" s="2328"/>
      <c r="AO80" s="2328"/>
      <c r="AP80" s="2328"/>
      <c r="AQ80" s="2328"/>
      <c r="AR80" s="2328"/>
      <c r="AS80" s="2328"/>
      <c r="AT80" s="2328"/>
      <c r="AU80" s="2328"/>
      <c r="AV80" s="2328"/>
      <c r="AW80" s="2328"/>
      <c r="AX80" s="2328"/>
      <c r="AY80" s="2331"/>
      <c r="AZ80" s="2331"/>
      <c r="BA80" s="2331"/>
      <c r="BB80" s="2332"/>
      <c r="BC80" s="1207"/>
      <c r="BD80" s="1207"/>
      <c r="BE80" s="1213"/>
    </row>
    <row r="81" spans="1:57" ht="15.75" customHeight="1">
      <c r="A81" s="1207"/>
      <c r="B81" s="2258"/>
      <c r="C81" s="2259"/>
      <c r="D81" s="2259"/>
      <c r="E81" s="2259"/>
      <c r="F81" s="2259"/>
      <c r="G81" s="2259"/>
      <c r="H81" s="2259"/>
      <c r="I81" s="2259"/>
      <c r="J81" s="2259"/>
      <c r="K81" s="2259"/>
      <c r="L81" s="2259"/>
      <c r="M81" s="2259"/>
      <c r="N81" s="2259"/>
      <c r="O81" s="2259"/>
      <c r="P81" s="2259"/>
      <c r="Q81" s="2259"/>
      <c r="R81" s="2259"/>
      <c r="S81" s="2259"/>
      <c r="T81" s="2259"/>
      <c r="U81" s="2259"/>
      <c r="V81" s="2333"/>
      <c r="W81" s="2333"/>
      <c r="X81" s="2333"/>
      <c r="Y81" s="2333"/>
      <c r="Z81" s="2333"/>
      <c r="AA81" s="2333"/>
      <c r="AB81" s="2238"/>
      <c r="AC81" s="2238"/>
      <c r="AD81" s="2238"/>
      <c r="AE81" s="2238"/>
      <c r="AF81" s="2238"/>
      <c r="AG81" s="2238"/>
      <c r="AH81" s="2239"/>
      <c r="AI81" s="1207"/>
      <c r="AJ81" s="2327"/>
      <c r="AK81" s="2328"/>
      <c r="AL81" s="2328"/>
      <c r="AM81" s="2328"/>
      <c r="AN81" s="2328"/>
      <c r="AO81" s="2328"/>
      <c r="AP81" s="2328"/>
      <c r="AQ81" s="2328"/>
      <c r="AR81" s="2328"/>
      <c r="AS81" s="2328"/>
      <c r="AT81" s="2328"/>
      <c r="AU81" s="2328"/>
      <c r="AV81" s="2328"/>
      <c r="AW81" s="2328"/>
      <c r="AX81" s="2328"/>
      <c r="AY81" s="2331"/>
      <c r="AZ81" s="2331"/>
      <c r="BA81" s="2331"/>
      <c r="BB81" s="2332"/>
      <c r="BC81" s="1207"/>
      <c r="BD81" s="1207"/>
      <c r="BE81" s="1213"/>
    </row>
    <row r="82" spans="1:57" ht="15.75" customHeight="1">
      <c r="A82" s="1207"/>
      <c r="B82" s="2258" t="s">
        <v>2244</v>
      </c>
      <c r="C82" s="2259"/>
      <c r="D82" s="2259"/>
      <c r="E82" s="2259"/>
      <c r="F82" s="2259"/>
      <c r="G82" s="2259"/>
      <c r="H82" s="2259"/>
      <c r="I82" s="2334">
        <v>0</v>
      </c>
      <c r="J82" s="2334"/>
      <c r="K82" s="2334"/>
      <c r="L82" s="2334"/>
      <c r="M82" s="2334"/>
      <c r="N82" s="2334"/>
      <c r="O82" s="2334">
        <v>0</v>
      </c>
      <c r="P82" s="2334"/>
      <c r="Q82" s="2334"/>
      <c r="R82" s="2334"/>
      <c r="S82" s="2334"/>
      <c r="T82" s="2334"/>
      <c r="U82" s="2334"/>
      <c r="V82" s="2334">
        <v>0</v>
      </c>
      <c r="W82" s="2334"/>
      <c r="X82" s="2334"/>
      <c r="Y82" s="2334"/>
      <c r="Z82" s="2334"/>
      <c r="AA82" s="2334"/>
      <c r="AB82" s="2334">
        <v>0</v>
      </c>
      <c r="AC82" s="2334"/>
      <c r="AD82" s="2334"/>
      <c r="AE82" s="2334"/>
      <c r="AF82" s="2334"/>
      <c r="AG82" s="2334"/>
      <c r="AH82" s="2343"/>
      <c r="AI82" s="1207"/>
      <c r="AJ82" s="2327"/>
      <c r="AK82" s="2328"/>
      <c r="AL82" s="2328"/>
      <c r="AM82" s="2328"/>
      <c r="AN82" s="2328"/>
      <c r="AO82" s="2328"/>
      <c r="AP82" s="2328"/>
      <c r="AQ82" s="2328"/>
      <c r="AR82" s="2328"/>
      <c r="AS82" s="2328"/>
      <c r="AT82" s="2328"/>
      <c r="AU82" s="2328"/>
      <c r="AV82" s="2328"/>
      <c r="AW82" s="2328"/>
      <c r="AX82" s="2328"/>
      <c r="AY82" s="2331"/>
      <c r="AZ82" s="2331"/>
      <c r="BA82" s="2331"/>
      <c r="BB82" s="2332"/>
      <c r="BC82" s="1207"/>
      <c r="BD82" s="1207"/>
      <c r="BE82" s="1213"/>
    </row>
    <row r="83" spans="1:57" ht="15.75" customHeight="1">
      <c r="A83" s="1207"/>
      <c r="B83" s="2258" t="s">
        <v>2245</v>
      </c>
      <c r="C83" s="2259"/>
      <c r="D83" s="2259"/>
      <c r="E83" s="2259"/>
      <c r="F83" s="2259"/>
      <c r="G83" s="2259"/>
      <c r="H83" s="2259"/>
      <c r="I83" s="2334">
        <v>0</v>
      </c>
      <c r="J83" s="2334"/>
      <c r="K83" s="2334"/>
      <c r="L83" s="2334"/>
      <c r="M83" s="2334"/>
      <c r="N83" s="2334"/>
      <c r="O83" s="2334">
        <v>0</v>
      </c>
      <c r="P83" s="2334"/>
      <c r="Q83" s="2334"/>
      <c r="R83" s="2334"/>
      <c r="S83" s="2334"/>
      <c r="T83" s="2334"/>
      <c r="U83" s="2334"/>
      <c r="V83" s="2334">
        <v>0</v>
      </c>
      <c r="W83" s="2334"/>
      <c r="X83" s="2334"/>
      <c r="Y83" s="2334"/>
      <c r="Z83" s="2334"/>
      <c r="AA83" s="2334"/>
      <c r="AB83" s="2334">
        <v>0</v>
      </c>
      <c r="AC83" s="2334"/>
      <c r="AD83" s="2334"/>
      <c r="AE83" s="2334"/>
      <c r="AF83" s="2334"/>
      <c r="AG83" s="2334"/>
      <c r="AH83" s="2343"/>
      <c r="AI83" s="1207"/>
      <c r="AJ83" s="2335" t="s">
        <v>2589</v>
      </c>
      <c r="AK83" s="2336"/>
      <c r="AL83" s="2336"/>
      <c r="AM83" s="2336"/>
      <c r="AN83" s="2336"/>
      <c r="AO83" s="2336"/>
      <c r="AP83" s="2336"/>
      <c r="AQ83" s="2336"/>
      <c r="AR83" s="2336"/>
      <c r="AS83" s="2336"/>
      <c r="AT83" s="2336"/>
      <c r="AU83" s="2336"/>
      <c r="AV83" s="2336"/>
      <c r="AW83" s="2336"/>
      <c r="AX83" s="2336"/>
      <c r="AY83" s="2336"/>
      <c r="AZ83" s="2336"/>
      <c r="BA83" s="2336"/>
      <c r="BB83" s="2337"/>
      <c r="BC83" s="1207"/>
      <c r="BD83" s="1207"/>
      <c r="BE83" s="1213"/>
    </row>
    <row r="84" spans="1:57" ht="15.75" customHeight="1" thickBot="1">
      <c r="A84" s="1207"/>
      <c r="B84" s="2276" t="s">
        <v>1898</v>
      </c>
      <c r="C84" s="2277"/>
      <c r="D84" s="2277"/>
      <c r="E84" s="2277"/>
      <c r="F84" s="2277"/>
      <c r="G84" s="2277"/>
      <c r="H84" s="2277"/>
      <c r="I84" s="2341">
        <v>0</v>
      </c>
      <c r="J84" s="2341"/>
      <c r="K84" s="2341"/>
      <c r="L84" s="2341"/>
      <c r="M84" s="2341"/>
      <c r="N84" s="2341"/>
      <c r="O84" s="2341">
        <v>0</v>
      </c>
      <c r="P84" s="2341"/>
      <c r="Q84" s="2341"/>
      <c r="R84" s="2341"/>
      <c r="S84" s="2341"/>
      <c r="T84" s="2341"/>
      <c r="U84" s="2341"/>
      <c r="V84" s="2341">
        <v>0</v>
      </c>
      <c r="W84" s="2341"/>
      <c r="X84" s="2341"/>
      <c r="Y84" s="2341"/>
      <c r="Z84" s="2341"/>
      <c r="AA84" s="2341"/>
      <c r="AB84" s="2341">
        <v>0</v>
      </c>
      <c r="AC84" s="2341"/>
      <c r="AD84" s="2341"/>
      <c r="AE84" s="2341"/>
      <c r="AF84" s="2341"/>
      <c r="AG84" s="2341"/>
      <c r="AH84" s="2342"/>
      <c r="AI84" s="1207"/>
      <c r="AJ84" s="2338"/>
      <c r="AK84" s="2339"/>
      <c r="AL84" s="2339"/>
      <c r="AM84" s="2339"/>
      <c r="AN84" s="2339"/>
      <c r="AO84" s="2339"/>
      <c r="AP84" s="2339"/>
      <c r="AQ84" s="2339"/>
      <c r="AR84" s="2339"/>
      <c r="AS84" s="2339"/>
      <c r="AT84" s="2339"/>
      <c r="AU84" s="2339"/>
      <c r="AV84" s="2339"/>
      <c r="AW84" s="2339"/>
      <c r="AX84" s="2339"/>
      <c r="AY84" s="2339"/>
      <c r="AZ84" s="2339"/>
      <c r="BA84" s="2339"/>
      <c r="BB84" s="2340"/>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1899</v>
      </c>
      <c r="P86" s="1207"/>
      <c r="Q86" s="1207"/>
      <c r="R86" s="1207"/>
      <c r="S86" s="1207" t="s">
        <v>252</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307" t="s">
        <v>1900</v>
      </c>
      <c r="C88" s="2308"/>
      <c r="D88" s="2308"/>
      <c r="E88" s="2308"/>
      <c r="F88" s="2308"/>
      <c r="G88" s="2308"/>
      <c r="H88" s="2308"/>
      <c r="I88" s="2308"/>
      <c r="J88" s="2308"/>
      <c r="K88" s="2308"/>
      <c r="L88" s="2308"/>
      <c r="M88" s="2308"/>
      <c r="N88" s="2308"/>
      <c r="O88" s="2308"/>
      <c r="P88" s="2308"/>
      <c r="Q88" s="2308"/>
      <c r="R88" s="2308"/>
      <c r="S88" s="2308"/>
      <c r="T88" s="2308"/>
      <c r="U88" s="2308"/>
      <c r="V88" s="2308"/>
      <c r="W88" s="2308"/>
      <c r="X88" s="2308"/>
      <c r="Y88" s="2308"/>
      <c r="Z88" s="2308"/>
      <c r="AA88" s="2308"/>
      <c r="AB88" s="2308"/>
      <c r="AC88" s="2308"/>
      <c r="AD88" s="2308"/>
      <c r="AE88" s="2308"/>
      <c r="AF88" s="2308"/>
      <c r="AG88" s="2308"/>
      <c r="AH88" s="2344"/>
      <c r="AI88" s="1207"/>
      <c r="AJ88" s="2325" t="s">
        <v>2590</v>
      </c>
      <c r="AK88" s="2326"/>
      <c r="AL88" s="2326"/>
      <c r="AM88" s="2326"/>
      <c r="AN88" s="2326"/>
      <c r="AO88" s="2326"/>
      <c r="AP88" s="2326"/>
      <c r="AQ88" s="2326"/>
      <c r="AR88" s="2326"/>
      <c r="AS88" s="2326"/>
      <c r="AT88" s="2326"/>
      <c r="AU88" s="2326"/>
      <c r="AV88" s="2326"/>
      <c r="AW88" s="2326"/>
      <c r="AX88" s="2326"/>
      <c r="AY88" s="2329" t="s">
        <v>554</v>
      </c>
      <c r="AZ88" s="2329"/>
      <c r="BA88" s="2329"/>
      <c r="BB88" s="2330"/>
      <c r="BC88" s="1207"/>
      <c r="BD88" s="1207"/>
      <c r="BE88" s="1213"/>
    </row>
    <row r="89" spans="1:57" ht="16.5" customHeight="1">
      <c r="A89" s="1207"/>
      <c r="B89" s="2258"/>
      <c r="C89" s="2259"/>
      <c r="D89" s="2259"/>
      <c r="E89" s="2259"/>
      <c r="F89" s="2259"/>
      <c r="G89" s="2259"/>
      <c r="H89" s="2259"/>
      <c r="I89" s="2259" t="s">
        <v>1895</v>
      </c>
      <c r="J89" s="2259"/>
      <c r="K89" s="2259"/>
      <c r="L89" s="2259"/>
      <c r="M89" s="2259"/>
      <c r="N89" s="2259"/>
      <c r="O89" s="2259" t="s">
        <v>1896</v>
      </c>
      <c r="P89" s="2259"/>
      <c r="Q89" s="2259"/>
      <c r="R89" s="2259"/>
      <c r="S89" s="2259"/>
      <c r="T89" s="2259"/>
      <c r="U89" s="2259"/>
      <c r="V89" s="2333" t="s">
        <v>2261</v>
      </c>
      <c r="W89" s="2333"/>
      <c r="X89" s="2333"/>
      <c r="Y89" s="2333"/>
      <c r="Z89" s="2333"/>
      <c r="AA89" s="2333"/>
      <c r="AB89" s="2238" t="s">
        <v>1897</v>
      </c>
      <c r="AC89" s="2238"/>
      <c r="AD89" s="2238"/>
      <c r="AE89" s="2238"/>
      <c r="AF89" s="2238"/>
      <c r="AG89" s="2238"/>
      <c r="AH89" s="2239"/>
      <c r="AI89" s="1207"/>
      <c r="AJ89" s="2327"/>
      <c r="AK89" s="2328"/>
      <c r="AL89" s="2328"/>
      <c r="AM89" s="2328"/>
      <c r="AN89" s="2328"/>
      <c r="AO89" s="2328"/>
      <c r="AP89" s="2328"/>
      <c r="AQ89" s="2328"/>
      <c r="AR89" s="2328"/>
      <c r="AS89" s="2328"/>
      <c r="AT89" s="2328"/>
      <c r="AU89" s="2328"/>
      <c r="AV89" s="2328"/>
      <c r="AW89" s="2328"/>
      <c r="AX89" s="2328"/>
      <c r="AY89" s="2331"/>
      <c r="AZ89" s="2331"/>
      <c r="BA89" s="2331"/>
      <c r="BB89" s="2332"/>
      <c r="BC89" s="1207"/>
      <c r="BD89" s="1207"/>
      <c r="BE89" s="1213"/>
    </row>
    <row r="90" spans="1:57" ht="16.5" customHeight="1">
      <c r="A90" s="1207"/>
      <c r="B90" s="2258"/>
      <c r="C90" s="2259"/>
      <c r="D90" s="2259"/>
      <c r="E90" s="2259"/>
      <c r="F90" s="2259"/>
      <c r="G90" s="2259"/>
      <c r="H90" s="2259"/>
      <c r="I90" s="2259"/>
      <c r="J90" s="2259"/>
      <c r="K90" s="2259"/>
      <c r="L90" s="2259"/>
      <c r="M90" s="2259"/>
      <c r="N90" s="2259"/>
      <c r="O90" s="2259"/>
      <c r="P90" s="2259"/>
      <c r="Q90" s="2259"/>
      <c r="R90" s="2259"/>
      <c r="S90" s="2259"/>
      <c r="T90" s="2259"/>
      <c r="U90" s="2259"/>
      <c r="V90" s="2333"/>
      <c r="W90" s="2333"/>
      <c r="X90" s="2333"/>
      <c r="Y90" s="2333"/>
      <c r="Z90" s="2333"/>
      <c r="AA90" s="2333"/>
      <c r="AB90" s="2238"/>
      <c r="AC90" s="2238"/>
      <c r="AD90" s="2238"/>
      <c r="AE90" s="2238"/>
      <c r="AF90" s="2238"/>
      <c r="AG90" s="2238"/>
      <c r="AH90" s="2239"/>
      <c r="AI90" s="1207"/>
      <c r="AJ90" s="2327"/>
      <c r="AK90" s="2328"/>
      <c r="AL90" s="2328"/>
      <c r="AM90" s="2328"/>
      <c r="AN90" s="2328"/>
      <c r="AO90" s="2328"/>
      <c r="AP90" s="2328"/>
      <c r="AQ90" s="2328"/>
      <c r="AR90" s="2328"/>
      <c r="AS90" s="2328"/>
      <c r="AT90" s="2328"/>
      <c r="AU90" s="2328"/>
      <c r="AV90" s="2328"/>
      <c r="AW90" s="2328"/>
      <c r="AX90" s="2328"/>
      <c r="AY90" s="2331"/>
      <c r="AZ90" s="2331"/>
      <c r="BA90" s="2331"/>
      <c r="BB90" s="2332"/>
      <c r="BC90" s="1207"/>
      <c r="BD90" s="1207"/>
      <c r="BE90" s="1213"/>
    </row>
    <row r="91" spans="1:57" ht="15.75" customHeight="1">
      <c r="A91" s="1207"/>
      <c r="B91" s="2258" t="s">
        <v>2244</v>
      </c>
      <c r="C91" s="2259"/>
      <c r="D91" s="2259"/>
      <c r="E91" s="2259"/>
      <c r="F91" s="2259"/>
      <c r="G91" s="2259"/>
      <c r="H91" s="2259"/>
      <c r="I91" s="2334">
        <v>0</v>
      </c>
      <c r="J91" s="2334"/>
      <c r="K91" s="2334"/>
      <c r="L91" s="2334"/>
      <c r="M91" s="2334"/>
      <c r="N91" s="2334"/>
      <c r="O91" s="2334">
        <v>0</v>
      </c>
      <c r="P91" s="2334"/>
      <c r="Q91" s="2334"/>
      <c r="R91" s="2334"/>
      <c r="S91" s="2334"/>
      <c r="T91" s="2334"/>
      <c r="U91" s="2334"/>
      <c r="V91" s="2334">
        <v>0</v>
      </c>
      <c r="W91" s="2334"/>
      <c r="X91" s="2334"/>
      <c r="Y91" s="2334"/>
      <c r="Z91" s="2334"/>
      <c r="AA91" s="2334"/>
      <c r="AB91" s="2334">
        <v>0</v>
      </c>
      <c r="AC91" s="2334"/>
      <c r="AD91" s="2334"/>
      <c r="AE91" s="2334"/>
      <c r="AF91" s="2334"/>
      <c r="AG91" s="2334"/>
      <c r="AH91" s="2343"/>
      <c r="AI91" s="1207"/>
      <c r="AJ91" s="2327"/>
      <c r="AK91" s="2328"/>
      <c r="AL91" s="2328"/>
      <c r="AM91" s="2328"/>
      <c r="AN91" s="2328"/>
      <c r="AO91" s="2328"/>
      <c r="AP91" s="2328"/>
      <c r="AQ91" s="2328"/>
      <c r="AR91" s="2328"/>
      <c r="AS91" s="2328"/>
      <c r="AT91" s="2328"/>
      <c r="AU91" s="2328"/>
      <c r="AV91" s="2328"/>
      <c r="AW91" s="2328"/>
      <c r="AX91" s="2328"/>
      <c r="AY91" s="2331"/>
      <c r="AZ91" s="2331"/>
      <c r="BA91" s="2331"/>
      <c r="BB91" s="2332"/>
      <c r="BC91" s="1207"/>
      <c r="BD91" s="1207"/>
      <c r="BE91" s="1213"/>
    </row>
    <row r="92" spans="1:57" ht="15.75" customHeight="1">
      <c r="A92" s="1207"/>
      <c r="B92" s="2258" t="s">
        <v>2245</v>
      </c>
      <c r="C92" s="2259"/>
      <c r="D92" s="2259"/>
      <c r="E92" s="2259"/>
      <c r="F92" s="2259"/>
      <c r="G92" s="2259"/>
      <c r="H92" s="2259"/>
      <c r="I92" s="2334">
        <v>0</v>
      </c>
      <c r="J92" s="2334"/>
      <c r="K92" s="2334"/>
      <c r="L92" s="2334"/>
      <c r="M92" s="2334"/>
      <c r="N92" s="2334"/>
      <c r="O92" s="2334">
        <v>0</v>
      </c>
      <c r="P92" s="2334"/>
      <c r="Q92" s="2334"/>
      <c r="R92" s="2334"/>
      <c r="S92" s="2334"/>
      <c r="T92" s="2334"/>
      <c r="U92" s="2334"/>
      <c r="V92" s="2334">
        <v>0</v>
      </c>
      <c r="W92" s="2334"/>
      <c r="X92" s="2334"/>
      <c r="Y92" s="2334"/>
      <c r="Z92" s="2334"/>
      <c r="AA92" s="2334"/>
      <c r="AB92" s="2334">
        <v>0</v>
      </c>
      <c r="AC92" s="2334"/>
      <c r="AD92" s="2334"/>
      <c r="AE92" s="2334"/>
      <c r="AF92" s="2334"/>
      <c r="AG92" s="2334"/>
      <c r="AH92" s="2343"/>
      <c r="AI92" s="1207"/>
      <c r="AJ92" s="2335" t="s">
        <v>2262</v>
      </c>
      <c r="AK92" s="2336"/>
      <c r="AL92" s="2336"/>
      <c r="AM92" s="2336"/>
      <c r="AN92" s="2336"/>
      <c r="AO92" s="2336"/>
      <c r="AP92" s="2336"/>
      <c r="AQ92" s="2336"/>
      <c r="AR92" s="2336"/>
      <c r="AS92" s="2336"/>
      <c r="AT92" s="2336"/>
      <c r="AU92" s="2336"/>
      <c r="AV92" s="2336"/>
      <c r="AW92" s="2336"/>
      <c r="AX92" s="2336"/>
      <c r="AY92" s="2336"/>
      <c r="AZ92" s="2336"/>
      <c r="BA92" s="2336"/>
      <c r="BB92" s="2337"/>
      <c r="BC92" s="1207"/>
      <c r="BD92" s="1207"/>
      <c r="BE92" s="1213"/>
    </row>
    <row r="93" spans="1:57" ht="15.75" customHeight="1" thickBot="1">
      <c r="A93" s="1207"/>
      <c r="B93" s="2276" t="s">
        <v>1898</v>
      </c>
      <c r="C93" s="2277"/>
      <c r="D93" s="2277"/>
      <c r="E93" s="2277"/>
      <c r="F93" s="2277"/>
      <c r="G93" s="2277"/>
      <c r="H93" s="2277"/>
      <c r="I93" s="2341">
        <v>0</v>
      </c>
      <c r="J93" s="2341"/>
      <c r="K93" s="2341"/>
      <c r="L93" s="2341"/>
      <c r="M93" s="2341"/>
      <c r="N93" s="2341"/>
      <c r="O93" s="2341">
        <v>0</v>
      </c>
      <c r="P93" s="2341"/>
      <c r="Q93" s="2341"/>
      <c r="R93" s="2341"/>
      <c r="S93" s="2341"/>
      <c r="T93" s="2341"/>
      <c r="U93" s="2341"/>
      <c r="V93" s="2341">
        <v>0</v>
      </c>
      <c r="W93" s="2341"/>
      <c r="X93" s="2341"/>
      <c r="Y93" s="2341"/>
      <c r="Z93" s="2341"/>
      <c r="AA93" s="2341"/>
      <c r="AB93" s="2341">
        <v>0</v>
      </c>
      <c r="AC93" s="2341"/>
      <c r="AD93" s="2341"/>
      <c r="AE93" s="2341"/>
      <c r="AF93" s="2341"/>
      <c r="AG93" s="2341"/>
      <c r="AH93" s="2342"/>
      <c r="AI93" s="1207"/>
      <c r="AJ93" s="2338"/>
      <c r="AK93" s="2339"/>
      <c r="AL93" s="2339"/>
      <c r="AM93" s="2339"/>
      <c r="AN93" s="2339"/>
      <c r="AO93" s="2339"/>
      <c r="AP93" s="2339"/>
      <c r="AQ93" s="2339"/>
      <c r="AR93" s="2339"/>
      <c r="AS93" s="2339"/>
      <c r="AT93" s="2339"/>
      <c r="AU93" s="2339"/>
      <c r="AV93" s="2339"/>
      <c r="AW93" s="2339"/>
      <c r="AX93" s="2339"/>
      <c r="AY93" s="2339"/>
      <c r="AZ93" s="2339"/>
      <c r="BA93" s="2339"/>
      <c r="BB93" s="2340"/>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252</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1901</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25" t="s">
        <v>2246</v>
      </c>
      <c r="Y96" s="2326"/>
      <c r="Z96" s="2326"/>
      <c r="AA96" s="2326"/>
      <c r="AB96" s="2326"/>
      <c r="AC96" s="2326"/>
      <c r="AD96" s="2326"/>
      <c r="AE96" s="2326"/>
      <c r="AF96" s="2326"/>
      <c r="AG96" s="2326"/>
      <c r="AH96" s="2326"/>
      <c r="AI96" s="2326"/>
      <c r="AJ96" s="2326"/>
      <c r="AK96" s="2326"/>
      <c r="AL96" s="2326"/>
      <c r="AM96" s="2326"/>
      <c r="AN96" s="2326"/>
      <c r="AO96" s="2326"/>
      <c r="AP96" s="2326"/>
      <c r="AQ96" s="2326"/>
      <c r="AR96" s="2326"/>
      <c r="AS96" s="2326"/>
      <c r="AT96" s="2326"/>
      <c r="AU96" s="2326"/>
      <c r="AV96" s="2326"/>
      <c r="AW96" s="2326"/>
      <c r="AX96" s="2326"/>
      <c r="AY96" s="2326"/>
      <c r="AZ96" s="2326"/>
      <c r="BA96" s="2326"/>
      <c r="BB96" s="2326"/>
      <c r="BC96" s="2326"/>
      <c r="BD96" s="2351"/>
      <c r="BE96" s="1213"/>
    </row>
    <row r="97" spans="1:57" ht="15.75" customHeight="1">
      <c r="A97" s="1207"/>
      <c r="B97" s="2353" t="s">
        <v>1752</v>
      </c>
      <c r="C97" s="2354"/>
      <c r="D97" s="2354"/>
      <c r="E97" s="2354"/>
      <c r="F97" s="2354"/>
      <c r="G97" s="2354"/>
      <c r="H97" s="2354"/>
      <c r="I97" s="2354"/>
      <c r="J97" s="2354"/>
      <c r="K97" s="2354"/>
      <c r="L97" s="2354"/>
      <c r="M97" s="2354"/>
      <c r="N97" s="2354"/>
      <c r="O97" s="2354"/>
      <c r="P97" s="2354"/>
      <c r="Q97" s="2354"/>
      <c r="R97" s="2354"/>
      <c r="S97" s="2354"/>
      <c r="T97" s="2354"/>
      <c r="U97" s="2355"/>
      <c r="V97" s="1207"/>
      <c r="W97" s="1207"/>
      <c r="X97" s="2327"/>
      <c r="Y97" s="2328"/>
      <c r="Z97" s="2328"/>
      <c r="AA97" s="2328"/>
      <c r="AB97" s="2328"/>
      <c r="AC97" s="2328"/>
      <c r="AD97" s="2328"/>
      <c r="AE97" s="2328"/>
      <c r="AF97" s="2328"/>
      <c r="AG97" s="2328"/>
      <c r="AH97" s="2328"/>
      <c r="AI97" s="2328"/>
      <c r="AJ97" s="2328"/>
      <c r="AK97" s="2328"/>
      <c r="AL97" s="2328"/>
      <c r="AM97" s="2328"/>
      <c r="AN97" s="2328"/>
      <c r="AO97" s="2328"/>
      <c r="AP97" s="2328"/>
      <c r="AQ97" s="2328"/>
      <c r="AR97" s="2328"/>
      <c r="AS97" s="2328"/>
      <c r="AT97" s="2328"/>
      <c r="AU97" s="2328"/>
      <c r="AV97" s="2328"/>
      <c r="AW97" s="2328"/>
      <c r="AX97" s="2328"/>
      <c r="AY97" s="2328"/>
      <c r="AZ97" s="2328"/>
      <c r="BA97" s="2328"/>
      <c r="BB97" s="2328"/>
      <c r="BC97" s="2328"/>
      <c r="BD97" s="2352"/>
      <c r="BE97" s="1213"/>
    </row>
    <row r="98" spans="1:57" ht="15.75" customHeight="1">
      <c r="A98" s="1207"/>
      <c r="B98" s="2347"/>
      <c r="C98" s="2348"/>
      <c r="D98" s="2348"/>
      <c r="E98" s="2348"/>
      <c r="F98" s="2348"/>
      <c r="G98" s="2348"/>
      <c r="H98" s="2348"/>
      <c r="I98" s="2259" t="s">
        <v>2247</v>
      </c>
      <c r="J98" s="2259"/>
      <c r="K98" s="2259"/>
      <c r="L98" s="2259"/>
      <c r="M98" s="2259"/>
      <c r="N98" s="2259"/>
      <c r="O98" s="2356" t="s">
        <v>2248</v>
      </c>
      <c r="P98" s="2356"/>
      <c r="Q98" s="2356"/>
      <c r="R98" s="2356"/>
      <c r="S98" s="2356"/>
      <c r="T98" s="2356"/>
      <c r="U98" s="2357"/>
      <c r="V98" s="1207"/>
      <c r="W98" s="1207"/>
      <c r="X98" s="2311" t="s">
        <v>2260</v>
      </c>
      <c r="Y98" s="2312"/>
      <c r="Z98" s="2312"/>
      <c r="AA98" s="2312"/>
      <c r="AB98" s="2312"/>
      <c r="AC98" s="2312"/>
      <c r="AD98" s="2312"/>
      <c r="AE98" s="2312"/>
      <c r="AF98" s="2312"/>
      <c r="AG98" s="2312"/>
      <c r="AH98" s="2312"/>
      <c r="AI98" s="2312"/>
      <c r="AJ98" s="2312"/>
      <c r="AK98" s="2312"/>
      <c r="AL98" s="2312"/>
      <c r="AM98" s="2312"/>
      <c r="AN98" s="2312"/>
      <c r="AO98" s="2312"/>
      <c r="AP98" s="2312"/>
      <c r="AQ98" s="2312"/>
      <c r="AR98" s="2312"/>
      <c r="AS98" s="2312"/>
      <c r="AT98" s="2312"/>
      <c r="AU98" s="2312"/>
      <c r="AV98" s="2312"/>
      <c r="AW98" s="2312"/>
      <c r="AX98" s="2312"/>
      <c r="AY98" s="2312"/>
      <c r="AZ98" s="2312"/>
      <c r="BA98" s="2312"/>
      <c r="BB98" s="2312"/>
      <c r="BC98" s="2312"/>
      <c r="BD98" s="2313"/>
      <c r="BE98" s="1213"/>
    </row>
    <row r="99" spans="1:57" ht="15.75" customHeight="1">
      <c r="A99" s="1207"/>
      <c r="B99" s="2358" t="s">
        <v>2249</v>
      </c>
      <c r="C99" s="2359"/>
      <c r="D99" s="2359"/>
      <c r="E99" s="2359"/>
      <c r="F99" s="2359"/>
      <c r="G99" s="2359"/>
      <c r="H99" s="2359"/>
      <c r="I99" s="2334">
        <v>0</v>
      </c>
      <c r="J99" s="2334"/>
      <c r="K99" s="2334"/>
      <c r="L99" s="2334"/>
      <c r="M99" s="2334"/>
      <c r="N99" s="2334"/>
      <c r="O99" s="2334">
        <v>0</v>
      </c>
      <c r="P99" s="2334"/>
      <c r="Q99" s="2334"/>
      <c r="R99" s="2334"/>
      <c r="S99" s="2334"/>
      <c r="T99" s="2334"/>
      <c r="U99" s="2343"/>
      <c r="V99" s="1207"/>
      <c r="W99" s="1207"/>
      <c r="X99" s="2311"/>
      <c r="Y99" s="2312"/>
      <c r="Z99" s="2312"/>
      <c r="AA99" s="2312"/>
      <c r="AB99" s="2312"/>
      <c r="AC99" s="2312"/>
      <c r="AD99" s="2312"/>
      <c r="AE99" s="2312"/>
      <c r="AF99" s="2312"/>
      <c r="AG99" s="2312"/>
      <c r="AH99" s="2312"/>
      <c r="AI99" s="2312"/>
      <c r="AJ99" s="2312"/>
      <c r="AK99" s="2312"/>
      <c r="AL99" s="2312"/>
      <c r="AM99" s="2312"/>
      <c r="AN99" s="2312"/>
      <c r="AO99" s="2312"/>
      <c r="AP99" s="2312"/>
      <c r="AQ99" s="2312"/>
      <c r="AR99" s="2312"/>
      <c r="AS99" s="2312"/>
      <c r="AT99" s="2312"/>
      <c r="AU99" s="2312"/>
      <c r="AV99" s="2312"/>
      <c r="AW99" s="2312"/>
      <c r="AX99" s="2312"/>
      <c r="AY99" s="2312"/>
      <c r="AZ99" s="2312"/>
      <c r="BA99" s="2312"/>
      <c r="BB99" s="2312"/>
      <c r="BC99" s="2312"/>
      <c r="BD99" s="2313"/>
      <c r="BE99" s="1213"/>
    </row>
    <row r="100" spans="1:57" ht="15.75" customHeight="1" thickBot="1">
      <c r="A100" s="1207"/>
      <c r="B100" s="2360" t="s">
        <v>2250</v>
      </c>
      <c r="C100" s="2361"/>
      <c r="D100" s="2361"/>
      <c r="E100" s="2361"/>
      <c r="F100" s="2361"/>
      <c r="G100" s="2361"/>
      <c r="H100" s="2361"/>
      <c r="I100" s="2341">
        <v>0</v>
      </c>
      <c r="J100" s="2341"/>
      <c r="K100" s="2341"/>
      <c r="L100" s="2341"/>
      <c r="M100" s="2341"/>
      <c r="N100" s="2341"/>
      <c r="O100" s="2345"/>
      <c r="P100" s="2345"/>
      <c r="Q100" s="2345"/>
      <c r="R100" s="2345"/>
      <c r="S100" s="2345"/>
      <c r="T100" s="2345"/>
      <c r="U100" s="2346"/>
      <c r="V100" s="1207"/>
      <c r="W100" s="1207"/>
      <c r="X100" s="2311"/>
      <c r="Y100" s="2312"/>
      <c r="Z100" s="2312"/>
      <c r="AA100" s="2312"/>
      <c r="AB100" s="2312"/>
      <c r="AC100" s="2312"/>
      <c r="AD100" s="2312"/>
      <c r="AE100" s="2312"/>
      <c r="AF100" s="2312"/>
      <c r="AG100" s="2312"/>
      <c r="AH100" s="2312"/>
      <c r="AI100" s="2312"/>
      <c r="AJ100" s="2312"/>
      <c r="AK100" s="2312"/>
      <c r="AL100" s="2312"/>
      <c r="AM100" s="2312"/>
      <c r="AN100" s="2312"/>
      <c r="AO100" s="2312"/>
      <c r="AP100" s="2312"/>
      <c r="AQ100" s="2312"/>
      <c r="AR100" s="2312"/>
      <c r="AS100" s="2312"/>
      <c r="AT100" s="2312"/>
      <c r="AU100" s="2312"/>
      <c r="AV100" s="2312"/>
      <c r="AW100" s="2312"/>
      <c r="AX100" s="2312"/>
      <c r="AY100" s="2312"/>
      <c r="AZ100" s="2312"/>
      <c r="BA100" s="2312"/>
      <c r="BB100" s="2312"/>
      <c r="BC100" s="2312"/>
      <c r="BD100" s="2313"/>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311"/>
      <c r="Y101" s="2312"/>
      <c r="Z101" s="2312"/>
      <c r="AA101" s="2312"/>
      <c r="AB101" s="2312"/>
      <c r="AC101" s="2312"/>
      <c r="AD101" s="2312"/>
      <c r="AE101" s="2312"/>
      <c r="AF101" s="2312"/>
      <c r="AG101" s="2312"/>
      <c r="AH101" s="2312"/>
      <c r="AI101" s="2312"/>
      <c r="AJ101" s="2312"/>
      <c r="AK101" s="2312"/>
      <c r="AL101" s="2312"/>
      <c r="AM101" s="2312"/>
      <c r="AN101" s="2312"/>
      <c r="AO101" s="2312"/>
      <c r="AP101" s="2312"/>
      <c r="AQ101" s="2312"/>
      <c r="AR101" s="2312"/>
      <c r="AS101" s="2312"/>
      <c r="AT101" s="2312"/>
      <c r="AU101" s="2312"/>
      <c r="AV101" s="2312"/>
      <c r="AW101" s="2312"/>
      <c r="AX101" s="2312"/>
      <c r="AY101" s="2312"/>
      <c r="AZ101" s="2312"/>
      <c r="BA101" s="2312"/>
      <c r="BB101" s="2312"/>
      <c r="BC101" s="2312"/>
      <c r="BD101" s="2313"/>
      <c r="BE101" s="1213"/>
    </row>
    <row r="102" spans="1:57" ht="15.75" customHeight="1">
      <c r="A102" s="1207"/>
      <c r="B102" s="1221" t="s">
        <v>1902</v>
      </c>
      <c r="C102" s="1221"/>
      <c r="D102" s="1221"/>
      <c r="E102" s="1221"/>
      <c r="F102" s="1221"/>
      <c r="G102" s="1221"/>
      <c r="H102" s="1221"/>
      <c r="I102" s="1221"/>
      <c r="J102" s="1221"/>
      <c r="K102" s="1221"/>
      <c r="L102" s="1221"/>
      <c r="M102" s="1221"/>
      <c r="N102" s="1221"/>
      <c r="O102" s="1221"/>
      <c r="P102" s="1221"/>
      <c r="Q102" s="1214" t="s">
        <v>252</v>
      </c>
      <c r="R102" s="1214" t="s">
        <v>252</v>
      </c>
      <c r="S102" s="1207"/>
      <c r="T102" s="1207"/>
      <c r="U102" s="1207"/>
      <c r="V102" s="1207" t="s">
        <v>252</v>
      </c>
      <c r="W102" s="1207"/>
      <c r="X102" s="2311"/>
      <c r="Y102" s="2312"/>
      <c r="Z102" s="2312"/>
      <c r="AA102" s="2312"/>
      <c r="AB102" s="2312"/>
      <c r="AC102" s="2312"/>
      <c r="AD102" s="2312"/>
      <c r="AE102" s="2312"/>
      <c r="AF102" s="2312"/>
      <c r="AG102" s="2312"/>
      <c r="AH102" s="2312"/>
      <c r="AI102" s="2312"/>
      <c r="AJ102" s="2312"/>
      <c r="AK102" s="2312"/>
      <c r="AL102" s="2312"/>
      <c r="AM102" s="2312"/>
      <c r="AN102" s="2312"/>
      <c r="AO102" s="2312"/>
      <c r="AP102" s="2312"/>
      <c r="AQ102" s="2312"/>
      <c r="AR102" s="2312"/>
      <c r="AS102" s="2312"/>
      <c r="AT102" s="2312"/>
      <c r="AU102" s="2312"/>
      <c r="AV102" s="2312"/>
      <c r="AW102" s="2312"/>
      <c r="AX102" s="2312"/>
      <c r="AY102" s="2312"/>
      <c r="AZ102" s="2312"/>
      <c r="BA102" s="2312"/>
      <c r="BB102" s="2312"/>
      <c r="BC102" s="2312"/>
      <c r="BD102" s="2313"/>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311"/>
      <c r="Y103" s="2312"/>
      <c r="Z103" s="2312"/>
      <c r="AA103" s="2312"/>
      <c r="AB103" s="2312"/>
      <c r="AC103" s="2312"/>
      <c r="AD103" s="2312"/>
      <c r="AE103" s="2312"/>
      <c r="AF103" s="2312"/>
      <c r="AG103" s="2312"/>
      <c r="AH103" s="2312"/>
      <c r="AI103" s="2312"/>
      <c r="AJ103" s="2312"/>
      <c r="AK103" s="2312"/>
      <c r="AL103" s="2312"/>
      <c r="AM103" s="2312"/>
      <c r="AN103" s="2312"/>
      <c r="AO103" s="2312"/>
      <c r="AP103" s="2312"/>
      <c r="AQ103" s="2312"/>
      <c r="AR103" s="2312"/>
      <c r="AS103" s="2312"/>
      <c r="AT103" s="2312"/>
      <c r="AU103" s="2312"/>
      <c r="AV103" s="2312"/>
      <c r="AW103" s="2312"/>
      <c r="AX103" s="2312"/>
      <c r="AY103" s="2312"/>
      <c r="AZ103" s="2312"/>
      <c r="BA103" s="2312"/>
      <c r="BB103" s="2312"/>
      <c r="BC103" s="2312"/>
      <c r="BD103" s="2313"/>
      <c r="BE103" s="1213"/>
    </row>
    <row r="104" spans="1:57" ht="15.75" customHeight="1">
      <c r="A104" s="1207"/>
      <c r="B104" s="2192" t="s">
        <v>1903</v>
      </c>
      <c r="C104" s="2193"/>
      <c r="D104" s="2193"/>
      <c r="E104" s="2193"/>
      <c r="F104" s="2193"/>
      <c r="G104" s="2193"/>
      <c r="H104" s="2193"/>
      <c r="I104" s="2193"/>
      <c r="J104" s="2193"/>
      <c r="K104" s="2193"/>
      <c r="L104" s="2193"/>
      <c r="M104" s="2193"/>
      <c r="N104" s="2193"/>
      <c r="O104" s="2193"/>
      <c r="P104" s="2193"/>
      <c r="Q104" s="2193"/>
      <c r="R104" s="2193"/>
      <c r="S104" s="2193"/>
      <c r="T104" s="2193"/>
      <c r="U104" s="2194"/>
      <c r="V104" s="1207"/>
      <c r="W104" s="1207"/>
      <c r="X104" s="2311"/>
      <c r="Y104" s="2312"/>
      <c r="Z104" s="2312"/>
      <c r="AA104" s="2312"/>
      <c r="AB104" s="2312"/>
      <c r="AC104" s="2312"/>
      <c r="AD104" s="2312"/>
      <c r="AE104" s="2312"/>
      <c r="AF104" s="2312"/>
      <c r="AG104" s="2312"/>
      <c r="AH104" s="2312"/>
      <c r="AI104" s="2312"/>
      <c r="AJ104" s="2312"/>
      <c r="AK104" s="2312"/>
      <c r="AL104" s="2312"/>
      <c r="AM104" s="2312"/>
      <c r="AN104" s="2312"/>
      <c r="AO104" s="2312"/>
      <c r="AP104" s="2312"/>
      <c r="AQ104" s="2312"/>
      <c r="AR104" s="2312"/>
      <c r="AS104" s="2312"/>
      <c r="AT104" s="2312"/>
      <c r="AU104" s="2312"/>
      <c r="AV104" s="2312"/>
      <c r="AW104" s="2312"/>
      <c r="AX104" s="2312"/>
      <c r="AY104" s="2312"/>
      <c r="AZ104" s="2312"/>
      <c r="BA104" s="2312"/>
      <c r="BB104" s="2312"/>
      <c r="BC104" s="2312"/>
      <c r="BD104" s="2313"/>
      <c r="BE104" s="1213"/>
    </row>
    <row r="105" spans="1:57" ht="15.75" customHeight="1">
      <c r="A105" s="1207"/>
      <c r="B105" s="2347"/>
      <c r="C105" s="2348"/>
      <c r="D105" s="2348"/>
      <c r="E105" s="2348"/>
      <c r="F105" s="2348"/>
      <c r="G105" s="2348"/>
      <c r="H105" s="2348"/>
      <c r="I105" s="2349" t="s">
        <v>1896</v>
      </c>
      <c r="J105" s="2349"/>
      <c r="K105" s="2349"/>
      <c r="L105" s="2349"/>
      <c r="M105" s="2349"/>
      <c r="N105" s="2349"/>
      <c r="O105" s="2349"/>
      <c r="P105" s="2349" t="s">
        <v>2261</v>
      </c>
      <c r="Q105" s="2349"/>
      <c r="R105" s="2349"/>
      <c r="S105" s="2349"/>
      <c r="T105" s="2349"/>
      <c r="U105" s="2350"/>
      <c r="V105" s="1207"/>
      <c r="W105" s="1207"/>
      <c r="X105" s="2311"/>
      <c r="Y105" s="2312"/>
      <c r="Z105" s="2312"/>
      <c r="AA105" s="2312"/>
      <c r="AB105" s="2312"/>
      <c r="AC105" s="2312"/>
      <c r="AD105" s="2312"/>
      <c r="AE105" s="2312"/>
      <c r="AF105" s="2312"/>
      <c r="AG105" s="2312"/>
      <c r="AH105" s="2312"/>
      <c r="AI105" s="2312"/>
      <c r="AJ105" s="2312"/>
      <c r="AK105" s="2312"/>
      <c r="AL105" s="2312"/>
      <c r="AM105" s="2312"/>
      <c r="AN105" s="2312"/>
      <c r="AO105" s="2312"/>
      <c r="AP105" s="2312"/>
      <c r="AQ105" s="2312"/>
      <c r="AR105" s="2312"/>
      <c r="AS105" s="2312"/>
      <c r="AT105" s="2312"/>
      <c r="AU105" s="2312"/>
      <c r="AV105" s="2312"/>
      <c r="AW105" s="2312"/>
      <c r="AX105" s="2312"/>
      <c r="AY105" s="2312"/>
      <c r="AZ105" s="2312"/>
      <c r="BA105" s="2312"/>
      <c r="BB105" s="2312"/>
      <c r="BC105" s="2312"/>
      <c r="BD105" s="2313"/>
      <c r="BE105" s="1213"/>
    </row>
    <row r="106" spans="1:57" ht="15.75" customHeight="1">
      <c r="A106" s="1207"/>
      <c r="B106" s="2347"/>
      <c r="C106" s="2348"/>
      <c r="D106" s="2348"/>
      <c r="E106" s="2348"/>
      <c r="F106" s="2348"/>
      <c r="G106" s="2348"/>
      <c r="H106" s="2348"/>
      <c r="I106" s="2349"/>
      <c r="J106" s="2349"/>
      <c r="K106" s="2349"/>
      <c r="L106" s="2349"/>
      <c r="M106" s="2349"/>
      <c r="N106" s="2349"/>
      <c r="O106" s="2349"/>
      <c r="P106" s="2349"/>
      <c r="Q106" s="2349"/>
      <c r="R106" s="2349"/>
      <c r="S106" s="2349"/>
      <c r="T106" s="2349"/>
      <c r="U106" s="2350"/>
      <c r="V106" s="1207"/>
      <c r="W106" s="1207"/>
      <c r="X106" s="2311"/>
      <c r="Y106" s="2312"/>
      <c r="Z106" s="2312"/>
      <c r="AA106" s="2312"/>
      <c r="AB106" s="2312"/>
      <c r="AC106" s="2312"/>
      <c r="AD106" s="2312"/>
      <c r="AE106" s="2312"/>
      <c r="AF106" s="2312"/>
      <c r="AG106" s="2312"/>
      <c r="AH106" s="2312"/>
      <c r="AI106" s="2312"/>
      <c r="AJ106" s="2312"/>
      <c r="AK106" s="2312"/>
      <c r="AL106" s="2312"/>
      <c r="AM106" s="2312"/>
      <c r="AN106" s="2312"/>
      <c r="AO106" s="2312"/>
      <c r="AP106" s="2312"/>
      <c r="AQ106" s="2312"/>
      <c r="AR106" s="2312"/>
      <c r="AS106" s="2312"/>
      <c r="AT106" s="2312"/>
      <c r="AU106" s="2312"/>
      <c r="AV106" s="2312"/>
      <c r="AW106" s="2312"/>
      <c r="AX106" s="2312"/>
      <c r="AY106" s="2312"/>
      <c r="AZ106" s="2312"/>
      <c r="BA106" s="2312"/>
      <c r="BB106" s="2312"/>
      <c r="BC106" s="2312"/>
      <c r="BD106" s="2313"/>
      <c r="BE106" s="1213"/>
    </row>
    <row r="107" spans="1:57" ht="15.75" customHeight="1">
      <c r="A107" s="1207"/>
      <c r="B107" s="2358" t="s">
        <v>2249</v>
      </c>
      <c r="C107" s="2359"/>
      <c r="D107" s="2359"/>
      <c r="E107" s="2359"/>
      <c r="F107" s="2359"/>
      <c r="G107" s="2359"/>
      <c r="H107" s="2359"/>
      <c r="I107" s="2334">
        <v>0</v>
      </c>
      <c r="J107" s="2334"/>
      <c r="K107" s="2334"/>
      <c r="L107" s="2334"/>
      <c r="M107" s="2334"/>
      <c r="N107" s="2334"/>
      <c r="O107" s="2334"/>
      <c r="P107" s="2334">
        <v>0</v>
      </c>
      <c r="Q107" s="2334"/>
      <c r="R107" s="2334"/>
      <c r="S107" s="2334"/>
      <c r="T107" s="2334"/>
      <c r="U107" s="2343"/>
      <c r="V107" s="1207"/>
      <c r="W107" s="1207"/>
      <c r="X107" s="2311"/>
      <c r="Y107" s="2312"/>
      <c r="Z107" s="2312"/>
      <c r="AA107" s="2312"/>
      <c r="AB107" s="2312"/>
      <c r="AC107" s="2312"/>
      <c r="AD107" s="2312"/>
      <c r="AE107" s="2312"/>
      <c r="AF107" s="2312"/>
      <c r="AG107" s="2312"/>
      <c r="AH107" s="2312"/>
      <c r="AI107" s="2312"/>
      <c r="AJ107" s="2312"/>
      <c r="AK107" s="2312"/>
      <c r="AL107" s="2312"/>
      <c r="AM107" s="2312"/>
      <c r="AN107" s="2312"/>
      <c r="AO107" s="2312"/>
      <c r="AP107" s="2312"/>
      <c r="AQ107" s="2312"/>
      <c r="AR107" s="2312"/>
      <c r="AS107" s="2312"/>
      <c r="AT107" s="2312"/>
      <c r="AU107" s="2312"/>
      <c r="AV107" s="2312"/>
      <c r="AW107" s="2312"/>
      <c r="AX107" s="2312"/>
      <c r="AY107" s="2312"/>
      <c r="AZ107" s="2312"/>
      <c r="BA107" s="2312"/>
      <c r="BB107" s="2312"/>
      <c r="BC107" s="2312"/>
      <c r="BD107" s="2313"/>
      <c r="BE107" s="1213"/>
    </row>
    <row r="108" spans="1:57" ht="15.75" customHeight="1" thickBot="1">
      <c r="A108" s="1207"/>
      <c r="B108" s="2360" t="s">
        <v>2250</v>
      </c>
      <c r="C108" s="2361"/>
      <c r="D108" s="2361"/>
      <c r="E108" s="2361"/>
      <c r="F108" s="2361"/>
      <c r="G108" s="2361"/>
      <c r="H108" s="2361"/>
      <c r="I108" s="2341">
        <v>0</v>
      </c>
      <c r="J108" s="2341"/>
      <c r="K108" s="2341"/>
      <c r="L108" s="2341"/>
      <c r="M108" s="2341"/>
      <c r="N108" s="2341"/>
      <c r="O108" s="2341"/>
      <c r="P108" s="2341">
        <v>0</v>
      </c>
      <c r="Q108" s="2341"/>
      <c r="R108" s="2341"/>
      <c r="S108" s="2341"/>
      <c r="T108" s="2341"/>
      <c r="U108" s="2342"/>
      <c r="V108" s="1207"/>
      <c r="W108" s="1207"/>
      <c r="X108" s="2314"/>
      <c r="Y108" s="2315"/>
      <c r="Z108" s="2315"/>
      <c r="AA108" s="2315"/>
      <c r="AB108" s="2315"/>
      <c r="AC108" s="2315"/>
      <c r="AD108" s="2315"/>
      <c r="AE108" s="2315"/>
      <c r="AF108" s="2315"/>
      <c r="AG108" s="2315"/>
      <c r="AH108" s="2315"/>
      <c r="AI108" s="2315"/>
      <c r="AJ108" s="2315"/>
      <c r="AK108" s="2315"/>
      <c r="AL108" s="2315"/>
      <c r="AM108" s="2315"/>
      <c r="AN108" s="2315"/>
      <c r="AO108" s="2315"/>
      <c r="AP108" s="2315"/>
      <c r="AQ108" s="2315"/>
      <c r="AR108" s="2315"/>
      <c r="AS108" s="2315"/>
      <c r="AT108" s="2315"/>
      <c r="AU108" s="2315"/>
      <c r="AV108" s="2315"/>
      <c r="AW108" s="2315"/>
      <c r="AX108" s="2315"/>
      <c r="AY108" s="2315"/>
      <c r="AZ108" s="2315"/>
      <c r="BA108" s="2315"/>
      <c r="BB108" s="2315"/>
      <c r="BC108" s="2315"/>
      <c r="BD108" s="2316"/>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362" t="s">
        <v>1904</v>
      </c>
      <c r="C110" s="2363"/>
      <c r="D110" s="2363"/>
      <c r="E110" s="2363"/>
      <c r="F110" s="2363"/>
      <c r="G110" s="2363"/>
      <c r="H110" s="2363"/>
      <c r="I110" s="2363"/>
      <c r="J110" s="2363"/>
      <c r="K110" s="2363"/>
      <c r="L110" s="2363"/>
      <c r="M110" s="2363"/>
      <c r="N110" s="2363"/>
      <c r="O110" s="2363"/>
      <c r="P110" s="2363"/>
      <c r="Q110" s="2363"/>
      <c r="R110" s="2363"/>
      <c r="S110" s="2363"/>
      <c r="T110" s="2363"/>
      <c r="U110" s="2363"/>
      <c r="V110" s="2363"/>
      <c r="W110" s="2363"/>
      <c r="X110" s="2363"/>
      <c r="Y110" s="2363"/>
      <c r="Z110" s="2363"/>
      <c r="AA110" s="2363"/>
      <c r="AB110" s="2363"/>
      <c r="AC110" s="2363"/>
      <c r="AD110" s="2363"/>
      <c r="AE110" s="2363"/>
      <c r="AF110" s="2363"/>
      <c r="AG110" s="2363"/>
      <c r="AH110" s="2283" t="s">
        <v>554</v>
      </c>
      <c r="AI110" s="2283"/>
      <c r="AJ110" s="2283"/>
      <c r="AK110" s="2283"/>
      <c r="AL110" s="2283"/>
      <c r="AM110" s="2283"/>
      <c r="AN110" s="2283"/>
      <c r="AO110" s="2283"/>
      <c r="AP110" s="2283"/>
      <c r="AQ110" s="2283"/>
      <c r="AR110" s="2283"/>
      <c r="AS110" s="2283"/>
      <c r="AT110" s="2283"/>
      <c r="AU110" s="2283"/>
      <c r="AV110" s="2283"/>
      <c r="AW110" s="2283"/>
      <c r="AX110" s="2284"/>
      <c r="AY110" s="1207"/>
      <c r="AZ110" s="1207"/>
      <c r="BA110" s="1207"/>
      <c r="BB110" s="1207"/>
      <c r="BC110" s="1207"/>
      <c r="BD110" s="1207"/>
      <c r="BE110" s="1213"/>
    </row>
    <row r="111" spans="1:57" ht="15.75" customHeight="1">
      <c r="A111" s="1207"/>
      <c r="B111" s="2364" t="s">
        <v>1905</v>
      </c>
      <c r="C111" s="2365"/>
      <c r="D111" s="2365"/>
      <c r="E111" s="2365"/>
      <c r="F111" s="2365"/>
      <c r="G111" s="2365"/>
      <c r="H111" s="2365"/>
      <c r="I111" s="2365"/>
      <c r="J111" s="2365"/>
      <c r="K111" s="2365"/>
      <c r="L111" s="2365"/>
      <c r="M111" s="2365"/>
      <c r="N111" s="2365"/>
      <c r="O111" s="2365"/>
      <c r="P111" s="2365"/>
      <c r="Q111" s="2365"/>
      <c r="R111" s="2366" t="s">
        <v>2263</v>
      </c>
      <c r="S111" s="2366"/>
      <c r="T111" s="2366"/>
      <c r="U111" s="2366"/>
      <c r="V111" s="2366"/>
      <c r="W111" s="2366"/>
      <c r="X111" s="2366"/>
      <c r="Y111" s="2366"/>
      <c r="Z111" s="2366"/>
      <c r="AA111" s="2366"/>
      <c r="AB111" s="2366"/>
      <c r="AC111" s="2366"/>
      <c r="AD111" s="2366"/>
      <c r="AE111" s="2366"/>
      <c r="AF111" s="2366"/>
      <c r="AG111" s="2366"/>
      <c r="AH111" s="2366"/>
      <c r="AI111" s="2366"/>
      <c r="AJ111" s="2366"/>
      <c r="AK111" s="2366"/>
      <c r="AL111" s="2366"/>
      <c r="AM111" s="2366"/>
      <c r="AN111" s="2366"/>
      <c r="AO111" s="2366"/>
      <c r="AP111" s="2366"/>
      <c r="AQ111" s="2366"/>
      <c r="AR111" s="2366"/>
      <c r="AS111" s="2366"/>
      <c r="AT111" s="2366"/>
      <c r="AU111" s="2366"/>
      <c r="AV111" s="2366"/>
      <c r="AW111" s="2366"/>
      <c r="AX111" s="2367"/>
      <c r="AY111" s="1207"/>
      <c r="AZ111" s="1207"/>
      <c r="BA111" s="1207"/>
      <c r="BB111" s="1207"/>
      <c r="BC111" s="1207" t="s">
        <v>252</v>
      </c>
      <c r="BD111" s="1207"/>
      <c r="BE111" s="1213"/>
    </row>
    <row r="112" spans="1:57" ht="15.75" customHeight="1">
      <c r="A112" s="1207"/>
      <c r="B112" s="2368" t="s">
        <v>2264</v>
      </c>
      <c r="C112" s="2369"/>
      <c r="D112" s="2369"/>
      <c r="E112" s="2369"/>
      <c r="F112" s="2369"/>
      <c r="G112" s="2369"/>
      <c r="H112" s="2369"/>
      <c r="I112" s="2369"/>
      <c r="J112" s="2369"/>
      <c r="K112" s="2369"/>
      <c r="L112" s="2369"/>
      <c r="M112" s="2369"/>
      <c r="N112" s="2369"/>
      <c r="O112" s="2369"/>
      <c r="P112" s="2369"/>
      <c r="Q112" s="2369"/>
      <c r="R112" s="2369"/>
      <c r="S112" s="2369"/>
      <c r="T112" s="2369"/>
      <c r="U112" s="2369"/>
      <c r="V112" s="2369"/>
      <c r="W112" s="2369"/>
      <c r="X112" s="2369"/>
      <c r="Y112" s="2369"/>
      <c r="Z112" s="2369"/>
      <c r="AA112" s="2369"/>
      <c r="AB112" s="2369"/>
      <c r="AC112" s="2369"/>
      <c r="AD112" s="2369"/>
      <c r="AE112" s="2369"/>
      <c r="AF112" s="2369"/>
      <c r="AG112" s="2369"/>
      <c r="AH112" s="2369"/>
      <c r="AI112" s="2369"/>
      <c r="AJ112" s="2369"/>
      <c r="AK112" s="2369"/>
      <c r="AL112" s="2369"/>
      <c r="AM112" s="2369"/>
      <c r="AN112" s="2369"/>
      <c r="AO112" s="2369"/>
      <c r="AP112" s="2369"/>
      <c r="AQ112" s="2369"/>
      <c r="AR112" s="2369"/>
      <c r="AS112" s="2369"/>
      <c r="AT112" s="2369"/>
      <c r="AU112" s="2369"/>
      <c r="AV112" s="2369"/>
      <c r="AW112" s="2369"/>
      <c r="AX112" s="2370"/>
      <c r="AY112" s="1207"/>
      <c r="AZ112" s="1207"/>
      <c r="BA112" s="1207"/>
      <c r="BB112" s="1207"/>
      <c r="BC112" s="1207"/>
      <c r="BD112" s="1207"/>
      <c r="BE112" s="1213"/>
    </row>
    <row r="113" spans="1:57" ht="15.75" customHeight="1">
      <c r="A113" s="1207"/>
      <c r="B113" s="2368"/>
      <c r="C113" s="2369"/>
      <c r="D113" s="2369"/>
      <c r="E113" s="2369"/>
      <c r="F113" s="2369"/>
      <c r="G113" s="2369"/>
      <c r="H113" s="2369"/>
      <c r="I113" s="2369"/>
      <c r="J113" s="2369"/>
      <c r="K113" s="2369"/>
      <c r="L113" s="2369"/>
      <c r="M113" s="2369"/>
      <c r="N113" s="2369"/>
      <c r="O113" s="2369"/>
      <c r="P113" s="2369"/>
      <c r="Q113" s="2369"/>
      <c r="R113" s="2369"/>
      <c r="S113" s="2369"/>
      <c r="T113" s="2369"/>
      <c r="U113" s="2369"/>
      <c r="V113" s="2369"/>
      <c r="W113" s="2369"/>
      <c r="X113" s="2369"/>
      <c r="Y113" s="2369"/>
      <c r="Z113" s="2369"/>
      <c r="AA113" s="2369"/>
      <c r="AB113" s="2369"/>
      <c r="AC113" s="2369"/>
      <c r="AD113" s="2369"/>
      <c r="AE113" s="2369"/>
      <c r="AF113" s="2369"/>
      <c r="AG113" s="2369"/>
      <c r="AH113" s="2369"/>
      <c r="AI113" s="2369"/>
      <c r="AJ113" s="2369"/>
      <c r="AK113" s="2369"/>
      <c r="AL113" s="2369"/>
      <c r="AM113" s="2369"/>
      <c r="AN113" s="2369"/>
      <c r="AO113" s="2369"/>
      <c r="AP113" s="2369"/>
      <c r="AQ113" s="2369"/>
      <c r="AR113" s="2369"/>
      <c r="AS113" s="2369"/>
      <c r="AT113" s="2369"/>
      <c r="AU113" s="2369"/>
      <c r="AV113" s="2369"/>
      <c r="AW113" s="2369"/>
      <c r="AX113" s="2370"/>
      <c r="AY113" s="1207"/>
      <c r="AZ113" s="1207"/>
      <c r="BA113" s="1207"/>
      <c r="BB113" s="1207"/>
      <c r="BC113" s="1207"/>
      <c r="BD113" s="1207"/>
      <c r="BE113" s="1213"/>
    </row>
    <row r="114" spans="1:57" ht="15.75" customHeight="1">
      <c r="A114" s="1207"/>
      <c r="B114" s="2368"/>
      <c r="C114" s="2369"/>
      <c r="D114" s="2369"/>
      <c r="E114" s="2369"/>
      <c r="F114" s="2369"/>
      <c r="G114" s="2369"/>
      <c r="H114" s="2369"/>
      <c r="I114" s="2369"/>
      <c r="J114" s="2369"/>
      <c r="K114" s="2369"/>
      <c r="L114" s="2369"/>
      <c r="M114" s="2369"/>
      <c r="N114" s="2369"/>
      <c r="O114" s="2369"/>
      <c r="P114" s="2369"/>
      <c r="Q114" s="2369"/>
      <c r="R114" s="2369"/>
      <c r="S114" s="2369"/>
      <c r="T114" s="2369"/>
      <c r="U114" s="2369"/>
      <c r="V114" s="2369"/>
      <c r="W114" s="2369"/>
      <c r="X114" s="2369"/>
      <c r="Y114" s="2369"/>
      <c r="Z114" s="2369"/>
      <c r="AA114" s="2369"/>
      <c r="AB114" s="2369"/>
      <c r="AC114" s="2369"/>
      <c r="AD114" s="2369"/>
      <c r="AE114" s="2369"/>
      <c r="AF114" s="2369"/>
      <c r="AG114" s="2369"/>
      <c r="AH114" s="2369"/>
      <c r="AI114" s="2369"/>
      <c r="AJ114" s="2369"/>
      <c r="AK114" s="2369"/>
      <c r="AL114" s="2369"/>
      <c r="AM114" s="2369"/>
      <c r="AN114" s="2369"/>
      <c r="AO114" s="2369"/>
      <c r="AP114" s="2369"/>
      <c r="AQ114" s="2369"/>
      <c r="AR114" s="2369"/>
      <c r="AS114" s="2369"/>
      <c r="AT114" s="2369"/>
      <c r="AU114" s="2369"/>
      <c r="AV114" s="2369"/>
      <c r="AW114" s="2369"/>
      <c r="AX114" s="2370"/>
      <c r="AY114" s="1207"/>
      <c r="AZ114" s="1207"/>
      <c r="BA114" s="1207"/>
      <c r="BB114" s="1207"/>
      <c r="BC114" s="1207"/>
      <c r="BD114" s="1207"/>
      <c r="BE114" s="1213"/>
    </row>
    <row r="115" spans="1:57" ht="15.75" customHeight="1">
      <c r="A115" s="1207"/>
      <c r="B115" s="2368"/>
      <c r="C115" s="2369"/>
      <c r="D115" s="2369"/>
      <c r="E115" s="2369"/>
      <c r="F115" s="2369"/>
      <c r="G115" s="2369"/>
      <c r="H115" s="2369"/>
      <c r="I115" s="2369"/>
      <c r="J115" s="2369"/>
      <c r="K115" s="2369"/>
      <c r="L115" s="2369"/>
      <c r="M115" s="2369"/>
      <c r="N115" s="2369"/>
      <c r="O115" s="2369"/>
      <c r="P115" s="2369"/>
      <c r="Q115" s="2369"/>
      <c r="R115" s="2369"/>
      <c r="S115" s="2369"/>
      <c r="T115" s="2369"/>
      <c r="U115" s="2369"/>
      <c r="V115" s="2369"/>
      <c r="W115" s="2369"/>
      <c r="X115" s="2369"/>
      <c r="Y115" s="2369"/>
      <c r="Z115" s="2369"/>
      <c r="AA115" s="2369"/>
      <c r="AB115" s="2369"/>
      <c r="AC115" s="2369"/>
      <c r="AD115" s="2369"/>
      <c r="AE115" s="2369"/>
      <c r="AF115" s="2369"/>
      <c r="AG115" s="2369"/>
      <c r="AH115" s="2369"/>
      <c r="AI115" s="2369"/>
      <c r="AJ115" s="2369"/>
      <c r="AK115" s="2369"/>
      <c r="AL115" s="2369"/>
      <c r="AM115" s="2369"/>
      <c r="AN115" s="2369"/>
      <c r="AO115" s="2369"/>
      <c r="AP115" s="2369"/>
      <c r="AQ115" s="2369"/>
      <c r="AR115" s="2369"/>
      <c r="AS115" s="2369"/>
      <c r="AT115" s="2369"/>
      <c r="AU115" s="2369"/>
      <c r="AV115" s="2369"/>
      <c r="AW115" s="2369"/>
      <c r="AX115" s="2370"/>
      <c r="AY115" s="1207"/>
      <c r="AZ115" s="1207"/>
      <c r="BA115" s="1207"/>
      <c r="BB115" s="1207"/>
      <c r="BC115" s="1207"/>
      <c r="BD115" s="1207"/>
      <c r="BE115" s="1213"/>
    </row>
    <row r="116" spans="1:57" ht="15.75" customHeight="1">
      <c r="A116" s="1207"/>
      <c r="B116" s="2368"/>
      <c r="C116" s="2369"/>
      <c r="D116" s="2369"/>
      <c r="E116" s="2369"/>
      <c r="F116" s="2369"/>
      <c r="G116" s="2369"/>
      <c r="H116" s="2369"/>
      <c r="I116" s="2369"/>
      <c r="J116" s="2369"/>
      <c r="K116" s="2369"/>
      <c r="L116" s="2369"/>
      <c r="M116" s="2369"/>
      <c r="N116" s="2369"/>
      <c r="O116" s="2369"/>
      <c r="P116" s="2369"/>
      <c r="Q116" s="2369"/>
      <c r="R116" s="2369"/>
      <c r="S116" s="2369"/>
      <c r="T116" s="2369"/>
      <c r="U116" s="2369"/>
      <c r="V116" s="2369"/>
      <c r="W116" s="2369"/>
      <c r="X116" s="2369"/>
      <c r="Y116" s="2369"/>
      <c r="Z116" s="2369"/>
      <c r="AA116" s="2369"/>
      <c r="AB116" s="2369"/>
      <c r="AC116" s="2369"/>
      <c r="AD116" s="2369"/>
      <c r="AE116" s="2369"/>
      <c r="AF116" s="2369"/>
      <c r="AG116" s="2369"/>
      <c r="AH116" s="2369"/>
      <c r="AI116" s="2369"/>
      <c r="AJ116" s="2369"/>
      <c r="AK116" s="2369"/>
      <c r="AL116" s="2369"/>
      <c r="AM116" s="2369"/>
      <c r="AN116" s="2369"/>
      <c r="AO116" s="2369"/>
      <c r="AP116" s="2369"/>
      <c r="AQ116" s="2369"/>
      <c r="AR116" s="2369"/>
      <c r="AS116" s="2369"/>
      <c r="AT116" s="2369"/>
      <c r="AU116" s="2369"/>
      <c r="AV116" s="2369"/>
      <c r="AW116" s="2369"/>
      <c r="AX116" s="2370"/>
      <c r="AY116" s="1207"/>
      <c r="AZ116" s="1207"/>
      <c r="BA116" s="1207"/>
      <c r="BB116" s="1207"/>
      <c r="BC116" s="1207"/>
      <c r="BD116" s="1207"/>
      <c r="BE116" s="1213"/>
    </row>
    <row r="117" spans="1:57" ht="15.75" customHeight="1">
      <c r="A117" s="1207"/>
      <c r="B117" s="2368"/>
      <c r="C117" s="2369"/>
      <c r="D117" s="2369"/>
      <c r="E117" s="2369"/>
      <c r="F117" s="2369"/>
      <c r="G117" s="2369"/>
      <c r="H117" s="2369"/>
      <c r="I117" s="2369"/>
      <c r="J117" s="2369"/>
      <c r="K117" s="2369"/>
      <c r="L117" s="2369"/>
      <c r="M117" s="2369"/>
      <c r="N117" s="2369"/>
      <c r="O117" s="2369"/>
      <c r="P117" s="2369"/>
      <c r="Q117" s="2369"/>
      <c r="R117" s="2369"/>
      <c r="S117" s="2369"/>
      <c r="T117" s="2369"/>
      <c r="U117" s="2369"/>
      <c r="V117" s="2369"/>
      <c r="W117" s="2369"/>
      <c r="X117" s="2369"/>
      <c r="Y117" s="2369"/>
      <c r="Z117" s="2369"/>
      <c r="AA117" s="2369"/>
      <c r="AB117" s="2369"/>
      <c r="AC117" s="2369"/>
      <c r="AD117" s="2369"/>
      <c r="AE117" s="2369"/>
      <c r="AF117" s="2369"/>
      <c r="AG117" s="2369"/>
      <c r="AH117" s="2369"/>
      <c r="AI117" s="2369"/>
      <c r="AJ117" s="2369"/>
      <c r="AK117" s="2369"/>
      <c r="AL117" s="2369"/>
      <c r="AM117" s="2369"/>
      <c r="AN117" s="2369"/>
      <c r="AO117" s="2369"/>
      <c r="AP117" s="2369"/>
      <c r="AQ117" s="2369"/>
      <c r="AR117" s="2369"/>
      <c r="AS117" s="2369"/>
      <c r="AT117" s="2369"/>
      <c r="AU117" s="2369"/>
      <c r="AV117" s="2369"/>
      <c r="AW117" s="2369"/>
      <c r="AX117" s="2370"/>
      <c r="AY117" s="1207"/>
      <c r="AZ117" s="1207"/>
      <c r="BA117" s="1207"/>
      <c r="BB117" s="1207"/>
      <c r="BC117" s="1207"/>
      <c r="BD117" s="1207"/>
      <c r="BE117" s="1213"/>
    </row>
    <row r="118" spans="1:57" ht="15.75" customHeight="1">
      <c r="A118" s="1207"/>
      <c r="B118" s="2368"/>
      <c r="C118" s="2369"/>
      <c r="D118" s="2369"/>
      <c r="E118" s="2369"/>
      <c r="F118" s="2369"/>
      <c r="G118" s="2369"/>
      <c r="H118" s="2369"/>
      <c r="I118" s="2369"/>
      <c r="J118" s="2369"/>
      <c r="K118" s="2369"/>
      <c r="L118" s="2369"/>
      <c r="M118" s="2369"/>
      <c r="N118" s="2369"/>
      <c r="O118" s="2369"/>
      <c r="P118" s="2369"/>
      <c r="Q118" s="2369"/>
      <c r="R118" s="2369"/>
      <c r="S118" s="2369"/>
      <c r="T118" s="2369"/>
      <c r="U118" s="2369"/>
      <c r="V118" s="2369"/>
      <c r="W118" s="2369"/>
      <c r="X118" s="2369"/>
      <c r="Y118" s="2369"/>
      <c r="Z118" s="2369"/>
      <c r="AA118" s="2369"/>
      <c r="AB118" s="2369"/>
      <c r="AC118" s="2369"/>
      <c r="AD118" s="2369"/>
      <c r="AE118" s="2369"/>
      <c r="AF118" s="2369"/>
      <c r="AG118" s="2369"/>
      <c r="AH118" s="2369"/>
      <c r="AI118" s="2369"/>
      <c r="AJ118" s="2369"/>
      <c r="AK118" s="2369"/>
      <c r="AL118" s="2369"/>
      <c r="AM118" s="2369"/>
      <c r="AN118" s="2369"/>
      <c r="AO118" s="2369"/>
      <c r="AP118" s="2369"/>
      <c r="AQ118" s="2369"/>
      <c r="AR118" s="2369"/>
      <c r="AS118" s="2369"/>
      <c r="AT118" s="2369"/>
      <c r="AU118" s="2369"/>
      <c r="AV118" s="2369"/>
      <c r="AW118" s="2369"/>
      <c r="AX118" s="2370"/>
      <c r="AY118" s="1207"/>
      <c r="AZ118" s="1207"/>
      <c r="BA118" s="1207"/>
      <c r="BB118" s="1207"/>
      <c r="BC118" s="1207"/>
      <c r="BD118" s="1207"/>
      <c r="BE118" s="1213"/>
    </row>
    <row r="119" spans="1:57" ht="15.75" customHeight="1">
      <c r="A119" s="1207"/>
      <c r="B119" s="2368"/>
      <c r="C119" s="2369"/>
      <c r="D119" s="2369"/>
      <c r="E119" s="2369"/>
      <c r="F119" s="2369"/>
      <c r="G119" s="2369"/>
      <c r="H119" s="2369"/>
      <c r="I119" s="2369"/>
      <c r="J119" s="2369"/>
      <c r="K119" s="2369"/>
      <c r="L119" s="2369"/>
      <c r="M119" s="2369"/>
      <c r="N119" s="2369"/>
      <c r="O119" s="2369"/>
      <c r="P119" s="2369"/>
      <c r="Q119" s="2369"/>
      <c r="R119" s="2369"/>
      <c r="S119" s="2369"/>
      <c r="T119" s="2369"/>
      <c r="U119" s="2369"/>
      <c r="V119" s="2369"/>
      <c r="W119" s="2369"/>
      <c r="X119" s="2369"/>
      <c r="Y119" s="2369"/>
      <c r="Z119" s="2369"/>
      <c r="AA119" s="2369"/>
      <c r="AB119" s="2369"/>
      <c r="AC119" s="2369"/>
      <c r="AD119" s="2369"/>
      <c r="AE119" s="2369"/>
      <c r="AF119" s="2369"/>
      <c r="AG119" s="2369"/>
      <c r="AH119" s="2369"/>
      <c r="AI119" s="2369"/>
      <c r="AJ119" s="2369"/>
      <c r="AK119" s="2369"/>
      <c r="AL119" s="2369"/>
      <c r="AM119" s="2369"/>
      <c r="AN119" s="2369"/>
      <c r="AO119" s="2369"/>
      <c r="AP119" s="2369"/>
      <c r="AQ119" s="2369"/>
      <c r="AR119" s="2369"/>
      <c r="AS119" s="2369"/>
      <c r="AT119" s="2369"/>
      <c r="AU119" s="2369"/>
      <c r="AV119" s="2369"/>
      <c r="AW119" s="2369"/>
      <c r="AX119" s="2370"/>
      <c r="AY119" s="1207"/>
      <c r="AZ119" s="1207"/>
      <c r="BA119" s="1207"/>
      <c r="BB119" s="1207"/>
      <c r="BC119" s="1207"/>
      <c r="BD119" s="1207"/>
      <c r="BE119" s="1213"/>
    </row>
    <row r="120" spans="1:57" ht="15.75" customHeight="1">
      <c r="A120" s="1207"/>
      <c r="B120" s="2368"/>
      <c r="C120" s="2369"/>
      <c r="D120" s="2369"/>
      <c r="E120" s="2369"/>
      <c r="F120" s="2369"/>
      <c r="G120" s="2369"/>
      <c r="H120" s="2369"/>
      <c r="I120" s="2369"/>
      <c r="J120" s="2369"/>
      <c r="K120" s="2369"/>
      <c r="L120" s="2369"/>
      <c r="M120" s="2369"/>
      <c r="N120" s="2369"/>
      <c r="O120" s="2369"/>
      <c r="P120" s="2369"/>
      <c r="Q120" s="2369"/>
      <c r="R120" s="2369"/>
      <c r="S120" s="2369"/>
      <c r="T120" s="2369"/>
      <c r="U120" s="2369"/>
      <c r="V120" s="2369"/>
      <c r="W120" s="2369"/>
      <c r="X120" s="2369"/>
      <c r="Y120" s="2369"/>
      <c r="Z120" s="2369"/>
      <c r="AA120" s="2369"/>
      <c r="AB120" s="2369"/>
      <c r="AC120" s="2369"/>
      <c r="AD120" s="2369"/>
      <c r="AE120" s="2369"/>
      <c r="AF120" s="2369"/>
      <c r="AG120" s="2369"/>
      <c r="AH120" s="2369"/>
      <c r="AI120" s="2369"/>
      <c r="AJ120" s="2369"/>
      <c r="AK120" s="2369"/>
      <c r="AL120" s="2369"/>
      <c r="AM120" s="2369"/>
      <c r="AN120" s="2369"/>
      <c r="AO120" s="2369"/>
      <c r="AP120" s="2369"/>
      <c r="AQ120" s="2369"/>
      <c r="AR120" s="2369"/>
      <c r="AS120" s="2369"/>
      <c r="AT120" s="2369"/>
      <c r="AU120" s="2369"/>
      <c r="AV120" s="2369"/>
      <c r="AW120" s="2369"/>
      <c r="AX120" s="2370"/>
      <c r="AY120" s="1207"/>
      <c r="AZ120" s="1207"/>
      <c r="BA120" s="1207"/>
      <c r="BB120" s="1207"/>
      <c r="BC120" s="1207"/>
      <c r="BD120" s="1207"/>
      <c r="BE120" s="1213"/>
    </row>
    <row r="121" spans="1:57" ht="15.75" customHeight="1" thickBot="1">
      <c r="A121" s="1207"/>
      <c r="B121" s="2371"/>
      <c r="C121" s="2372"/>
      <c r="D121" s="2372"/>
      <c r="E121" s="2372"/>
      <c r="F121" s="2372"/>
      <c r="G121" s="2372"/>
      <c r="H121" s="2372"/>
      <c r="I121" s="2372"/>
      <c r="J121" s="2372"/>
      <c r="K121" s="2372"/>
      <c r="L121" s="2372"/>
      <c r="M121" s="2372"/>
      <c r="N121" s="2372"/>
      <c r="O121" s="2372"/>
      <c r="P121" s="2372"/>
      <c r="Q121" s="2372"/>
      <c r="R121" s="2372"/>
      <c r="S121" s="2372"/>
      <c r="T121" s="2372"/>
      <c r="U121" s="2372"/>
      <c r="V121" s="2372"/>
      <c r="W121" s="2372"/>
      <c r="X121" s="2372"/>
      <c r="Y121" s="2372"/>
      <c r="Z121" s="2372"/>
      <c r="AA121" s="2372"/>
      <c r="AB121" s="2372"/>
      <c r="AC121" s="2372"/>
      <c r="AD121" s="2372"/>
      <c r="AE121" s="2372"/>
      <c r="AF121" s="2372"/>
      <c r="AG121" s="2372"/>
      <c r="AH121" s="2372"/>
      <c r="AI121" s="2372"/>
      <c r="AJ121" s="2372"/>
      <c r="AK121" s="2372"/>
      <c r="AL121" s="2372"/>
      <c r="AM121" s="2372"/>
      <c r="AN121" s="2372"/>
      <c r="AO121" s="2372"/>
      <c r="AP121" s="2372"/>
      <c r="AQ121" s="2372"/>
      <c r="AR121" s="2372"/>
      <c r="AS121" s="2372"/>
      <c r="AT121" s="2372"/>
      <c r="AU121" s="2372"/>
      <c r="AV121" s="2372"/>
      <c r="AW121" s="2372"/>
      <c r="AX121" s="2373"/>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1906</v>
      </c>
      <c r="C123" s="1217"/>
      <c r="D123" s="1217"/>
      <c r="E123" s="1217"/>
      <c r="F123" s="1217"/>
      <c r="G123" s="1217"/>
      <c r="H123" s="1217"/>
      <c r="I123" s="1217"/>
      <c r="J123" s="1217"/>
      <c r="K123" s="1217"/>
      <c r="L123" s="1217"/>
      <c r="M123" s="1217"/>
      <c r="N123" s="1214"/>
      <c r="O123" s="1214"/>
      <c r="P123" s="1207"/>
      <c r="Q123" s="1207"/>
      <c r="R123" s="1207"/>
      <c r="S123" s="1207"/>
      <c r="T123" s="1207"/>
      <c r="U123" s="1207" t="s">
        <v>252</v>
      </c>
      <c r="V123" s="1207"/>
      <c r="W123" s="1207"/>
      <c r="X123" s="1221" t="s">
        <v>2265</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30" t="s">
        <v>1907</v>
      </c>
      <c r="C125" s="2231"/>
      <c r="D125" s="2231"/>
      <c r="E125" s="2231"/>
      <c r="F125" s="2231"/>
      <c r="G125" s="2231"/>
      <c r="H125" s="2231"/>
      <c r="I125" s="2231"/>
      <c r="J125" s="2231"/>
      <c r="K125" s="2231"/>
      <c r="L125" s="2231"/>
      <c r="M125" s="2231"/>
      <c r="N125" s="2231"/>
      <c r="O125" s="2231"/>
      <c r="P125" s="2231"/>
      <c r="Q125" s="2231"/>
      <c r="R125" s="2231"/>
      <c r="S125" s="2231"/>
      <c r="T125" s="2231"/>
      <c r="U125" s="2232"/>
      <c r="V125" s="1207"/>
      <c r="W125" s="1209"/>
      <c r="X125" s="2230" t="s">
        <v>2266</v>
      </c>
      <c r="Y125" s="2231"/>
      <c r="Z125" s="2231"/>
      <c r="AA125" s="2231"/>
      <c r="AB125" s="2231"/>
      <c r="AC125" s="2231"/>
      <c r="AD125" s="2231"/>
      <c r="AE125" s="2231"/>
      <c r="AF125" s="2231"/>
      <c r="AG125" s="2231"/>
      <c r="AH125" s="2231"/>
      <c r="AI125" s="2231"/>
      <c r="AJ125" s="2231"/>
      <c r="AK125" s="2231"/>
      <c r="AL125" s="2231"/>
      <c r="AM125" s="2231"/>
      <c r="AN125" s="2231"/>
      <c r="AO125" s="2231"/>
      <c r="AP125" s="2231"/>
      <c r="AQ125" s="2232"/>
      <c r="AR125" s="1207"/>
      <c r="AS125" s="1207"/>
      <c r="AT125" s="1207"/>
      <c r="AU125" s="1207"/>
      <c r="AV125" s="1207"/>
      <c r="AW125" s="1207"/>
      <c r="AX125" s="1207"/>
      <c r="AY125" s="1207"/>
      <c r="AZ125" s="1207"/>
      <c r="BA125" s="1207"/>
      <c r="BB125" s="1207"/>
      <c r="BC125" s="1207"/>
      <c r="BD125" s="1207"/>
      <c r="BE125" s="1213"/>
    </row>
    <row r="126" spans="1:57" ht="15.75" customHeight="1">
      <c r="A126" s="1207"/>
      <c r="B126" s="2347"/>
      <c r="C126" s="2348"/>
      <c r="D126" s="2348"/>
      <c r="E126" s="2348"/>
      <c r="F126" s="2348"/>
      <c r="G126" s="2348"/>
      <c r="H126" s="2348"/>
      <c r="I126" s="2349" t="s">
        <v>1896</v>
      </c>
      <c r="J126" s="2349"/>
      <c r="K126" s="2349"/>
      <c r="L126" s="2349"/>
      <c r="M126" s="2349"/>
      <c r="N126" s="2349"/>
      <c r="O126" s="2349"/>
      <c r="P126" s="2349" t="s">
        <v>2267</v>
      </c>
      <c r="Q126" s="2349"/>
      <c r="R126" s="2349"/>
      <c r="S126" s="2349"/>
      <c r="T126" s="2349"/>
      <c r="U126" s="2350"/>
      <c r="V126" s="1207"/>
      <c r="W126" s="1207"/>
      <c r="X126" s="2347"/>
      <c r="Y126" s="2348"/>
      <c r="Z126" s="2348"/>
      <c r="AA126" s="2348"/>
      <c r="AB126" s="2348"/>
      <c r="AC126" s="2348"/>
      <c r="AD126" s="2348"/>
      <c r="AE126" s="2349" t="s">
        <v>1896</v>
      </c>
      <c r="AF126" s="2349"/>
      <c r="AG126" s="2349"/>
      <c r="AH126" s="2349"/>
      <c r="AI126" s="2349"/>
      <c r="AJ126" s="2349"/>
      <c r="AK126" s="2349"/>
      <c r="AL126" s="2349" t="s">
        <v>2261</v>
      </c>
      <c r="AM126" s="2349"/>
      <c r="AN126" s="2349"/>
      <c r="AO126" s="2349"/>
      <c r="AP126" s="2349"/>
      <c r="AQ126" s="2350"/>
      <c r="AR126" s="1207"/>
      <c r="AS126" s="1207"/>
      <c r="AT126" s="1207"/>
      <c r="AU126" s="1207"/>
      <c r="AV126" s="1207"/>
      <c r="AW126" s="1207"/>
      <c r="AX126" s="1207"/>
      <c r="AY126" s="1207"/>
      <c r="AZ126" s="1207"/>
      <c r="BA126" s="1207"/>
      <c r="BB126" s="1207"/>
      <c r="BC126" s="1207"/>
      <c r="BD126" s="1207"/>
      <c r="BE126" s="1213"/>
    </row>
    <row r="127" spans="1:57" ht="15.75" customHeight="1">
      <c r="A127" s="1207"/>
      <c r="B127" s="2347"/>
      <c r="C127" s="2348"/>
      <c r="D127" s="2348"/>
      <c r="E127" s="2348"/>
      <c r="F127" s="2348"/>
      <c r="G127" s="2348"/>
      <c r="H127" s="2348"/>
      <c r="I127" s="2349"/>
      <c r="J127" s="2349"/>
      <c r="K127" s="2349"/>
      <c r="L127" s="2349"/>
      <c r="M127" s="2349"/>
      <c r="N127" s="2349"/>
      <c r="O127" s="2349"/>
      <c r="P127" s="2349"/>
      <c r="Q127" s="2349"/>
      <c r="R127" s="2349"/>
      <c r="S127" s="2349"/>
      <c r="T127" s="2349"/>
      <c r="U127" s="2350"/>
      <c r="V127" s="1207"/>
      <c r="W127" s="1207"/>
      <c r="X127" s="2347"/>
      <c r="Y127" s="2348"/>
      <c r="Z127" s="2348"/>
      <c r="AA127" s="2348"/>
      <c r="AB127" s="2348"/>
      <c r="AC127" s="2348"/>
      <c r="AD127" s="2348"/>
      <c r="AE127" s="2349"/>
      <c r="AF127" s="2349"/>
      <c r="AG127" s="2349"/>
      <c r="AH127" s="2349"/>
      <c r="AI127" s="2349"/>
      <c r="AJ127" s="2349"/>
      <c r="AK127" s="2349"/>
      <c r="AL127" s="2349"/>
      <c r="AM127" s="2349"/>
      <c r="AN127" s="2349"/>
      <c r="AO127" s="2349"/>
      <c r="AP127" s="2349"/>
      <c r="AQ127" s="2350"/>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358" t="s">
        <v>2249</v>
      </c>
      <c r="C128" s="2359"/>
      <c r="D128" s="2359"/>
      <c r="E128" s="2359"/>
      <c r="F128" s="2359"/>
      <c r="G128" s="2359"/>
      <c r="H128" s="2359"/>
      <c r="I128" s="2334">
        <v>0</v>
      </c>
      <c r="J128" s="2334"/>
      <c r="K128" s="2334"/>
      <c r="L128" s="2334"/>
      <c r="M128" s="2334"/>
      <c r="N128" s="2334"/>
      <c r="O128" s="2334"/>
      <c r="P128" s="2334">
        <v>0</v>
      </c>
      <c r="Q128" s="2334"/>
      <c r="R128" s="2334"/>
      <c r="S128" s="2334"/>
      <c r="T128" s="2334"/>
      <c r="U128" s="2343"/>
      <c r="V128" s="1207"/>
      <c r="W128" s="1207"/>
      <c r="X128" s="2360" t="s">
        <v>2249</v>
      </c>
      <c r="Y128" s="2361"/>
      <c r="Z128" s="2361"/>
      <c r="AA128" s="2361"/>
      <c r="AB128" s="2361"/>
      <c r="AC128" s="2361"/>
      <c r="AD128" s="2361"/>
      <c r="AE128" s="2341">
        <v>0</v>
      </c>
      <c r="AF128" s="2341"/>
      <c r="AG128" s="2341"/>
      <c r="AH128" s="2341"/>
      <c r="AI128" s="2341"/>
      <c r="AJ128" s="2341"/>
      <c r="AK128" s="2341"/>
      <c r="AL128" s="2341">
        <v>0</v>
      </c>
      <c r="AM128" s="2341"/>
      <c r="AN128" s="2341"/>
      <c r="AO128" s="2341"/>
      <c r="AP128" s="2341"/>
      <c r="AQ128" s="2342"/>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360" t="s">
        <v>2250</v>
      </c>
      <c r="C129" s="2361"/>
      <c r="D129" s="2361"/>
      <c r="E129" s="2361"/>
      <c r="F129" s="2361"/>
      <c r="G129" s="2361"/>
      <c r="H129" s="2361"/>
      <c r="I129" s="2341">
        <v>0</v>
      </c>
      <c r="J129" s="2341"/>
      <c r="K129" s="2341"/>
      <c r="L129" s="2341"/>
      <c r="M129" s="2341"/>
      <c r="N129" s="2341"/>
      <c r="O129" s="2341"/>
      <c r="P129" s="2341">
        <v>0</v>
      </c>
      <c r="Q129" s="2341"/>
      <c r="R129" s="2341"/>
      <c r="S129" s="2341"/>
      <c r="T129" s="2341"/>
      <c r="U129" s="2342"/>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30" t="s">
        <v>2251</v>
      </c>
      <c r="D131" s="2231"/>
      <c r="E131" s="2231"/>
      <c r="F131" s="2231"/>
      <c r="G131" s="2231"/>
      <c r="H131" s="2231"/>
      <c r="I131" s="2231"/>
      <c r="J131" s="2231"/>
      <c r="K131" s="2231"/>
      <c r="L131" s="2231"/>
      <c r="M131" s="2231"/>
      <c r="N131" s="2231"/>
      <c r="O131" s="2231"/>
      <c r="P131" s="2231"/>
      <c r="Q131" s="2231"/>
      <c r="R131" s="2231"/>
      <c r="S131" s="2231"/>
      <c r="T131" s="2231"/>
      <c r="U131" s="2231"/>
      <c r="V131" s="2231"/>
      <c r="W131" s="2231"/>
      <c r="X131" s="2231"/>
      <c r="Y131" s="2231"/>
      <c r="Z131" s="2231"/>
      <c r="AA131" s="2231"/>
      <c r="AB131" s="2231"/>
      <c r="AC131" s="2231"/>
      <c r="AD131" s="2231"/>
      <c r="AE131" s="2231"/>
      <c r="AF131" s="2231"/>
      <c r="AG131" s="2232"/>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347" t="s">
        <v>1908</v>
      </c>
      <c r="D132" s="2348"/>
      <c r="E132" s="2348"/>
      <c r="F132" s="2348"/>
      <c r="G132" s="2348"/>
      <c r="H132" s="2348"/>
      <c r="I132" s="2348"/>
      <c r="J132" s="2348"/>
      <c r="K132" s="2348"/>
      <c r="L132" s="2348"/>
      <c r="M132" s="2348"/>
      <c r="N132" s="2348"/>
      <c r="O132" s="2348"/>
      <c r="P132" s="2348"/>
      <c r="Q132" s="2348" t="s">
        <v>1909</v>
      </c>
      <c r="R132" s="2348"/>
      <c r="S132" s="2348"/>
      <c r="T132" s="2238" t="s">
        <v>2252</v>
      </c>
      <c r="U132" s="2238"/>
      <c r="V132" s="2238"/>
      <c r="W132" s="2238"/>
      <c r="X132" s="2238"/>
      <c r="Y132" s="2238"/>
      <c r="Z132" s="2238"/>
      <c r="AA132" s="2238"/>
      <c r="AB132" s="2348" t="s">
        <v>1910</v>
      </c>
      <c r="AC132" s="2348"/>
      <c r="AD132" s="2348"/>
      <c r="AE132" s="2348"/>
      <c r="AF132" s="2348"/>
      <c r="AG132" s="2379"/>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374" t="s">
        <v>1911</v>
      </c>
      <c r="D133" s="2375"/>
      <c r="E133" s="2375"/>
      <c r="F133" s="2375"/>
      <c r="G133" s="2375"/>
      <c r="H133" s="2375"/>
      <c r="I133" s="2375"/>
      <c r="J133" s="2375"/>
      <c r="K133" s="2375"/>
      <c r="L133" s="2375"/>
      <c r="M133" s="2375"/>
      <c r="N133" s="2375"/>
      <c r="O133" s="2375"/>
      <c r="P133" s="2375"/>
      <c r="Q133" s="2376">
        <v>55</v>
      </c>
      <c r="R133" s="2376"/>
      <c r="S133" s="2376"/>
      <c r="T133" s="2377"/>
      <c r="U133" s="2377"/>
      <c r="V133" s="2377"/>
      <c r="W133" s="2377"/>
      <c r="X133" s="2377"/>
      <c r="Y133" s="2377"/>
      <c r="Z133" s="2377"/>
      <c r="AA133" s="2377"/>
      <c r="AB133" s="1225"/>
      <c r="AC133" s="1225"/>
      <c r="AD133" s="1225"/>
      <c r="AE133" s="1225"/>
      <c r="AF133" s="1225"/>
      <c r="AG133" s="1226"/>
      <c r="AH133" s="1207"/>
      <c r="AI133" s="1207"/>
      <c r="AJ133" s="1207"/>
      <c r="AK133" s="1207"/>
      <c r="AL133" s="1207"/>
      <c r="AM133" s="1207"/>
      <c r="AN133" s="1207"/>
      <c r="AO133" s="1207"/>
      <c r="AP133" s="1207" t="s">
        <v>252</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374" t="s">
        <v>1912</v>
      </c>
      <c r="D134" s="2375"/>
      <c r="E134" s="2375"/>
      <c r="F134" s="2375"/>
      <c r="G134" s="2375"/>
      <c r="H134" s="2375"/>
      <c r="I134" s="2375"/>
      <c r="J134" s="2375"/>
      <c r="K134" s="2375"/>
      <c r="L134" s="2375"/>
      <c r="M134" s="2375"/>
      <c r="N134" s="2375"/>
      <c r="O134" s="2375"/>
      <c r="P134" s="2375"/>
      <c r="Q134" s="2376">
        <v>55</v>
      </c>
      <c r="R134" s="2376"/>
      <c r="S134" s="2376"/>
      <c r="T134" s="2378"/>
      <c r="U134" s="2378"/>
      <c r="V134" s="2378"/>
      <c r="W134" s="2378"/>
      <c r="X134" s="2378"/>
      <c r="Y134" s="2378"/>
      <c r="Z134" s="2378"/>
      <c r="AA134" s="2378"/>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374" t="s">
        <v>1913</v>
      </c>
      <c r="D135" s="2375"/>
      <c r="E135" s="2375"/>
      <c r="F135" s="2375"/>
      <c r="G135" s="2375"/>
      <c r="H135" s="2375"/>
      <c r="I135" s="2375"/>
      <c r="J135" s="2375"/>
      <c r="K135" s="2375"/>
      <c r="L135" s="2375"/>
      <c r="M135" s="2375"/>
      <c r="N135" s="2375"/>
      <c r="O135" s="2375"/>
      <c r="P135" s="2375"/>
      <c r="Q135" s="2376">
        <v>55</v>
      </c>
      <c r="R135" s="2376"/>
      <c r="S135" s="2376"/>
      <c r="T135" s="2377"/>
      <c r="U135" s="2377"/>
      <c r="V135" s="2377"/>
      <c r="W135" s="2377"/>
      <c r="X135" s="2377"/>
      <c r="Y135" s="2377"/>
      <c r="Z135" s="2377"/>
      <c r="AA135" s="2377"/>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374" t="s">
        <v>1881</v>
      </c>
      <c r="D136" s="2375"/>
      <c r="E136" s="2375"/>
      <c r="F136" s="2375"/>
      <c r="G136" s="2375"/>
      <c r="H136" s="2375"/>
      <c r="I136" s="2375"/>
      <c r="J136" s="2375"/>
      <c r="K136" s="2375"/>
      <c r="L136" s="2375"/>
      <c r="M136" s="2375"/>
      <c r="N136" s="2375"/>
      <c r="O136" s="2375"/>
      <c r="P136" s="2375"/>
      <c r="Q136" s="2376">
        <v>55</v>
      </c>
      <c r="R136" s="2376"/>
      <c r="S136" s="2376"/>
      <c r="T136" s="2377"/>
      <c r="U136" s="2377"/>
      <c r="V136" s="2377"/>
      <c r="W136" s="2377"/>
      <c r="X136" s="2377"/>
      <c r="Y136" s="2377"/>
      <c r="Z136" s="2377"/>
      <c r="AA136" s="2377"/>
      <c r="AB136" s="2380">
        <v>0</v>
      </c>
      <c r="AC136" s="2380"/>
      <c r="AD136" s="2380"/>
      <c r="AE136" s="2380"/>
      <c r="AF136" s="2380"/>
      <c r="AG136" s="2381"/>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374" t="s">
        <v>171</v>
      </c>
      <c r="D137" s="2375"/>
      <c r="E137" s="2375"/>
      <c r="F137" s="2382" t="s">
        <v>1914</v>
      </c>
      <c r="G137" s="2382"/>
      <c r="H137" s="2382"/>
      <c r="I137" s="2382"/>
      <c r="J137" s="2382"/>
      <c r="K137" s="2382"/>
      <c r="L137" s="2382"/>
      <c r="M137" s="2382"/>
      <c r="N137" s="2382"/>
      <c r="O137" s="2382"/>
      <c r="P137" s="2382"/>
      <c r="Q137" s="2376">
        <v>55</v>
      </c>
      <c r="R137" s="2376"/>
      <c r="S137" s="2376"/>
      <c r="T137" s="2378"/>
      <c r="U137" s="2378"/>
      <c r="V137" s="2378"/>
      <c r="W137" s="2378"/>
      <c r="X137" s="2378"/>
      <c r="Y137" s="2378"/>
      <c r="Z137" s="2378"/>
      <c r="AA137" s="2378"/>
      <c r="AB137" s="2380">
        <v>0</v>
      </c>
      <c r="AC137" s="2380"/>
      <c r="AD137" s="2380"/>
      <c r="AE137" s="2380"/>
      <c r="AF137" s="2380"/>
      <c r="AG137" s="2381"/>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374" t="s">
        <v>171</v>
      </c>
      <c r="D138" s="2375"/>
      <c r="E138" s="2375"/>
      <c r="F138" s="2382" t="s">
        <v>1914</v>
      </c>
      <c r="G138" s="2382"/>
      <c r="H138" s="2382"/>
      <c r="I138" s="2382"/>
      <c r="J138" s="2382"/>
      <c r="K138" s="2382"/>
      <c r="L138" s="2382"/>
      <c r="M138" s="2382"/>
      <c r="N138" s="2382"/>
      <c r="O138" s="2382"/>
      <c r="P138" s="2382"/>
      <c r="Q138" s="2376">
        <v>55</v>
      </c>
      <c r="R138" s="2376"/>
      <c r="S138" s="2376"/>
      <c r="T138" s="2378"/>
      <c r="U138" s="2378"/>
      <c r="V138" s="2378"/>
      <c r="W138" s="2378"/>
      <c r="X138" s="2378"/>
      <c r="Y138" s="2378"/>
      <c r="Z138" s="2378"/>
      <c r="AA138" s="2378"/>
      <c r="AB138" s="2380">
        <v>0</v>
      </c>
      <c r="AC138" s="2380"/>
      <c r="AD138" s="2380"/>
      <c r="AE138" s="2380"/>
      <c r="AF138" s="2380"/>
      <c r="AG138" s="2381"/>
      <c r="AH138" s="1207"/>
      <c r="AI138" s="1207"/>
      <c r="AJ138" s="1207"/>
      <c r="AK138" s="1207" t="s">
        <v>252</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383" t="s">
        <v>171</v>
      </c>
      <c r="D139" s="2384"/>
      <c r="E139" s="2384"/>
      <c r="F139" s="2385" t="s">
        <v>1914</v>
      </c>
      <c r="G139" s="2385"/>
      <c r="H139" s="2385"/>
      <c r="I139" s="2385"/>
      <c r="J139" s="2385"/>
      <c r="K139" s="2385"/>
      <c r="L139" s="2385"/>
      <c r="M139" s="2385"/>
      <c r="N139" s="2385"/>
      <c r="O139" s="2385"/>
      <c r="P139" s="2385"/>
      <c r="Q139" s="2386">
        <v>55</v>
      </c>
      <c r="R139" s="2386"/>
      <c r="S139" s="2386"/>
      <c r="T139" s="2387"/>
      <c r="U139" s="2387"/>
      <c r="V139" s="2387"/>
      <c r="W139" s="2387"/>
      <c r="X139" s="2387"/>
      <c r="Y139" s="2387"/>
      <c r="Z139" s="2387"/>
      <c r="AA139" s="2387"/>
      <c r="AB139" s="2388">
        <v>0</v>
      </c>
      <c r="AC139" s="2388"/>
      <c r="AD139" s="2388"/>
      <c r="AE139" s="2388"/>
      <c r="AF139" s="2388"/>
      <c r="AG139" s="2389"/>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307" t="s">
        <v>1915</v>
      </c>
      <c r="D141" s="2308"/>
      <c r="E141" s="2308"/>
      <c r="F141" s="2308"/>
      <c r="G141" s="2308"/>
      <c r="H141" s="2308"/>
      <c r="I141" s="2308"/>
      <c r="J141" s="2308"/>
      <c r="K141" s="2308"/>
      <c r="L141" s="2308"/>
      <c r="M141" s="2308"/>
      <c r="N141" s="2344"/>
      <c r="O141" s="1207"/>
      <c r="P141" s="2362" t="s">
        <v>1916</v>
      </c>
      <c r="Q141" s="2363"/>
      <c r="R141" s="2363"/>
      <c r="S141" s="2363"/>
      <c r="T141" s="2363"/>
      <c r="U141" s="2363"/>
      <c r="V141" s="2363"/>
      <c r="W141" s="2363"/>
      <c r="X141" s="2363"/>
      <c r="Y141" s="2363"/>
      <c r="Z141" s="2363"/>
      <c r="AA141" s="2363"/>
      <c r="AB141" s="2363"/>
      <c r="AC141" s="2363"/>
      <c r="AD141" s="2363"/>
      <c r="AE141" s="2363"/>
      <c r="AF141" s="2363"/>
      <c r="AG141" s="2363"/>
      <c r="AH141" s="2363"/>
      <c r="AI141" s="2363"/>
      <c r="AJ141" s="2363"/>
      <c r="AK141" s="2363"/>
      <c r="AL141" s="2363"/>
      <c r="AM141" s="2363"/>
      <c r="AN141" s="2363"/>
      <c r="AO141" s="2391"/>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347" t="s">
        <v>1917</v>
      </c>
      <c r="D142" s="2348"/>
      <c r="E142" s="2348"/>
      <c r="F142" s="2348"/>
      <c r="G142" s="2348"/>
      <c r="H142" s="2348"/>
      <c r="I142" s="2348" t="s">
        <v>1918</v>
      </c>
      <c r="J142" s="2348"/>
      <c r="K142" s="2348"/>
      <c r="L142" s="2348"/>
      <c r="M142" s="2348"/>
      <c r="N142" s="2379"/>
      <c r="O142" s="1207"/>
      <c r="P142" s="2311" t="s">
        <v>2260</v>
      </c>
      <c r="Q142" s="2312"/>
      <c r="R142" s="2312"/>
      <c r="S142" s="2312"/>
      <c r="T142" s="2312"/>
      <c r="U142" s="2312"/>
      <c r="V142" s="2312"/>
      <c r="W142" s="2312"/>
      <c r="X142" s="2312"/>
      <c r="Y142" s="2312"/>
      <c r="Z142" s="2312"/>
      <c r="AA142" s="2312"/>
      <c r="AB142" s="2312"/>
      <c r="AC142" s="2312"/>
      <c r="AD142" s="2312"/>
      <c r="AE142" s="2312"/>
      <c r="AF142" s="2312"/>
      <c r="AG142" s="2312"/>
      <c r="AH142" s="2312"/>
      <c r="AI142" s="2312"/>
      <c r="AJ142" s="2312"/>
      <c r="AK142" s="2312"/>
      <c r="AL142" s="2312"/>
      <c r="AM142" s="2312"/>
      <c r="AN142" s="2312"/>
      <c r="AO142" s="2313"/>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317"/>
      <c r="D143" s="2262"/>
      <c r="E143" s="2262"/>
      <c r="F143" s="2262"/>
      <c r="G143" s="2262"/>
      <c r="H143" s="2262"/>
      <c r="I143" s="2377"/>
      <c r="J143" s="2377"/>
      <c r="K143" s="2377"/>
      <c r="L143" s="2377"/>
      <c r="M143" s="2377"/>
      <c r="N143" s="2390"/>
      <c r="O143" s="1207"/>
      <c r="P143" s="2311"/>
      <c r="Q143" s="2312"/>
      <c r="R143" s="2312"/>
      <c r="S143" s="2312"/>
      <c r="T143" s="2312"/>
      <c r="U143" s="2312"/>
      <c r="V143" s="2312"/>
      <c r="W143" s="2312"/>
      <c r="X143" s="2312"/>
      <c r="Y143" s="2312"/>
      <c r="Z143" s="2312"/>
      <c r="AA143" s="2312"/>
      <c r="AB143" s="2312"/>
      <c r="AC143" s="2312"/>
      <c r="AD143" s="2312"/>
      <c r="AE143" s="2312"/>
      <c r="AF143" s="2312"/>
      <c r="AG143" s="2312"/>
      <c r="AH143" s="2312"/>
      <c r="AI143" s="2312"/>
      <c r="AJ143" s="2312"/>
      <c r="AK143" s="2312"/>
      <c r="AL143" s="2312"/>
      <c r="AM143" s="2312"/>
      <c r="AN143" s="2312"/>
      <c r="AO143" s="2313"/>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317"/>
      <c r="D144" s="2262"/>
      <c r="E144" s="2262"/>
      <c r="F144" s="2262"/>
      <c r="G144" s="2262"/>
      <c r="H144" s="2262"/>
      <c r="I144" s="2377"/>
      <c r="J144" s="2377"/>
      <c r="K144" s="2377"/>
      <c r="L144" s="2377"/>
      <c r="M144" s="2377"/>
      <c r="N144" s="2390"/>
      <c r="O144" s="1207"/>
      <c r="P144" s="2311"/>
      <c r="Q144" s="2312"/>
      <c r="R144" s="2312"/>
      <c r="S144" s="2312"/>
      <c r="T144" s="2312"/>
      <c r="U144" s="2312"/>
      <c r="V144" s="2312"/>
      <c r="W144" s="2312"/>
      <c r="X144" s="2312"/>
      <c r="Y144" s="2312"/>
      <c r="Z144" s="2312"/>
      <c r="AA144" s="2312"/>
      <c r="AB144" s="2312"/>
      <c r="AC144" s="2312"/>
      <c r="AD144" s="2312"/>
      <c r="AE144" s="2312"/>
      <c r="AF144" s="2312"/>
      <c r="AG144" s="2312"/>
      <c r="AH144" s="2312"/>
      <c r="AI144" s="2312"/>
      <c r="AJ144" s="2312"/>
      <c r="AK144" s="2312"/>
      <c r="AL144" s="2312"/>
      <c r="AM144" s="2312"/>
      <c r="AN144" s="2312"/>
      <c r="AO144" s="2313"/>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317"/>
      <c r="D145" s="2262"/>
      <c r="E145" s="2262"/>
      <c r="F145" s="2262"/>
      <c r="G145" s="2262"/>
      <c r="H145" s="2262"/>
      <c r="I145" s="2377"/>
      <c r="J145" s="2377"/>
      <c r="K145" s="2377"/>
      <c r="L145" s="2377"/>
      <c r="M145" s="2377"/>
      <c r="N145" s="2390"/>
      <c r="O145" s="1207"/>
      <c r="P145" s="2311"/>
      <c r="Q145" s="2312"/>
      <c r="R145" s="2312"/>
      <c r="S145" s="2312"/>
      <c r="T145" s="2312"/>
      <c r="U145" s="2312"/>
      <c r="V145" s="2312"/>
      <c r="W145" s="2312"/>
      <c r="X145" s="2312"/>
      <c r="Y145" s="2312"/>
      <c r="Z145" s="2312"/>
      <c r="AA145" s="2312"/>
      <c r="AB145" s="2312"/>
      <c r="AC145" s="2312"/>
      <c r="AD145" s="2312"/>
      <c r="AE145" s="2312"/>
      <c r="AF145" s="2312"/>
      <c r="AG145" s="2312"/>
      <c r="AH145" s="2312"/>
      <c r="AI145" s="2312"/>
      <c r="AJ145" s="2312"/>
      <c r="AK145" s="2312"/>
      <c r="AL145" s="2312"/>
      <c r="AM145" s="2312"/>
      <c r="AN145" s="2312"/>
      <c r="AO145" s="2313"/>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317"/>
      <c r="D146" s="2262"/>
      <c r="E146" s="2262"/>
      <c r="F146" s="2262"/>
      <c r="G146" s="2262"/>
      <c r="H146" s="2262"/>
      <c r="I146" s="2377"/>
      <c r="J146" s="2377"/>
      <c r="K146" s="2377"/>
      <c r="L146" s="2377"/>
      <c r="M146" s="2377"/>
      <c r="N146" s="2390"/>
      <c r="O146" s="1207"/>
      <c r="P146" s="2311"/>
      <c r="Q146" s="2312"/>
      <c r="R146" s="2312"/>
      <c r="S146" s="2312"/>
      <c r="T146" s="2312"/>
      <c r="U146" s="2312"/>
      <c r="V146" s="2312"/>
      <c r="W146" s="2312"/>
      <c r="X146" s="2312"/>
      <c r="Y146" s="2312"/>
      <c r="Z146" s="2312"/>
      <c r="AA146" s="2312"/>
      <c r="AB146" s="2312"/>
      <c r="AC146" s="2312"/>
      <c r="AD146" s="2312"/>
      <c r="AE146" s="2312"/>
      <c r="AF146" s="2312"/>
      <c r="AG146" s="2312"/>
      <c r="AH146" s="2312"/>
      <c r="AI146" s="2312"/>
      <c r="AJ146" s="2312"/>
      <c r="AK146" s="2312"/>
      <c r="AL146" s="2312"/>
      <c r="AM146" s="2312"/>
      <c r="AN146" s="2312"/>
      <c r="AO146" s="2313"/>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317"/>
      <c r="D147" s="2262"/>
      <c r="E147" s="2262"/>
      <c r="F147" s="2262"/>
      <c r="G147" s="2262"/>
      <c r="H147" s="2262"/>
      <c r="I147" s="2377"/>
      <c r="J147" s="2377"/>
      <c r="K147" s="2377"/>
      <c r="L147" s="2377"/>
      <c r="M147" s="2377"/>
      <c r="N147" s="2390"/>
      <c r="O147" s="1207"/>
      <c r="P147" s="2311"/>
      <c r="Q147" s="2312"/>
      <c r="R147" s="2312"/>
      <c r="S147" s="2312"/>
      <c r="T147" s="2312"/>
      <c r="U147" s="2312"/>
      <c r="V147" s="2312"/>
      <c r="W147" s="2312"/>
      <c r="X147" s="2312"/>
      <c r="Y147" s="2312"/>
      <c r="Z147" s="2312"/>
      <c r="AA147" s="2312"/>
      <c r="AB147" s="2312"/>
      <c r="AC147" s="2312"/>
      <c r="AD147" s="2312"/>
      <c r="AE147" s="2312"/>
      <c r="AF147" s="2312"/>
      <c r="AG147" s="2312"/>
      <c r="AH147" s="2312"/>
      <c r="AI147" s="2312"/>
      <c r="AJ147" s="2312"/>
      <c r="AK147" s="2312"/>
      <c r="AL147" s="2312"/>
      <c r="AM147" s="2312"/>
      <c r="AN147" s="2312"/>
      <c r="AO147" s="2313"/>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317"/>
      <c r="D148" s="2262"/>
      <c r="E148" s="2262"/>
      <c r="F148" s="2262"/>
      <c r="G148" s="2262"/>
      <c r="H148" s="2262"/>
      <c r="I148" s="2377"/>
      <c r="J148" s="2377"/>
      <c r="K148" s="2377"/>
      <c r="L148" s="2377"/>
      <c r="M148" s="2377"/>
      <c r="N148" s="2390"/>
      <c r="O148" s="1207"/>
      <c r="P148" s="2311"/>
      <c r="Q148" s="2312"/>
      <c r="R148" s="2312"/>
      <c r="S148" s="2312"/>
      <c r="T148" s="2312"/>
      <c r="U148" s="2312"/>
      <c r="V148" s="2312"/>
      <c r="W148" s="2312"/>
      <c r="X148" s="2312"/>
      <c r="Y148" s="2312"/>
      <c r="Z148" s="2312"/>
      <c r="AA148" s="2312"/>
      <c r="AB148" s="2312"/>
      <c r="AC148" s="2312"/>
      <c r="AD148" s="2312"/>
      <c r="AE148" s="2312"/>
      <c r="AF148" s="2312"/>
      <c r="AG148" s="2312"/>
      <c r="AH148" s="2312"/>
      <c r="AI148" s="2312"/>
      <c r="AJ148" s="2312"/>
      <c r="AK148" s="2312"/>
      <c r="AL148" s="2312"/>
      <c r="AM148" s="2312"/>
      <c r="AN148" s="2312"/>
      <c r="AO148" s="2313"/>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399"/>
      <c r="D149" s="2400"/>
      <c r="E149" s="2400"/>
      <c r="F149" s="2400"/>
      <c r="G149" s="2400"/>
      <c r="H149" s="2400"/>
      <c r="I149" s="2401"/>
      <c r="J149" s="2401"/>
      <c r="K149" s="2401"/>
      <c r="L149" s="2401"/>
      <c r="M149" s="2401"/>
      <c r="N149" s="2402"/>
      <c r="O149" s="1207"/>
      <c r="P149" s="2314"/>
      <c r="Q149" s="2315"/>
      <c r="R149" s="2315"/>
      <c r="S149" s="2315"/>
      <c r="T149" s="2315"/>
      <c r="U149" s="2315"/>
      <c r="V149" s="2315"/>
      <c r="W149" s="2315"/>
      <c r="X149" s="2315"/>
      <c r="Y149" s="2315"/>
      <c r="Z149" s="2315"/>
      <c r="AA149" s="2315"/>
      <c r="AB149" s="2315"/>
      <c r="AC149" s="2315"/>
      <c r="AD149" s="2315"/>
      <c r="AE149" s="2315"/>
      <c r="AF149" s="2315"/>
      <c r="AG149" s="2315"/>
      <c r="AH149" s="2315"/>
      <c r="AI149" s="2315"/>
      <c r="AJ149" s="2315"/>
      <c r="AK149" s="2315"/>
      <c r="AL149" s="2315"/>
      <c r="AM149" s="2315"/>
      <c r="AN149" s="2315"/>
      <c r="AO149" s="2316"/>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403" t="s">
        <v>2591</v>
      </c>
      <c r="D151" s="2403"/>
      <c r="E151" s="2403"/>
      <c r="F151" s="2403"/>
      <c r="G151" s="2403"/>
      <c r="H151" s="2403"/>
      <c r="I151" s="2403"/>
      <c r="J151" s="2403"/>
      <c r="K151" s="2403"/>
      <c r="L151" s="2403"/>
      <c r="M151" s="2403"/>
      <c r="N151" s="2403"/>
      <c r="O151" s="2403"/>
      <c r="P151" s="2403"/>
      <c r="Q151" s="2403"/>
      <c r="R151" s="2403"/>
      <c r="S151" s="2403"/>
      <c r="T151" s="2403"/>
      <c r="U151" s="2403"/>
      <c r="V151" s="2403"/>
      <c r="W151" s="2403"/>
      <c r="X151" s="2403"/>
      <c r="Y151" s="2403"/>
      <c r="Z151" s="2403"/>
      <c r="AA151" s="2403"/>
      <c r="AB151" s="2403"/>
      <c r="AC151" s="2403"/>
      <c r="AD151" s="2403"/>
      <c r="AE151" s="2403"/>
      <c r="AF151" s="1207"/>
      <c r="AG151" s="1207"/>
      <c r="AH151" s="1207"/>
      <c r="AI151" s="1207" t="s">
        <v>252</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403"/>
      <c r="D152" s="2403"/>
      <c r="E152" s="2403"/>
      <c r="F152" s="2403"/>
      <c r="G152" s="2403"/>
      <c r="H152" s="2403"/>
      <c r="I152" s="2403"/>
      <c r="J152" s="2403"/>
      <c r="K152" s="2403"/>
      <c r="L152" s="2403"/>
      <c r="M152" s="2403"/>
      <c r="N152" s="2403"/>
      <c r="O152" s="2403"/>
      <c r="P152" s="2403"/>
      <c r="Q152" s="2403"/>
      <c r="R152" s="2403"/>
      <c r="S152" s="2403"/>
      <c r="T152" s="2403"/>
      <c r="U152" s="2403"/>
      <c r="V152" s="2403"/>
      <c r="W152" s="2403"/>
      <c r="X152" s="2403"/>
      <c r="Y152" s="2403"/>
      <c r="Z152" s="2403"/>
      <c r="AA152" s="2403"/>
      <c r="AB152" s="2403"/>
      <c r="AC152" s="2403"/>
      <c r="AD152" s="2403"/>
      <c r="AE152" s="2403"/>
      <c r="AF152" s="1207"/>
      <c r="AG152" s="1207"/>
      <c r="AH152" s="1227" t="s">
        <v>1920</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307" t="s">
        <v>1908</v>
      </c>
      <c r="D153" s="2308"/>
      <c r="E153" s="2308"/>
      <c r="F153" s="2308"/>
      <c r="G153" s="2308"/>
      <c r="H153" s="2308"/>
      <c r="I153" s="2308"/>
      <c r="J153" s="2308"/>
      <c r="K153" s="2308"/>
      <c r="L153" s="2308"/>
      <c r="M153" s="2308"/>
      <c r="N153" s="2308" t="s">
        <v>1919</v>
      </c>
      <c r="O153" s="2308"/>
      <c r="P153" s="2308"/>
      <c r="Q153" s="2308"/>
      <c r="R153" s="2308"/>
      <c r="S153" s="2308"/>
      <c r="T153" s="2308"/>
      <c r="U153" s="2231" t="s">
        <v>1908</v>
      </c>
      <c r="V153" s="2231"/>
      <c r="W153" s="2231"/>
      <c r="X153" s="2231"/>
      <c r="Y153" s="2231"/>
      <c r="Z153" s="2231"/>
      <c r="AA153" s="2231"/>
      <c r="AB153" s="2231"/>
      <c r="AC153" s="2231"/>
      <c r="AD153" s="2231"/>
      <c r="AE153" s="2232"/>
      <c r="AF153" s="1207"/>
      <c r="AG153" s="1207"/>
      <c r="AH153" s="1233" t="s">
        <v>1921</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392" t="s">
        <v>2592</v>
      </c>
      <c r="D154" s="2393"/>
      <c r="E154" s="2393"/>
      <c r="F154" s="2393"/>
      <c r="G154" s="2393"/>
      <c r="H154" s="2393"/>
      <c r="I154" s="2393"/>
      <c r="J154" s="2393"/>
      <c r="K154" s="2393"/>
      <c r="L154" s="2393"/>
      <c r="M154" s="2393"/>
      <c r="N154" s="2394">
        <f>'Sources and Uses Budget'!B105</f>
        <v>183187876</v>
      </c>
      <c r="O154" s="2394"/>
      <c r="P154" s="2394"/>
      <c r="Q154" s="2394"/>
      <c r="R154" s="2394"/>
      <c r="S154" s="2394"/>
      <c r="T154" s="2394"/>
      <c r="U154" s="2395"/>
      <c r="V154" s="2395"/>
      <c r="W154" s="2395"/>
      <c r="X154" s="2395"/>
      <c r="Y154" s="2395"/>
      <c r="Z154" s="2395"/>
      <c r="AA154" s="2395"/>
      <c r="AB154" s="2395"/>
      <c r="AC154" s="2395"/>
      <c r="AD154" s="2395"/>
      <c r="AE154" s="2396"/>
      <c r="AF154" s="1207"/>
      <c r="AG154" s="1207"/>
      <c r="AH154" s="1233" t="s">
        <v>2593</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392" t="s">
        <v>2594</v>
      </c>
      <c r="D155" s="2393"/>
      <c r="E155" s="2393"/>
      <c r="F155" s="2393"/>
      <c r="G155" s="2393"/>
      <c r="H155" s="2393"/>
      <c r="I155" s="2393"/>
      <c r="J155" s="2393"/>
      <c r="K155" s="2393"/>
      <c r="L155" s="2393"/>
      <c r="M155" s="2393"/>
      <c r="N155" s="2394">
        <f>N154/J29</f>
        <v>1205183.394736842</v>
      </c>
      <c r="O155" s="2394"/>
      <c r="P155" s="2394"/>
      <c r="Q155" s="2394"/>
      <c r="R155" s="2394"/>
      <c r="S155" s="2394"/>
      <c r="T155" s="2394"/>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397" t="s">
        <v>2595</v>
      </c>
      <c r="D156" s="2398"/>
      <c r="E156" s="2398"/>
      <c r="F156" s="2398"/>
      <c r="G156" s="2398"/>
      <c r="H156" s="2398"/>
      <c r="I156" s="2398"/>
      <c r="J156" s="2398"/>
      <c r="K156" s="2398"/>
      <c r="L156" s="2398"/>
      <c r="M156" s="2398"/>
      <c r="N156" s="2301">
        <v>0</v>
      </c>
      <c r="O156" s="2301"/>
      <c r="P156" s="2301"/>
      <c r="Q156" s="2301"/>
      <c r="R156" s="2301"/>
      <c r="S156" s="2301"/>
      <c r="T156" s="2301"/>
      <c r="U156" s="2274"/>
      <c r="V156" s="2274"/>
      <c r="W156" s="2274"/>
      <c r="X156" s="2274"/>
      <c r="Y156" s="2274"/>
      <c r="Z156" s="2274"/>
      <c r="AA156" s="2274"/>
      <c r="AB156" s="2274"/>
      <c r="AC156" s="2274"/>
      <c r="AD156" s="2274"/>
      <c r="AE156" s="2275"/>
      <c r="AF156" s="1207"/>
      <c r="AG156" s="1207"/>
      <c r="AH156" s="2404" t="s">
        <v>2268</v>
      </c>
      <c r="AI156" s="2405"/>
      <c r="AJ156" s="2405"/>
      <c r="AK156" s="2405"/>
      <c r="AL156" s="2405"/>
      <c r="AM156" s="2405"/>
      <c r="AN156" s="2405"/>
      <c r="AO156" s="2405"/>
      <c r="AP156" s="2405"/>
      <c r="AQ156" s="2405"/>
      <c r="AR156" s="2405"/>
      <c r="AS156" s="2406">
        <f>SUM(AS152:AW154)</f>
        <v>0</v>
      </c>
      <c r="AT156" s="2406"/>
      <c r="AU156" s="2406"/>
      <c r="AV156" s="2406"/>
      <c r="AW156" s="2407"/>
      <c r="AX156" s="1207"/>
      <c r="AY156" s="1207"/>
      <c r="AZ156" s="1207"/>
      <c r="BA156" s="1207"/>
      <c r="BB156" s="1207"/>
      <c r="BC156" s="1207"/>
      <c r="BD156" s="1207"/>
      <c r="BE156" s="1213"/>
    </row>
    <row r="157" spans="1:57" ht="15.75" customHeight="1" thickBot="1">
      <c r="A157" s="1207"/>
      <c r="B157" s="1207"/>
      <c r="C157" s="2392" t="s">
        <v>2596</v>
      </c>
      <c r="D157" s="2393"/>
      <c r="E157" s="2393"/>
      <c r="F157" s="2393"/>
      <c r="G157" s="2393"/>
      <c r="H157" s="2393"/>
      <c r="I157" s="2393"/>
      <c r="J157" s="2393"/>
      <c r="K157" s="2393"/>
      <c r="L157" s="2393"/>
      <c r="M157" s="2393"/>
      <c r="N157" s="2408">
        <f>SUM('Sources and Uses Budget'!B85:B86)</f>
        <v>1163591</v>
      </c>
      <c r="O157" s="2408"/>
      <c r="P157" s="2408"/>
      <c r="Q157" s="2408"/>
      <c r="R157" s="2408"/>
      <c r="S157" s="2408"/>
      <c r="T157" s="2408"/>
      <c r="U157" s="2274"/>
      <c r="V157" s="2274"/>
      <c r="W157" s="2274"/>
      <c r="X157" s="2274"/>
      <c r="Y157" s="2274"/>
      <c r="Z157" s="2274"/>
      <c r="AA157" s="2274"/>
      <c r="AB157" s="2274"/>
      <c r="AC157" s="2274"/>
      <c r="AD157" s="2274"/>
      <c r="AE157" s="2275"/>
      <c r="AF157" s="1207"/>
      <c r="AG157" s="1207"/>
      <c r="AH157" s="1247" t="s">
        <v>2597</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392" t="s">
        <v>2598</v>
      </c>
      <c r="D158" s="2393"/>
      <c r="E158" s="2393"/>
      <c r="F158" s="2393"/>
      <c r="G158" s="2393"/>
      <c r="H158" s="2393"/>
      <c r="I158" s="2393"/>
      <c r="J158" s="2393"/>
      <c r="K158" s="2393"/>
      <c r="L158" s="2393"/>
      <c r="M158" s="2393"/>
      <c r="N158" s="2408">
        <f>'Sources and Uses Budget'!B8</f>
        <v>0</v>
      </c>
      <c r="O158" s="2408"/>
      <c r="P158" s="2408"/>
      <c r="Q158" s="2408"/>
      <c r="R158" s="2408"/>
      <c r="S158" s="2408"/>
      <c r="T158" s="2408"/>
      <c r="U158" s="2274"/>
      <c r="V158" s="2274"/>
      <c r="W158" s="2274"/>
      <c r="X158" s="2274"/>
      <c r="Y158" s="2274"/>
      <c r="Z158" s="2274"/>
      <c r="AA158" s="2274"/>
      <c r="AB158" s="2274"/>
      <c r="AC158" s="2274"/>
      <c r="AD158" s="2274"/>
      <c r="AE158" s="2275"/>
      <c r="AF158" s="1207"/>
      <c r="AG158" s="1207"/>
      <c r="AH158" s="2409" t="s">
        <v>2599</v>
      </c>
      <c r="AI158" s="2410"/>
      <c r="AJ158" s="2410"/>
      <c r="AK158" s="2410"/>
      <c r="AL158" s="2410"/>
      <c r="AM158" s="2410"/>
      <c r="AN158" s="2410"/>
      <c r="AO158" s="2410"/>
      <c r="AP158" s="2410"/>
      <c r="AQ158" s="2410"/>
      <c r="AR158" s="2411"/>
      <c r="AS158" s="2415" t="s">
        <v>2600</v>
      </c>
      <c r="AT158" s="2416"/>
      <c r="AU158" s="2416"/>
      <c r="AV158" s="2416"/>
      <c r="AW158" s="2416"/>
      <c r="AX158" s="2417"/>
      <c r="AY158" s="2416" t="s">
        <v>2601</v>
      </c>
      <c r="AZ158" s="2416"/>
      <c r="BA158" s="2416"/>
      <c r="BB158" s="2416"/>
      <c r="BC158" s="2416"/>
      <c r="BD158" s="2421"/>
      <c r="BE158" s="1213"/>
    </row>
    <row r="159" spans="1:57" ht="15.75" customHeight="1">
      <c r="A159" s="1207"/>
      <c r="B159" s="1207"/>
      <c r="C159" s="2392" t="s">
        <v>2602</v>
      </c>
      <c r="D159" s="2393"/>
      <c r="E159" s="2393"/>
      <c r="F159" s="2393"/>
      <c r="G159" s="2393"/>
      <c r="H159" s="2393"/>
      <c r="I159" s="2393"/>
      <c r="J159" s="2393"/>
      <c r="K159" s="2393"/>
      <c r="L159" s="2393"/>
      <c r="M159" s="2393"/>
      <c r="N159" s="2423">
        <v>0</v>
      </c>
      <c r="O159" s="2423"/>
      <c r="P159" s="2423"/>
      <c r="Q159" s="2423"/>
      <c r="R159" s="2423"/>
      <c r="S159" s="2423"/>
      <c r="T159" s="2423"/>
      <c r="U159" s="2274"/>
      <c r="V159" s="2274"/>
      <c r="W159" s="2274"/>
      <c r="X159" s="2274"/>
      <c r="Y159" s="2274"/>
      <c r="Z159" s="2274"/>
      <c r="AA159" s="2274"/>
      <c r="AB159" s="2274"/>
      <c r="AC159" s="2274"/>
      <c r="AD159" s="2274"/>
      <c r="AE159" s="2275"/>
      <c r="AF159" s="1207"/>
      <c r="AG159" s="1207"/>
      <c r="AH159" s="2412"/>
      <c r="AI159" s="2413"/>
      <c r="AJ159" s="2413"/>
      <c r="AK159" s="2413"/>
      <c r="AL159" s="2413"/>
      <c r="AM159" s="2413"/>
      <c r="AN159" s="2413"/>
      <c r="AO159" s="2413"/>
      <c r="AP159" s="2413"/>
      <c r="AQ159" s="2413"/>
      <c r="AR159" s="2414"/>
      <c r="AS159" s="2418"/>
      <c r="AT159" s="2419"/>
      <c r="AU159" s="2419"/>
      <c r="AV159" s="2419"/>
      <c r="AW159" s="2419"/>
      <c r="AX159" s="2420"/>
      <c r="AY159" s="2419"/>
      <c r="AZ159" s="2419"/>
      <c r="BA159" s="2419"/>
      <c r="BB159" s="2419"/>
      <c r="BC159" s="2419"/>
      <c r="BD159" s="2422"/>
      <c r="BE159" s="1213"/>
    </row>
    <row r="160" spans="1:57" ht="15.75" customHeight="1">
      <c r="A160" s="1207"/>
      <c r="B160" s="1207"/>
      <c r="C160" s="2392" t="s">
        <v>2603</v>
      </c>
      <c r="D160" s="2393"/>
      <c r="E160" s="2393"/>
      <c r="F160" s="2393"/>
      <c r="G160" s="2393"/>
      <c r="H160" s="2393"/>
      <c r="I160" s="2393"/>
      <c r="J160" s="2393"/>
      <c r="K160" s="2393"/>
      <c r="L160" s="2393"/>
      <c r="M160" s="2393"/>
      <c r="N160" s="2423">
        <v>0</v>
      </c>
      <c r="O160" s="2423"/>
      <c r="P160" s="2423"/>
      <c r="Q160" s="2423"/>
      <c r="R160" s="2423"/>
      <c r="S160" s="2423"/>
      <c r="T160" s="2423"/>
      <c r="U160" s="2274"/>
      <c r="V160" s="2274"/>
      <c r="W160" s="2274"/>
      <c r="X160" s="2274"/>
      <c r="Y160" s="2274"/>
      <c r="Z160" s="2274"/>
      <c r="AA160" s="2274"/>
      <c r="AB160" s="2274"/>
      <c r="AC160" s="2274"/>
      <c r="AD160" s="2274"/>
      <c r="AE160" s="2275"/>
      <c r="AF160" s="1207"/>
      <c r="AG160" s="1207"/>
      <c r="AH160" s="2424" t="s">
        <v>2269</v>
      </c>
      <c r="AI160" s="2425"/>
      <c r="AJ160" s="2425"/>
      <c r="AK160" s="2425"/>
      <c r="AL160" s="2425"/>
      <c r="AM160" s="2425"/>
      <c r="AN160" s="2425"/>
      <c r="AO160" s="2425"/>
      <c r="AP160" s="2425"/>
      <c r="AQ160" s="2425"/>
      <c r="AR160" s="2425"/>
      <c r="AS160" s="2426">
        <v>0</v>
      </c>
      <c r="AT160" s="2426"/>
      <c r="AU160" s="2426"/>
      <c r="AV160" s="2426"/>
      <c r="AW160" s="2426"/>
      <c r="AX160" s="2426"/>
      <c r="AY160" s="2426">
        <v>0</v>
      </c>
      <c r="AZ160" s="2426"/>
      <c r="BA160" s="2426"/>
      <c r="BB160" s="2426"/>
      <c r="BC160" s="2426"/>
      <c r="BD160" s="2427"/>
      <c r="BE160" s="1213"/>
    </row>
    <row r="161" spans="1:57" ht="15.75" customHeight="1">
      <c r="A161" s="1207"/>
      <c r="B161" s="1207"/>
      <c r="C161" s="2429" t="s">
        <v>302</v>
      </c>
      <c r="D161" s="2376"/>
      <c r="E161" s="2428" t="s">
        <v>1914</v>
      </c>
      <c r="F161" s="2428"/>
      <c r="G161" s="2428"/>
      <c r="H161" s="2428"/>
      <c r="I161" s="2428"/>
      <c r="J161" s="2428"/>
      <c r="K161" s="2428"/>
      <c r="L161" s="2428"/>
      <c r="M161" s="2428"/>
      <c r="N161" s="2423">
        <v>0</v>
      </c>
      <c r="O161" s="2423"/>
      <c r="P161" s="2423"/>
      <c r="Q161" s="2423"/>
      <c r="R161" s="2423"/>
      <c r="S161" s="2423"/>
      <c r="T161" s="2423"/>
      <c r="U161" s="2274"/>
      <c r="V161" s="2274"/>
      <c r="W161" s="2274"/>
      <c r="X161" s="2274"/>
      <c r="Y161" s="2274"/>
      <c r="Z161" s="2274"/>
      <c r="AA161" s="2274"/>
      <c r="AB161" s="2274"/>
      <c r="AC161" s="2274"/>
      <c r="AD161" s="2274"/>
      <c r="AE161" s="2275"/>
      <c r="AF161" s="1207"/>
      <c r="AG161" s="1207"/>
      <c r="AH161" s="2424" t="s">
        <v>2270</v>
      </c>
      <c r="AI161" s="2425"/>
      <c r="AJ161" s="2425"/>
      <c r="AK161" s="2425"/>
      <c r="AL161" s="2425"/>
      <c r="AM161" s="2425"/>
      <c r="AN161" s="2425"/>
      <c r="AO161" s="2425"/>
      <c r="AP161" s="2425"/>
      <c r="AQ161" s="2425"/>
      <c r="AR161" s="2425"/>
      <c r="AS161" s="2426">
        <v>0</v>
      </c>
      <c r="AT161" s="2426"/>
      <c r="AU161" s="2426"/>
      <c r="AV161" s="2426"/>
      <c r="AW161" s="2426"/>
      <c r="AX161" s="2426"/>
      <c r="AY161" s="2426">
        <v>0</v>
      </c>
      <c r="AZ161" s="2426"/>
      <c r="BA161" s="2426"/>
      <c r="BB161" s="2426"/>
      <c r="BC161" s="2426"/>
      <c r="BD161" s="2427"/>
      <c r="BE161" s="1213"/>
    </row>
    <row r="162" spans="1:57" ht="15.75" customHeight="1">
      <c r="A162" s="1207"/>
      <c r="B162" s="1207"/>
      <c r="C162" s="2317" t="s">
        <v>302</v>
      </c>
      <c r="D162" s="2262"/>
      <c r="E162" s="2428" t="s">
        <v>1914</v>
      </c>
      <c r="F162" s="2428"/>
      <c r="G162" s="2428"/>
      <c r="H162" s="2428"/>
      <c r="I162" s="2428"/>
      <c r="J162" s="2428"/>
      <c r="K162" s="2428"/>
      <c r="L162" s="2428"/>
      <c r="M162" s="2428"/>
      <c r="N162" s="2423">
        <v>0</v>
      </c>
      <c r="O162" s="2423"/>
      <c r="P162" s="2423"/>
      <c r="Q162" s="2423"/>
      <c r="R162" s="2423"/>
      <c r="S162" s="2423"/>
      <c r="T162" s="2423"/>
      <c r="U162" s="2274"/>
      <c r="V162" s="2274"/>
      <c r="W162" s="2274"/>
      <c r="X162" s="2274"/>
      <c r="Y162" s="2274"/>
      <c r="Z162" s="2274"/>
      <c r="AA162" s="2274"/>
      <c r="AB162" s="2274"/>
      <c r="AC162" s="2274"/>
      <c r="AD162" s="2274"/>
      <c r="AE162" s="2275"/>
      <c r="AF162" s="1207"/>
      <c r="AG162" s="1207"/>
      <c r="AH162" s="2424" t="s">
        <v>2271</v>
      </c>
      <c r="AI162" s="2425"/>
      <c r="AJ162" s="2425"/>
      <c r="AK162" s="2425"/>
      <c r="AL162" s="2425"/>
      <c r="AM162" s="2425"/>
      <c r="AN162" s="2425"/>
      <c r="AO162" s="2425"/>
      <c r="AP162" s="2425"/>
      <c r="AQ162" s="2425"/>
      <c r="AR162" s="2425"/>
      <c r="AS162" s="2426">
        <v>0</v>
      </c>
      <c r="AT162" s="2426"/>
      <c r="AU162" s="2426"/>
      <c r="AV162" s="2426"/>
      <c r="AW162" s="2426"/>
      <c r="AX162" s="2426"/>
      <c r="AY162" s="2426">
        <v>0</v>
      </c>
      <c r="AZ162" s="2426"/>
      <c r="BA162" s="2426"/>
      <c r="BB162" s="2426"/>
      <c r="BC162" s="2426"/>
      <c r="BD162" s="2427"/>
      <c r="BE162" s="1213"/>
    </row>
    <row r="163" spans="1:57" ht="15.75" customHeight="1" thickBot="1">
      <c r="A163" s="1207"/>
      <c r="B163" s="1207"/>
      <c r="C163" s="2434" t="s">
        <v>302</v>
      </c>
      <c r="D163" s="2435"/>
      <c r="E163" s="2436" t="s">
        <v>1914</v>
      </c>
      <c r="F163" s="2436"/>
      <c r="G163" s="2436"/>
      <c r="H163" s="2436"/>
      <c r="I163" s="2436"/>
      <c r="J163" s="2436"/>
      <c r="K163" s="2436"/>
      <c r="L163" s="2436"/>
      <c r="M163" s="2437"/>
      <c r="N163" s="2438">
        <v>0</v>
      </c>
      <c r="O163" s="2438"/>
      <c r="P163" s="2438"/>
      <c r="Q163" s="2438"/>
      <c r="R163" s="2438"/>
      <c r="S163" s="2438"/>
      <c r="T163" s="2439"/>
      <c r="U163" s="2440"/>
      <c r="V163" s="2441"/>
      <c r="W163" s="2441"/>
      <c r="X163" s="2441"/>
      <c r="Y163" s="2441"/>
      <c r="Z163" s="2441"/>
      <c r="AA163" s="2441"/>
      <c r="AB163" s="2441"/>
      <c r="AC163" s="2441"/>
      <c r="AD163" s="2441"/>
      <c r="AE163" s="2442"/>
      <c r="AF163" s="1207"/>
      <c r="AG163" s="1207"/>
      <c r="AH163" s="2424" t="s">
        <v>2272</v>
      </c>
      <c r="AI163" s="2425"/>
      <c r="AJ163" s="2425"/>
      <c r="AK163" s="2425"/>
      <c r="AL163" s="2425"/>
      <c r="AM163" s="2425"/>
      <c r="AN163" s="2425"/>
      <c r="AO163" s="2425"/>
      <c r="AP163" s="2425"/>
      <c r="AQ163" s="2425"/>
      <c r="AR163" s="2425"/>
      <c r="AS163" s="2426">
        <v>0</v>
      </c>
      <c r="AT163" s="2426"/>
      <c r="AU163" s="2426"/>
      <c r="AV163" s="2426"/>
      <c r="AW163" s="2426"/>
      <c r="AX163" s="2426"/>
      <c r="AY163" s="2426">
        <v>0</v>
      </c>
      <c r="AZ163" s="2426"/>
      <c r="BA163" s="2426"/>
      <c r="BB163" s="2426"/>
      <c r="BC163" s="2426"/>
      <c r="BD163" s="2427"/>
      <c r="BE163" s="1213"/>
    </row>
    <row r="164" spans="1:57" ht="15.75" customHeight="1">
      <c r="A164" s="1207"/>
      <c r="B164" s="1207"/>
      <c r="C164" s="2430" t="s">
        <v>1922</v>
      </c>
      <c r="D164" s="2431"/>
      <c r="E164" s="2431"/>
      <c r="F164" s="2431"/>
      <c r="G164" s="2431"/>
      <c r="H164" s="2431"/>
      <c r="I164" s="2431"/>
      <c r="J164" s="2431"/>
      <c r="K164" s="2431"/>
      <c r="L164" s="2431"/>
      <c r="M164" s="2431"/>
      <c r="N164" s="2432">
        <f>SUM(N156:T163)</f>
        <v>1163591</v>
      </c>
      <c r="O164" s="2432"/>
      <c r="P164" s="2432"/>
      <c r="Q164" s="2432"/>
      <c r="R164" s="2432"/>
      <c r="S164" s="2432"/>
      <c r="T164" s="2433"/>
      <c r="U164" s="1207"/>
      <c r="V164" s="1207"/>
      <c r="W164" s="1207"/>
      <c r="X164" s="1207"/>
      <c r="Y164" s="1207"/>
      <c r="Z164" s="1207"/>
      <c r="AA164" s="1207"/>
      <c r="AB164" s="1207"/>
      <c r="AC164" s="1207"/>
      <c r="AD164" s="1207"/>
      <c r="AE164" s="1207"/>
      <c r="AF164" s="1207"/>
      <c r="AG164" s="1207"/>
      <c r="AH164" s="2424" t="s">
        <v>2273</v>
      </c>
      <c r="AI164" s="2425"/>
      <c r="AJ164" s="2425"/>
      <c r="AK164" s="2425"/>
      <c r="AL164" s="2425"/>
      <c r="AM164" s="2425"/>
      <c r="AN164" s="2425"/>
      <c r="AO164" s="2425"/>
      <c r="AP164" s="2425"/>
      <c r="AQ164" s="2425"/>
      <c r="AR164" s="2425"/>
      <c r="AS164" s="2426">
        <v>0</v>
      </c>
      <c r="AT164" s="2426"/>
      <c r="AU164" s="2426"/>
      <c r="AV164" s="2426"/>
      <c r="AW164" s="2426"/>
      <c r="AX164" s="2426"/>
      <c r="AY164" s="2426">
        <v>0</v>
      </c>
      <c r="AZ164" s="2426"/>
      <c r="BA164" s="2426"/>
      <c r="BB164" s="2426"/>
      <c r="BC164" s="2426"/>
      <c r="BD164" s="2427"/>
      <c r="BE164" s="1213"/>
    </row>
    <row r="165" spans="1:57" ht="15.75" customHeight="1" thickBot="1">
      <c r="A165" s="1207"/>
      <c r="B165" s="1207"/>
      <c r="C165" s="2456" t="s">
        <v>2604</v>
      </c>
      <c r="D165" s="2457"/>
      <c r="E165" s="2457"/>
      <c r="F165" s="2457"/>
      <c r="G165" s="2457"/>
      <c r="H165" s="2457"/>
      <c r="I165" s="2457"/>
      <c r="J165" s="2457"/>
      <c r="K165" s="2457"/>
      <c r="L165" s="2457"/>
      <c r="M165" s="2457"/>
      <c r="N165" s="2458">
        <f>(N154-N164)/J29</f>
        <v>1197528.1907894737</v>
      </c>
      <c r="O165" s="2459"/>
      <c r="P165" s="2459"/>
      <c r="Q165" s="2459"/>
      <c r="R165" s="2459"/>
      <c r="S165" s="2459"/>
      <c r="T165" s="2460"/>
      <c r="U165" s="1214"/>
      <c r="V165" s="1207"/>
      <c r="W165" s="1207"/>
      <c r="X165" s="1207"/>
      <c r="Y165" s="1207"/>
      <c r="Z165" s="1207"/>
      <c r="AA165" s="1207"/>
      <c r="AB165" s="1207"/>
      <c r="AC165" s="1207"/>
      <c r="AD165" s="1207"/>
      <c r="AE165" s="1207"/>
      <c r="AF165" s="1207"/>
      <c r="AG165" s="1207"/>
      <c r="AH165" s="2424" t="s">
        <v>2274</v>
      </c>
      <c r="AI165" s="2425"/>
      <c r="AJ165" s="2425"/>
      <c r="AK165" s="2425"/>
      <c r="AL165" s="2425"/>
      <c r="AM165" s="2425"/>
      <c r="AN165" s="2425"/>
      <c r="AO165" s="2425"/>
      <c r="AP165" s="2425"/>
      <c r="AQ165" s="2425"/>
      <c r="AR165" s="2425"/>
      <c r="AS165" s="2426">
        <v>0</v>
      </c>
      <c r="AT165" s="2426"/>
      <c r="AU165" s="2426"/>
      <c r="AV165" s="2426"/>
      <c r="AW165" s="2426"/>
      <c r="AX165" s="2426"/>
      <c r="AY165" s="2426">
        <v>0</v>
      </c>
      <c r="AZ165" s="2426"/>
      <c r="BA165" s="2426"/>
      <c r="BB165" s="2426"/>
      <c r="BC165" s="2426"/>
      <c r="BD165" s="2427"/>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461" t="s">
        <v>125</v>
      </c>
      <c r="AI166" s="2462"/>
      <c r="AJ166" s="2462"/>
      <c r="AK166" s="2462"/>
      <c r="AL166" s="2462"/>
      <c r="AM166" s="2462"/>
      <c r="AN166" s="2462"/>
      <c r="AO166" s="2462"/>
      <c r="AP166" s="2462"/>
      <c r="AQ166" s="2462"/>
      <c r="AR166" s="2462"/>
      <c r="AS166" s="2463">
        <f>SUM(AS160:AX165)</f>
        <v>0</v>
      </c>
      <c r="AT166" s="2463"/>
      <c r="AU166" s="2463"/>
      <c r="AV166" s="2463"/>
      <c r="AW166" s="2463"/>
      <c r="AX166" s="2463"/>
      <c r="AY166" s="2463">
        <f>SUM(AY160:BD165)</f>
        <v>0</v>
      </c>
      <c r="AZ166" s="2463"/>
      <c r="BA166" s="2463"/>
      <c r="BB166" s="2463"/>
      <c r="BC166" s="2463"/>
      <c r="BD166" s="2464"/>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443" t="s">
        <v>1923</v>
      </c>
      <c r="C168" s="2444"/>
      <c r="D168" s="2444"/>
      <c r="E168" s="2444"/>
      <c r="F168" s="2444"/>
      <c r="G168" s="2444"/>
      <c r="H168" s="2444"/>
      <c r="I168" s="2444"/>
      <c r="J168" s="2444"/>
      <c r="K168" s="2444"/>
      <c r="L168" s="2444"/>
      <c r="M168" s="2444"/>
      <c r="N168" s="2444"/>
      <c r="O168" s="2444"/>
      <c r="P168" s="2444"/>
      <c r="Q168" s="2444"/>
      <c r="R168" s="2444"/>
      <c r="S168" s="2444"/>
      <c r="T168" s="2444"/>
      <c r="U168" s="2444"/>
      <c r="V168" s="2444"/>
      <c r="W168" s="2444"/>
      <c r="X168" s="2444"/>
      <c r="Y168" s="2444"/>
      <c r="Z168" s="2444"/>
      <c r="AA168" s="2444"/>
      <c r="AB168" s="2444"/>
      <c r="AC168" s="2444"/>
      <c r="AD168" s="2444"/>
      <c r="AE168" s="2444"/>
      <c r="AF168" s="2444"/>
      <c r="AG168" s="2444"/>
      <c r="AH168" s="2444"/>
      <c r="AI168" s="2444"/>
      <c r="AJ168" s="2444"/>
      <c r="AK168" s="2444"/>
      <c r="AL168" s="2444"/>
      <c r="AM168" s="2444"/>
      <c r="AN168" s="2444"/>
      <c r="AO168" s="2444"/>
      <c r="AP168" s="2444"/>
      <c r="AQ168" s="2444"/>
      <c r="AR168" s="2444"/>
      <c r="AS168" s="2444"/>
      <c r="AT168" s="2444"/>
      <c r="AU168" s="2444"/>
      <c r="AV168" s="2444"/>
      <c r="AW168" s="2444"/>
      <c r="AX168" s="2444"/>
      <c r="AY168" s="2444"/>
      <c r="AZ168" s="2444"/>
      <c r="BA168" s="2444"/>
      <c r="BB168" s="2444"/>
      <c r="BC168" s="2444"/>
      <c r="BD168" s="2445"/>
      <c r="BE168" s="1213"/>
    </row>
    <row r="169" spans="1:57" ht="15.75" customHeight="1">
      <c r="A169" s="1207"/>
      <c r="B169" s="2446"/>
      <c r="C169" s="2447"/>
      <c r="D169" s="2447"/>
      <c r="E169" s="2447"/>
      <c r="F169" s="2447"/>
      <c r="G169" s="2447"/>
      <c r="H169" s="2447"/>
      <c r="I169" s="2447"/>
      <c r="J169" s="2447"/>
      <c r="K169" s="2447"/>
      <c r="L169" s="2447"/>
      <c r="M169" s="2447"/>
      <c r="N169" s="2447"/>
      <c r="O169" s="2447"/>
      <c r="P169" s="2447"/>
      <c r="Q169" s="2447"/>
      <c r="R169" s="2447"/>
      <c r="S169" s="2447"/>
      <c r="T169" s="2447"/>
      <c r="U169" s="2447"/>
      <c r="V169" s="2447"/>
      <c r="W169" s="2447"/>
      <c r="X169" s="2447"/>
      <c r="Y169" s="2447"/>
      <c r="Z169" s="2447"/>
      <c r="AA169" s="2447"/>
      <c r="AB169" s="2447"/>
      <c r="AC169" s="2447"/>
      <c r="AD169" s="2447"/>
      <c r="AE169" s="2447"/>
      <c r="AF169" s="2447"/>
      <c r="AG169" s="2447"/>
      <c r="AH169" s="2447"/>
      <c r="AI169" s="2447"/>
      <c r="AJ169" s="2447"/>
      <c r="AK169" s="2447"/>
      <c r="AL169" s="2447"/>
      <c r="AM169" s="2447"/>
      <c r="AN169" s="2447"/>
      <c r="AO169" s="2447"/>
      <c r="AP169" s="2447"/>
      <c r="AQ169" s="2447"/>
      <c r="AR169" s="2447"/>
      <c r="AS169" s="2447"/>
      <c r="AT169" s="2447"/>
      <c r="AU169" s="2447"/>
      <c r="AV169" s="2447"/>
      <c r="AW169" s="2447"/>
      <c r="AX169" s="2447"/>
      <c r="AY169" s="2447"/>
      <c r="AZ169" s="2447"/>
      <c r="BA169" s="2447"/>
      <c r="BB169" s="2447"/>
      <c r="BC169" s="2447"/>
      <c r="BD169" s="2448"/>
      <c r="BE169" s="1213"/>
    </row>
    <row r="170" spans="1:57" ht="15.75" customHeight="1">
      <c r="A170" s="1207"/>
      <c r="B170" s="2449" t="s">
        <v>1924</v>
      </c>
      <c r="C170" s="2450"/>
      <c r="D170" s="2450"/>
      <c r="E170" s="2450"/>
      <c r="F170" s="2450"/>
      <c r="G170" s="2450"/>
      <c r="H170" s="2450"/>
      <c r="I170" s="2450"/>
      <c r="J170" s="2450"/>
      <c r="K170" s="2450"/>
      <c r="L170" s="2450"/>
      <c r="M170" s="2450"/>
      <c r="N170" s="2450"/>
      <c r="O170" s="2450"/>
      <c r="P170" s="2450"/>
      <c r="Q170" s="2450"/>
      <c r="R170" s="2450"/>
      <c r="S170" s="2450"/>
      <c r="T170" s="2450"/>
      <c r="U170" s="2450"/>
      <c r="V170" s="2450"/>
      <c r="W170" s="2450"/>
      <c r="X170" s="2450"/>
      <c r="Y170" s="2450"/>
      <c r="Z170" s="2450"/>
      <c r="AA170" s="2450"/>
      <c r="AB170" s="2450"/>
      <c r="AC170" s="2450"/>
      <c r="AD170" s="2450"/>
      <c r="AE170" s="2450"/>
      <c r="AF170" s="2450"/>
      <c r="AG170" s="2450"/>
      <c r="AH170" s="2450"/>
      <c r="AI170" s="2450"/>
      <c r="AJ170" s="2450"/>
      <c r="AK170" s="2450"/>
      <c r="AL170" s="2450"/>
      <c r="AM170" s="2450"/>
      <c r="AN170" s="2450"/>
      <c r="AO170" s="2450"/>
      <c r="AP170" s="2450"/>
      <c r="AQ170" s="2450"/>
      <c r="AR170" s="2450"/>
      <c r="AS170" s="2450"/>
      <c r="AT170" s="2450"/>
      <c r="AU170" s="2450"/>
      <c r="AV170" s="2450"/>
      <c r="AW170" s="2450"/>
      <c r="AX170" s="2450"/>
      <c r="AY170" s="2450"/>
      <c r="AZ170" s="2450"/>
      <c r="BA170" s="2450"/>
      <c r="BB170" s="2450"/>
      <c r="BC170" s="2450"/>
      <c r="BD170" s="2451"/>
      <c r="BE170" s="1213"/>
    </row>
    <row r="171" spans="1:57" ht="15.75" customHeight="1">
      <c r="A171" s="1207"/>
      <c r="B171" s="2449" t="s">
        <v>1925</v>
      </c>
      <c r="C171" s="2450"/>
      <c r="D171" s="2450"/>
      <c r="E171" s="2450"/>
      <c r="F171" s="2450"/>
      <c r="G171" s="2450"/>
      <c r="H171" s="2450"/>
      <c r="I171" s="2450"/>
      <c r="J171" s="2450"/>
      <c r="K171" s="2450"/>
      <c r="L171" s="2450"/>
      <c r="M171" s="2450"/>
      <c r="N171" s="2450"/>
      <c r="O171" s="2450"/>
      <c r="P171" s="2450"/>
      <c r="Q171" s="2450"/>
      <c r="R171" s="2450"/>
      <c r="S171" s="2450"/>
      <c r="T171" s="2450"/>
      <c r="U171" s="2450"/>
      <c r="V171" s="2450"/>
      <c r="W171" s="2450"/>
      <c r="X171" s="2450"/>
      <c r="Y171" s="2450"/>
      <c r="Z171" s="2450"/>
      <c r="AA171" s="2450"/>
      <c r="AB171" s="2450"/>
      <c r="AC171" s="2450"/>
      <c r="AD171" s="2450"/>
      <c r="AE171" s="2450"/>
      <c r="AF171" s="2450"/>
      <c r="AG171" s="2450"/>
      <c r="AH171" s="2450"/>
      <c r="AI171" s="2450"/>
      <c r="AJ171" s="2450"/>
      <c r="AK171" s="2450"/>
      <c r="AL171" s="2450"/>
      <c r="AM171" s="2450"/>
      <c r="AN171" s="2450"/>
      <c r="AO171" s="2450"/>
      <c r="AP171" s="2450"/>
      <c r="AQ171" s="2450"/>
      <c r="AR171" s="2450"/>
      <c r="AS171" s="2450"/>
      <c r="AT171" s="2450"/>
      <c r="AU171" s="2450"/>
      <c r="AV171" s="2450"/>
      <c r="AW171" s="2450"/>
      <c r="AX171" s="2450"/>
      <c r="AY171" s="2450"/>
      <c r="AZ171" s="2450"/>
      <c r="BA171" s="2450"/>
      <c r="BB171" s="2450"/>
      <c r="BC171" s="2450"/>
      <c r="BD171" s="2451"/>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452" t="s">
        <v>1926</v>
      </c>
      <c r="C173" s="2453"/>
      <c r="D173" s="2453"/>
      <c r="E173" s="2453"/>
      <c r="F173" s="2453"/>
      <c r="G173" s="2453"/>
      <c r="H173" s="2453"/>
      <c r="I173" s="2453"/>
      <c r="J173" s="2453"/>
      <c r="K173" s="2453"/>
      <c r="L173" s="2453"/>
      <c r="M173" s="2453"/>
      <c r="N173" s="2453"/>
      <c r="O173" s="2453"/>
      <c r="P173" s="2453"/>
      <c r="Q173" s="2453"/>
      <c r="R173" s="2453"/>
      <c r="S173" s="2453"/>
      <c r="T173" s="2453"/>
      <c r="U173" s="2453"/>
      <c r="V173" s="2453"/>
      <c r="W173" s="2453"/>
      <c r="X173" s="2453"/>
      <c r="Y173" s="2453"/>
      <c r="Z173" s="2453"/>
      <c r="AA173" s="2453"/>
      <c r="AB173" s="2453"/>
      <c r="AC173" s="2453"/>
      <c r="AD173" s="2453"/>
      <c r="AE173" s="2453"/>
      <c r="AF173" s="2453"/>
      <c r="AG173" s="2453"/>
      <c r="AH173" s="2453"/>
      <c r="AI173" s="2453"/>
      <c r="AJ173" s="2453"/>
      <c r="AK173" s="2453"/>
      <c r="AL173" s="2453"/>
      <c r="AM173" s="2453"/>
      <c r="AN173" s="2453"/>
      <c r="AO173" s="2453"/>
      <c r="AP173" s="2453"/>
      <c r="AQ173" s="2453"/>
      <c r="AR173" s="2453"/>
      <c r="AS173" s="2453"/>
      <c r="AT173" s="2453"/>
      <c r="AU173" s="2453"/>
      <c r="AV173" s="2453"/>
      <c r="AW173" s="2453"/>
      <c r="AX173" s="2453"/>
      <c r="AY173" s="2453"/>
      <c r="AZ173" s="2453"/>
      <c r="BA173" s="2453"/>
      <c r="BB173" s="2453"/>
      <c r="BC173" s="2453"/>
      <c r="BD173" s="2454"/>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1927</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455" t="s">
        <v>1928</v>
      </c>
      <c r="I177" s="2455"/>
      <c r="J177" s="2455"/>
      <c r="K177" s="2455"/>
      <c r="L177" s="2455"/>
      <c r="M177" s="2455"/>
      <c r="N177" s="2455"/>
      <c r="O177" s="2455"/>
      <c r="P177" s="2455"/>
      <c r="Q177" s="2455"/>
      <c r="R177" s="2455"/>
      <c r="S177" s="2455"/>
      <c r="T177" s="2455"/>
      <c r="U177" s="2455"/>
      <c r="V177" s="2455"/>
      <c r="W177" s="2455"/>
      <c r="X177" s="2455"/>
      <c r="Y177" s="2455"/>
      <c r="Z177" s="2455"/>
      <c r="AA177" s="2455"/>
      <c r="AB177" s="2455"/>
      <c r="AC177" s="2455"/>
      <c r="AD177" s="2455"/>
      <c r="AE177" s="2455"/>
      <c r="AF177" s="2455"/>
      <c r="AG177" s="2455"/>
      <c r="AH177" s="2455"/>
      <c r="AI177" s="2455"/>
      <c r="AJ177" s="2455"/>
      <c r="AK177" s="2455"/>
      <c r="AL177" s="2455"/>
      <c r="AM177" s="2455"/>
      <c r="AN177" s="2455"/>
      <c r="AO177" s="2455"/>
      <c r="AP177" s="2455"/>
      <c r="AQ177" s="2455"/>
      <c r="AR177" s="2455"/>
      <c r="AS177" s="2455"/>
      <c r="AT177" s="2455"/>
      <c r="AU177" s="2455"/>
      <c r="AV177" s="2455"/>
      <c r="AW177" s="2455"/>
      <c r="AX177" s="2455"/>
      <c r="AY177" s="2455"/>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474" t="s">
        <v>2605</v>
      </c>
      <c r="I179" s="2474"/>
      <c r="J179" s="2474"/>
      <c r="K179" s="2474"/>
      <c r="L179" s="2474"/>
      <c r="M179" s="2474"/>
      <c r="N179" s="2474"/>
      <c r="O179" s="2474"/>
      <c r="P179" s="2474"/>
      <c r="Q179" s="2474"/>
      <c r="R179" s="2474"/>
      <c r="S179" s="2474"/>
      <c r="T179" s="2474"/>
      <c r="U179" s="2474"/>
      <c r="V179" s="2474"/>
      <c r="W179" s="2474"/>
      <c r="X179" s="2474"/>
      <c r="Y179" s="2474"/>
      <c r="Z179" s="2474"/>
      <c r="AA179" s="2474"/>
      <c r="AB179" s="2474"/>
      <c r="AC179" s="2474"/>
      <c r="AD179" s="2474"/>
      <c r="AE179" s="2474"/>
      <c r="AF179" s="2474"/>
      <c r="AG179" s="2474"/>
      <c r="AH179" s="2474"/>
      <c r="AI179" s="2474"/>
      <c r="AJ179" s="2474"/>
      <c r="AK179" s="2474"/>
      <c r="AL179" s="2474"/>
      <c r="AM179" s="2474"/>
      <c r="AN179" s="2474"/>
      <c r="AO179" s="2474"/>
      <c r="AP179" s="2474"/>
      <c r="AQ179" s="2474"/>
      <c r="AR179" s="2474"/>
      <c r="AS179" s="2474"/>
      <c r="AT179" s="2474"/>
      <c r="AU179" s="2474"/>
      <c r="AV179" s="2474"/>
      <c r="AW179" s="2474"/>
      <c r="AX179" s="2474"/>
      <c r="AY179" s="2474"/>
      <c r="AZ179" s="2474"/>
      <c r="BA179" s="1207"/>
      <c r="BB179" s="1207"/>
      <c r="BC179" s="1207"/>
      <c r="BD179" s="1213"/>
      <c r="BE179" s="1213"/>
    </row>
    <row r="180" spans="1:57" ht="15.75" customHeight="1">
      <c r="A180" s="1207"/>
      <c r="B180" s="1206"/>
      <c r="C180" s="1207"/>
      <c r="D180" s="1207"/>
      <c r="E180" s="1207"/>
      <c r="F180" s="1207"/>
      <c r="G180" s="1207"/>
      <c r="H180" s="2474"/>
      <c r="I180" s="2474"/>
      <c r="J180" s="2474"/>
      <c r="K180" s="2474"/>
      <c r="L180" s="2474"/>
      <c r="M180" s="2474"/>
      <c r="N180" s="2474"/>
      <c r="O180" s="2474"/>
      <c r="P180" s="2474"/>
      <c r="Q180" s="2474"/>
      <c r="R180" s="2474"/>
      <c r="S180" s="2474"/>
      <c r="T180" s="2474"/>
      <c r="U180" s="2474"/>
      <c r="V180" s="2474"/>
      <c r="W180" s="2474"/>
      <c r="X180" s="2474"/>
      <c r="Y180" s="2474"/>
      <c r="Z180" s="2474"/>
      <c r="AA180" s="2474"/>
      <c r="AB180" s="2474"/>
      <c r="AC180" s="2474"/>
      <c r="AD180" s="2474"/>
      <c r="AE180" s="2474"/>
      <c r="AF180" s="2474"/>
      <c r="AG180" s="2474"/>
      <c r="AH180" s="2474"/>
      <c r="AI180" s="2474"/>
      <c r="AJ180" s="2474"/>
      <c r="AK180" s="2474"/>
      <c r="AL180" s="2474"/>
      <c r="AM180" s="2474"/>
      <c r="AN180" s="2474"/>
      <c r="AO180" s="2474"/>
      <c r="AP180" s="2474"/>
      <c r="AQ180" s="2474"/>
      <c r="AR180" s="2474"/>
      <c r="AS180" s="2474"/>
      <c r="AT180" s="2474"/>
      <c r="AU180" s="2474"/>
      <c r="AV180" s="2474"/>
      <c r="AW180" s="2474"/>
      <c r="AX180" s="2474"/>
      <c r="AY180" s="2474"/>
      <c r="AZ180" s="2474"/>
      <c r="BA180" s="1207"/>
      <c r="BB180" s="1207"/>
      <c r="BC180" s="1207"/>
      <c r="BD180" s="1213"/>
      <c r="BE180" s="1213"/>
    </row>
    <row r="181" spans="1:57" ht="15.75" customHeight="1">
      <c r="A181" s="1207"/>
      <c r="B181" s="1206"/>
      <c r="C181" s="1207"/>
      <c r="D181" s="1207"/>
      <c r="E181" s="1207"/>
      <c r="F181" s="1207"/>
      <c r="G181" s="1207"/>
      <c r="H181" s="2474"/>
      <c r="I181" s="2474"/>
      <c r="J181" s="2474"/>
      <c r="K181" s="2474"/>
      <c r="L181" s="2474"/>
      <c r="M181" s="2474"/>
      <c r="N181" s="2474"/>
      <c r="O181" s="2474"/>
      <c r="P181" s="2474"/>
      <c r="Q181" s="2474"/>
      <c r="R181" s="2474"/>
      <c r="S181" s="2474"/>
      <c r="T181" s="2474"/>
      <c r="U181" s="2474"/>
      <c r="V181" s="2474"/>
      <c r="W181" s="2474"/>
      <c r="X181" s="2474"/>
      <c r="Y181" s="2474"/>
      <c r="Z181" s="2474"/>
      <c r="AA181" s="2474"/>
      <c r="AB181" s="2474"/>
      <c r="AC181" s="2474"/>
      <c r="AD181" s="2474"/>
      <c r="AE181" s="2474"/>
      <c r="AF181" s="2474"/>
      <c r="AG181" s="2474"/>
      <c r="AH181" s="2474"/>
      <c r="AI181" s="2474"/>
      <c r="AJ181" s="2474"/>
      <c r="AK181" s="2474"/>
      <c r="AL181" s="2474"/>
      <c r="AM181" s="2474"/>
      <c r="AN181" s="2474"/>
      <c r="AO181" s="2474"/>
      <c r="AP181" s="2474"/>
      <c r="AQ181" s="2474"/>
      <c r="AR181" s="2474"/>
      <c r="AS181" s="2474"/>
      <c r="AT181" s="2474"/>
      <c r="AU181" s="2474"/>
      <c r="AV181" s="2474"/>
      <c r="AW181" s="2474"/>
      <c r="AX181" s="2474"/>
      <c r="AY181" s="2474"/>
      <c r="AZ181" s="2474"/>
      <c r="BA181" s="1207"/>
      <c r="BB181" s="1207"/>
      <c r="BC181" s="1207"/>
      <c r="BD181" s="1213"/>
      <c r="BE181" s="1213"/>
    </row>
    <row r="182" spans="1:57" ht="15.75" customHeight="1">
      <c r="A182" s="1207"/>
      <c r="B182" s="1206"/>
      <c r="C182" s="1207"/>
      <c r="D182" s="1207"/>
      <c r="E182" s="1207"/>
      <c r="F182" s="1207"/>
      <c r="G182" s="1207"/>
      <c r="H182" s="2474"/>
      <c r="I182" s="2474"/>
      <c r="J182" s="2474"/>
      <c r="K182" s="2474"/>
      <c r="L182" s="2474"/>
      <c r="M182" s="2474"/>
      <c r="N182" s="2474"/>
      <c r="O182" s="2474"/>
      <c r="P182" s="2474"/>
      <c r="Q182" s="2474"/>
      <c r="R182" s="2474"/>
      <c r="S182" s="2474"/>
      <c r="T182" s="2474"/>
      <c r="U182" s="2474"/>
      <c r="V182" s="2474"/>
      <c r="W182" s="2474"/>
      <c r="X182" s="2474"/>
      <c r="Y182" s="2474"/>
      <c r="Z182" s="2474"/>
      <c r="AA182" s="2474"/>
      <c r="AB182" s="2474"/>
      <c r="AC182" s="2474"/>
      <c r="AD182" s="2474"/>
      <c r="AE182" s="2474"/>
      <c r="AF182" s="2474"/>
      <c r="AG182" s="2474"/>
      <c r="AH182" s="2474"/>
      <c r="AI182" s="2474"/>
      <c r="AJ182" s="2474"/>
      <c r="AK182" s="2474"/>
      <c r="AL182" s="2474"/>
      <c r="AM182" s="2474"/>
      <c r="AN182" s="2474"/>
      <c r="AO182" s="2474"/>
      <c r="AP182" s="2474"/>
      <c r="AQ182" s="2474"/>
      <c r="AR182" s="2474"/>
      <c r="AS182" s="2474"/>
      <c r="AT182" s="2474"/>
      <c r="AU182" s="2474"/>
      <c r="AV182" s="2474"/>
      <c r="AW182" s="2474"/>
      <c r="AX182" s="2474"/>
      <c r="AY182" s="2474"/>
      <c r="AZ182" s="2474"/>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475" t="s">
        <v>1929</v>
      </c>
      <c r="I184" s="2475"/>
      <c r="J184" s="2475"/>
      <c r="K184" s="2475"/>
      <c r="L184" s="2475"/>
      <c r="M184" s="2475"/>
      <c r="N184" s="2475"/>
      <c r="O184" s="2475"/>
      <c r="P184" s="2475"/>
      <c r="Q184" s="2475"/>
      <c r="R184" s="2475"/>
      <c r="S184" s="2475"/>
      <c r="T184" s="2475"/>
      <c r="U184" s="2475"/>
      <c r="V184" s="2475"/>
      <c r="W184" s="2475"/>
      <c r="X184" s="2475"/>
      <c r="Y184" s="2475"/>
      <c r="Z184" s="2475"/>
      <c r="AA184" s="2475"/>
      <c r="AB184" s="2475"/>
      <c r="AC184" s="2475"/>
      <c r="AD184" s="2475"/>
      <c r="AE184" s="2475"/>
      <c r="AF184" s="2475"/>
      <c r="AG184" s="2475"/>
      <c r="AH184" s="2475"/>
      <c r="AI184" s="2475"/>
      <c r="AJ184" s="2475"/>
      <c r="AK184" s="2475"/>
      <c r="AL184" s="2475"/>
      <c r="AM184" s="2475"/>
      <c r="AN184" s="2475"/>
      <c r="AO184" s="2475"/>
      <c r="AP184" s="2475"/>
      <c r="AQ184" s="2475"/>
      <c r="AR184" s="2475"/>
      <c r="AS184" s="2475"/>
      <c r="AT184" s="2475"/>
      <c r="AU184" s="2475"/>
      <c r="AV184" s="2475"/>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465" t="s">
        <v>1930</v>
      </c>
      <c r="I186" s="2465"/>
      <c r="J186" s="2465"/>
      <c r="K186" s="2465"/>
      <c r="L186" s="1222"/>
      <c r="M186" s="1222"/>
      <c r="N186" s="1222"/>
      <c r="O186" s="1222"/>
      <c r="P186" s="1222"/>
      <c r="Q186" s="1222"/>
      <c r="R186" s="1222"/>
      <c r="S186" s="2476"/>
      <c r="T186" s="2472"/>
      <c r="U186" s="2472"/>
      <c r="V186" s="2472"/>
      <c r="W186" s="2472"/>
      <c r="X186" s="2472"/>
      <c r="Y186" s="2472"/>
      <c r="Z186" s="2472"/>
      <c r="AA186" s="2472"/>
      <c r="AB186" s="2472"/>
      <c r="AC186" s="2472"/>
      <c r="AD186" s="2472"/>
      <c r="AE186" s="2472"/>
      <c r="AF186" s="2472"/>
      <c r="AG186" s="2472"/>
      <c r="AH186" s="2472"/>
      <c r="AI186" s="2472"/>
      <c r="AJ186" s="2473"/>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465" t="s">
        <v>1931</v>
      </c>
      <c r="I188" s="2465"/>
      <c r="J188" s="2465"/>
      <c r="K188" s="1255"/>
      <c r="L188" s="1222"/>
      <c r="M188" s="1222"/>
      <c r="N188" s="1222"/>
      <c r="O188" s="1222"/>
      <c r="P188" s="1222"/>
      <c r="Q188" s="1222"/>
      <c r="R188" s="1222"/>
      <c r="S188" s="2466"/>
      <c r="T188" s="2467"/>
      <c r="U188" s="2467"/>
      <c r="V188" s="2467"/>
      <c r="W188" s="2467"/>
      <c r="X188" s="2467"/>
      <c r="Y188" s="2467"/>
      <c r="Z188" s="2467"/>
      <c r="AA188" s="2467"/>
      <c r="AB188" s="2467"/>
      <c r="AC188" s="2467"/>
      <c r="AD188" s="2467"/>
      <c r="AE188" s="2467"/>
      <c r="AF188" s="2467"/>
      <c r="AG188" s="2467"/>
      <c r="AH188" s="2467"/>
      <c r="AI188" s="2467"/>
      <c r="AJ188" s="2468"/>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465" t="s">
        <v>444</v>
      </c>
      <c r="I190" s="2465"/>
      <c r="J190" s="1255"/>
      <c r="K190" s="1255"/>
      <c r="L190" s="1222"/>
      <c r="M190" s="1222"/>
      <c r="N190" s="1222"/>
      <c r="O190" s="1222"/>
      <c r="P190" s="1222"/>
      <c r="Q190" s="1222"/>
      <c r="R190" s="1222"/>
      <c r="S190" s="2466"/>
      <c r="T190" s="2467"/>
      <c r="U190" s="2467"/>
      <c r="V190" s="2467"/>
      <c r="W190" s="2467"/>
      <c r="X190" s="2467"/>
      <c r="Y190" s="2467"/>
      <c r="Z190" s="2467"/>
      <c r="AA190" s="2467"/>
      <c r="AB190" s="2467"/>
      <c r="AC190" s="2467"/>
      <c r="AD190" s="2467"/>
      <c r="AE190" s="2467"/>
      <c r="AF190" s="2467"/>
      <c r="AG190" s="2467"/>
      <c r="AH190" s="2467"/>
      <c r="AI190" s="2467"/>
      <c r="AJ190" s="2468"/>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469" t="s">
        <v>1932</v>
      </c>
      <c r="I192" s="2469"/>
      <c r="J192" s="2469"/>
      <c r="K192" s="2469"/>
      <c r="L192" s="2469"/>
      <c r="M192" s="2469"/>
      <c r="N192" s="2469"/>
      <c r="O192" s="2469"/>
      <c r="P192" s="1222"/>
      <c r="Q192" s="1222"/>
      <c r="R192" s="1222"/>
      <c r="S192" s="2466"/>
      <c r="T192" s="2467"/>
      <c r="U192" s="2467"/>
      <c r="V192" s="2467"/>
      <c r="W192" s="2467"/>
      <c r="X192" s="2467"/>
      <c r="Y192" s="2467"/>
      <c r="Z192" s="2467"/>
      <c r="AA192" s="2467"/>
      <c r="AB192" s="2467"/>
      <c r="AC192" s="2467"/>
      <c r="AD192" s="2467"/>
      <c r="AE192" s="2467"/>
      <c r="AF192" s="2467"/>
      <c r="AG192" s="2467"/>
      <c r="AH192" s="2467"/>
      <c r="AI192" s="2467"/>
      <c r="AJ192" s="2468"/>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470" t="s">
        <v>1933</v>
      </c>
      <c r="I194" s="2470"/>
      <c r="J194" s="1222"/>
      <c r="K194" s="1222"/>
      <c r="L194" s="1222"/>
      <c r="M194" s="1222"/>
      <c r="N194" s="1222"/>
      <c r="O194" s="1222"/>
      <c r="P194" s="1222"/>
      <c r="Q194" s="1222"/>
      <c r="R194" s="1222"/>
      <c r="S194" s="2471"/>
      <c r="T194" s="2472"/>
      <c r="U194" s="2472"/>
      <c r="V194" s="2472"/>
      <c r="W194" s="2472"/>
      <c r="X194" s="2472"/>
      <c r="Y194" s="2472"/>
      <c r="Z194" s="2472"/>
      <c r="AA194" s="2472"/>
      <c r="AB194" s="2472"/>
      <c r="AC194" s="2472"/>
      <c r="AD194" s="2472"/>
      <c r="AE194" s="2472"/>
      <c r="AF194" s="2472"/>
      <c r="AG194" s="2472"/>
      <c r="AH194" s="2472"/>
      <c r="AI194" s="2472"/>
      <c r="AJ194" s="2473"/>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252</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3"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71" zoomScaleNormal="100" zoomScaleSheetLayoutView="100" workbookViewId="0">
      <selection activeCell="AB51" sqref="AB51"/>
    </sheetView>
  </sheetViews>
  <sheetFormatPr defaultColWidth="0" defaultRowHeight="12.95" customHeight="1"/>
  <cols>
    <col min="1" max="1" width="1.42578125" style="434" customWidth="1"/>
    <col min="2" max="2" width="0.85546875" style="434" customWidth="1"/>
    <col min="3" max="18" width="2.42578125" style="434" customWidth="1"/>
    <col min="19" max="19" width="6.42578125" style="434" customWidth="1"/>
    <col min="20" max="39" width="2.5703125" style="434" customWidth="1"/>
    <col min="40" max="40" width="1.42578125" style="434" customWidth="1"/>
    <col min="41" max="256" width="2.42578125" style="434" hidden="1"/>
    <col min="257" max="257" width="1.42578125" style="434" hidden="1" customWidth="1"/>
    <col min="258" max="258" width="0.85546875" style="434" hidden="1" customWidth="1"/>
    <col min="259" max="274" width="2.42578125" style="434" hidden="1" customWidth="1"/>
    <col min="275" max="275" width="4" style="434" hidden="1" customWidth="1"/>
    <col min="276" max="295" width="2.42578125" style="434" hidden="1" customWidth="1"/>
    <col min="296" max="296" width="1.42578125" style="434" hidden="1" customWidth="1"/>
    <col min="297" max="512" width="2.42578125" style="434" hidden="1"/>
    <col min="513" max="513" width="1.42578125" style="434" hidden="1" customWidth="1"/>
    <col min="514" max="514" width="0.85546875" style="434" hidden="1" customWidth="1"/>
    <col min="515" max="530" width="2.42578125" style="434" hidden="1" customWidth="1"/>
    <col min="531" max="531" width="4" style="434" hidden="1" customWidth="1"/>
    <col min="532" max="551" width="2.42578125" style="434" hidden="1" customWidth="1"/>
    <col min="552" max="552" width="1.42578125" style="434" hidden="1" customWidth="1"/>
    <col min="553" max="768" width="2.42578125" style="434" hidden="1"/>
    <col min="769" max="769" width="1.42578125" style="434" hidden="1" customWidth="1"/>
    <col min="770" max="770" width="0.85546875" style="434" hidden="1" customWidth="1"/>
    <col min="771" max="786" width="2.42578125" style="434" hidden="1" customWidth="1"/>
    <col min="787" max="787" width="4" style="434" hidden="1" customWidth="1"/>
    <col min="788" max="807" width="2.42578125" style="434" hidden="1" customWidth="1"/>
    <col min="808" max="808" width="1.42578125" style="434" hidden="1" customWidth="1"/>
    <col min="809" max="1024" width="2.42578125" style="434" hidden="1"/>
    <col min="1025" max="1025" width="1.42578125" style="434" hidden="1" customWidth="1"/>
    <col min="1026" max="1026" width="0.85546875" style="434" hidden="1" customWidth="1"/>
    <col min="1027" max="1042" width="2.42578125" style="434" hidden="1" customWidth="1"/>
    <col min="1043" max="1043" width="4" style="434" hidden="1" customWidth="1"/>
    <col min="1044" max="1063" width="2.42578125" style="434" hidden="1" customWidth="1"/>
    <col min="1064" max="1064" width="1.42578125" style="434" hidden="1" customWidth="1"/>
    <col min="1065" max="1280" width="2.42578125" style="434" hidden="1"/>
    <col min="1281" max="1281" width="1.42578125" style="434" hidden="1" customWidth="1"/>
    <col min="1282" max="1282" width="0.85546875" style="434" hidden="1" customWidth="1"/>
    <col min="1283" max="1298" width="2.42578125" style="434" hidden="1" customWidth="1"/>
    <col min="1299" max="1299" width="4" style="434" hidden="1" customWidth="1"/>
    <col min="1300" max="1319" width="2.42578125" style="434" hidden="1" customWidth="1"/>
    <col min="1320" max="1320" width="1.42578125" style="434" hidden="1" customWidth="1"/>
    <col min="1321" max="1536" width="2.42578125" style="434" hidden="1"/>
    <col min="1537" max="1537" width="1.42578125" style="434" hidden="1" customWidth="1"/>
    <col min="1538" max="1538" width="0.85546875" style="434" hidden="1" customWidth="1"/>
    <col min="1539" max="1554" width="2.42578125" style="434" hidden="1" customWidth="1"/>
    <col min="1555" max="1555" width="4" style="434" hidden="1" customWidth="1"/>
    <col min="1556" max="1575" width="2.42578125" style="434" hidden="1" customWidth="1"/>
    <col min="1576" max="1576" width="1.42578125" style="434" hidden="1" customWidth="1"/>
    <col min="1577" max="1792" width="2.42578125" style="434" hidden="1"/>
    <col min="1793" max="1793" width="1.42578125" style="434" hidden="1" customWidth="1"/>
    <col min="1794" max="1794" width="0.85546875" style="434" hidden="1" customWidth="1"/>
    <col min="1795" max="1810" width="2.42578125" style="434" hidden="1" customWidth="1"/>
    <col min="1811" max="1811" width="4" style="434" hidden="1" customWidth="1"/>
    <col min="1812" max="1831" width="2.42578125" style="434" hidden="1" customWidth="1"/>
    <col min="1832" max="1832" width="1.42578125" style="434" hidden="1" customWidth="1"/>
    <col min="1833" max="2048" width="2.42578125" style="434" hidden="1"/>
    <col min="2049" max="2049" width="1.42578125" style="434" hidden="1" customWidth="1"/>
    <col min="2050" max="2050" width="0.85546875" style="434" hidden="1" customWidth="1"/>
    <col min="2051" max="2066" width="2.42578125" style="434" hidden="1" customWidth="1"/>
    <col min="2067" max="2067" width="4" style="434" hidden="1" customWidth="1"/>
    <col min="2068" max="2087" width="2.42578125" style="434" hidden="1" customWidth="1"/>
    <col min="2088" max="2088" width="1.42578125" style="434" hidden="1" customWidth="1"/>
    <col min="2089" max="2304" width="2.42578125" style="434" hidden="1"/>
    <col min="2305" max="2305" width="1.42578125" style="434" hidden="1" customWidth="1"/>
    <col min="2306" max="2306" width="0.85546875" style="434" hidden="1" customWidth="1"/>
    <col min="2307" max="2322" width="2.42578125" style="434" hidden="1" customWidth="1"/>
    <col min="2323" max="2323" width="4" style="434" hidden="1" customWidth="1"/>
    <col min="2324" max="2343" width="2.42578125" style="434" hidden="1" customWidth="1"/>
    <col min="2344" max="2344" width="1.42578125" style="434" hidden="1" customWidth="1"/>
    <col min="2345" max="2560" width="2.42578125" style="434" hidden="1"/>
    <col min="2561" max="2561" width="1.42578125" style="434" hidden="1" customWidth="1"/>
    <col min="2562" max="2562" width="0.85546875" style="434" hidden="1" customWidth="1"/>
    <col min="2563" max="2578" width="2.42578125" style="434" hidden="1" customWidth="1"/>
    <col min="2579" max="2579" width="4" style="434" hidden="1" customWidth="1"/>
    <col min="2580" max="2599" width="2.42578125" style="434" hidden="1" customWidth="1"/>
    <col min="2600" max="2600" width="1.42578125" style="434" hidden="1" customWidth="1"/>
    <col min="2601" max="2816" width="2.42578125" style="434" hidden="1"/>
    <col min="2817" max="2817" width="1.42578125" style="434" hidden="1" customWidth="1"/>
    <col min="2818" max="2818" width="0.85546875" style="434" hidden="1" customWidth="1"/>
    <col min="2819" max="2834" width="2.42578125" style="434" hidden="1" customWidth="1"/>
    <col min="2835" max="2835" width="4" style="434" hidden="1" customWidth="1"/>
    <col min="2836" max="2855" width="2.42578125" style="434" hidden="1" customWidth="1"/>
    <col min="2856" max="2856" width="1.42578125" style="434" hidden="1" customWidth="1"/>
    <col min="2857" max="3072" width="2.42578125" style="434" hidden="1"/>
    <col min="3073" max="3073" width="1.42578125" style="434" hidden="1" customWidth="1"/>
    <col min="3074" max="3074" width="0.85546875" style="434" hidden="1" customWidth="1"/>
    <col min="3075" max="3090" width="2.42578125" style="434" hidden="1" customWidth="1"/>
    <col min="3091" max="3091" width="4" style="434" hidden="1" customWidth="1"/>
    <col min="3092" max="3111" width="2.42578125" style="434" hidden="1" customWidth="1"/>
    <col min="3112" max="3112" width="1.42578125" style="434" hidden="1" customWidth="1"/>
    <col min="3113" max="3328" width="2.42578125" style="434" hidden="1"/>
    <col min="3329" max="3329" width="1.42578125" style="434" hidden="1" customWidth="1"/>
    <col min="3330" max="3330" width="0.85546875" style="434" hidden="1" customWidth="1"/>
    <col min="3331" max="3346" width="2.42578125" style="434" hidden="1" customWidth="1"/>
    <col min="3347" max="3347" width="4" style="434" hidden="1" customWidth="1"/>
    <col min="3348" max="3367" width="2.42578125" style="434" hidden="1" customWidth="1"/>
    <col min="3368" max="3368" width="1.42578125" style="434" hidden="1" customWidth="1"/>
    <col min="3369" max="3584" width="2.42578125" style="434" hidden="1"/>
    <col min="3585" max="3585" width="1.42578125" style="434" hidden="1" customWidth="1"/>
    <col min="3586" max="3586" width="0.85546875" style="434" hidden="1" customWidth="1"/>
    <col min="3587" max="3602" width="2.42578125" style="434" hidden="1" customWidth="1"/>
    <col min="3603" max="3603" width="4" style="434" hidden="1" customWidth="1"/>
    <col min="3604" max="3623" width="2.42578125" style="434" hidden="1" customWidth="1"/>
    <col min="3624" max="3624" width="1.42578125" style="434" hidden="1" customWidth="1"/>
    <col min="3625" max="3840" width="2.42578125" style="434" hidden="1"/>
    <col min="3841" max="3841" width="1.42578125" style="434" hidden="1" customWidth="1"/>
    <col min="3842" max="3842" width="0.85546875" style="434" hidden="1" customWidth="1"/>
    <col min="3843" max="3858" width="2.42578125" style="434" hidden="1" customWidth="1"/>
    <col min="3859" max="3859" width="4" style="434" hidden="1" customWidth="1"/>
    <col min="3860" max="3879" width="2.42578125" style="434" hidden="1" customWidth="1"/>
    <col min="3880" max="3880" width="1.42578125" style="434" hidden="1" customWidth="1"/>
    <col min="3881" max="4096" width="2.42578125" style="434" hidden="1"/>
    <col min="4097" max="4097" width="1.42578125" style="434" hidden="1" customWidth="1"/>
    <col min="4098" max="4098" width="0.85546875" style="434" hidden="1" customWidth="1"/>
    <col min="4099" max="4114" width="2.42578125" style="434" hidden="1" customWidth="1"/>
    <col min="4115" max="4115" width="4" style="434" hidden="1" customWidth="1"/>
    <col min="4116" max="4135" width="2.42578125" style="434" hidden="1" customWidth="1"/>
    <col min="4136" max="4136" width="1.42578125" style="434" hidden="1" customWidth="1"/>
    <col min="4137" max="4352" width="2.42578125" style="434" hidden="1"/>
    <col min="4353" max="4353" width="1.42578125" style="434" hidden="1" customWidth="1"/>
    <col min="4354" max="4354" width="0.85546875" style="434" hidden="1" customWidth="1"/>
    <col min="4355" max="4370" width="2.42578125" style="434" hidden="1" customWidth="1"/>
    <col min="4371" max="4371" width="4" style="434" hidden="1" customWidth="1"/>
    <col min="4372" max="4391" width="2.42578125" style="434" hidden="1" customWidth="1"/>
    <col min="4392" max="4392" width="1.42578125" style="434" hidden="1" customWidth="1"/>
    <col min="4393" max="4608" width="2.42578125" style="434" hidden="1"/>
    <col min="4609" max="4609" width="1.42578125" style="434" hidden="1" customWidth="1"/>
    <col min="4610" max="4610" width="0.85546875" style="434" hidden="1" customWidth="1"/>
    <col min="4611" max="4626" width="2.42578125" style="434" hidden="1" customWidth="1"/>
    <col min="4627" max="4627" width="4" style="434" hidden="1" customWidth="1"/>
    <col min="4628" max="4647" width="2.42578125" style="434" hidden="1" customWidth="1"/>
    <col min="4648" max="4648" width="1.42578125" style="434" hidden="1" customWidth="1"/>
    <col min="4649" max="4864" width="2.42578125" style="434" hidden="1"/>
    <col min="4865" max="4865" width="1.42578125" style="434" hidden="1" customWidth="1"/>
    <col min="4866" max="4866" width="0.85546875" style="434" hidden="1" customWidth="1"/>
    <col min="4867" max="4882" width="2.42578125" style="434" hidden="1" customWidth="1"/>
    <col min="4883" max="4883" width="4" style="434" hidden="1" customWidth="1"/>
    <col min="4884" max="4903" width="2.42578125" style="434" hidden="1" customWidth="1"/>
    <col min="4904" max="4904" width="1.42578125" style="434" hidden="1" customWidth="1"/>
    <col min="4905" max="5120" width="2.42578125" style="434" hidden="1"/>
    <col min="5121" max="5121" width="1.42578125" style="434" hidden="1" customWidth="1"/>
    <col min="5122" max="5122" width="0.85546875" style="434" hidden="1" customWidth="1"/>
    <col min="5123" max="5138" width="2.42578125" style="434" hidden="1" customWidth="1"/>
    <col min="5139" max="5139" width="4" style="434" hidden="1" customWidth="1"/>
    <col min="5140" max="5159" width="2.42578125" style="434" hidden="1" customWidth="1"/>
    <col min="5160" max="5160" width="1.42578125" style="434" hidden="1" customWidth="1"/>
    <col min="5161" max="5376" width="2.42578125" style="434" hidden="1"/>
    <col min="5377" max="5377" width="1.42578125" style="434" hidden="1" customWidth="1"/>
    <col min="5378" max="5378" width="0.85546875" style="434" hidden="1" customWidth="1"/>
    <col min="5379" max="5394" width="2.42578125" style="434" hidden="1" customWidth="1"/>
    <col min="5395" max="5395" width="4" style="434" hidden="1" customWidth="1"/>
    <col min="5396" max="5415" width="2.42578125" style="434" hidden="1" customWidth="1"/>
    <col min="5416" max="5416" width="1.42578125" style="434" hidden="1" customWidth="1"/>
    <col min="5417" max="5632" width="2.42578125" style="434" hidden="1"/>
    <col min="5633" max="5633" width="1.42578125" style="434" hidden="1" customWidth="1"/>
    <col min="5634" max="5634" width="0.85546875" style="434" hidden="1" customWidth="1"/>
    <col min="5635" max="5650" width="2.42578125" style="434" hidden="1" customWidth="1"/>
    <col min="5651" max="5651" width="4" style="434" hidden="1" customWidth="1"/>
    <col min="5652" max="5671" width="2.42578125" style="434" hidden="1" customWidth="1"/>
    <col min="5672" max="5672" width="1.42578125" style="434" hidden="1" customWidth="1"/>
    <col min="5673" max="5888" width="2.42578125" style="434" hidden="1"/>
    <col min="5889" max="5889" width="1.42578125" style="434" hidden="1" customWidth="1"/>
    <col min="5890" max="5890" width="0.85546875" style="434" hidden="1" customWidth="1"/>
    <col min="5891" max="5906" width="2.42578125" style="434" hidden="1" customWidth="1"/>
    <col min="5907" max="5907" width="4" style="434" hidden="1" customWidth="1"/>
    <col min="5908" max="5927" width="2.42578125" style="434" hidden="1" customWidth="1"/>
    <col min="5928" max="5928" width="1.42578125" style="434" hidden="1" customWidth="1"/>
    <col min="5929" max="6144" width="2.42578125" style="434" hidden="1"/>
    <col min="6145" max="6145" width="1.42578125" style="434" hidden="1" customWidth="1"/>
    <col min="6146" max="6146" width="0.85546875" style="434" hidden="1" customWidth="1"/>
    <col min="6147" max="6162" width="2.42578125" style="434" hidden="1" customWidth="1"/>
    <col min="6163" max="6163" width="4" style="434" hidden="1" customWidth="1"/>
    <col min="6164" max="6183" width="2.42578125" style="434" hidden="1" customWidth="1"/>
    <col min="6184" max="6184" width="1.42578125" style="434" hidden="1" customWidth="1"/>
    <col min="6185" max="6400" width="2.42578125" style="434" hidden="1"/>
    <col min="6401" max="6401" width="1.42578125" style="434" hidden="1" customWidth="1"/>
    <col min="6402" max="6402" width="0.85546875" style="434" hidden="1" customWidth="1"/>
    <col min="6403" max="6418" width="2.42578125" style="434" hidden="1" customWidth="1"/>
    <col min="6419" max="6419" width="4" style="434" hidden="1" customWidth="1"/>
    <col min="6420" max="6439" width="2.42578125" style="434" hidden="1" customWidth="1"/>
    <col min="6440" max="6440" width="1.42578125" style="434" hidden="1" customWidth="1"/>
    <col min="6441" max="6656" width="2.42578125" style="434" hidden="1"/>
    <col min="6657" max="6657" width="1.42578125" style="434" hidden="1" customWidth="1"/>
    <col min="6658" max="6658" width="0.85546875" style="434" hidden="1" customWidth="1"/>
    <col min="6659" max="6674" width="2.42578125" style="434" hidden="1" customWidth="1"/>
    <col min="6675" max="6675" width="4" style="434" hidden="1" customWidth="1"/>
    <col min="6676" max="6695" width="2.42578125" style="434" hidden="1" customWidth="1"/>
    <col min="6696" max="6696" width="1.42578125" style="434" hidden="1" customWidth="1"/>
    <col min="6697" max="6912" width="2.42578125" style="434" hidden="1"/>
    <col min="6913" max="6913" width="1.42578125" style="434" hidden="1" customWidth="1"/>
    <col min="6914" max="6914" width="0.85546875" style="434" hidden="1" customWidth="1"/>
    <col min="6915" max="6930" width="2.42578125" style="434" hidden="1" customWidth="1"/>
    <col min="6931" max="6931" width="4" style="434" hidden="1" customWidth="1"/>
    <col min="6932" max="6951" width="2.42578125" style="434" hidden="1" customWidth="1"/>
    <col min="6952" max="6952" width="1.42578125" style="434" hidden="1" customWidth="1"/>
    <col min="6953" max="7168" width="2.42578125" style="434" hidden="1"/>
    <col min="7169" max="7169" width="1.42578125" style="434" hidden="1" customWidth="1"/>
    <col min="7170" max="7170" width="0.85546875" style="434" hidden="1" customWidth="1"/>
    <col min="7171" max="7186" width="2.42578125" style="434" hidden="1" customWidth="1"/>
    <col min="7187" max="7187" width="4" style="434" hidden="1" customWidth="1"/>
    <col min="7188" max="7207" width="2.42578125" style="434" hidden="1" customWidth="1"/>
    <col min="7208" max="7208" width="1.42578125" style="434" hidden="1" customWidth="1"/>
    <col min="7209" max="7424" width="2.42578125" style="434" hidden="1"/>
    <col min="7425" max="7425" width="1.42578125" style="434" hidden="1" customWidth="1"/>
    <col min="7426" max="7426" width="0.85546875" style="434" hidden="1" customWidth="1"/>
    <col min="7427" max="7442" width="2.42578125" style="434" hidden="1" customWidth="1"/>
    <col min="7443" max="7443" width="4" style="434" hidden="1" customWidth="1"/>
    <col min="7444" max="7463" width="2.42578125" style="434" hidden="1" customWidth="1"/>
    <col min="7464" max="7464" width="1.42578125" style="434" hidden="1" customWidth="1"/>
    <col min="7465" max="7680" width="2.42578125" style="434" hidden="1"/>
    <col min="7681" max="7681" width="1.42578125" style="434" hidden="1" customWidth="1"/>
    <col min="7682" max="7682" width="0.85546875" style="434" hidden="1" customWidth="1"/>
    <col min="7683" max="7698" width="2.42578125" style="434" hidden="1" customWidth="1"/>
    <col min="7699" max="7699" width="4" style="434" hidden="1" customWidth="1"/>
    <col min="7700" max="7719" width="2.42578125" style="434" hidden="1" customWidth="1"/>
    <col min="7720" max="7720" width="1.42578125" style="434" hidden="1" customWidth="1"/>
    <col min="7721" max="7936" width="2.42578125" style="434" hidden="1"/>
    <col min="7937" max="7937" width="1.42578125" style="434" hidden="1" customWidth="1"/>
    <col min="7938" max="7938" width="0.85546875" style="434" hidden="1" customWidth="1"/>
    <col min="7939" max="7954" width="2.42578125" style="434" hidden="1" customWidth="1"/>
    <col min="7955" max="7955" width="4" style="434" hidden="1" customWidth="1"/>
    <col min="7956" max="7975" width="2.42578125" style="434" hidden="1" customWidth="1"/>
    <col min="7976" max="7976" width="1.42578125" style="434" hidden="1" customWidth="1"/>
    <col min="7977" max="8192" width="2.42578125" style="434" hidden="1"/>
    <col min="8193" max="8193" width="1.42578125" style="434" hidden="1" customWidth="1"/>
    <col min="8194" max="8194" width="0.85546875" style="434" hidden="1" customWidth="1"/>
    <col min="8195" max="8210" width="2.42578125" style="434" hidden="1" customWidth="1"/>
    <col min="8211" max="8211" width="4" style="434" hidden="1" customWidth="1"/>
    <col min="8212" max="8231" width="2.42578125" style="434" hidden="1" customWidth="1"/>
    <col min="8232" max="8232" width="1.42578125" style="434" hidden="1" customWidth="1"/>
    <col min="8233" max="8448" width="2.42578125" style="434" hidden="1"/>
    <col min="8449" max="8449" width="1.42578125" style="434" hidden="1" customWidth="1"/>
    <col min="8450" max="8450" width="0.85546875" style="434" hidden="1" customWidth="1"/>
    <col min="8451" max="8466" width="2.42578125" style="434" hidden="1" customWidth="1"/>
    <col min="8467" max="8467" width="4" style="434" hidden="1" customWidth="1"/>
    <col min="8468" max="8487" width="2.42578125" style="434" hidden="1" customWidth="1"/>
    <col min="8488" max="8488" width="1.42578125" style="434" hidden="1" customWidth="1"/>
    <col min="8489" max="8704" width="2.42578125" style="434" hidden="1"/>
    <col min="8705" max="8705" width="1.42578125" style="434" hidden="1" customWidth="1"/>
    <col min="8706" max="8706" width="0.85546875" style="434" hidden="1" customWidth="1"/>
    <col min="8707" max="8722" width="2.42578125" style="434" hidden="1" customWidth="1"/>
    <col min="8723" max="8723" width="4" style="434" hidden="1" customWidth="1"/>
    <col min="8724" max="8743" width="2.42578125" style="434" hidden="1" customWidth="1"/>
    <col min="8744" max="8744" width="1.42578125" style="434" hidden="1" customWidth="1"/>
    <col min="8745" max="8960" width="2.42578125" style="434" hidden="1"/>
    <col min="8961" max="8961" width="1.42578125" style="434" hidden="1" customWidth="1"/>
    <col min="8962" max="8962" width="0.85546875" style="434" hidden="1" customWidth="1"/>
    <col min="8963" max="8978" width="2.42578125" style="434" hidden="1" customWidth="1"/>
    <col min="8979" max="8979" width="4" style="434" hidden="1" customWidth="1"/>
    <col min="8980" max="8999" width="2.42578125" style="434" hidden="1" customWidth="1"/>
    <col min="9000" max="9000" width="1.42578125" style="434" hidden="1" customWidth="1"/>
    <col min="9001" max="9216" width="2.42578125" style="434" hidden="1"/>
    <col min="9217" max="9217" width="1.42578125" style="434" hidden="1" customWidth="1"/>
    <col min="9218" max="9218" width="0.85546875" style="434" hidden="1" customWidth="1"/>
    <col min="9219" max="9234" width="2.42578125" style="434" hidden="1" customWidth="1"/>
    <col min="9235" max="9235" width="4" style="434" hidden="1" customWidth="1"/>
    <col min="9236" max="9255" width="2.42578125" style="434" hidden="1" customWidth="1"/>
    <col min="9256" max="9256" width="1.42578125" style="434" hidden="1" customWidth="1"/>
    <col min="9257" max="9472" width="2.42578125" style="434" hidden="1"/>
    <col min="9473" max="9473" width="1.42578125" style="434" hidden="1" customWidth="1"/>
    <col min="9474" max="9474" width="0.85546875" style="434" hidden="1" customWidth="1"/>
    <col min="9475" max="9490" width="2.42578125" style="434" hidden="1" customWidth="1"/>
    <col min="9491" max="9491" width="4" style="434" hidden="1" customWidth="1"/>
    <col min="9492" max="9511" width="2.42578125" style="434" hidden="1" customWidth="1"/>
    <col min="9512" max="9512" width="1.42578125" style="434" hidden="1" customWidth="1"/>
    <col min="9513" max="9728" width="2.42578125" style="434" hidden="1"/>
    <col min="9729" max="9729" width="1.42578125" style="434" hidden="1" customWidth="1"/>
    <col min="9730" max="9730" width="0.85546875" style="434" hidden="1" customWidth="1"/>
    <col min="9731" max="9746" width="2.42578125" style="434" hidden="1" customWidth="1"/>
    <col min="9747" max="9747" width="4" style="434" hidden="1" customWidth="1"/>
    <col min="9748" max="9767" width="2.42578125" style="434" hidden="1" customWidth="1"/>
    <col min="9768" max="9768" width="1.42578125" style="434" hidden="1" customWidth="1"/>
    <col min="9769" max="9984" width="2.42578125" style="434" hidden="1"/>
    <col min="9985" max="9985" width="1.42578125" style="434" hidden="1" customWidth="1"/>
    <col min="9986" max="9986" width="0.85546875" style="434" hidden="1" customWidth="1"/>
    <col min="9987" max="10002" width="2.42578125" style="434" hidden="1" customWidth="1"/>
    <col min="10003" max="10003" width="4" style="434" hidden="1" customWidth="1"/>
    <col min="10004" max="10023" width="2.42578125" style="434" hidden="1" customWidth="1"/>
    <col min="10024" max="10024" width="1.42578125" style="434" hidden="1" customWidth="1"/>
    <col min="10025" max="10240" width="2.42578125" style="434" hidden="1"/>
    <col min="10241" max="10241" width="1.42578125" style="434" hidden="1" customWidth="1"/>
    <col min="10242" max="10242" width="0.85546875" style="434" hidden="1" customWidth="1"/>
    <col min="10243" max="10258" width="2.42578125" style="434" hidden="1" customWidth="1"/>
    <col min="10259" max="10259" width="4" style="434" hidden="1" customWidth="1"/>
    <col min="10260" max="10279" width="2.42578125" style="434" hidden="1" customWidth="1"/>
    <col min="10280" max="10280" width="1.42578125" style="434" hidden="1" customWidth="1"/>
    <col min="10281" max="10496" width="2.42578125" style="434" hidden="1"/>
    <col min="10497" max="10497" width="1.42578125" style="434" hidden="1" customWidth="1"/>
    <col min="10498" max="10498" width="0.85546875" style="434" hidden="1" customWidth="1"/>
    <col min="10499" max="10514" width="2.42578125" style="434" hidden="1" customWidth="1"/>
    <col min="10515" max="10515" width="4" style="434" hidden="1" customWidth="1"/>
    <col min="10516" max="10535" width="2.42578125" style="434" hidden="1" customWidth="1"/>
    <col min="10536" max="10536" width="1.42578125" style="434" hidden="1" customWidth="1"/>
    <col min="10537" max="10752" width="2.42578125" style="434" hidden="1"/>
    <col min="10753" max="10753" width="1.42578125" style="434" hidden="1" customWidth="1"/>
    <col min="10754" max="10754" width="0.85546875" style="434" hidden="1" customWidth="1"/>
    <col min="10755" max="10770" width="2.42578125" style="434" hidden="1" customWidth="1"/>
    <col min="10771" max="10771" width="4" style="434" hidden="1" customWidth="1"/>
    <col min="10772" max="10791" width="2.42578125" style="434" hidden="1" customWidth="1"/>
    <col min="10792" max="10792" width="1.42578125" style="434" hidden="1" customWidth="1"/>
    <col min="10793" max="11008" width="2.42578125" style="434" hidden="1"/>
    <col min="11009" max="11009" width="1.42578125" style="434" hidden="1" customWidth="1"/>
    <col min="11010" max="11010" width="0.85546875" style="434" hidden="1" customWidth="1"/>
    <col min="11011" max="11026" width="2.42578125" style="434" hidden="1" customWidth="1"/>
    <col min="11027" max="11027" width="4" style="434" hidden="1" customWidth="1"/>
    <col min="11028" max="11047" width="2.42578125" style="434" hidden="1" customWidth="1"/>
    <col min="11048" max="11048" width="1.42578125" style="434" hidden="1" customWidth="1"/>
    <col min="11049" max="11264" width="2.42578125" style="434" hidden="1"/>
    <col min="11265" max="11265" width="1.42578125" style="434" hidden="1" customWidth="1"/>
    <col min="11266" max="11266" width="0.85546875" style="434" hidden="1" customWidth="1"/>
    <col min="11267" max="11282" width="2.42578125" style="434" hidden="1" customWidth="1"/>
    <col min="11283" max="11283" width="4" style="434" hidden="1" customWidth="1"/>
    <col min="11284" max="11303" width="2.42578125" style="434" hidden="1" customWidth="1"/>
    <col min="11304" max="11304" width="1.42578125" style="434" hidden="1" customWidth="1"/>
    <col min="11305" max="11520" width="2.42578125" style="434" hidden="1"/>
    <col min="11521" max="11521" width="1.42578125" style="434" hidden="1" customWidth="1"/>
    <col min="11522" max="11522" width="0.85546875" style="434" hidden="1" customWidth="1"/>
    <col min="11523" max="11538" width="2.42578125" style="434" hidden="1" customWidth="1"/>
    <col min="11539" max="11539" width="4" style="434" hidden="1" customWidth="1"/>
    <col min="11540" max="11559" width="2.42578125" style="434" hidden="1" customWidth="1"/>
    <col min="11560" max="11560" width="1.42578125" style="434" hidden="1" customWidth="1"/>
    <col min="11561" max="11776" width="2.42578125" style="434" hidden="1"/>
    <col min="11777" max="11777" width="1.42578125" style="434" hidden="1" customWidth="1"/>
    <col min="11778" max="11778" width="0.85546875" style="434" hidden="1" customWidth="1"/>
    <col min="11779" max="11794" width="2.42578125" style="434" hidden="1" customWidth="1"/>
    <col min="11795" max="11795" width="4" style="434" hidden="1" customWidth="1"/>
    <col min="11796" max="11815" width="2.42578125" style="434" hidden="1" customWidth="1"/>
    <col min="11816" max="11816" width="1.42578125" style="434" hidden="1" customWidth="1"/>
    <col min="11817" max="12032" width="2.42578125" style="434" hidden="1"/>
    <col min="12033" max="12033" width="1.42578125" style="434" hidden="1" customWidth="1"/>
    <col min="12034" max="12034" width="0.85546875" style="434" hidden="1" customWidth="1"/>
    <col min="12035" max="12050" width="2.42578125" style="434" hidden="1" customWidth="1"/>
    <col min="12051" max="12051" width="4" style="434" hidden="1" customWidth="1"/>
    <col min="12052" max="12071" width="2.42578125" style="434" hidden="1" customWidth="1"/>
    <col min="12072" max="12072" width="1.42578125" style="434" hidden="1" customWidth="1"/>
    <col min="12073" max="12288" width="2.42578125" style="434" hidden="1"/>
    <col min="12289" max="12289" width="1.42578125" style="434" hidden="1" customWidth="1"/>
    <col min="12290" max="12290" width="0.85546875" style="434" hidden="1" customWidth="1"/>
    <col min="12291" max="12306" width="2.42578125" style="434" hidden="1" customWidth="1"/>
    <col min="12307" max="12307" width="4" style="434" hidden="1" customWidth="1"/>
    <col min="12308" max="12327" width="2.42578125" style="434" hidden="1" customWidth="1"/>
    <col min="12328" max="12328" width="1.42578125" style="434" hidden="1" customWidth="1"/>
    <col min="12329" max="12544" width="2.42578125" style="434" hidden="1"/>
    <col min="12545" max="12545" width="1.42578125" style="434" hidden="1" customWidth="1"/>
    <col min="12546" max="12546" width="0.85546875" style="434" hidden="1" customWidth="1"/>
    <col min="12547" max="12562" width="2.42578125" style="434" hidden="1" customWidth="1"/>
    <col min="12563" max="12563" width="4" style="434" hidden="1" customWidth="1"/>
    <col min="12564" max="12583" width="2.42578125" style="434" hidden="1" customWidth="1"/>
    <col min="12584" max="12584" width="1.42578125" style="434" hidden="1" customWidth="1"/>
    <col min="12585" max="12800" width="2.42578125" style="434" hidden="1"/>
    <col min="12801" max="12801" width="1.42578125" style="434" hidden="1" customWidth="1"/>
    <col min="12802" max="12802" width="0.85546875" style="434" hidden="1" customWidth="1"/>
    <col min="12803" max="12818" width="2.42578125" style="434" hidden="1" customWidth="1"/>
    <col min="12819" max="12819" width="4" style="434" hidden="1" customWidth="1"/>
    <col min="12820" max="12839" width="2.42578125" style="434" hidden="1" customWidth="1"/>
    <col min="12840" max="12840" width="1.42578125" style="434" hidden="1" customWidth="1"/>
    <col min="12841" max="13056" width="2.42578125" style="434" hidden="1"/>
    <col min="13057" max="13057" width="1.42578125" style="434" hidden="1" customWidth="1"/>
    <col min="13058" max="13058" width="0.85546875" style="434" hidden="1" customWidth="1"/>
    <col min="13059" max="13074" width="2.42578125" style="434" hidden="1" customWidth="1"/>
    <col min="13075" max="13075" width="4" style="434" hidden="1" customWidth="1"/>
    <col min="13076" max="13095" width="2.42578125" style="434" hidden="1" customWidth="1"/>
    <col min="13096" max="13096" width="1.42578125" style="434" hidden="1" customWidth="1"/>
    <col min="13097" max="13312" width="2.42578125" style="434" hidden="1"/>
    <col min="13313" max="13313" width="1.42578125" style="434" hidden="1" customWidth="1"/>
    <col min="13314" max="13314" width="0.85546875" style="434" hidden="1" customWidth="1"/>
    <col min="13315" max="13330" width="2.42578125" style="434" hidden="1" customWidth="1"/>
    <col min="13331" max="13331" width="4" style="434" hidden="1" customWidth="1"/>
    <col min="13332" max="13351" width="2.42578125" style="434" hidden="1" customWidth="1"/>
    <col min="13352" max="13352" width="1.42578125" style="434" hidden="1" customWidth="1"/>
    <col min="13353" max="13568" width="2.42578125" style="434" hidden="1"/>
    <col min="13569" max="13569" width="1.42578125" style="434" hidden="1" customWidth="1"/>
    <col min="13570" max="13570" width="0.85546875" style="434" hidden="1" customWidth="1"/>
    <col min="13571" max="13586" width="2.42578125" style="434" hidden="1" customWidth="1"/>
    <col min="13587" max="13587" width="4" style="434" hidden="1" customWidth="1"/>
    <col min="13588" max="13607" width="2.42578125" style="434" hidden="1" customWidth="1"/>
    <col min="13608" max="13608" width="1.42578125" style="434" hidden="1" customWidth="1"/>
    <col min="13609" max="13824" width="2.42578125" style="434" hidden="1"/>
    <col min="13825" max="13825" width="1.42578125" style="434" hidden="1" customWidth="1"/>
    <col min="13826" max="13826" width="0.85546875" style="434" hidden="1" customWidth="1"/>
    <col min="13827" max="13842" width="2.42578125" style="434" hidden="1" customWidth="1"/>
    <col min="13843" max="13843" width="4" style="434" hidden="1" customWidth="1"/>
    <col min="13844" max="13863" width="2.42578125" style="434" hidden="1" customWidth="1"/>
    <col min="13864" max="13864" width="1.42578125" style="434" hidden="1" customWidth="1"/>
    <col min="13865" max="14080" width="2.42578125" style="434" hidden="1"/>
    <col min="14081" max="14081" width="1.42578125" style="434" hidden="1" customWidth="1"/>
    <col min="14082" max="14082" width="0.85546875" style="434" hidden="1" customWidth="1"/>
    <col min="14083" max="14098" width="2.42578125" style="434" hidden="1" customWidth="1"/>
    <col min="14099" max="14099" width="4" style="434" hidden="1" customWidth="1"/>
    <col min="14100" max="14119" width="2.42578125" style="434" hidden="1" customWidth="1"/>
    <col min="14120" max="14120" width="1.42578125" style="434" hidden="1" customWidth="1"/>
    <col min="14121" max="14336" width="2.42578125" style="434" hidden="1"/>
    <col min="14337" max="14337" width="1.42578125" style="434" hidden="1" customWidth="1"/>
    <col min="14338" max="14338" width="0.85546875" style="434" hidden="1" customWidth="1"/>
    <col min="14339" max="14354" width="2.42578125" style="434" hidden="1" customWidth="1"/>
    <col min="14355" max="14355" width="4" style="434" hidden="1" customWidth="1"/>
    <col min="14356" max="14375" width="2.42578125" style="434" hidden="1" customWidth="1"/>
    <col min="14376" max="14376" width="1.42578125" style="434" hidden="1" customWidth="1"/>
    <col min="14377" max="14592" width="2.42578125" style="434" hidden="1"/>
    <col min="14593" max="14593" width="1.42578125" style="434" hidden="1" customWidth="1"/>
    <col min="14594" max="14594" width="0.85546875" style="434" hidden="1" customWidth="1"/>
    <col min="14595" max="14610" width="2.42578125" style="434" hidden="1" customWidth="1"/>
    <col min="14611" max="14611" width="4" style="434" hidden="1" customWidth="1"/>
    <col min="14612" max="14631" width="2.42578125" style="434" hidden="1" customWidth="1"/>
    <col min="14632" max="14632" width="1.42578125" style="434" hidden="1" customWidth="1"/>
    <col min="14633" max="14848" width="2.42578125" style="434" hidden="1"/>
    <col min="14849" max="14849" width="1.42578125" style="434" hidden="1" customWidth="1"/>
    <col min="14850" max="14850" width="0.85546875" style="434" hidden="1" customWidth="1"/>
    <col min="14851" max="14866" width="2.42578125" style="434" hidden="1" customWidth="1"/>
    <col min="14867" max="14867" width="4" style="434" hidden="1" customWidth="1"/>
    <col min="14868" max="14887" width="2.42578125" style="434" hidden="1" customWidth="1"/>
    <col min="14888" max="14888" width="1.42578125" style="434" hidden="1" customWidth="1"/>
    <col min="14889" max="15104" width="2.42578125" style="434" hidden="1"/>
    <col min="15105" max="15105" width="1.42578125" style="434" hidden="1" customWidth="1"/>
    <col min="15106" max="15106" width="0.85546875" style="434" hidden="1" customWidth="1"/>
    <col min="15107" max="15122" width="2.42578125" style="434" hidden="1" customWidth="1"/>
    <col min="15123" max="15123" width="4" style="434" hidden="1" customWidth="1"/>
    <col min="15124" max="15143" width="2.42578125" style="434" hidden="1" customWidth="1"/>
    <col min="15144" max="15144" width="1.42578125" style="434" hidden="1" customWidth="1"/>
    <col min="15145" max="15360" width="2.42578125" style="434" hidden="1"/>
    <col min="15361" max="15361" width="1.42578125" style="434" hidden="1" customWidth="1"/>
    <col min="15362" max="15362" width="0.85546875" style="434" hidden="1" customWidth="1"/>
    <col min="15363" max="15378" width="2.42578125" style="434" hidden="1" customWidth="1"/>
    <col min="15379" max="15379" width="4" style="434" hidden="1" customWidth="1"/>
    <col min="15380" max="15399" width="2.42578125" style="434" hidden="1" customWidth="1"/>
    <col min="15400" max="15400" width="1.42578125" style="434" hidden="1" customWidth="1"/>
    <col min="15401" max="15616" width="2.42578125" style="434" hidden="1"/>
    <col min="15617" max="15617" width="1.42578125" style="434" hidden="1" customWidth="1"/>
    <col min="15618" max="15618" width="0.85546875" style="434" hidden="1" customWidth="1"/>
    <col min="15619" max="15634" width="2.42578125" style="434" hidden="1" customWidth="1"/>
    <col min="15635" max="15635" width="4" style="434" hidden="1" customWidth="1"/>
    <col min="15636" max="15655" width="2.42578125" style="434" hidden="1" customWidth="1"/>
    <col min="15656" max="15656" width="1.42578125" style="434" hidden="1" customWidth="1"/>
    <col min="15657" max="15872" width="2.42578125" style="434" hidden="1"/>
    <col min="15873" max="15873" width="1.42578125" style="434" hidden="1" customWidth="1"/>
    <col min="15874" max="15874" width="0.85546875" style="434" hidden="1" customWidth="1"/>
    <col min="15875" max="15890" width="2.42578125" style="434" hidden="1" customWidth="1"/>
    <col min="15891" max="15891" width="4" style="434" hidden="1" customWidth="1"/>
    <col min="15892" max="15911" width="2.42578125" style="434" hidden="1" customWidth="1"/>
    <col min="15912" max="15912" width="1.42578125" style="434" hidden="1" customWidth="1"/>
    <col min="15913" max="16128" width="2.42578125" style="434" hidden="1"/>
    <col min="16129" max="16129" width="1.42578125" style="434" hidden="1" customWidth="1"/>
    <col min="16130" max="16130" width="0.85546875" style="434" hidden="1" customWidth="1"/>
    <col min="16131" max="16146" width="2.42578125" style="434" hidden="1" customWidth="1"/>
    <col min="16147" max="16147" width="4" style="434" hidden="1" customWidth="1"/>
    <col min="16148" max="16167" width="2.42578125" style="434" hidden="1" customWidth="1"/>
    <col min="16168" max="16168" width="1.42578125" style="434" hidden="1" customWidth="1"/>
    <col min="16169" max="16384" width="2.42578125" style="434" hidden="1"/>
  </cols>
  <sheetData>
    <row r="1" spans="1:40" ht="12.95" customHeight="1">
      <c r="A1" s="2508" t="s">
        <v>1443</v>
      </c>
      <c r="B1" s="2508"/>
      <c r="C1" s="2508"/>
      <c r="D1" s="2508"/>
      <c r="E1" s="2508"/>
      <c r="F1" s="2508"/>
      <c r="G1" s="2508"/>
      <c r="H1" s="2508"/>
      <c r="I1" s="2508"/>
      <c r="J1" s="2508"/>
      <c r="K1" s="2508"/>
      <c r="L1" s="2508"/>
      <c r="M1" s="2508"/>
      <c r="N1" s="2508"/>
      <c r="O1" s="2508"/>
      <c r="P1" s="2508"/>
      <c r="Q1" s="2508"/>
      <c r="R1" s="2508"/>
      <c r="S1" s="2508"/>
      <c r="T1" s="2508"/>
      <c r="U1" s="2508"/>
      <c r="V1" s="2508"/>
      <c r="W1" s="2508"/>
      <c r="X1" s="2508"/>
      <c r="Y1" s="2508"/>
      <c r="Z1" s="2508"/>
      <c r="AA1" s="2508"/>
      <c r="AB1" s="2508"/>
      <c r="AC1" s="2508"/>
      <c r="AD1" s="2508"/>
      <c r="AE1" s="2508"/>
      <c r="AF1" s="2508"/>
      <c r="AG1" s="2508"/>
      <c r="AH1" s="2508"/>
      <c r="AI1" s="2508"/>
      <c r="AJ1" s="2508"/>
      <c r="AK1" s="2508"/>
      <c r="AL1" s="2508"/>
      <c r="AM1" s="2508"/>
      <c r="AN1" s="2508"/>
    </row>
    <row r="2" spans="1:40" ht="12.95" customHeight="1" thickBot="1">
      <c r="A2" s="2509"/>
      <c r="B2" s="2509"/>
      <c r="C2" s="2509"/>
      <c r="D2" s="2509"/>
      <c r="E2" s="2509"/>
      <c r="F2" s="2509"/>
      <c r="G2" s="2509"/>
      <c r="H2" s="2509"/>
      <c r="I2" s="2509"/>
      <c r="J2" s="2509"/>
      <c r="K2" s="2509"/>
      <c r="L2" s="2509"/>
      <c r="M2" s="2509"/>
      <c r="N2" s="2509"/>
      <c r="O2" s="2509"/>
      <c r="P2" s="2509"/>
      <c r="Q2" s="2509"/>
      <c r="R2" s="2509"/>
      <c r="S2" s="2509"/>
      <c r="T2" s="2509"/>
      <c r="U2" s="2509"/>
      <c r="V2" s="2509"/>
      <c r="W2" s="2509"/>
      <c r="X2" s="2509"/>
      <c r="Y2" s="2509"/>
      <c r="Z2" s="2509"/>
      <c r="AA2" s="2509"/>
      <c r="AB2" s="2509"/>
      <c r="AC2" s="2509"/>
      <c r="AD2" s="2509"/>
      <c r="AE2" s="2509"/>
      <c r="AF2" s="2509"/>
      <c r="AG2" s="2509"/>
      <c r="AH2" s="2509"/>
      <c r="AI2" s="2509"/>
      <c r="AJ2" s="2509"/>
      <c r="AK2" s="2509"/>
      <c r="AL2" s="2509"/>
      <c r="AM2" s="2509"/>
      <c r="AN2" s="2509"/>
    </row>
    <row r="3" spans="1:40" ht="12.95"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2.95" customHeight="1">
      <c r="A4" s="436"/>
    </row>
    <row r="5" spans="1:40" ht="12.95" customHeight="1">
      <c r="A5" s="436" t="s">
        <v>321</v>
      </c>
      <c r="C5" s="436" t="s">
        <v>123</v>
      </c>
      <c r="F5" s="436"/>
    </row>
    <row r="6" spans="1:40" ht="12.95" customHeight="1">
      <c r="A6" s="436"/>
      <c r="C6" s="434" t="s">
        <v>1384</v>
      </c>
    </row>
    <row r="7" spans="1:40" ht="12.95" customHeight="1">
      <c r="B7" s="437"/>
      <c r="C7" s="438"/>
      <c r="D7" s="438"/>
      <c r="E7" s="438"/>
      <c r="F7" s="438"/>
      <c r="G7" s="438"/>
      <c r="H7" s="438"/>
      <c r="I7" s="438"/>
      <c r="J7" s="438"/>
      <c r="K7" s="438"/>
      <c r="L7" s="438"/>
      <c r="M7" s="438"/>
      <c r="N7" s="438"/>
      <c r="O7" s="438"/>
      <c r="P7" s="438"/>
      <c r="Q7" s="438"/>
      <c r="R7" s="438"/>
      <c r="S7" s="438"/>
      <c r="T7" s="2510" t="str">
        <f xml:space="preserve"> IF(T25=100%,'Sources and Basis Breakdown'!G2,'Sources and Basis Breakdown'!F2)</f>
        <v>30% PVC for New Const/
Rehabilitation
DDA/QCT
Building(s)</v>
      </c>
      <c r="U7" s="2510"/>
      <c r="V7" s="2510"/>
      <c r="W7" s="2510"/>
      <c r="X7" s="2510"/>
      <c r="Y7" s="2510" t="str">
        <f>IF(T25=100%," ",'Sources and Basis Breakdown'!G2)</f>
        <v>30% PVC for New Const/
Rehabilitation
NON-DDA/
NON-QCT Building(s)</v>
      </c>
      <c r="Z7" s="2510"/>
      <c r="AA7" s="2510"/>
      <c r="AB7" s="2510"/>
      <c r="AC7" s="2510"/>
      <c r="AD7" s="2510" t="str">
        <f xml:space="preserve"> IF(T25=100%, 'Sources and Basis Breakdown'!J2,'Sources and Basis Breakdown'!I2)</f>
        <v>30% PVC for Acquisition
DDA/QCT Building(s)</v>
      </c>
      <c r="AE7" s="2510"/>
      <c r="AF7" s="2510"/>
      <c r="AG7" s="2510"/>
      <c r="AH7" s="2510"/>
      <c r="AI7" s="2510" t="str">
        <f>IF(T25=100%," ",'Sources and Basis Breakdown'!J2)</f>
        <v>30% PVC for Acquisition
NON-DDA/
NON-QCT Building(s)</v>
      </c>
      <c r="AJ7" s="2510"/>
      <c r="AK7" s="2510"/>
      <c r="AL7" s="2510"/>
      <c r="AM7" s="2510"/>
    </row>
    <row r="8" spans="1:40" ht="12.95" customHeight="1">
      <c r="B8" s="439"/>
      <c r="T8" s="2510"/>
      <c r="U8" s="2510"/>
      <c r="V8" s="2510"/>
      <c r="W8" s="2510"/>
      <c r="X8" s="2510"/>
      <c r="Y8" s="2510"/>
      <c r="Z8" s="2510"/>
      <c r="AA8" s="2510"/>
      <c r="AB8" s="2510"/>
      <c r="AC8" s="2510"/>
      <c r="AD8" s="2510"/>
      <c r="AE8" s="2510"/>
      <c r="AF8" s="2510"/>
      <c r="AG8" s="2510"/>
      <c r="AH8" s="2510"/>
      <c r="AI8" s="2510"/>
      <c r="AJ8" s="2510"/>
      <c r="AK8" s="2510"/>
      <c r="AL8" s="2510"/>
      <c r="AM8" s="2510"/>
    </row>
    <row r="9" spans="1:40" ht="12.95" customHeight="1">
      <c r="B9" s="439"/>
      <c r="T9" s="2510"/>
      <c r="U9" s="2510"/>
      <c r="V9" s="2510"/>
      <c r="W9" s="2510"/>
      <c r="X9" s="2510"/>
      <c r="Y9" s="2510"/>
      <c r="Z9" s="2510"/>
      <c r="AA9" s="2510"/>
      <c r="AB9" s="2510"/>
      <c r="AC9" s="2510"/>
      <c r="AD9" s="2510"/>
      <c r="AE9" s="2510"/>
      <c r="AF9" s="2510"/>
      <c r="AG9" s="2510"/>
      <c r="AH9" s="2510"/>
      <c r="AI9" s="2510"/>
      <c r="AJ9" s="2510"/>
      <c r="AK9" s="2510"/>
      <c r="AL9" s="2510"/>
      <c r="AM9" s="2510"/>
    </row>
    <row r="10" spans="1:40" ht="12.95" customHeight="1">
      <c r="B10" s="440"/>
      <c r="C10" s="441"/>
      <c r="D10" s="441"/>
      <c r="E10" s="441"/>
      <c r="F10" s="441"/>
      <c r="G10" s="441"/>
      <c r="H10" s="441"/>
      <c r="I10" s="441"/>
      <c r="J10" s="441"/>
      <c r="K10" s="441"/>
      <c r="L10" s="441"/>
      <c r="M10" s="441"/>
      <c r="N10" s="441"/>
      <c r="O10" s="441"/>
      <c r="P10" s="441"/>
      <c r="Q10" s="441"/>
      <c r="R10" s="441"/>
      <c r="S10" s="441"/>
      <c r="T10" s="2510"/>
      <c r="U10" s="2510"/>
      <c r="V10" s="2510"/>
      <c r="W10" s="2510"/>
      <c r="X10" s="2510"/>
      <c r="Y10" s="2510"/>
      <c r="Z10" s="2510"/>
      <c r="AA10" s="2510"/>
      <c r="AB10" s="2510"/>
      <c r="AC10" s="2510"/>
      <c r="AD10" s="2510"/>
      <c r="AE10" s="2510"/>
      <c r="AF10" s="2510"/>
      <c r="AG10" s="2510"/>
      <c r="AH10" s="2510"/>
      <c r="AI10" s="2510"/>
      <c r="AJ10" s="2510"/>
      <c r="AK10" s="2510"/>
      <c r="AL10" s="2510"/>
      <c r="AM10" s="2510"/>
    </row>
    <row r="11" spans="1:40" ht="12.95" customHeight="1">
      <c r="B11" s="2489" t="s">
        <v>377</v>
      </c>
      <c r="C11" s="2490"/>
      <c r="D11" s="2490"/>
      <c r="E11" s="2490"/>
      <c r="F11" s="2490"/>
      <c r="G11" s="2490"/>
      <c r="H11" s="2490"/>
      <c r="I11" s="2490"/>
      <c r="J11" s="2490"/>
      <c r="K11" s="2490"/>
      <c r="L11" s="2490"/>
      <c r="M11" s="2490"/>
      <c r="N11" s="2490"/>
      <c r="O11" s="2490"/>
      <c r="P11" s="2490"/>
      <c r="Q11" s="2490"/>
      <c r="R11" s="2490"/>
      <c r="S11" s="2491"/>
      <c r="T11" s="2511">
        <f>IF('Sources and Basis Breakdown'!F107=0,'Sources and Basis Breakdown'!E107,'Sources and Basis Breakdown'!F107)</f>
        <v>174301852</v>
      </c>
      <c r="U11" s="2512"/>
      <c r="V11" s="2512"/>
      <c r="W11" s="2512"/>
      <c r="X11" s="2512"/>
      <c r="Y11" s="2511">
        <f>IF(Y7=" ",0,IF('Sources and Basis Breakdown'!G107+'Sources and Basis Breakdown'!F107='Sources and Basis Breakdown'!E107,'Sources and Basis Breakdown'!G107,0))</f>
        <v>0</v>
      </c>
      <c r="Z11" s="2512"/>
      <c r="AA11" s="2512"/>
      <c r="AB11" s="2512"/>
      <c r="AC11" s="2512"/>
      <c r="AD11" s="2512">
        <f>IF('Sources and Basis Breakdown'!I107=0,'Sources and Basis Breakdown'!H107,'Sources and Basis Breakdown'!I107)</f>
        <v>0</v>
      </c>
      <c r="AE11" s="2512"/>
      <c r="AF11" s="2512"/>
      <c r="AG11" s="2512"/>
      <c r="AH11" s="2512"/>
      <c r="AI11" s="2512">
        <f>IF(Y7=" ",0,IF('Sources and Basis Breakdown'!I107+'Sources and Basis Breakdown'!J107='Sources and Basis Breakdown'!H107,'Sources and Basis Breakdown'!J107,0))</f>
        <v>0</v>
      </c>
      <c r="AJ11" s="2512"/>
      <c r="AK11" s="2512"/>
      <c r="AL11" s="2512"/>
      <c r="AM11" s="2512"/>
    </row>
    <row r="12" spans="1:40" ht="12.95" customHeight="1">
      <c r="B12" s="2504" t="s">
        <v>506</v>
      </c>
      <c r="C12" s="1284"/>
      <c r="D12" s="1284"/>
      <c r="E12" s="1284"/>
      <c r="F12" s="1284"/>
      <c r="G12" s="1284"/>
      <c r="H12" s="1284"/>
      <c r="I12" s="1284"/>
      <c r="J12" s="1284"/>
      <c r="K12" s="1284"/>
      <c r="L12" s="1284"/>
      <c r="M12" s="1284"/>
      <c r="N12" s="1284"/>
      <c r="O12" s="1284"/>
      <c r="P12" s="1284"/>
      <c r="Q12" s="1284"/>
      <c r="R12" s="1284"/>
      <c r="S12" s="2505"/>
      <c r="T12" s="2477"/>
      <c r="U12" s="2478"/>
      <c r="V12" s="2478"/>
      <c r="W12" s="2478"/>
      <c r="X12" s="2479"/>
      <c r="Y12" s="2477"/>
      <c r="Z12" s="2478"/>
      <c r="AA12" s="2478"/>
      <c r="AB12" s="2478"/>
      <c r="AC12" s="2479"/>
      <c r="AD12" s="2477"/>
      <c r="AE12" s="2478"/>
      <c r="AF12" s="2478"/>
      <c r="AG12" s="2478"/>
      <c r="AH12" s="2479"/>
      <c r="AI12" s="2477"/>
      <c r="AJ12" s="2478"/>
      <c r="AK12" s="2478"/>
      <c r="AL12" s="2478"/>
      <c r="AM12" s="2479"/>
    </row>
    <row r="13" spans="1:40" ht="12.95" customHeight="1">
      <c r="B13" s="468"/>
      <c r="C13" s="2506" t="s">
        <v>507</v>
      </c>
      <c r="D13" s="2506"/>
      <c r="E13" s="2506"/>
      <c r="F13" s="2506"/>
      <c r="G13" s="2506"/>
      <c r="H13" s="2506"/>
      <c r="I13" s="2506"/>
      <c r="J13" s="2506"/>
      <c r="K13" s="2506"/>
      <c r="L13" s="2506"/>
      <c r="M13" s="2506"/>
      <c r="N13" s="2506"/>
      <c r="O13" s="2506"/>
      <c r="P13" s="2506"/>
      <c r="Q13" s="2506"/>
      <c r="R13" s="2506"/>
      <c r="S13" s="2507"/>
      <c r="T13" s="2513"/>
      <c r="U13" s="2514"/>
      <c r="V13" s="2514"/>
      <c r="W13" s="2514"/>
      <c r="X13" s="2514"/>
      <c r="Y13" s="2513"/>
      <c r="Z13" s="2514"/>
      <c r="AA13" s="2514"/>
      <c r="AB13" s="2514"/>
      <c r="AC13" s="2514"/>
      <c r="AD13" s="2514"/>
      <c r="AE13" s="2514"/>
      <c r="AF13" s="2514"/>
      <c r="AG13" s="2514"/>
      <c r="AH13" s="2514"/>
      <c r="AI13" s="2514"/>
      <c r="AJ13" s="2514"/>
      <c r="AK13" s="2514"/>
      <c r="AL13" s="2514"/>
      <c r="AM13" s="2514"/>
    </row>
    <row r="14" spans="1:40" ht="12.95" customHeight="1">
      <c r="B14" s="468"/>
      <c r="C14" s="2506" t="s">
        <v>508</v>
      </c>
      <c r="D14" s="2506"/>
      <c r="E14" s="2506"/>
      <c r="F14" s="2506"/>
      <c r="G14" s="2506"/>
      <c r="H14" s="2506"/>
      <c r="I14" s="2506"/>
      <c r="J14" s="2506"/>
      <c r="K14" s="2506"/>
      <c r="L14" s="2506"/>
      <c r="M14" s="2506"/>
      <c r="N14" s="2506"/>
      <c r="O14" s="2506"/>
      <c r="P14" s="2506"/>
      <c r="Q14" s="2506"/>
      <c r="R14" s="2506"/>
      <c r="S14" s="2507"/>
      <c r="T14" s="2480"/>
      <c r="U14" s="2481"/>
      <c r="V14" s="2481"/>
      <c r="W14" s="2481"/>
      <c r="X14" s="2481"/>
      <c r="Y14" s="2480"/>
      <c r="Z14" s="2481"/>
      <c r="AA14" s="2481"/>
      <c r="AB14" s="2481"/>
      <c r="AC14" s="2481"/>
      <c r="AD14" s="2481"/>
      <c r="AE14" s="2481"/>
      <c r="AF14" s="2481"/>
      <c r="AG14" s="2481"/>
      <c r="AH14" s="2481"/>
      <c r="AI14" s="2481"/>
      <c r="AJ14" s="2481"/>
      <c r="AK14" s="2481"/>
      <c r="AL14" s="2481"/>
      <c r="AM14" s="2481"/>
    </row>
    <row r="15" spans="1:40" ht="12.95" customHeight="1">
      <c r="B15" s="468"/>
      <c r="C15" s="2506" t="s">
        <v>509</v>
      </c>
      <c r="D15" s="2506"/>
      <c r="E15" s="2506"/>
      <c r="F15" s="2506"/>
      <c r="G15" s="2506"/>
      <c r="H15" s="2506"/>
      <c r="I15" s="2506"/>
      <c r="J15" s="2506"/>
      <c r="K15" s="2506"/>
      <c r="L15" s="2506"/>
      <c r="M15" s="2506"/>
      <c r="N15" s="2506"/>
      <c r="O15" s="2506"/>
      <c r="P15" s="2506"/>
      <c r="Q15" s="2506"/>
      <c r="R15" s="2506"/>
      <c r="S15" s="2507"/>
      <c r="T15" s="2480"/>
      <c r="U15" s="2481"/>
      <c r="V15" s="2481"/>
      <c r="W15" s="2481"/>
      <c r="X15" s="2481"/>
      <c r="Y15" s="2480"/>
      <c r="Z15" s="2481"/>
      <c r="AA15" s="2481"/>
      <c r="AB15" s="2481"/>
      <c r="AC15" s="2481"/>
      <c r="AD15" s="2481"/>
      <c r="AE15" s="2481"/>
      <c r="AF15" s="2481"/>
      <c r="AG15" s="2481"/>
      <c r="AH15" s="2481"/>
      <c r="AI15" s="2481"/>
      <c r="AJ15" s="2481"/>
      <c r="AK15" s="2481"/>
      <c r="AL15" s="2481"/>
      <c r="AM15" s="2481"/>
    </row>
    <row r="16" spans="1:40" ht="12.95" customHeight="1">
      <c r="B16" s="468"/>
      <c r="C16" s="2506" t="s">
        <v>830</v>
      </c>
      <c r="D16" s="2506"/>
      <c r="E16" s="2506"/>
      <c r="F16" s="2506"/>
      <c r="G16" s="2506"/>
      <c r="H16" s="2506"/>
      <c r="I16" s="2506"/>
      <c r="J16" s="2506"/>
      <c r="K16" s="2506"/>
      <c r="L16" s="2506"/>
      <c r="M16" s="2506"/>
      <c r="N16" s="2506"/>
      <c r="O16" s="2506"/>
      <c r="P16" s="2506"/>
      <c r="Q16" s="2506"/>
      <c r="R16" s="2506"/>
      <c r="S16" s="2507"/>
      <c r="T16" s="2480"/>
      <c r="U16" s="2481"/>
      <c r="V16" s="2481"/>
      <c r="W16" s="2481"/>
      <c r="X16" s="2481"/>
      <c r="Y16" s="2480"/>
      <c r="Z16" s="2481"/>
      <c r="AA16" s="2481"/>
      <c r="AB16" s="2481"/>
      <c r="AC16" s="2481"/>
      <c r="AD16" s="2481"/>
      <c r="AE16" s="2481"/>
      <c r="AF16" s="2481"/>
      <c r="AG16" s="2481"/>
      <c r="AH16" s="2481"/>
      <c r="AI16" s="2481"/>
      <c r="AJ16" s="2481"/>
      <c r="AK16" s="2481"/>
      <c r="AL16" s="2481"/>
      <c r="AM16" s="2481"/>
    </row>
    <row r="17" spans="1:40" ht="12.95" customHeight="1">
      <c r="B17" s="468"/>
      <c r="C17" s="2506" t="s">
        <v>510</v>
      </c>
      <c r="D17" s="2506"/>
      <c r="E17" s="2506"/>
      <c r="F17" s="2506"/>
      <c r="G17" s="2506"/>
      <c r="H17" s="2506"/>
      <c r="I17" s="2506"/>
      <c r="J17" s="2506"/>
      <c r="K17" s="2506"/>
      <c r="L17" s="2506"/>
      <c r="M17" s="2506"/>
      <c r="N17" s="2506"/>
      <c r="O17" s="2506"/>
      <c r="P17" s="2506"/>
      <c r="Q17" s="2506"/>
      <c r="R17" s="2506"/>
      <c r="S17" s="2507"/>
      <c r="T17" s="2480"/>
      <c r="U17" s="2481"/>
      <c r="V17" s="2481"/>
      <c r="W17" s="2481"/>
      <c r="X17" s="2481"/>
      <c r="Y17" s="2480"/>
      <c r="Z17" s="2481"/>
      <c r="AA17" s="2481"/>
      <c r="AB17" s="2481"/>
      <c r="AC17" s="2481"/>
      <c r="AD17" s="2481"/>
      <c r="AE17" s="2481"/>
      <c r="AF17" s="2481"/>
      <c r="AG17" s="2481"/>
      <c r="AH17" s="2481"/>
      <c r="AI17" s="2481"/>
      <c r="AJ17" s="2481"/>
      <c r="AK17" s="2481"/>
      <c r="AL17" s="2481"/>
      <c r="AM17" s="2481"/>
    </row>
    <row r="18" spans="1:40" ht="12.95" customHeight="1">
      <c r="A18"/>
      <c r="B18" s="1203"/>
      <c r="C18" s="1677" t="s">
        <v>1000</v>
      </c>
      <c r="D18" s="1677"/>
      <c r="E18" s="1677"/>
      <c r="F18" s="1677"/>
      <c r="G18" s="1677"/>
      <c r="H18" s="1677"/>
      <c r="I18" s="1677"/>
      <c r="J18" s="1677"/>
      <c r="K18" s="1677"/>
      <c r="L18" s="1677"/>
      <c r="M18" s="1677"/>
      <c r="N18" s="1677"/>
      <c r="O18" s="1677"/>
      <c r="P18" s="1677"/>
      <c r="Q18" s="1677"/>
      <c r="R18" s="1677"/>
      <c r="S18" s="1678"/>
      <c r="T18" s="2480"/>
      <c r="U18" s="2481"/>
      <c r="V18" s="2481"/>
      <c r="W18" s="2481"/>
      <c r="X18" s="2481"/>
      <c r="Y18" s="2480"/>
      <c r="Z18" s="2481"/>
      <c r="AA18" s="2481"/>
      <c r="AB18" s="2481"/>
      <c r="AC18" s="2481"/>
      <c r="AD18" s="2481"/>
      <c r="AE18" s="2481"/>
      <c r="AF18" s="2481"/>
      <c r="AG18" s="2481"/>
      <c r="AH18" s="2481"/>
      <c r="AI18" s="2481"/>
      <c r="AJ18" s="2481"/>
      <c r="AK18" s="2481"/>
      <c r="AL18" s="2481"/>
      <c r="AM18" s="2481"/>
    </row>
    <row r="19" spans="1:40" ht="12.95" customHeight="1">
      <c r="B19" s="1203"/>
      <c r="C19" s="1677" t="s">
        <v>1000</v>
      </c>
      <c r="D19" s="1677"/>
      <c r="E19" s="1677"/>
      <c r="F19" s="1677"/>
      <c r="G19" s="1677"/>
      <c r="H19" s="1677"/>
      <c r="I19" s="1677"/>
      <c r="J19" s="1677"/>
      <c r="K19" s="1677"/>
      <c r="L19" s="1677"/>
      <c r="M19" s="1677"/>
      <c r="N19" s="1677"/>
      <c r="O19" s="1677"/>
      <c r="P19" s="1677"/>
      <c r="Q19" s="1677"/>
      <c r="R19" s="1677"/>
      <c r="S19" s="1678"/>
      <c r="T19" s="2480"/>
      <c r="U19" s="2481"/>
      <c r="V19" s="2481"/>
      <c r="W19" s="2481"/>
      <c r="X19" s="2481"/>
      <c r="Y19" s="2480"/>
      <c r="Z19" s="2481"/>
      <c r="AA19" s="2481"/>
      <c r="AB19" s="2481"/>
      <c r="AC19" s="2481"/>
      <c r="AD19" s="2481"/>
      <c r="AE19" s="2481"/>
      <c r="AF19" s="2481"/>
      <c r="AG19" s="2481"/>
      <c r="AH19" s="2481"/>
      <c r="AI19" s="2481"/>
      <c r="AJ19" s="2481"/>
      <c r="AK19" s="2481"/>
      <c r="AL19" s="2481"/>
      <c r="AM19" s="2481"/>
    </row>
    <row r="20" spans="1:40" ht="12.95" customHeight="1">
      <c r="B20" s="2489" t="s">
        <v>511</v>
      </c>
      <c r="C20" s="2490"/>
      <c r="D20" s="2490"/>
      <c r="E20" s="2490"/>
      <c r="F20" s="2490"/>
      <c r="G20" s="2490"/>
      <c r="H20" s="2490"/>
      <c r="I20" s="2490"/>
      <c r="J20" s="2490"/>
      <c r="K20" s="2490"/>
      <c r="L20" s="2490"/>
      <c r="M20" s="2490"/>
      <c r="N20" s="2490"/>
      <c r="O20" s="2490"/>
      <c r="P20" s="2490"/>
      <c r="Q20" s="2490"/>
      <c r="R20" s="2490"/>
      <c r="S20" s="2491"/>
      <c r="T20" s="2482">
        <f>SUM(T13:X19)</f>
        <v>0</v>
      </c>
      <c r="U20" s="2483"/>
      <c r="V20" s="2483"/>
      <c r="W20" s="2483"/>
      <c r="X20" s="2483"/>
      <c r="Y20" s="2482">
        <f>SUM(Y13:AC19)</f>
        <v>0</v>
      </c>
      <c r="Z20" s="2483"/>
      <c r="AA20" s="2483"/>
      <c r="AB20" s="2483"/>
      <c r="AC20" s="2483"/>
      <c r="AD20" s="2484">
        <f>SUM(AD13:AH19)</f>
        <v>0</v>
      </c>
      <c r="AE20" s="2485"/>
      <c r="AF20" s="2485"/>
      <c r="AG20" s="2485"/>
      <c r="AH20" s="2482"/>
      <c r="AI20" s="2484">
        <f>SUM(AI13:AM19)</f>
        <v>0</v>
      </c>
      <c r="AJ20" s="2485"/>
      <c r="AK20" s="2485"/>
      <c r="AL20" s="2485"/>
      <c r="AM20" s="2482"/>
    </row>
    <row r="21" spans="1:40" ht="12.95" customHeight="1">
      <c r="B21" s="2489" t="s">
        <v>1420</v>
      </c>
      <c r="C21" s="2490"/>
      <c r="D21" s="2490"/>
      <c r="E21" s="2490"/>
      <c r="F21" s="2490"/>
      <c r="G21" s="2490"/>
      <c r="H21" s="2490"/>
      <c r="I21" s="2490"/>
      <c r="J21" s="2490"/>
      <c r="K21" s="2490"/>
      <c r="L21" s="2490"/>
      <c r="M21" s="2490"/>
      <c r="N21" s="2490"/>
      <c r="O21" s="2490"/>
      <c r="P21" s="2490"/>
      <c r="Q21" s="2490"/>
      <c r="R21" s="2490"/>
      <c r="S21" s="2491"/>
      <c r="T21" s="2480"/>
      <c r="U21" s="2481"/>
      <c r="V21" s="2481"/>
      <c r="W21" s="2481"/>
      <c r="X21" s="2481"/>
      <c r="Y21" s="2480"/>
      <c r="Z21" s="2481"/>
      <c r="AA21" s="2481"/>
      <c r="AB21" s="2481"/>
      <c r="AC21" s="2481"/>
      <c r="AD21" s="2477"/>
      <c r="AE21" s="2478"/>
      <c r="AF21" s="2478"/>
      <c r="AG21" s="2478"/>
      <c r="AH21" s="2479"/>
      <c r="AI21" s="2477"/>
      <c r="AJ21" s="2478"/>
      <c r="AK21" s="2478"/>
      <c r="AL21" s="2478"/>
      <c r="AM21" s="2479"/>
    </row>
    <row r="22" spans="1:40" ht="12.95" customHeight="1">
      <c r="B22" s="2489" t="s">
        <v>512</v>
      </c>
      <c r="C22" s="2490"/>
      <c r="D22" s="2490"/>
      <c r="E22" s="2490"/>
      <c r="F22" s="2490"/>
      <c r="G22" s="2490"/>
      <c r="H22" s="2490"/>
      <c r="I22" s="2490"/>
      <c r="J22" s="2490"/>
      <c r="K22" s="2490"/>
      <c r="L22" s="2490"/>
      <c r="M22" s="2490"/>
      <c r="N22" s="2490"/>
      <c r="O22" s="2490"/>
      <c r="P22" s="2490"/>
      <c r="Q22" s="2490"/>
      <c r="R22" s="2490"/>
      <c r="S22" s="2491"/>
      <c r="T22" s="2515">
        <f>(ABS(T20)+ABS(T21))*-1</f>
        <v>0</v>
      </c>
      <c r="U22" s="2516"/>
      <c r="V22" s="2516"/>
      <c r="W22" s="2516"/>
      <c r="X22" s="2516"/>
      <c r="Y22" s="2515">
        <f>(Y20+Y21)*-1</f>
        <v>0</v>
      </c>
      <c r="Z22" s="2516"/>
      <c r="AA22" s="2516"/>
      <c r="AB22" s="2516"/>
      <c r="AC22" s="2516"/>
      <c r="AD22" s="2517">
        <f>(AD20)*-1</f>
        <v>0</v>
      </c>
      <c r="AE22" s="2518"/>
      <c r="AF22" s="2518"/>
      <c r="AG22" s="2518"/>
      <c r="AH22" s="2515"/>
      <c r="AI22" s="2517">
        <f>(AI20)*-1</f>
        <v>0</v>
      </c>
      <c r="AJ22" s="2518"/>
      <c r="AK22" s="2518"/>
      <c r="AL22" s="2518"/>
      <c r="AM22" s="2515"/>
    </row>
    <row r="23" spans="1:40" ht="12.95" customHeight="1">
      <c r="B23" s="2489" t="s">
        <v>513</v>
      </c>
      <c r="C23" s="2490"/>
      <c r="D23" s="2490"/>
      <c r="E23" s="2490"/>
      <c r="F23" s="2490"/>
      <c r="G23" s="2490"/>
      <c r="H23" s="2490"/>
      <c r="I23" s="2490"/>
      <c r="J23" s="2490"/>
      <c r="K23" s="2490"/>
      <c r="L23" s="2490"/>
      <c r="M23" s="2490"/>
      <c r="N23" s="2490"/>
      <c r="O23" s="2490"/>
      <c r="P23" s="2490"/>
      <c r="Q23" s="2490"/>
      <c r="R23" s="2490"/>
      <c r="S23" s="2491"/>
      <c r="T23" s="2482">
        <f>T11+T22</f>
        <v>174301852</v>
      </c>
      <c r="U23" s="2483"/>
      <c r="V23" s="2483"/>
      <c r="W23" s="2483"/>
      <c r="X23" s="2483"/>
      <c r="Y23" s="2482">
        <f>Y11+Y22</f>
        <v>0</v>
      </c>
      <c r="Z23" s="2483"/>
      <c r="AA23" s="2483"/>
      <c r="AB23" s="2483"/>
      <c r="AC23" s="2483"/>
      <c r="AD23" s="2482">
        <f>AD11+AD22</f>
        <v>0</v>
      </c>
      <c r="AE23" s="2483"/>
      <c r="AF23" s="2483"/>
      <c r="AG23" s="2483"/>
      <c r="AH23" s="2483"/>
      <c r="AI23" s="2482">
        <f>AI11+AI22</f>
        <v>0</v>
      </c>
      <c r="AJ23" s="2483"/>
      <c r="AK23" s="2483"/>
      <c r="AL23" s="2483"/>
      <c r="AM23" s="2483"/>
    </row>
    <row r="24" spans="1:40" ht="12.95" customHeight="1">
      <c r="B24" s="2489" t="s">
        <v>1001</v>
      </c>
      <c r="C24" s="2490"/>
      <c r="D24" s="2490"/>
      <c r="E24" s="2490"/>
      <c r="F24" s="2490"/>
      <c r="G24" s="2490"/>
      <c r="H24" s="2490"/>
      <c r="I24" s="2490"/>
      <c r="J24" s="2490"/>
      <c r="K24" s="2490"/>
      <c r="L24" s="2490"/>
      <c r="M24" s="2490"/>
      <c r="N24" s="2490"/>
      <c r="O24" s="2490"/>
      <c r="P24" s="2490"/>
      <c r="Q24" s="2490"/>
      <c r="R24" s="2490"/>
      <c r="S24" s="2491"/>
      <c r="T24" s="2484">
        <f>Application!AJ1018</f>
        <v>428537140.51999998</v>
      </c>
      <c r="U24" s="2485"/>
      <c r="V24" s="2485"/>
      <c r="W24" s="2485"/>
      <c r="X24" s="2485"/>
      <c r="Y24" s="2485"/>
      <c r="Z24" s="2485"/>
      <c r="AA24" s="2485"/>
      <c r="AB24" s="2485"/>
      <c r="AC24" s="2485"/>
      <c r="AD24" s="2485"/>
      <c r="AE24" s="2485"/>
      <c r="AF24" s="2485"/>
      <c r="AG24" s="2485"/>
      <c r="AH24" s="2485"/>
      <c r="AI24" s="2485"/>
      <c r="AJ24" s="2485"/>
      <c r="AK24" s="2485"/>
      <c r="AL24" s="2485"/>
      <c r="AM24" s="2482"/>
    </row>
    <row r="25" spans="1:40" ht="12.95" customHeight="1">
      <c r="B25" s="2493" t="s">
        <v>1421</v>
      </c>
      <c r="C25" s="2494"/>
      <c r="D25" s="2494"/>
      <c r="E25" s="2494"/>
      <c r="F25" s="2494"/>
      <c r="G25" s="2494"/>
      <c r="H25" s="2494"/>
      <c r="I25" s="2494"/>
      <c r="J25" s="2494"/>
      <c r="K25" s="2494"/>
      <c r="L25" s="2494"/>
      <c r="M25" s="2494"/>
      <c r="N25" s="2494"/>
      <c r="O25" s="2494"/>
      <c r="P25" s="2494"/>
      <c r="Q25" s="2494"/>
      <c r="R25" s="2494"/>
      <c r="S25" s="2495"/>
      <c r="T25" s="2519">
        <f>IF(OR(Application!T195="yes",Application!T194="yes"),1.3,1)</f>
        <v>1.3</v>
      </c>
      <c r="U25" s="2520"/>
      <c r="V25" s="2520"/>
      <c r="W25" s="2520"/>
      <c r="X25" s="2520"/>
      <c r="Y25" s="2519">
        <v>1</v>
      </c>
      <c r="Z25" s="2520"/>
      <c r="AA25" s="2520"/>
      <c r="AB25" s="2520"/>
      <c r="AC25" s="2520"/>
      <c r="AD25" s="2519">
        <v>1</v>
      </c>
      <c r="AE25" s="2520"/>
      <c r="AF25" s="2520"/>
      <c r="AG25" s="2520"/>
      <c r="AH25" s="2521"/>
      <c r="AI25" s="2519">
        <v>1</v>
      </c>
      <c r="AJ25" s="2520"/>
      <c r="AK25" s="2520"/>
      <c r="AL25" s="2520"/>
      <c r="AM25" s="2521"/>
    </row>
    <row r="26" spans="1:40" ht="12.95" customHeight="1">
      <c r="B26" s="2489" t="s">
        <v>514</v>
      </c>
      <c r="C26" s="2490"/>
      <c r="D26" s="2490"/>
      <c r="E26" s="2490"/>
      <c r="F26" s="2490"/>
      <c r="G26" s="2490"/>
      <c r="H26" s="2490"/>
      <c r="I26" s="2490"/>
      <c r="J26" s="2490"/>
      <c r="K26" s="2490"/>
      <c r="L26" s="2490"/>
      <c r="M26" s="2490"/>
      <c r="N26" s="2490"/>
      <c r="O26" s="2490"/>
      <c r="P26" s="2490"/>
      <c r="Q26" s="2490"/>
      <c r="R26" s="2490"/>
      <c r="S26" s="2491"/>
      <c r="T26" s="2482">
        <f>T23*T25</f>
        <v>226592407.59999999</v>
      </c>
      <c r="U26" s="2483"/>
      <c r="V26" s="2483"/>
      <c r="W26" s="2483"/>
      <c r="X26" s="2483"/>
      <c r="Y26" s="2482">
        <f>Y23*Y25</f>
        <v>0</v>
      </c>
      <c r="Z26" s="2483"/>
      <c r="AA26" s="2483"/>
      <c r="AB26" s="2483"/>
      <c r="AC26" s="2483"/>
      <c r="AD26" s="2482">
        <f>AD23*AD25</f>
        <v>0</v>
      </c>
      <c r="AE26" s="2483"/>
      <c r="AF26" s="2483"/>
      <c r="AG26" s="2483"/>
      <c r="AH26" s="2483"/>
      <c r="AI26" s="2482">
        <f>AI23*AI25</f>
        <v>0</v>
      </c>
      <c r="AJ26" s="2483"/>
      <c r="AK26" s="2483"/>
      <c r="AL26" s="2483"/>
      <c r="AM26" s="2483"/>
    </row>
    <row r="27" spans="1:40" ht="12.95" customHeight="1">
      <c r="A27" s="442"/>
      <c r="B27" s="2496" t="s">
        <v>428</v>
      </c>
      <c r="C27" s="2497"/>
      <c r="D27" s="2497"/>
      <c r="E27" s="2497"/>
      <c r="F27" s="2497"/>
      <c r="G27" s="2497"/>
      <c r="H27" s="2497"/>
      <c r="I27" s="2497"/>
      <c r="J27" s="2497"/>
      <c r="K27" s="2497"/>
      <c r="L27" s="2497"/>
      <c r="M27" s="2497"/>
      <c r="N27" s="2497"/>
      <c r="O27" s="2497"/>
      <c r="P27" s="2497"/>
      <c r="Q27" s="2497"/>
      <c r="R27" s="2497"/>
      <c r="S27" s="2498"/>
      <c r="T27" s="2502">
        <f>Application!$AG$444</f>
        <v>1</v>
      </c>
      <c r="U27" s="2503"/>
      <c r="V27" s="2503"/>
      <c r="W27" s="2503"/>
      <c r="X27" s="2503"/>
      <c r="Y27" s="2502">
        <f>Application!$AG$444</f>
        <v>1</v>
      </c>
      <c r="Z27" s="2503"/>
      <c r="AA27" s="2503"/>
      <c r="AB27" s="2503"/>
      <c r="AC27" s="2503"/>
      <c r="AD27" s="2502">
        <f>Application!$AG$444</f>
        <v>1</v>
      </c>
      <c r="AE27" s="2503"/>
      <c r="AF27" s="2503"/>
      <c r="AG27" s="2503"/>
      <c r="AH27" s="2503"/>
      <c r="AI27" s="2502">
        <f>Application!$AG$444</f>
        <v>1</v>
      </c>
      <c r="AJ27" s="2503"/>
      <c r="AK27" s="2503"/>
      <c r="AL27" s="2503"/>
      <c r="AM27" s="2503"/>
    </row>
    <row r="28" spans="1:40" ht="12.95" customHeight="1">
      <c r="A28" s="436"/>
      <c r="B28" s="2489" t="s">
        <v>515</v>
      </c>
      <c r="C28" s="2490"/>
      <c r="D28" s="2490"/>
      <c r="E28" s="2490"/>
      <c r="F28" s="2490"/>
      <c r="G28" s="2490"/>
      <c r="H28" s="2490"/>
      <c r="I28" s="2490"/>
      <c r="J28" s="2490"/>
      <c r="K28" s="2490"/>
      <c r="L28" s="2490"/>
      <c r="M28" s="2490"/>
      <c r="N28" s="2490"/>
      <c r="O28" s="2490"/>
      <c r="P28" s="2490"/>
      <c r="Q28" s="2490"/>
      <c r="R28" s="2490"/>
      <c r="S28" s="2491"/>
      <c r="T28" s="2482">
        <f>IF(ISERROR((T26*T27)),0,(T26*T27))</f>
        <v>226592407.59999999</v>
      </c>
      <c r="U28" s="2483"/>
      <c r="V28" s="2483"/>
      <c r="W28" s="2483"/>
      <c r="X28" s="2483"/>
      <c r="Y28" s="2482">
        <f>IF(ISERROR((Y26*Y27)),0,(Y26*Y27))</f>
        <v>0</v>
      </c>
      <c r="Z28" s="2483"/>
      <c r="AA28" s="2483"/>
      <c r="AB28" s="2483"/>
      <c r="AC28" s="2483"/>
      <c r="AD28" s="2482">
        <f>IF(ISERROR((AD26*AD27)),0,(AD26*AD27))</f>
        <v>0</v>
      </c>
      <c r="AE28" s="2483"/>
      <c r="AF28" s="2483"/>
      <c r="AG28" s="2483"/>
      <c r="AH28" s="2483"/>
      <c r="AI28" s="2482">
        <f>IF(ISERROR((AI26*AI27)),0,(AI26*AI27))</f>
        <v>0</v>
      </c>
      <c r="AJ28" s="2483"/>
      <c r="AK28" s="2483"/>
      <c r="AL28" s="2483"/>
      <c r="AM28" s="2483"/>
    </row>
    <row r="29" spans="1:40" ht="12.95" customHeight="1">
      <c r="B29" s="2489" t="s">
        <v>532</v>
      </c>
      <c r="C29" s="2490"/>
      <c r="D29" s="2490"/>
      <c r="E29" s="2490"/>
      <c r="F29" s="2490"/>
      <c r="G29" s="2490"/>
      <c r="H29" s="2490"/>
      <c r="I29" s="2490"/>
      <c r="J29" s="2490"/>
      <c r="K29" s="2490"/>
      <c r="L29" s="2490"/>
      <c r="M29" s="2490"/>
      <c r="N29" s="2490"/>
      <c r="O29" s="2490"/>
      <c r="P29" s="2490"/>
      <c r="Q29" s="2490"/>
      <c r="R29" s="2490"/>
      <c r="S29" s="2491"/>
      <c r="T29" s="2484">
        <f>T28+Y28+AD28+AI28</f>
        <v>226592407.59999999</v>
      </c>
      <c r="U29" s="2485"/>
      <c r="V29" s="2485"/>
      <c r="W29" s="2485"/>
      <c r="X29" s="2485"/>
      <c r="Y29" s="2485"/>
      <c r="Z29" s="2485"/>
      <c r="AA29" s="2485"/>
      <c r="AB29" s="2485"/>
      <c r="AC29" s="2485"/>
      <c r="AD29" s="2485"/>
      <c r="AE29" s="2485"/>
      <c r="AF29" s="2485"/>
      <c r="AG29" s="2485"/>
      <c r="AH29" s="2485"/>
      <c r="AI29" s="2485"/>
      <c r="AJ29" s="2485"/>
      <c r="AK29" s="2485"/>
      <c r="AL29" s="2485"/>
      <c r="AM29" s="2482"/>
    </row>
    <row r="30" spans="1:40" ht="12.95" customHeight="1">
      <c r="B30" s="2492" t="s">
        <v>1423</v>
      </c>
      <c r="C30" s="2492"/>
      <c r="D30" s="2492"/>
      <c r="E30" s="2492"/>
      <c r="F30" s="2492"/>
      <c r="G30" s="2492"/>
      <c r="H30" s="2492"/>
      <c r="I30" s="2492"/>
      <c r="J30" s="2492"/>
      <c r="K30" s="2492"/>
      <c r="L30" s="2492"/>
      <c r="M30" s="2492"/>
      <c r="N30" s="2492"/>
      <c r="O30" s="2492"/>
      <c r="P30" s="2492"/>
      <c r="Q30" s="2492"/>
      <c r="R30" s="2492"/>
      <c r="S30" s="2492"/>
      <c r="T30" s="2492"/>
      <c r="U30" s="2492"/>
      <c r="V30" s="2492"/>
      <c r="W30" s="2492"/>
      <c r="X30" s="2492"/>
      <c r="Y30" s="2492"/>
      <c r="Z30" s="2492"/>
      <c r="AA30" s="2492"/>
      <c r="AB30" s="2492"/>
      <c r="AC30" s="2492"/>
      <c r="AD30" s="2492"/>
      <c r="AE30" s="2492"/>
      <c r="AF30" s="2492"/>
      <c r="AG30" s="2492"/>
      <c r="AH30" s="2492"/>
      <c r="AI30" s="2492"/>
      <c r="AJ30" s="2492"/>
      <c r="AK30" s="2492"/>
      <c r="AL30" s="2492"/>
      <c r="AM30" s="2492"/>
    </row>
    <row r="31" spans="1:40" ht="12.95" customHeight="1">
      <c r="B31" s="2492" t="s">
        <v>1422</v>
      </c>
      <c r="C31" s="2492"/>
      <c r="D31" s="2492"/>
      <c r="E31" s="2492"/>
      <c r="F31" s="2492"/>
      <c r="G31" s="2492"/>
      <c r="H31" s="2492"/>
      <c r="I31" s="2492"/>
      <c r="J31" s="2492"/>
      <c r="K31" s="2492"/>
      <c r="L31" s="2492"/>
      <c r="M31" s="2492"/>
      <c r="N31" s="2492"/>
      <c r="O31" s="2492"/>
      <c r="P31" s="2492"/>
      <c r="Q31" s="2492"/>
      <c r="R31" s="2492"/>
      <c r="S31" s="2492"/>
      <c r="T31" s="2492"/>
      <c r="U31" s="2492"/>
      <c r="V31" s="2492"/>
      <c r="W31" s="2492"/>
      <c r="X31" s="2492"/>
      <c r="Y31" s="2492"/>
      <c r="Z31" s="2492"/>
      <c r="AA31" s="2492"/>
      <c r="AB31" s="2492"/>
      <c r="AC31" s="2492"/>
      <c r="AD31" s="2492"/>
      <c r="AE31" s="2492"/>
      <c r="AF31" s="2492"/>
      <c r="AG31" s="2492"/>
      <c r="AH31" s="2492"/>
      <c r="AI31" s="2492"/>
      <c r="AJ31" s="2492"/>
      <c r="AK31" s="2492"/>
      <c r="AL31" s="2492"/>
      <c r="AM31" s="2492"/>
      <c r="AN31" s="553"/>
    </row>
    <row r="32" spans="1:40" ht="12.95" customHeight="1">
      <c r="B32" s="467"/>
      <c r="C32" s="546" t="s">
        <v>389</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2.95" customHeight="1">
      <c r="A34" s="436" t="s">
        <v>585</v>
      </c>
      <c r="C34" s="436" t="s">
        <v>577</v>
      </c>
    </row>
    <row r="35" spans="1:76" ht="12.95"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510" t="s">
        <v>1292</v>
      </c>
      <c r="Z35" s="2510"/>
      <c r="AA35" s="2510"/>
      <c r="AB35" s="2510"/>
      <c r="AC35" s="2510"/>
      <c r="AD35" s="2533" t="s">
        <v>371</v>
      </c>
      <c r="AE35" s="2533"/>
      <c r="AF35" s="2533"/>
      <c r="AG35" s="2533"/>
      <c r="AH35" s="2533"/>
    </row>
    <row r="36" spans="1:76" ht="12.95" customHeight="1">
      <c r="B36" s="439"/>
      <c r="X36" s="444"/>
      <c r="Y36" s="2510"/>
      <c r="Z36" s="2510"/>
      <c r="AA36" s="2510"/>
      <c r="AB36" s="2510"/>
      <c r="AC36" s="2510"/>
      <c r="AD36" s="2533"/>
      <c r="AE36" s="2533"/>
      <c r="AF36" s="2533"/>
      <c r="AG36" s="2533"/>
      <c r="AH36" s="2533"/>
    </row>
    <row r="37" spans="1:76" ht="12.95"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510"/>
      <c r="Z37" s="2510"/>
      <c r="AA37" s="2510"/>
      <c r="AB37" s="2510"/>
      <c r="AC37" s="2510"/>
      <c r="AD37" s="2533"/>
      <c r="AE37" s="2533"/>
      <c r="AF37" s="2533"/>
      <c r="AG37" s="2533"/>
      <c r="AH37" s="2533"/>
    </row>
    <row r="38" spans="1:76" ht="12.95" customHeight="1">
      <c r="A38" s="436"/>
      <c r="B38" s="2489" t="s">
        <v>515</v>
      </c>
      <c r="C38" s="2490"/>
      <c r="D38" s="2490"/>
      <c r="E38" s="2490"/>
      <c r="F38" s="2490"/>
      <c r="G38" s="2490"/>
      <c r="H38" s="2490"/>
      <c r="I38" s="2490"/>
      <c r="J38" s="2490"/>
      <c r="K38" s="2490"/>
      <c r="L38" s="2490"/>
      <c r="M38" s="2490"/>
      <c r="N38" s="2490"/>
      <c r="O38" s="2490"/>
      <c r="P38" s="2490"/>
      <c r="Q38" s="2490"/>
      <c r="R38" s="2490"/>
      <c r="S38" s="2490"/>
      <c r="T38" s="2490"/>
      <c r="U38" s="2490"/>
      <c r="V38" s="2490"/>
      <c r="W38" s="2490"/>
      <c r="X38" s="2491"/>
      <c r="Y38" s="2483">
        <f>IF(T24&gt;=(T23+Y23+AD23+AI23),T28+Y28,0)</f>
        <v>226592407.59999999</v>
      </c>
      <c r="Z38" s="2483"/>
      <c r="AA38" s="2483"/>
      <c r="AB38" s="2483"/>
      <c r="AC38" s="2483"/>
      <c r="AD38" s="2483">
        <f>IF(T24&gt;=(T23+Y23+AD23+AI23),AD28+AI28,0)</f>
        <v>0</v>
      </c>
      <c r="AE38" s="2483"/>
      <c r="AF38" s="2483"/>
      <c r="AG38" s="2483"/>
      <c r="AH38" s="2483"/>
    </row>
    <row r="39" spans="1:76" ht="12.95" customHeight="1">
      <c r="B39" s="2489" t="s">
        <v>1950</v>
      </c>
      <c r="C39" s="2490"/>
      <c r="D39" s="2490"/>
      <c r="E39" s="2490"/>
      <c r="F39" s="2490"/>
      <c r="G39" s="2490"/>
      <c r="H39" s="2490"/>
      <c r="I39" s="2490"/>
      <c r="J39" s="2490"/>
      <c r="K39" s="2490"/>
      <c r="L39" s="2490"/>
      <c r="M39" s="2490"/>
      <c r="N39" s="2490"/>
      <c r="O39" s="2490"/>
      <c r="P39" s="2490"/>
      <c r="Q39" s="2490"/>
      <c r="R39" s="2490"/>
      <c r="S39" s="2490"/>
      <c r="T39" s="2490"/>
      <c r="U39" s="2490"/>
      <c r="V39" s="2490"/>
      <c r="W39" s="2490"/>
      <c r="X39" s="2491"/>
      <c r="Y39" s="2534">
        <v>0.04</v>
      </c>
      <c r="Z39" s="2534"/>
      <c r="AA39" s="2534"/>
      <c r="AB39" s="2534"/>
      <c r="AC39" s="2534"/>
      <c r="AD39" s="2534">
        <v>0.04</v>
      </c>
      <c r="AE39" s="2534"/>
      <c r="AF39" s="2534"/>
      <c r="AG39" s="2534"/>
      <c r="AH39" s="2534"/>
    </row>
    <row r="40" spans="1:76" ht="12.95" customHeight="1">
      <c r="A40" s="436"/>
      <c r="B40" s="2489" t="s">
        <v>651</v>
      </c>
      <c r="C40" s="2490"/>
      <c r="D40" s="2490"/>
      <c r="E40" s="2490"/>
      <c r="F40" s="2490"/>
      <c r="G40" s="2490"/>
      <c r="H40" s="2490"/>
      <c r="I40" s="2490"/>
      <c r="J40" s="2490"/>
      <c r="K40" s="2490"/>
      <c r="L40" s="2490"/>
      <c r="M40" s="2490"/>
      <c r="N40" s="2490"/>
      <c r="O40" s="2490"/>
      <c r="P40" s="2490"/>
      <c r="Q40" s="2490"/>
      <c r="R40" s="2490"/>
      <c r="S40" s="2490"/>
      <c r="T40" s="2490"/>
      <c r="U40" s="2490"/>
      <c r="V40" s="2490"/>
      <c r="W40" s="2490"/>
      <c r="X40" s="2491"/>
      <c r="Y40" s="2483">
        <f>ROUND(Y38*Y39,0)</f>
        <v>9063696</v>
      </c>
      <c r="Z40" s="2483"/>
      <c r="AA40" s="2483"/>
      <c r="AB40" s="2483"/>
      <c r="AC40" s="2483"/>
      <c r="AD40" s="2482">
        <f>ROUND(AD38*AD39,0)</f>
        <v>0</v>
      </c>
      <c r="AE40" s="2483"/>
      <c r="AF40" s="2483"/>
      <c r="AG40" s="2483"/>
      <c r="AH40" s="2483"/>
    </row>
    <row r="41" spans="1:76" ht="12.95" customHeight="1">
      <c r="B41" s="2489" t="s">
        <v>652</v>
      </c>
      <c r="C41" s="2490"/>
      <c r="D41" s="2490"/>
      <c r="E41" s="2490"/>
      <c r="F41" s="2490"/>
      <c r="G41" s="2490"/>
      <c r="H41" s="2490"/>
      <c r="I41" s="2490"/>
      <c r="J41" s="2490"/>
      <c r="K41" s="2490"/>
      <c r="L41" s="2490"/>
      <c r="M41" s="2490"/>
      <c r="N41" s="2490"/>
      <c r="O41" s="2490"/>
      <c r="P41" s="2490"/>
      <c r="Q41" s="2490"/>
      <c r="R41" s="2490"/>
      <c r="S41" s="2490"/>
      <c r="T41" s="2490"/>
      <c r="U41" s="2490"/>
      <c r="V41" s="2490"/>
      <c r="W41" s="2490"/>
      <c r="X41" s="2491"/>
      <c r="Y41" s="2484">
        <f>Y40+AD40</f>
        <v>9063696</v>
      </c>
      <c r="Z41" s="2485"/>
      <c r="AA41" s="2485"/>
      <c r="AB41" s="2485"/>
      <c r="AC41" s="2485"/>
      <c r="AD41" s="2485"/>
      <c r="AE41" s="2485"/>
      <c r="AF41" s="2485"/>
      <c r="AG41" s="2485"/>
      <c r="AH41" s="2482"/>
    </row>
    <row r="42" spans="1:76" ht="12.95"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2.95"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2.95" customHeight="1" thickBot="1">
      <c r="A44" s="2487" t="s">
        <v>1433</v>
      </c>
      <c r="B44" s="2487"/>
      <c r="C44" s="2487"/>
      <c r="D44" s="2487"/>
      <c r="E44" s="2487"/>
      <c r="F44" s="2487"/>
      <c r="G44" s="2487"/>
      <c r="H44" s="2487"/>
      <c r="I44" s="2487"/>
      <c r="J44" s="2487"/>
      <c r="K44" s="2487"/>
      <c r="L44" s="2487"/>
      <c r="M44" s="2487"/>
      <c r="N44" s="2487"/>
      <c r="O44" s="2487"/>
      <c r="P44" s="2487"/>
      <c r="Q44" s="2487"/>
      <c r="R44" s="2487"/>
      <c r="S44" s="2487"/>
      <c r="T44" s="2487"/>
      <c r="U44" s="2487"/>
      <c r="V44" s="2487"/>
      <c r="W44" s="2487"/>
      <c r="X44" s="2487"/>
      <c r="Y44" s="2487"/>
      <c r="Z44" s="2487"/>
      <c r="AA44" s="2487"/>
      <c r="AB44" s="2487"/>
      <c r="AC44" s="2487"/>
      <c r="AD44" s="2487"/>
      <c r="AE44" s="2487"/>
      <c r="AF44" s="2487"/>
      <c r="AG44" s="2487"/>
      <c r="AH44" s="2487"/>
      <c r="AI44" s="2487"/>
      <c r="AJ44" s="2487"/>
      <c r="AK44" s="2487"/>
      <c r="AL44" s="2487"/>
      <c r="AM44" s="2487"/>
      <c r="AN44" s="2487"/>
      <c r="AO44" s="2487"/>
      <c r="AP44" s="2487"/>
      <c r="AQ44" s="2487"/>
      <c r="AR44" s="2487"/>
      <c r="AS44" s="2487"/>
      <c r="AT44" s="2487"/>
      <c r="AU44" s="2487"/>
      <c r="AV44" s="2487"/>
      <c r="AW44" s="2487"/>
      <c r="AX44" s="2487"/>
      <c r="AY44" s="2487"/>
      <c r="AZ44" s="2487"/>
      <c r="BA44" s="2487"/>
      <c r="BB44" s="2487"/>
      <c r="BC44" s="2487"/>
      <c r="BD44" s="2487"/>
      <c r="BE44" s="2487"/>
      <c r="BF44" s="2487"/>
      <c r="BG44" s="2487"/>
      <c r="BH44" s="2487"/>
      <c r="BI44" s="2487"/>
      <c r="BJ44" s="2487"/>
      <c r="BK44" s="2487"/>
      <c r="BL44" s="2487"/>
      <c r="BM44" s="2487"/>
      <c r="BN44" s="2487"/>
      <c r="BO44" s="2487"/>
      <c r="BP44" s="2487"/>
      <c r="BQ44" s="2487"/>
      <c r="BR44" s="2487"/>
      <c r="BS44" s="2487"/>
      <c r="BT44" s="2487"/>
      <c r="BU44" s="2487"/>
      <c r="BV44" s="2487"/>
      <c r="BW44" s="2487"/>
      <c r="BX44" s="2487"/>
    </row>
    <row r="45" spans="1:76" s="218" customFormat="1" ht="12.95" customHeight="1" thickTop="1"/>
    <row r="46" spans="1:76" ht="12.95" customHeight="1">
      <c r="A46" s="436" t="s">
        <v>595</v>
      </c>
      <c r="C46" s="436" t="s">
        <v>284</v>
      </c>
    </row>
    <row r="47" spans="1:76" ht="12.95" customHeight="1">
      <c r="D47" s="436" t="s">
        <v>285</v>
      </c>
      <c r="AB47" s="2499">
        <f>'Sources and Uses Budget'!B105-MAX(IF('Sources and Uses Budget'!B15="",0,'Sources and Uses Budget'!B15),IF(Application!AG393="",0,Application!AG393))</f>
        <v>183187876</v>
      </c>
      <c r="AC47" s="2500"/>
      <c r="AD47" s="2500"/>
      <c r="AE47" s="2500"/>
      <c r="AF47" s="2501"/>
    </row>
    <row r="48" spans="1:76" ht="12.95" customHeight="1">
      <c r="D48" s="436" t="s">
        <v>21</v>
      </c>
      <c r="AB48" s="2499">
        <f>Application!AO635-MAX(IF('Sources and Uses Budget'!B15="",0,'Sources and Uses Budget'!B15),IF(Application!AG393="",0,Application!AG393))</f>
        <v>96648539</v>
      </c>
      <c r="AC48" s="2500"/>
      <c r="AD48" s="2500"/>
      <c r="AE48" s="2500"/>
      <c r="AF48" s="2501"/>
    </row>
    <row r="49" spans="1:76" ht="12.95" customHeight="1">
      <c r="D49" s="436" t="s">
        <v>92</v>
      </c>
      <c r="AB49" s="2499">
        <f>AB47-AB48</f>
        <v>86539337</v>
      </c>
      <c r="AC49" s="2500"/>
      <c r="AD49" s="2500"/>
      <c r="AE49" s="2500"/>
      <c r="AF49" s="2501"/>
    </row>
    <row r="50" spans="1:76" ht="12.95" customHeight="1">
      <c r="D50" s="436" t="s">
        <v>690</v>
      </c>
      <c r="AA50" s="447"/>
      <c r="AB50" s="2526">
        <f>AB49/(Y41*10)</f>
        <v>0.9547908160203078</v>
      </c>
      <c r="AC50" s="2527"/>
      <c r="AD50" s="2527"/>
      <c r="AE50" s="2527"/>
      <c r="AF50" s="2528"/>
    </row>
    <row r="51" spans="1:76" s="449" customFormat="1" ht="12.95" customHeight="1">
      <c r="A51" s="434"/>
      <c r="B51" s="434"/>
      <c r="C51" s="434"/>
      <c r="D51" s="434"/>
      <c r="E51" s="2529" t="s">
        <v>2111</v>
      </c>
      <c r="F51" s="2529"/>
      <c r="G51" s="2529"/>
      <c r="H51" s="2529"/>
      <c r="I51" s="2529"/>
      <c r="J51" s="2529"/>
      <c r="K51" s="2529"/>
      <c r="L51" s="2529"/>
      <c r="M51" s="2529"/>
      <c r="N51" s="2529"/>
      <c r="O51" s="2529"/>
      <c r="P51" s="2529"/>
      <c r="Q51" s="2529"/>
      <c r="R51" s="2529"/>
      <c r="S51" s="2529"/>
      <c r="T51" s="2529"/>
      <c r="U51" s="2529"/>
      <c r="V51" s="2529"/>
      <c r="W51" s="2529"/>
      <c r="X51" s="2529"/>
      <c r="Y51" s="2529"/>
      <c r="Z51" s="2529"/>
      <c r="AA51" s="448"/>
      <c r="AB51" s="448"/>
      <c r="AC51" s="448"/>
      <c r="AD51" s="448"/>
      <c r="AE51" s="448"/>
      <c r="AF51" s="448"/>
      <c r="AG51" s="434"/>
      <c r="AH51" s="434"/>
      <c r="AI51" s="434"/>
      <c r="AJ51" s="434"/>
      <c r="AK51" s="434"/>
      <c r="AL51" s="434"/>
      <c r="AM51" s="434"/>
      <c r="AN51" s="434"/>
    </row>
    <row r="52" spans="1:76" s="449" customFormat="1" ht="12.95" customHeight="1">
      <c r="A52" s="434"/>
      <c r="B52" s="434"/>
      <c r="C52" s="434"/>
      <c r="D52" s="434"/>
      <c r="E52" s="2529"/>
      <c r="F52" s="2529"/>
      <c r="G52" s="2529"/>
      <c r="H52" s="2529"/>
      <c r="I52" s="2529"/>
      <c r="J52" s="2529"/>
      <c r="K52" s="2529"/>
      <c r="L52" s="2529"/>
      <c r="M52" s="2529"/>
      <c r="N52" s="2529"/>
      <c r="O52" s="2529"/>
      <c r="P52" s="2529"/>
      <c r="Q52" s="2529"/>
      <c r="R52" s="2529"/>
      <c r="S52" s="2529"/>
      <c r="T52" s="2529"/>
      <c r="U52" s="2529"/>
      <c r="V52" s="2529"/>
      <c r="W52" s="2529"/>
      <c r="X52" s="2529"/>
      <c r="Y52" s="2529"/>
      <c r="Z52" s="2529"/>
      <c r="AA52" s="450"/>
      <c r="AB52" s="450"/>
      <c r="AC52" s="450"/>
      <c r="AD52" s="450"/>
      <c r="AE52" s="450"/>
      <c r="AF52" s="450"/>
      <c r="AG52" s="451"/>
      <c r="AH52" s="434"/>
      <c r="AI52" s="434"/>
      <c r="AJ52" s="434"/>
      <c r="AK52" s="434"/>
      <c r="AL52" s="434"/>
      <c r="AM52" s="434"/>
      <c r="AN52" s="434"/>
    </row>
    <row r="53" spans="1:76" ht="12.95"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2.95" customHeight="1">
      <c r="D54" s="436" t="s">
        <v>334</v>
      </c>
      <c r="AB54" s="2499">
        <f>ROUND(IF(ISERROR((AB49/AB50)),0,(AB49/AB50)),0)</f>
        <v>90636960</v>
      </c>
      <c r="AC54" s="2500"/>
      <c r="AD54" s="2500"/>
      <c r="AE54" s="2500"/>
      <c r="AF54" s="2501"/>
    </row>
    <row r="55" spans="1:76" ht="12.95" customHeight="1">
      <c r="D55" s="436" t="s">
        <v>335</v>
      </c>
      <c r="AB55" s="2499">
        <f>(AB54/10)</f>
        <v>9063696</v>
      </c>
      <c r="AC55" s="2500"/>
      <c r="AD55" s="2500"/>
      <c r="AE55" s="2500"/>
      <c r="AF55" s="2501"/>
    </row>
    <row r="56" spans="1:76" ht="12.95" customHeight="1">
      <c r="D56" s="436" t="s">
        <v>768</v>
      </c>
      <c r="AB56" s="2530">
        <f>(IF((Y41&lt;AB55),Y41,AB55))</f>
        <v>9063696</v>
      </c>
      <c r="AC56" s="2531"/>
      <c r="AD56" s="2531"/>
      <c r="AE56" s="2531"/>
      <c r="AF56" s="2532"/>
    </row>
    <row r="57" spans="1:76" ht="12.95" customHeight="1">
      <c r="D57" s="436" t="s">
        <v>767</v>
      </c>
      <c r="AB57" s="2499">
        <f>ROUND((10*AB56*AB50),0)</f>
        <v>86539337</v>
      </c>
      <c r="AC57" s="2500"/>
      <c r="AD57" s="2500"/>
      <c r="AE57" s="2500"/>
      <c r="AF57" s="2501"/>
    </row>
    <row r="58" spans="1:76" ht="12.95" customHeight="1">
      <c r="D58" s="436"/>
      <c r="AB58" s="455"/>
      <c r="AC58" s="455"/>
      <c r="AD58" s="455"/>
      <c r="AE58" s="455"/>
      <c r="AF58" s="455"/>
    </row>
    <row r="59" spans="1:76" ht="12.95" customHeight="1">
      <c r="D59" s="436" t="s">
        <v>766</v>
      </c>
      <c r="AB59" s="2522">
        <f>AB49-AB57</f>
        <v>0</v>
      </c>
      <c r="AC59" s="2522"/>
      <c r="AD59" s="2522"/>
      <c r="AE59" s="2522"/>
      <c r="AF59" s="2522"/>
    </row>
    <row r="60" spans="1:76" ht="12.95" customHeight="1">
      <c r="D60" s="436"/>
      <c r="AB60" s="455"/>
      <c r="AC60" s="455"/>
      <c r="AD60" s="455"/>
      <c r="AE60" s="455"/>
      <c r="AF60" s="455"/>
    </row>
    <row r="61" spans="1:76" s="218" customFormat="1" ht="12.95" customHeight="1" thickBot="1">
      <c r="A61" s="2487" t="str">
        <f>IF(Application!AP204="yes","Farmworker State Credit", "State Credit" )</f>
        <v>State Credit</v>
      </c>
      <c r="B61" s="2487"/>
      <c r="C61" s="2487"/>
      <c r="D61" s="2487"/>
      <c r="E61" s="2487"/>
      <c r="F61" s="2487"/>
      <c r="G61" s="2487"/>
      <c r="H61" s="2487"/>
      <c r="I61" s="2487"/>
      <c r="J61" s="2487"/>
      <c r="K61" s="2487"/>
      <c r="L61" s="2487"/>
      <c r="M61" s="2487"/>
      <c r="N61" s="2487"/>
      <c r="O61" s="2487"/>
      <c r="P61" s="2487"/>
      <c r="Q61" s="2487"/>
      <c r="R61" s="2487"/>
      <c r="S61" s="2487"/>
      <c r="T61" s="2487"/>
      <c r="U61" s="2487"/>
      <c r="V61" s="2487"/>
      <c r="W61" s="2487"/>
      <c r="X61" s="2487"/>
      <c r="Y61" s="2487"/>
      <c r="Z61" s="2487"/>
      <c r="AA61" s="2487"/>
      <c r="AB61" s="2487"/>
      <c r="AC61" s="2487"/>
      <c r="AD61" s="2487"/>
      <c r="AE61" s="2487"/>
      <c r="AF61" s="2487"/>
      <c r="AG61" s="2487"/>
      <c r="AH61" s="2487"/>
      <c r="AI61" s="2487"/>
      <c r="AJ61" s="2487"/>
      <c r="AK61" s="2487"/>
      <c r="AL61" s="2487"/>
      <c r="AM61" s="2487"/>
      <c r="AN61" s="2487"/>
      <c r="AO61" s="2487"/>
      <c r="AP61" s="2487"/>
      <c r="AQ61" s="2487"/>
      <c r="AR61" s="2487"/>
      <c r="AS61" s="2487"/>
      <c r="AT61" s="2487"/>
      <c r="AU61" s="2487"/>
      <c r="AV61" s="2487"/>
      <c r="AW61" s="2487"/>
      <c r="AX61" s="2487"/>
      <c r="AY61" s="2487"/>
      <c r="AZ61" s="2487"/>
      <c r="BA61" s="2487"/>
      <c r="BB61" s="2487"/>
      <c r="BC61" s="2487"/>
      <c r="BD61" s="2487"/>
      <c r="BE61" s="2487"/>
      <c r="BF61" s="2487"/>
      <c r="BG61" s="2487"/>
      <c r="BH61" s="2487"/>
      <c r="BI61" s="2487"/>
      <c r="BJ61" s="2487"/>
      <c r="BK61" s="2487"/>
      <c r="BL61" s="2487"/>
      <c r="BM61" s="2487"/>
      <c r="BN61" s="2487"/>
      <c r="BO61" s="2487"/>
      <c r="BP61" s="2487"/>
      <c r="BQ61" s="2487"/>
      <c r="BR61" s="2487"/>
      <c r="BS61" s="2487"/>
      <c r="BT61" s="2487"/>
      <c r="BU61" s="2487"/>
      <c r="BV61" s="2487"/>
      <c r="BW61" s="2487"/>
      <c r="BX61" s="2487"/>
    </row>
    <row r="62" spans="1:76" s="218" customFormat="1" ht="12.95" customHeight="1" thickTop="1"/>
    <row r="63" spans="1:76" ht="12.95" customHeight="1">
      <c r="A63" s="436" t="s">
        <v>598</v>
      </c>
      <c r="C63" s="219" t="s">
        <v>1404</v>
      </c>
      <c r="Y63" s="2523" t="s">
        <v>1023</v>
      </c>
      <c r="Z63" s="2523"/>
      <c r="AA63" s="2523"/>
      <c r="AB63" s="2523"/>
      <c r="AC63" s="2523"/>
      <c r="AD63" s="2523" t="s">
        <v>371</v>
      </c>
      <c r="AE63" s="2523"/>
      <c r="AF63" s="2523"/>
      <c r="AG63" s="2523"/>
      <c r="AH63" s="2523"/>
    </row>
    <row r="64" spans="1:76" ht="12.95" customHeight="1">
      <c r="C64" s="436"/>
      <c r="D64" s="409" t="s">
        <v>1405</v>
      </c>
      <c r="E64" s="452"/>
      <c r="F64" s="452"/>
      <c r="G64" s="452"/>
      <c r="H64" s="452"/>
      <c r="I64" s="452"/>
      <c r="J64" s="452"/>
      <c r="K64" s="452"/>
      <c r="L64" s="452"/>
      <c r="M64" s="452"/>
      <c r="N64" s="452"/>
      <c r="O64" s="452"/>
      <c r="P64" s="452"/>
      <c r="Q64" s="452"/>
      <c r="R64" s="452"/>
      <c r="S64" s="452"/>
      <c r="T64" s="452"/>
      <c r="U64" s="452"/>
      <c r="V64" s="452"/>
      <c r="W64" s="452"/>
      <c r="X64" s="452"/>
      <c r="Y64" s="2484">
        <f>IF(Application!Z204="(select)",0,((T23*T27)+Y28))</f>
        <v>174301852</v>
      </c>
      <c r="Z64" s="2524"/>
      <c r="AA64" s="2524"/>
      <c r="AB64" s="2524"/>
      <c r="AC64" s="2525"/>
      <c r="AD64" s="2484">
        <f>IF(AND(OR(Application!D210="At-Risk",Application!D210="At-Risk and Special Needs"),Application!M357="yes"),AD28+AI28,0)</f>
        <v>0</v>
      </c>
      <c r="AE64" s="2524"/>
      <c r="AF64" s="2524"/>
      <c r="AG64" s="2524"/>
      <c r="AH64" s="2525"/>
    </row>
    <row r="65" spans="1:36" ht="12.95" customHeight="1">
      <c r="C65" s="436"/>
      <c r="E65" s="1054" t="s">
        <v>2109</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2110</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2.95"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540">
        <f>IF(Application!AP204="yes",0.75,IF(Application!Z203="15% set-aside",0.13,IF(Application!Z203="15% set-aside with qualifying low value rehab",0.95,0.3)))</f>
        <v>0.3</v>
      </c>
      <c r="Z67" s="2540"/>
      <c r="AA67" s="2540"/>
      <c r="AB67" s="2540"/>
      <c r="AC67" s="2540"/>
      <c r="AD67" s="2540">
        <f>IF(Application!Z203="15% set-aside with qualifying low value rehab", 0.95,0.13)</f>
        <v>0.13</v>
      </c>
      <c r="AE67" s="2540"/>
      <c r="AF67" s="2540"/>
      <c r="AG67" s="2540"/>
      <c r="AH67" s="2540"/>
    </row>
    <row r="68" spans="1:36" ht="12.95" customHeight="1">
      <c r="C68" s="436"/>
      <c r="D68" s="219" t="s">
        <v>1406</v>
      </c>
      <c r="Y68" s="2483">
        <f>ROUND(Y64*Y67,0)</f>
        <v>52290556</v>
      </c>
      <c r="Z68" s="2541"/>
      <c r="AA68" s="2541"/>
      <c r="AB68" s="2541"/>
      <c r="AC68" s="2541"/>
      <c r="AD68" s="2483">
        <f>ROUND(AD64*AD67,0)</f>
        <v>0</v>
      </c>
      <c r="AE68" s="2541"/>
      <c r="AF68" s="2541"/>
      <c r="AG68" s="2541"/>
      <c r="AH68" s="2541"/>
    </row>
    <row r="69" spans="1:36" ht="12.95" customHeight="1">
      <c r="C69" s="436"/>
      <c r="E69" s="436"/>
      <c r="AB69" s="454"/>
      <c r="AC69" s="454"/>
      <c r="AD69" s="454"/>
      <c r="AE69" s="454"/>
      <c r="AF69" s="454"/>
    </row>
    <row r="70" spans="1:36" ht="12.95" customHeight="1">
      <c r="A70" s="436" t="s">
        <v>599</v>
      </c>
      <c r="C70" s="219" t="s">
        <v>286</v>
      </c>
    </row>
    <row r="71" spans="1:36" ht="12.95" customHeight="1">
      <c r="A71" s="436"/>
      <c r="C71" s="436"/>
      <c r="D71" s="219" t="s">
        <v>1407</v>
      </c>
      <c r="AB71" s="2526"/>
      <c r="AC71" s="2527"/>
      <c r="AD71" s="2527"/>
      <c r="AE71" s="2527"/>
      <c r="AF71" s="2528"/>
    </row>
    <row r="72" spans="1:36" ht="12.95" customHeight="1">
      <c r="A72" s="436"/>
      <c r="C72" s="436"/>
      <c r="D72" s="436"/>
      <c r="E72" s="2542" t="s">
        <v>1408</v>
      </c>
      <c r="F72" s="2542"/>
      <c r="G72" s="2542"/>
      <c r="H72" s="2542"/>
      <c r="I72" s="2542"/>
      <c r="J72" s="2542"/>
      <c r="K72" s="2542"/>
      <c r="L72" s="2542"/>
      <c r="M72" s="2542"/>
      <c r="N72" s="2542"/>
      <c r="O72" s="2542"/>
      <c r="P72" s="2542"/>
      <c r="Q72" s="2542"/>
      <c r="R72" s="2542"/>
      <c r="S72" s="2542"/>
      <c r="T72" s="2542"/>
      <c r="U72" s="2542"/>
      <c r="V72" s="2542"/>
      <c r="W72" s="2542"/>
      <c r="X72" s="2542"/>
      <c r="Y72" s="2542"/>
      <c r="Z72" s="2542"/>
      <c r="AA72" s="2542"/>
      <c r="AB72" s="472"/>
      <c r="AC72" s="472"/>
    </row>
    <row r="73" spans="1:36" ht="12.95" customHeight="1">
      <c r="A73" s="436"/>
      <c r="C73" s="436"/>
      <c r="D73" s="436"/>
      <c r="E73" s="2542"/>
      <c r="F73" s="2542"/>
      <c r="G73" s="2542"/>
      <c r="H73" s="2542"/>
      <c r="I73" s="2542"/>
      <c r="J73" s="2542"/>
      <c r="K73" s="2542"/>
      <c r="L73" s="2542"/>
      <c r="M73" s="2542"/>
      <c r="N73" s="2542"/>
      <c r="O73" s="2542"/>
      <c r="P73" s="2542"/>
      <c r="Q73" s="2542"/>
      <c r="R73" s="2542"/>
      <c r="S73" s="2542"/>
      <c r="T73" s="2542"/>
      <c r="U73" s="2542"/>
      <c r="V73" s="2542"/>
      <c r="W73" s="2542"/>
      <c r="X73" s="2542"/>
      <c r="Y73" s="2542"/>
      <c r="Z73" s="2542"/>
      <c r="AA73" s="2542"/>
      <c r="AB73" s="472"/>
      <c r="AC73" s="472"/>
    </row>
    <row r="74" spans="1:36" ht="12.95" customHeight="1">
      <c r="A74" s="436"/>
      <c r="C74" s="436"/>
      <c r="D74" s="436"/>
      <c r="E74" s="2542"/>
      <c r="F74" s="2542"/>
      <c r="G74" s="2542"/>
      <c r="H74" s="2542"/>
      <c r="I74" s="2542"/>
      <c r="J74" s="2542"/>
      <c r="K74" s="2542"/>
      <c r="L74" s="2542"/>
      <c r="M74" s="2542"/>
      <c r="N74" s="2542"/>
      <c r="O74" s="2542"/>
      <c r="P74" s="2542"/>
      <c r="Q74" s="2542"/>
      <c r="R74" s="2542"/>
      <c r="S74" s="2542"/>
      <c r="T74" s="2542"/>
      <c r="U74" s="2542"/>
      <c r="V74" s="2542"/>
      <c r="W74" s="2542"/>
      <c r="X74" s="2542"/>
      <c r="Y74" s="2542"/>
      <c r="Z74" s="2542"/>
      <c r="AA74" s="2542"/>
      <c r="AB74" s="472"/>
      <c r="AC74" s="472"/>
    </row>
    <row r="75" spans="1:36" ht="12.95"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2.95" customHeight="1">
      <c r="C76" s="436"/>
      <c r="D76" s="219" t="s">
        <v>1409</v>
      </c>
      <c r="AB76" s="2535">
        <f>ROUND(IF(ISERROR((AB59/AB71)),0,(AB59/AB71)),0)</f>
        <v>0</v>
      </c>
      <c r="AC76" s="2535"/>
      <c r="AD76" s="2535"/>
      <c r="AE76" s="2535"/>
      <c r="AF76" s="2535"/>
    </row>
    <row r="77" spans="1:36" ht="12.95" customHeight="1">
      <c r="C77" s="436"/>
      <c r="D77" s="219" t="s">
        <v>1410</v>
      </c>
      <c r="AB77" s="2536">
        <f>IF((Y68+AD68&lt;AB76),Y68+AD68,AB76)</f>
        <v>0</v>
      </c>
      <c r="AC77" s="2537"/>
      <c r="AD77" s="2537"/>
      <c r="AE77" s="2537"/>
      <c r="AF77" s="2538"/>
    </row>
    <row r="78" spans="1:36" ht="12.95" customHeight="1">
      <c r="C78" s="436"/>
      <c r="D78" s="219" t="s">
        <v>1411</v>
      </c>
      <c r="AB78" s="2539">
        <f>AB77*AB71</f>
        <v>0</v>
      </c>
      <c r="AC78" s="2539"/>
      <c r="AD78" s="2539"/>
      <c r="AE78" s="2539"/>
      <c r="AF78" s="2539"/>
    </row>
    <row r="79" spans="1:36" ht="12.95" customHeight="1">
      <c r="C79" s="436"/>
      <c r="D79" s="436"/>
      <c r="AB79" s="457"/>
      <c r="AC79" s="457"/>
      <c r="AD79" s="457"/>
      <c r="AE79" s="457"/>
      <c r="AF79" s="457"/>
    </row>
    <row r="80" spans="1:36" ht="12.95" customHeight="1">
      <c r="D80" s="436" t="s">
        <v>766</v>
      </c>
      <c r="AB80" s="2522">
        <f>AB49-(AB57+AB78)</f>
        <v>0</v>
      </c>
      <c r="AC80" s="2522"/>
      <c r="AD80" s="2522"/>
      <c r="AE80" s="2522"/>
      <c r="AF80" s="2522"/>
    </row>
    <row r="81" spans="1:78" ht="12.95" customHeight="1">
      <c r="F81" s="557"/>
      <c r="J81" s="557" t="str">
        <f>IF(AB80&gt;0,"FUNDING GAP MUST NOT EXCEED ZERO","")</f>
        <v/>
      </c>
    </row>
    <row r="82" spans="1:78" ht="12.95" customHeight="1">
      <c r="D82" s="558"/>
    </row>
    <row r="83" spans="1:78" ht="12.95" customHeight="1" thickBot="1">
      <c r="A83" s="2487"/>
      <c r="B83" s="2487"/>
      <c r="C83" s="2487"/>
      <c r="D83" s="2487"/>
      <c r="E83" s="2487"/>
      <c r="F83" s="2487"/>
      <c r="G83" s="2487"/>
      <c r="H83" s="2487"/>
      <c r="I83" s="2487"/>
      <c r="J83" s="2487"/>
      <c r="K83" s="2487"/>
      <c r="L83" s="2487"/>
      <c r="M83" s="2487"/>
      <c r="N83" s="2487"/>
      <c r="O83" s="2487"/>
      <c r="P83" s="2487"/>
      <c r="Q83" s="2487"/>
      <c r="R83" s="2487"/>
      <c r="S83" s="2487"/>
      <c r="T83" s="2487"/>
      <c r="U83" s="2487"/>
      <c r="V83" s="2487"/>
      <c r="W83" s="2487"/>
      <c r="X83" s="2487"/>
      <c r="Y83" s="2487"/>
      <c r="Z83" s="2487"/>
      <c r="AA83" s="2487"/>
      <c r="AB83" s="2487"/>
      <c r="AC83" s="2487"/>
      <c r="AD83" s="2487"/>
      <c r="AE83" s="2487"/>
      <c r="AF83" s="2487"/>
      <c r="AG83" s="2487"/>
      <c r="AH83" s="2487"/>
      <c r="AI83" s="2487"/>
      <c r="AJ83" s="2487"/>
      <c r="AK83" s="2487"/>
      <c r="AL83" s="2487"/>
      <c r="AM83" s="2487"/>
      <c r="AN83" s="2487"/>
      <c r="AO83" s="2487"/>
      <c r="AP83" s="2487"/>
      <c r="AQ83" s="2487"/>
      <c r="AR83" s="2487"/>
      <c r="AS83" s="2487"/>
      <c r="AT83" s="2487"/>
      <c r="AU83" s="2487"/>
      <c r="AV83" s="2487"/>
      <c r="AW83" s="2487"/>
      <c r="AX83" s="2487"/>
      <c r="AY83" s="2487"/>
      <c r="AZ83" s="2487"/>
      <c r="BA83" s="2487"/>
      <c r="BB83" s="2487"/>
      <c r="BC83" s="2487"/>
      <c r="BD83" s="2487"/>
      <c r="BE83" s="2487"/>
      <c r="BF83" s="2487"/>
      <c r="BG83" s="2487"/>
      <c r="BH83" s="2487"/>
      <c r="BI83" s="2487"/>
      <c r="BJ83" s="2487"/>
      <c r="BK83" s="2487"/>
      <c r="BL83" s="2487"/>
      <c r="BM83" s="2487"/>
      <c r="BN83" s="2487"/>
      <c r="BO83" s="2487"/>
      <c r="BP83" s="2487"/>
      <c r="BQ83" s="2487"/>
      <c r="BR83" s="2487"/>
      <c r="BS83" s="2487"/>
      <c r="BT83" s="2487"/>
      <c r="BU83" s="2487"/>
      <c r="BV83" s="2487"/>
      <c r="BW83" s="2487"/>
      <c r="BX83" s="2487"/>
    </row>
    <row r="84" spans="1:78" ht="12.95" customHeight="1" thickTop="1"/>
    <row r="85" spans="1:78" ht="12.95" customHeight="1">
      <c r="A85" s="436"/>
      <c r="C85" s="219"/>
    </row>
    <row r="86" spans="1:78" ht="12.95" customHeight="1">
      <c r="D86" s="219"/>
      <c r="AB86" s="2488"/>
      <c r="AC86" s="2488"/>
      <c r="AD86" s="2488"/>
      <c r="AE86" s="2488"/>
      <c r="AF86" s="2488"/>
    </row>
    <row r="87" spans="1:78" ht="12.95" customHeight="1" thickBot="1">
      <c r="D87" s="219"/>
      <c r="AB87" s="2486"/>
      <c r="AC87" s="2486"/>
      <c r="AD87" s="2486"/>
      <c r="AE87" s="2486"/>
      <c r="AF87" s="2486"/>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2.95" customHeight="1" thickTop="1"/>
  </sheetData>
  <sheetProtection algorithmName="SHA-512" hashValue="CPATDulQss3dZ10ZrQyzJuI3g0s6Ma2JVhbdFpWK7GJ54X2plxEzdPnfITWqTGEYT6MKEiNYFZl55/Q6qZ2+4w==" saltValue="js12ha+crr9W9y/aL/67q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zoomScaleNormal="100" zoomScaleSheetLayoutView="100" workbookViewId="0">
      <selection activeCell="C32" sqref="C32"/>
    </sheetView>
  </sheetViews>
  <sheetFormatPr defaultColWidth="0" defaultRowHeight="12.75" zeroHeight="1"/>
  <cols>
    <col min="1" max="1" width="3.5703125" customWidth="1"/>
    <col min="2" max="2" width="27.5703125" customWidth="1"/>
    <col min="3" max="3" width="9.140625" style="229"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 min="35" max="35" width="0" hidden="1" customWidth="1"/>
    <col min="36" max="16384" width="8.85546875" hidden="1"/>
  </cols>
  <sheetData>
    <row r="1" spans="1:34" ht="18">
      <c r="A1" s="226" t="s">
        <v>2510</v>
      </c>
      <c r="B1" s="226"/>
    </row>
    <row r="2" spans="1:34"/>
    <row r="3" spans="1:34" ht="15.75">
      <c r="A3" s="227" t="s">
        <v>847</v>
      </c>
      <c r="B3" s="227"/>
      <c r="C3" s="251" t="s">
        <v>848</v>
      </c>
      <c r="D3" s="13"/>
      <c r="E3" s="252" t="s">
        <v>849</v>
      </c>
      <c r="F3" s="217"/>
      <c r="G3" s="252" t="s">
        <v>850</v>
      </c>
      <c r="H3" s="217"/>
      <c r="I3" s="252" t="s">
        <v>851</v>
      </c>
      <c r="J3" s="217"/>
      <c r="K3" s="252" t="s">
        <v>852</v>
      </c>
      <c r="L3" s="217"/>
      <c r="M3" s="252" t="s">
        <v>853</v>
      </c>
      <c r="N3" s="217"/>
      <c r="O3" s="252" t="s">
        <v>854</v>
      </c>
      <c r="P3" s="217"/>
      <c r="Q3" s="252" t="s">
        <v>855</v>
      </c>
      <c r="R3" s="217"/>
      <c r="S3" s="252" t="s">
        <v>856</v>
      </c>
      <c r="T3" s="217"/>
      <c r="U3" s="252" t="s">
        <v>857</v>
      </c>
      <c r="V3" s="217"/>
      <c r="W3" s="252" t="s">
        <v>858</v>
      </c>
      <c r="X3" s="217"/>
      <c r="Y3" s="252" t="s">
        <v>859</v>
      </c>
      <c r="Z3" s="217"/>
      <c r="AA3" s="252" t="s">
        <v>860</v>
      </c>
      <c r="AB3" s="217"/>
      <c r="AC3" s="252" t="s">
        <v>861</v>
      </c>
      <c r="AD3" s="217"/>
      <c r="AE3" s="252" t="s">
        <v>862</v>
      </c>
      <c r="AF3" s="217"/>
      <c r="AG3" s="252" t="s">
        <v>863</v>
      </c>
      <c r="AH3" s="13"/>
    </row>
    <row r="4" spans="1:34" s="235" customFormat="1" ht="14.25">
      <c r="A4" s="235" t="s">
        <v>865</v>
      </c>
      <c r="C4" s="253">
        <v>1.0249999999999999</v>
      </c>
      <c r="E4" s="235">
        <f>Application!Y785</f>
        <v>3125328</v>
      </c>
      <c r="G4" s="235">
        <f>E4*$C$4</f>
        <v>3203461.1999999997</v>
      </c>
      <c r="I4" s="235">
        <f>G4*$C$4</f>
        <v>3283547.7299999995</v>
      </c>
      <c r="K4" s="235">
        <f>I4*$C$4</f>
        <v>3365636.4232499991</v>
      </c>
      <c r="M4" s="235">
        <f>K4*$C$4</f>
        <v>3449777.3338312488</v>
      </c>
      <c r="O4" s="235">
        <f>M4*$C$4</f>
        <v>3536021.7671770295</v>
      </c>
      <c r="Q4" s="235">
        <f>O4*$C$4</f>
        <v>3624422.3113564551</v>
      </c>
      <c r="S4" s="235">
        <f>Q4*$C$4</f>
        <v>3715032.8691403661</v>
      </c>
      <c r="U4" s="235">
        <f>S4*$C$4</f>
        <v>3807908.690868875</v>
      </c>
      <c r="W4" s="235">
        <f>U4*$C$4</f>
        <v>3903106.4081405965</v>
      </c>
      <c r="Y4" s="235">
        <f>W4*$C$4</f>
        <v>4000684.0683441111</v>
      </c>
      <c r="AA4" s="235">
        <f>Y4*$C$4</f>
        <v>4100701.1700527137</v>
      </c>
      <c r="AC4" s="235">
        <f>AA4*$C$4</f>
        <v>4203218.6993040312</v>
      </c>
      <c r="AE4" s="235">
        <f>AC4*$C$4</f>
        <v>4308299.1667866316</v>
      </c>
      <c r="AG4" s="235">
        <f>AE4*$C$4</f>
        <v>4416006.6459562974</v>
      </c>
    </row>
    <row r="5" spans="1:34" s="225" customFormat="1" ht="14.25">
      <c r="B5" s="225" t="s">
        <v>866</v>
      </c>
      <c r="C5" s="254">
        <f>IF(Application!$D$210="Special Needs",0.1,0.05)</f>
        <v>0.05</v>
      </c>
      <c r="E5" s="237">
        <f>-E4*$C$5</f>
        <v>-156266.4</v>
      </c>
      <c r="F5" s="237"/>
      <c r="G5" s="237">
        <f>-G4*$C$5</f>
        <v>-160173.06</v>
      </c>
      <c r="H5" s="237"/>
      <c r="I5" s="237">
        <f>-I4*$C$5</f>
        <v>-164177.38649999999</v>
      </c>
      <c r="J5" s="237"/>
      <c r="K5" s="237">
        <f>-K4*$C$5</f>
        <v>-168281.82116249995</v>
      </c>
      <c r="L5" s="237"/>
      <c r="M5" s="237">
        <f>-M4*$C$5</f>
        <v>-172488.86669156246</v>
      </c>
      <c r="N5" s="237"/>
      <c r="O5" s="237">
        <f>-O4*$C$5</f>
        <v>-176801.0883588515</v>
      </c>
      <c r="P5" s="237"/>
      <c r="Q5" s="237">
        <f>-Q4*$C$5</f>
        <v>-181221.11556782277</v>
      </c>
      <c r="R5" s="237"/>
      <c r="S5" s="237">
        <f>-S4*$C$5</f>
        <v>-185751.6434570183</v>
      </c>
      <c r="T5" s="237"/>
      <c r="U5" s="237">
        <f>-U4*$C$5</f>
        <v>-190395.43454344376</v>
      </c>
      <c r="V5" s="237"/>
      <c r="W5" s="237">
        <f>-W4*$C$5</f>
        <v>-195155.32040702982</v>
      </c>
      <c r="X5" s="237"/>
      <c r="Y5" s="237">
        <f>-Y4*$C$5</f>
        <v>-200034.20341720557</v>
      </c>
      <c r="Z5" s="237"/>
      <c r="AA5" s="237">
        <f>-AA4*$C$5</f>
        <v>-205035.05850263569</v>
      </c>
      <c r="AB5" s="237"/>
      <c r="AC5" s="237">
        <f>-AC4*$C$5</f>
        <v>-210160.93496520157</v>
      </c>
      <c r="AD5" s="237"/>
      <c r="AE5" s="237">
        <f>-AE4*$C$5</f>
        <v>-215414.95833933158</v>
      </c>
      <c r="AF5" s="237"/>
      <c r="AG5" s="237">
        <f>-AG4*$C$5</f>
        <v>-220800.33229781489</v>
      </c>
    </row>
    <row r="6" spans="1:34" s="225" customFormat="1" ht="14.25">
      <c r="A6" s="225" t="s">
        <v>864</v>
      </c>
      <c r="C6" s="253">
        <v>1.0249999999999999</v>
      </c>
      <c r="E6" s="238">
        <f>Application!Z793*0</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25">
      <c r="B7" s="225" t="s">
        <v>866</v>
      </c>
      <c r="C7" s="254">
        <f>IF(Application!$D$210="Special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25">
      <c r="A8" s="225" t="s">
        <v>290</v>
      </c>
      <c r="C8" s="253">
        <v>1.0249999999999999</v>
      </c>
      <c r="E8" s="238">
        <f>Application!Z801</f>
        <v>49959</v>
      </c>
      <c r="F8" s="238"/>
      <c r="G8" s="238">
        <f>E8*$C$8</f>
        <v>51207.974999999999</v>
      </c>
      <c r="H8" s="238"/>
      <c r="I8" s="238">
        <f>G8*$C$8</f>
        <v>52488.174374999995</v>
      </c>
      <c r="J8" s="238"/>
      <c r="K8" s="238">
        <f>I8*$C$8</f>
        <v>53800.378734374994</v>
      </c>
      <c r="L8" s="238"/>
      <c r="M8" s="238">
        <f>K8*$C$8</f>
        <v>55145.388202734364</v>
      </c>
      <c r="N8" s="238"/>
      <c r="O8" s="238">
        <f>M8*$C$8</f>
        <v>56524.022907802719</v>
      </c>
      <c r="P8" s="238"/>
      <c r="Q8" s="238">
        <f>O8*$C$8</f>
        <v>57937.123480497779</v>
      </c>
      <c r="R8" s="238"/>
      <c r="S8" s="238">
        <f>Q8*$C$8</f>
        <v>59385.551567510222</v>
      </c>
      <c r="T8" s="238"/>
      <c r="U8" s="238">
        <f>S8*$C$8</f>
        <v>60870.190356697974</v>
      </c>
      <c r="V8" s="238"/>
      <c r="W8" s="238">
        <f>U8*$C$8</f>
        <v>62391.945115615417</v>
      </c>
      <c r="X8" s="238"/>
      <c r="Y8" s="238">
        <f>W8*$C$8</f>
        <v>63951.743743505795</v>
      </c>
      <c r="Z8" s="238"/>
      <c r="AA8" s="238">
        <f>Y8*$C$8</f>
        <v>65550.537337093439</v>
      </c>
      <c r="AB8" s="238"/>
      <c r="AC8" s="238">
        <f>AA8*$C$8</f>
        <v>67189.300770520771</v>
      </c>
      <c r="AD8" s="238"/>
      <c r="AE8" s="238">
        <f>AC8*$C$8</f>
        <v>68869.03328978378</v>
      </c>
      <c r="AF8" s="238"/>
      <c r="AG8" s="238">
        <f>AE8*$C$8</f>
        <v>70590.759122028365</v>
      </c>
    </row>
    <row r="9" spans="1:34" s="225" customFormat="1" ht="14.25">
      <c r="B9" s="225" t="s">
        <v>866</v>
      </c>
      <c r="C9" s="254">
        <f>IF(Application!$D$210="Special Needs",0.1,0.05)</f>
        <v>0.05</v>
      </c>
      <c r="E9" s="237">
        <f>-E8*$C$9</f>
        <v>-2497.9500000000003</v>
      </c>
      <c r="F9" s="237"/>
      <c r="G9" s="237">
        <f>-G8*$C$9</f>
        <v>-2560.3987500000003</v>
      </c>
      <c r="H9" s="237"/>
      <c r="I9" s="237">
        <f>-I8*$C$9</f>
        <v>-2624.4087187499999</v>
      </c>
      <c r="J9" s="237"/>
      <c r="K9" s="237">
        <f>-K8*$C$9</f>
        <v>-2690.01893671875</v>
      </c>
      <c r="L9" s="237"/>
      <c r="M9" s="237">
        <f>-M8*$C$9</f>
        <v>-2757.2694101367183</v>
      </c>
      <c r="N9" s="237"/>
      <c r="O9" s="237">
        <f>-O8*$C$9</f>
        <v>-2826.2011453901359</v>
      </c>
      <c r="P9" s="237"/>
      <c r="Q9" s="237">
        <f>-Q8*$C$9</f>
        <v>-2896.8561740248892</v>
      </c>
      <c r="R9" s="237"/>
      <c r="S9" s="237">
        <f>-S8*$C$9</f>
        <v>-2969.2775783755114</v>
      </c>
      <c r="T9" s="237"/>
      <c r="U9" s="237">
        <f>-U8*$C$9</f>
        <v>-3043.5095178348988</v>
      </c>
      <c r="V9" s="237"/>
      <c r="W9" s="237">
        <f>-W8*$C$9</f>
        <v>-3119.5972557807709</v>
      </c>
      <c r="X9" s="237"/>
      <c r="Y9" s="237">
        <f>-Y8*$C$9</f>
        <v>-3197.5871871752897</v>
      </c>
      <c r="Z9" s="237"/>
      <c r="AA9" s="237">
        <f>-AA8*$C$9</f>
        <v>-3277.5268668546723</v>
      </c>
      <c r="AB9" s="237"/>
      <c r="AC9" s="237">
        <f>-AC8*$C$9</f>
        <v>-3359.4650385260388</v>
      </c>
      <c r="AD9" s="237"/>
      <c r="AE9" s="237">
        <f>-AE8*$C$9</f>
        <v>-3443.4516644891892</v>
      </c>
      <c r="AF9" s="237"/>
      <c r="AG9" s="237">
        <f>-AG8*$C$9</f>
        <v>-3529.5379561014183</v>
      </c>
    </row>
    <row r="10" spans="1:34" s="225" customFormat="1" ht="14.25">
      <c r="A10" s="1196" t="s">
        <v>2515</v>
      </c>
      <c r="B10" s="1196"/>
      <c r="C10" s="254"/>
      <c r="E10" s="1197">
        <v>729250</v>
      </c>
      <c r="F10" s="238"/>
      <c r="G10" s="1197">
        <v>832938</v>
      </c>
      <c r="H10" s="238"/>
      <c r="I10" s="1197">
        <f>893901-25000</f>
        <v>868901</v>
      </c>
      <c r="J10" s="238"/>
      <c r="K10" s="1197">
        <f>917741-10000</f>
        <v>907741</v>
      </c>
      <c r="L10" s="238"/>
      <c r="M10" s="1197">
        <v>932330</v>
      </c>
      <c r="N10" s="238"/>
      <c r="O10" s="1197">
        <v>967693</v>
      </c>
      <c r="P10" s="238"/>
      <c r="Q10" s="1197">
        <v>983852</v>
      </c>
      <c r="R10" s="238"/>
      <c r="S10" s="1197">
        <v>1025832</v>
      </c>
      <c r="T10" s="238"/>
      <c r="U10" s="1197">
        <v>1038659</v>
      </c>
      <c r="V10" s="238"/>
      <c r="W10" s="1197">
        <v>1077359</v>
      </c>
      <c r="X10" s="238"/>
      <c r="Y10" s="1197">
        <f>1096958+10000</f>
        <v>1106958</v>
      </c>
      <c r="Z10" s="238"/>
      <c r="AA10" s="1197">
        <v>1137486</v>
      </c>
      <c r="AB10" s="238"/>
      <c r="AC10" s="1197">
        <f>1158969-9520</f>
        <v>1149449</v>
      </c>
      <c r="AD10" s="238"/>
      <c r="AE10" s="1197">
        <f>1196439+10000</f>
        <v>1206439</v>
      </c>
      <c r="AF10" s="238"/>
      <c r="AG10" s="1197">
        <v>1267172</v>
      </c>
    </row>
    <row r="11" spans="1:34" s="239" customFormat="1" ht="15">
      <c r="A11" s="239" t="s">
        <v>887</v>
      </c>
      <c r="C11" s="231"/>
      <c r="E11" s="239">
        <f>SUM(E4:E10)</f>
        <v>3745772.65</v>
      </c>
      <c r="G11" s="239">
        <f>SUM(G4:G10)</f>
        <v>3924873.7162499996</v>
      </c>
      <c r="I11" s="239">
        <f>SUM(I4:I10)</f>
        <v>4038135.1091562496</v>
      </c>
      <c r="K11" s="239">
        <f>SUM(K4:K10)</f>
        <v>4156205.9618851552</v>
      </c>
      <c r="M11" s="239">
        <f>SUM(M4:M10)</f>
        <v>4262006.5859322846</v>
      </c>
      <c r="O11" s="239">
        <f>SUM(O4:O10)</f>
        <v>4380611.5005805902</v>
      </c>
      <c r="Q11" s="239">
        <f>SUM(Q4:Q10)</f>
        <v>4482093.4630951053</v>
      </c>
      <c r="S11" s="239">
        <f>SUM(S4:S10)</f>
        <v>4611529.4996724827</v>
      </c>
      <c r="U11" s="239">
        <f>SUM(U4:U10)</f>
        <v>4713998.9371642936</v>
      </c>
      <c r="W11" s="239">
        <f>SUM(W4:W10)</f>
        <v>4844582.435593402</v>
      </c>
      <c r="Y11" s="239">
        <f>SUM(Y4:Y10)</f>
        <v>4968362.021483236</v>
      </c>
      <c r="AA11" s="239">
        <f>SUM(AA4:AA10)</f>
        <v>5095425.1220203172</v>
      </c>
      <c r="AC11" s="239">
        <f>SUM(AC4:AC10)</f>
        <v>5206336.6000708248</v>
      </c>
      <c r="AE11" s="239">
        <f>SUM(AE4:AE10)</f>
        <v>5364748.7900725938</v>
      </c>
      <c r="AG11" s="239">
        <f>SUM(AG4:AG10)</f>
        <v>5529439.5348244086</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867</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868</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869</v>
      </c>
      <c r="C15" s="185"/>
      <c r="E15" s="235">
        <f>Application!W831</f>
        <v>161592</v>
      </c>
      <c r="G15" s="235">
        <f>E15*$C$14</f>
        <v>167247.72</v>
      </c>
      <c r="I15" s="235">
        <f>G15*$C$14</f>
        <v>173101.39019999999</v>
      </c>
      <c r="K15" s="235">
        <f>I15*$C$14</f>
        <v>179159.93885699997</v>
      </c>
      <c r="M15" s="235">
        <f>K15*$C$14</f>
        <v>185430.53671699495</v>
      </c>
      <c r="O15" s="235">
        <f>M15*$C$14</f>
        <v>191920.60550208975</v>
      </c>
      <c r="Q15" s="235">
        <f>O15*$C$14</f>
        <v>198637.82669466289</v>
      </c>
      <c r="S15" s="235">
        <f>Q15*$C$14</f>
        <v>205590.15062897606</v>
      </c>
      <c r="U15" s="235">
        <f>S15*$C$14</f>
        <v>212785.80590099021</v>
      </c>
      <c r="W15" s="235">
        <f>U15*$C$14</f>
        <v>220233.30910752484</v>
      </c>
      <c r="Y15" s="235">
        <f>W15*$C$14</f>
        <v>227941.47492628818</v>
      </c>
      <c r="AA15" s="235">
        <f>Y15*$C$14</f>
        <v>235919.42654870826</v>
      </c>
      <c r="AC15" s="235">
        <f>AA15*$C$14</f>
        <v>244176.60647791304</v>
      </c>
      <c r="AE15" s="235">
        <f>AC15*$C$14</f>
        <v>252722.78770463998</v>
      </c>
      <c r="AG15" s="235">
        <f>AE15*$C$14</f>
        <v>261568.08527430237</v>
      </c>
    </row>
    <row r="16" spans="1:34" s="225" customFormat="1" ht="14.25">
      <c r="A16" s="225" t="s">
        <v>346</v>
      </c>
      <c r="C16" s="249"/>
      <c r="E16" s="238">
        <f>Application!W833</f>
        <v>182440</v>
      </c>
      <c r="F16" s="238"/>
      <c r="G16" s="238">
        <f t="shared" ref="G16:AG21" si="0">E16*$C$14</f>
        <v>188825.4</v>
      </c>
      <c r="H16" s="238"/>
      <c r="I16" s="238">
        <f t="shared" si="0"/>
        <v>195434.28899999999</v>
      </c>
      <c r="J16" s="238"/>
      <c r="K16" s="238">
        <f t="shared" si="0"/>
        <v>202274.48911499997</v>
      </c>
      <c r="L16" s="238"/>
      <c r="M16" s="238">
        <f t="shared" si="0"/>
        <v>209354.09623402497</v>
      </c>
      <c r="N16" s="238"/>
      <c r="O16" s="238">
        <f t="shared" si="0"/>
        <v>216681.48960221582</v>
      </c>
      <c r="P16" s="238"/>
      <c r="Q16" s="238">
        <f t="shared" si="0"/>
        <v>224265.34173829335</v>
      </c>
      <c r="R16" s="238"/>
      <c r="S16" s="238">
        <f t="shared" si="0"/>
        <v>232114.62869913361</v>
      </c>
      <c r="T16" s="238"/>
      <c r="U16" s="238">
        <f t="shared" si="0"/>
        <v>240238.64070360328</v>
      </c>
      <c r="V16" s="238"/>
      <c r="W16" s="238">
        <f t="shared" si="0"/>
        <v>248646.99312822937</v>
      </c>
      <c r="X16" s="238"/>
      <c r="Y16" s="238">
        <f t="shared" si="0"/>
        <v>257349.63788771737</v>
      </c>
      <c r="Z16" s="238"/>
      <c r="AA16" s="238">
        <f t="shared" si="0"/>
        <v>266356.87521378748</v>
      </c>
      <c r="AB16" s="238"/>
      <c r="AC16" s="238">
        <f t="shared" si="0"/>
        <v>275679.36584627</v>
      </c>
      <c r="AD16" s="238"/>
      <c r="AE16" s="238">
        <f t="shared" si="0"/>
        <v>285328.1436508894</v>
      </c>
      <c r="AF16" s="238"/>
      <c r="AG16" s="238">
        <f t="shared" si="0"/>
        <v>295314.6286786705</v>
      </c>
    </row>
    <row r="17" spans="1:33" s="225" customFormat="1" ht="14.25">
      <c r="A17" s="225" t="s">
        <v>570</v>
      </c>
      <c r="C17" s="249"/>
      <c r="E17" s="238">
        <f>Application!W839</f>
        <v>613479</v>
      </c>
      <c r="F17" s="238"/>
      <c r="G17" s="238">
        <f t="shared" si="0"/>
        <v>634950.7649999999</v>
      </c>
      <c r="H17" s="238"/>
      <c r="I17" s="238">
        <f t="shared" si="0"/>
        <v>657174.04177499982</v>
      </c>
      <c r="J17" s="238"/>
      <c r="K17" s="238">
        <f t="shared" si="0"/>
        <v>680175.13323712477</v>
      </c>
      <c r="L17" s="238"/>
      <c r="M17" s="238">
        <f t="shared" si="0"/>
        <v>703981.26290042407</v>
      </c>
      <c r="N17" s="238"/>
      <c r="O17" s="238">
        <f t="shared" si="0"/>
        <v>728620.6071019388</v>
      </c>
      <c r="P17" s="238"/>
      <c r="Q17" s="238">
        <f t="shared" si="0"/>
        <v>754122.32835050661</v>
      </c>
      <c r="R17" s="238"/>
      <c r="S17" s="238">
        <f t="shared" si="0"/>
        <v>780516.60984277423</v>
      </c>
      <c r="T17" s="238"/>
      <c r="U17" s="238">
        <f t="shared" si="0"/>
        <v>807834.69118727127</v>
      </c>
      <c r="V17" s="238"/>
      <c r="W17" s="238">
        <f t="shared" si="0"/>
        <v>836108.90537882573</v>
      </c>
      <c r="X17" s="238"/>
      <c r="Y17" s="238">
        <f t="shared" si="0"/>
        <v>865372.71706708451</v>
      </c>
      <c r="Z17" s="238"/>
      <c r="AA17" s="238">
        <f t="shared" si="0"/>
        <v>895660.76216443244</v>
      </c>
      <c r="AB17" s="238"/>
      <c r="AC17" s="238">
        <f t="shared" si="0"/>
        <v>927008.88884018746</v>
      </c>
      <c r="AD17" s="238"/>
      <c r="AE17" s="238">
        <f t="shared" si="0"/>
        <v>959454.19994959398</v>
      </c>
      <c r="AF17" s="238"/>
      <c r="AG17" s="238">
        <f t="shared" si="0"/>
        <v>993035.0969478297</v>
      </c>
    </row>
    <row r="18" spans="1:33" s="225" customFormat="1" ht="14.25">
      <c r="A18" s="225" t="s">
        <v>870</v>
      </c>
      <c r="C18" s="249"/>
      <c r="E18" s="238">
        <f>Application!W846</f>
        <v>955315</v>
      </c>
      <c r="F18" s="238"/>
      <c r="G18" s="238">
        <f t="shared" si="0"/>
        <v>988751.02499999991</v>
      </c>
      <c r="H18" s="238"/>
      <c r="I18" s="238">
        <f t="shared" si="0"/>
        <v>1023357.3108749999</v>
      </c>
      <c r="J18" s="238"/>
      <c r="K18" s="238">
        <f t="shared" si="0"/>
        <v>1059174.8167556247</v>
      </c>
      <c r="L18" s="238"/>
      <c r="M18" s="238">
        <f t="shared" si="0"/>
        <v>1096245.9353420716</v>
      </c>
      <c r="N18" s="238"/>
      <c r="O18" s="238">
        <f t="shared" si="0"/>
        <v>1134614.543079044</v>
      </c>
      <c r="P18" s="238"/>
      <c r="Q18" s="238">
        <f t="shared" si="0"/>
        <v>1174326.0520868103</v>
      </c>
      <c r="R18" s="238"/>
      <c r="S18" s="238">
        <f t="shared" si="0"/>
        <v>1215427.4639098486</v>
      </c>
      <c r="T18" s="238"/>
      <c r="U18" s="238">
        <f t="shared" si="0"/>
        <v>1257967.4251466931</v>
      </c>
      <c r="V18" s="238"/>
      <c r="W18" s="238">
        <f t="shared" si="0"/>
        <v>1301996.2850268274</v>
      </c>
      <c r="X18" s="238"/>
      <c r="Y18" s="238">
        <f t="shared" si="0"/>
        <v>1347566.1550027663</v>
      </c>
      <c r="Z18" s="238"/>
      <c r="AA18" s="238">
        <f t="shared" si="0"/>
        <v>1394730.9704278631</v>
      </c>
      <c r="AB18" s="238"/>
      <c r="AC18" s="238">
        <f t="shared" si="0"/>
        <v>1443546.5543928382</v>
      </c>
      <c r="AD18" s="238"/>
      <c r="AE18" s="238">
        <f t="shared" si="0"/>
        <v>1494070.6837965874</v>
      </c>
      <c r="AF18" s="238"/>
      <c r="AG18" s="238">
        <f t="shared" si="0"/>
        <v>1546363.1577294678</v>
      </c>
    </row>
    <row r="19" spans="1:33" s="225" customFormat="1" ht="14.25">
      <c r="A19" s="225" t="s">
        <v>156</v>
      </c>
      <c r="C19" s="249"/>
      <c r="E19" s="238">
        <f>Application!W847</f>
        <v>650000</v>
      </c>
      <c r="F19" s="238"/>
      <c r="G19" s="238">
        <f t="shared" si="0"/>
        <v>672750</v>
      </c>
      <c r="H19" s="238"/>
      <c r="I19" s="238">
        <f t="shared" si="0"/>
        <v>696296.25</v>
      </c>
      <c r="J19" s="238"/>
      <c r="K19" s="238">
        <f t="shared" si="0"/>
        <v>720666.61874999991</v>
      </c>
      <c r="L19" s="238"/>
      <c r="M19" s="238">
        <f t="shared" si="0"/>
        <v>745889.95040624985</v>
      </c>
      <c r="N19" s="238"/>
      <c r="O19" s="238">
        <f t="shared" si="0"/>
        <v>771996.09867046855</v>
      </c>
      <c r="P19" s="238"/>
      <c r="Q19" s="238">
        <f t="shared" si="0"/>
        <v>799015.96212393488</v>
      </c>
      <c r="R19" s="238"/>
      <c r="S19" s="238">
        <f t="shared" si="0"/>
        <v>826981.52079827257</v>
      </c>
      <c r="T19" s="238"/>
      <c r="U19" s="238">
        <f t="shared" si="0"/>
        <v>855925.87402621203</v>
      </c>
      <c r="V19" s="238"/>
      <c r="W19" s="238">
        <f t="shared" si="0"/>
        <v>885883.27961712936</v>
      </c>
      <c r="X19" s="238"/>
      <c r="Y19" s="238">
        <f t="shared" si="0"/>
        <v>916889.19440372882</v>
      </c>
      <c r="Z19" s="238"/>
      <c r="AA19" s="238">
        <f t="shared" si="0"/>
        <v>948980.3162078592</v>
      </c>
      <c r="AB19" s="238"/>
      <c r="AC19" s="238">
        <f t="shared" si="0"/>
        <v>982194.6272751342</v>
      </c>
      <c r="AD19" s="238"/>
      <c r="AE19" s="238">
        <f t="shared" si="0"/>
        <v>1016571.4392297638</v>
      </c>
      <c r="AF19" s="238"/>
      <c r="AG19" s="238">
        <f t="shared" si="0"/>
        <v>1052151.4396028055</v>
      </c>
    </row>
    <row r="20" spans="1:33" s="225" customFormat="1" ht="14.25">
      <c r="A20" s="225" t="s">
        <v>392</v>
      </c>
      <c r="C20" s="249"/>
      <c r="E20" s="238">
        <f>Application!W856</f>
        <v>444159</v>
      </c>
      <c r="F20" s="238"/>
      <c r="G20" s="238">
        <f t="shared" si="0"/>
        <v>459704.56499999994</v>
      </c>
      <c r="H20" s="238"/>
      <c r="I20" s="238">
        <f t="shared" si="0"/>
        <v>475794.22477499989</v>
      </c>
      <c r="J20" s="238"/>
      <c r="K20" s="238">
        <f t="shared" si="0"/>
        <v>492447.02264212485</v>
      </c>
      <c r="L20" s="238"/>
      <c r="M20" s="238">
        <f t="shared" si="0"/>
        <v>509682.66843459918</v>
      </c>
      <c r="N20" s="238"/>
      <c r="O20" s="238">
        <f t="shared" si="0"/>
        <v>527521.56182981015</v>
      </c>
      <c r="P20" s="238"/>
      <c r="Q20" s="238">
        <f t="shared" si="0"/>
        <v>545984.81649385346</v>
      </c>
      <c r="R20" s="238"/>
      <c r="S20" s="238">
        <f t="shared" si="0"/>
        <v>565094.28507113829</v>
      </c>
      <c r="T20" s="238"/>
      <c r="U20" s="238">
        <f t="shared" si="0"/>
        <v>584872.58504862804</v>
      </c>
      <c r="V20" s="238"/>
      <c r="W20" s="238">
        <f t="shared" si="0"/>
        <v>605343.12552532996</v>
      </c>
      <c r="X20" s="238"/>
      <c r="Y20" s="238">
        <f t="shared" si="0"/>
        <v>626530.1349187165</v>
      </c>
      <c r="Z20" s="238"/>
      <c r="AA20" s="238">
        <f t="shared" si="0"/>
        <v>648458.68964087148</v>
      </c>
      <c r="AB20" s="238"/>
      <c r="AC20" s="238">
        <f t="shared" si="0"/>
        <v>671154.74377830199</v>
      </c>
      <c r="AD20" s="238"/>
      <c r="AE20" s="238">
        <f t="shared" si="0"/>
        <v>694645.15981054248</v>
      </c>
      <c r="AF20" s="238"/>
      <c r="AG20" s="238">
        <f t="shared" si="0"/>
        <v>718957.74040391145</v>
      </c>
    </row>
    <row r="21" spans="1:33" s="225" customFormat="1" ht="14.25">
      <c r="A21" s="242" t="s">
        <v>2774</v>
      </c>
      <c r="B21" s="242"/>
      <c r="C21" s="249"/>
      <c r="E21" s="248">
        <f>Application!W863</f>
        <v>6000</v>
      </c>
      <c r="F21" s="238"/>
      <c r="G21" s="248">
        <f t="shared" si="0"/>
        <v>6209.9999999999991</v>
      </c>
      <c r="H21" s="238"/>
      <c r="I21" s="248">
        <f t="shared" si="0"/>
        <v>6427.3499999999985</v>
      </c>
      <c r="J21" s="238"/>
      <c r="K21" s="248">
        <f t="shared" si="0"/>
        <v>6652.307249999998</v>
      </c>
      <c r="L21" s="238"/>
      <c r="M21" s="248">
        <f t="shared" si="0"/>
        <v>6885.1380037499976</v>
      </c>
      <c r="N21" s="238"/>
      <c r="O21" s="248">
        <f t="shared" si="0"/>
        <v>7126.117833881247</v>
      </c>
      <c r="P21" s="238"/>
      <c r="Q21" s="248">
        <f t="shared" si="0"/>
        <v>7375.5319580670903</v>
      </c>
      <c r="R21" s="238"/>
      <c r="S21" s="248">
        <f t="shared" si="0"/>
        <v>7633.6755765994376</v>
      </c>
      <c r="T21" s="238"/>
      <c r="U21" s="248">
        <f t="shared" si="0"/>
        <v>7900.854221780417</v>
      </c>
      <c r="V21" s="238"/>
      <c r="W21" s="248">
        <f t="shared" si="0"/>
        <v>8177.3841195427312</v>
      </c>
      <c r="X21" s="238"/>
      <c r="Y21" s="248">
        <f t="shared" si="0"/>
        <v>8463.5925637267264</v>
      </c>
      <c r="Z21" s="238"/>
      <c r="AA21" s="248">
        <f t="shared" si="0"/>
        <v>8759.8183034571612</v>
      </c>
      <c r="AB21" s="238"/>
      <c r="AC21" s="248">
        <f t="shared" si="0"/>
        <v>9066.4119440781615</v>
      </c>
      <c r="AD21" s="238"/>
      <c r="AE21" s="248">
        <f t="shared" si="0"/>
        <v>9383.736362120897</v>
      </c>
      <c r="AF21" s="238"/>
      <c r="AG21" s="248">
        <f t="shared" si="0"/>
        <v>9712.1671347951269</v>
      </c>
    </row>
    <row r="22" spans="1:33" s="239" customFormat="1" ht="15">
      <c r="A22" s="239" t="s">
        <v>871</v>
      </c>
      <c r="C22" s="249"/>
      <c r="E22" s="239">
        <f>SUM(E15:E21)</f>
        <v>3012985</v>
      </c>
      <c r="G22" s="239">
        <f>SUM(G15:G21)</f>
        <v>3118439.4749999996</v>
      </c>
      <c r="I22" s="239">
        <f>SUM(I15:I21)</f>
        <v>3227584.856625</v>
      </c>
      <c r="K22" s="239">
        <f>SUM(K15:K21)</f>
        <v>3340550.3266068744</v>
      </c>
      <c r="M22" s="239">
        <f>SUM(M15:M21)</f>
        <v>3457469.5880381148</v>
      </c>
      <c r="O22" s="239">
        <f>SUM(O15:O21)</f>
        <v>3578481.0236194483</v>
      </c>
      <c r="Q22" s="239">
        <f>SUM(Q15:Q21)</f>
        <v>3703727.8594461284</v>
      </c>
      <c r="S22" s="239">
        <f>SUM(S15:S21)</f>
        <v>3833358.3345267428</v>
      </c>
      <c r="U22" s="239">
        <f>SUM(U15:U21)</f>
        <v>3967525.8762351782</v>
      </c>
      <c r="W22" s="239">
        <f>SUM(W15:W21)</f>
        <v>4106389.2819034089</v>
      </c>
      <c r="Y22" s="239">
        <f>SUM(Y15:Y21)</f>
        <v>4250112.9067700291</v>
      </c>
      <c r="AA22" s="239">
        <f>SUM(AA15:AA21)</f>
        <v>4398866.8585069794</v>
      </c>
      <c r="AC22" s="239">
        <f>SUM(AC15:AC21)</f>
        <v>4552827.1985547235</v>
      </c>
      <c r="AE22" s="239">
        <f>SUM(AE15:AE21)</f>
        <v>4712176.1505041374</v>
      </c>
      <c r="AG22" s="239">
        <f>SUM(AG15:AG21)</f>
        <v>4877102.3157717828</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1940</v>
      </c>
      <c r="C24" s="249">
        <v>1</v>
      </c>
      <c r="E24" s="947">
        <v>15000</v>
      </c>
      <c r="F24" s="238"/>
      <c r="G24" s="238">
        <f>E24*$C$24</f>
        <v>15000</v>
      </c>
      <c r="H24" s="238"/>
      <c r="I24" s="238">
        <f>G24*$C$24</f>
        <v>15000</v>
      </c>
      <c r="J24" s="238"/>
      <c r="K24" s="238">
        <f>I24*$C$24</f>
        <v>15000</v>
      </c>
      <c r="L24" s="238"/>
      <c r="M24" s="238">
        <f>K24*$C$24</f>
        <v>15000</v>
      </c>
      <c r="N24" s="238"/>
      <c r="O24" s="238">
        <f>M24*$C$24</f>
        <v>15000</v>
      </c>
      <c r="P24" s="238"/>
      <c r="Q24" s="238">
        <f>O24*$C$24</f>
        <v>15000</v>
      </c>
      <c r="R24" s="238"/>
      <c r="S24" s="238">
        <f>Q24*$C$24</f>
        <v>15000</v>
      </c>
      <c r="T24" s="238"/>
      <c r="U24" s="238">
        <f>S24*$C$24</f>
        <v>15000</v>
      </c>
      <c r="V24" s="238"/>
      <c r="W24" s="238">
        <f>U24*$C$24</f>
        <v>15000</v>
      </c>
      <c r="X24" s="238"/>
      <c r="Y24" s="238">
        <f>W24*$C$24</f>
        <v>15000</v>
      </c>
      <c r="Z24" s="238"/>
      <c r="AA24" s="238">
        <f>Y24*$C$24</f>
        <v>15000</v>
      </c>
      <c r="AB24" s="238"/>
      <c r="AC24" s="238">
        <f>AA24*$C$24</f>
        <v>15000</v>
      </c>
      <c r="AD24" s="238"/>
      <c r="AE24" s="238">
        <f>AC24*$C$24</f>
        <v>15000</v>
      </c>
      <c r="AF24" s="238"/>
      <c r="AG24" s="238">
        <f>AE24*$C$24</f>
        <v>15000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1300</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873</v>
      </c>
      <c r="C27" s="253">
        <v>1.0349999999999999</v>
      </c>
      <c r="E27" s="238">
        <f>Application!AC872</f>
        <v>86455</v>
      </c>
      <c r="F27" s="238"/>
      <c r="G27" s="238">
        <f>E27*$C$27</f>
        <v>89480.924999999988</v>
      </c>
      <c r="H27" s="238"/>
      <c r="I27" s="238">
        <f>G27*$C$27</f>
        <v>92612.757374999986</v>
      </c>
      <c r="J27" s="238"/>
      <c r="K27" s="238">
        <f>I27*$C$27</f>
        <v>95854.203883124981</v>
      </c>
      <c r="L27" s="238"/>
      <c r="M27" s="238">
        <f>K27*$C$27</f>
        <v>99209.101019034351</v>
      </c>
      <c r="N27" s="238"/>
      <c r="O27" s="238">
        <f>M27*$C$27</f>
        <v>102681.41955470055</v>
      </c>
      <c r="P27" s="238"/>
      <c r="Q27" s="238">
        <f>O27*$C$27</f>
        <v>106275.26923911506</v>
      </c>
      <c r="R27" s="238"/>
      <c r="S27" s="238">
        <f>Q27*$C$27</f>
        <v>109994.90366248408</v>
      </c>
      <c r="T27" s="238"/>
      <c r="U27" s="238">
        <f>S27*$C$27</f>
        <v>113844.72529067102</v>
      </c>
      <c r="V27" s="238"/>
      <c r="W27" s="238">
        <f>U27*$C$27</f>
        <v>117829.2906758445</v>
      </c>
      <c r="X27" s="238"/>
      <c r="Y27" s="238">
        <f>W27*$C$27</f>
        <v>121953.31584949905</v>
      </c>
      <c r="Z27" s="238"/>
      <c r="AA27" s="238">
        <f>Y27*$C$27</f>
        <v>126221.6819042315</v>
      </c>
      <c r="AB27" s="238"/>
      <c r="AC27" s="238">
        <f>AA27*$C$27</f>
        <v>130639.44077087959</v>
      </c>
      <c r="AD27" s="238"/>
      <c r="AE27" s="238">
        <f>AC27*$C$27</f>
        <v>135211.82119786038</v>
      </c>
      <c r="AF27" s="238"/>
      <c r="AG27" s="238">
        <f>AE27*$C$27</f>
        <v>139944.23493978547</v>
      </c>
    </row>
    <row r="28" spans="1:33" s="225" customFormat="1" ht="14.25">
      <c r="A28" s="225" t="s">
        <v>874</v>
      </c>
      <c r="C28" s="253"/>
      <c r="E28" s="238">
        <f>Application!AC873</f>
        <v>92000</v>
      </c>
      <c r="F28" s="238"/>
      <c r="G28" s="238">
        <f>$E$28</f>
        <v>92000</v>
      </c>
      <c r="H28" s="238"/>
      <c r="I28" s="238">
        <f>$E$28</f>
        <v>92000</v>
      </c>
      <c r="J28" s="238"/>
      <c r="K28" s="238">
        <f>$E$28</f>
        <v>92000</v>
      </c>
      <c r="L28" s="238"/>
      <c r="M28" s="238">
        <f>$E$28</f>
        <v>92000</v>
      </c>
      <c r="N28" s="238"/>
      <c r="O28" s="238">
        <f>$E$28</f>
        <v>92000</v>
      </c>
      <c r="P28" s="238"/>
      <c r="Q28" s="238">
        <f>$E$28</f>
        <v>92000</v>
      </c>
      <c r="R28" s="238"/>
      <c r="S28" s="238">
        <f>$E$28</f>
        <v>92000</v>
      </c>
      <c r="T28" s="238"/>
      <c r="U28" s="238">
        <f>$E$28</f>
        <v>92000</v>
      </c>
      <c r="V28" s="238"/>
      <c r="W28" s="238">
        <f>$E$28</f>
        <v>92000</v>
      </c>
      <c r="X28" s="238"/>
      <c r="Y28" s="238">
        <f>$E$28</f>
        <v>92000</v>
      </c>
      <c r="Z28" s="238"/>
      <c r="AA28" s="238">
        <f>$E$28</f>
        <v>92000</v>
      </c>
      <c r="AB28" s="238"/>
      <c r="AC28" s="238">
        <f>$E$28</f>
        <v>92000</v>
      </c>
      <c r="AD28" s="238"/>
      <c r="AE28" s="238">
        <f>$E$28</f>
        <v>92000</v>
      </c>
      <c r="AF28" s="238"/>
      <c r="AG28" s="238">
        <f>$E$28</f>
        <v>92000</v>
      </c>
    </row>
    <row r="29" spans="1:33" s="225" customFormat="1" ht="14.25">
      <c r="A29" s="225" t="s">
        <v>1938</v>
      </c>
      <c r="C29" s="253"/>
      <c r="E29" s="238">
        <f>Application!AC874</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872</v>
      </c>
      <c r="C30" s="253">
        <v>1.02</v>
      </c>
      <c r="E30" s="238">
        <f>Application!AC875</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row>
    <row r="31" spans="1:33" s="225" customFormat="1" ht="14.25">
      <c r="A31" s="225" t="s">
        <v>1939</v>
      </c>
      <c r="C31" s="253">
        <v>1.02</v>
      </c>
      <c r="E31" s="238">
        <f>Application!AC876</f>
        <v>7560</v>
      </c>
      <c r="F31" s="238"/>
      <c r="G31" s="238">
        <f>E31*$C$31</f>
        <v>7711.2</v>
      </c>
      <c r="H31" s="238"/>
      <c r="I31" s="238">
        <f>G31*$C$31</f>
        <v>7865.424</v>
      </c>
      <c r="J31" s="238"/>
      <c r="K31" s="238">
        <f>I31*$C$31</f>
        <v>8022.7324799999997</v>
      </c>
      <c r="L31" s="238"/>
      <c r="M31" s="238">
        <f>K31*$C$31</f>
        <v>8183.1871295999999</v>
      </c>
      <c r="N31" s="238"/>
      <c r="O31" s="238">
        <f>M31*$C$31</f>
        <v>8346.8508721920007</v>
      </c>
      <c r="P31" s="238"/>
      <c r="Q31" s="238">
        <f>O31*$C$31</f>
        <v>8513.7878896358416</v>
      </c>
      <c r="R31" s="238"/>
      <c r="S31" s="238">
        <f>Q31*$C$31</f>
        <v>8684.0636474285584</v>
      </c>
      <c r="T31" s="238"/>
      <c r="U31" s="238">
        <f>S31*$C$31</f>
        <v>8857.7449203771303</v>
      </c>
      <c r="V31" s="238"/>
      <c r="W31" s="238">
        <f>U31*$C$31</f>
        <v>9034.8998187846737</v>
      </c>
      <c r="X31" s="238"/>
      <c r="Y31" s="238">
        <f>W31*$C$31</f>
        <v>9215.5978151603667</v>
      </c>
      <c r="Z31" s="238"/>
      <c r="AA31" s="238">
        <f>Y31*$C$31</f>
        <v>9399.9097714635736</v>
      </c>
      <c r="AB31" s="238"/>
      <c r="AC31" s="238">
        <f>AA31*$C$31</f>
        <v>9587.9079668928462</v>
      </c>
      <c r="AD31" s="238"/>
      <c r="AE31" s="238">
        <f>AC31*$C$31</f>
        <v>9779.6661262307025</v>
      </c>
      <c r="AF31" s="238"/>
      <c r="AG31" s="238">
        <f>AE31*$C$31</f>
        <v>9975.259448755316</v>
      </c>
    </row>
    <row r="32" spans="1:33" s="225" customFormat="1" ht="14.25">
      <c r="A32" s="225" t="str">
        <f>Application!C877</f>
        <v>Other HCD Monitoring Fee:</v>
      </c>
      <c r="C32" s="340">
        <v>1</v>
      </c>
      <c r="E32" s="238">
        <f>Application!AC877</f>
        <v>117600</v>
      </c>
      <c r="F32" s="238"/>
      <c r="G32" s="238">
        <f>E32*$C$32</f>
        <v>117600</v>
      </c>
      <c r="H32" s="238"/>
      <c r="I32" s="238">
        <f>G32*$C$32</f>
        <v>117600</v>
      </c>
      <c r="J32" s="238"/>
      <c r="K32" s="238">
        <f>I32*$C$32</f>
        <v>117600</v>
      </c>
      <c r="L32" s="238"/>
      <c r="M32" s="238">
        <f>K32*$C$32</f>
        <v>117600</v>
      </c>
      <c r="N32" s="238"/>
      <c r="O32" s="238">
        <f>M32*$C$32</f>
        <v>117600</v>
      </c>
      <c r="P32" s="238"/>
      <c r="Q32" s="238">
        <f>O32*$C$32</f>
        <v>117600</v>
      </c>
      <c r="R32" s="238"/>
      <c r="S32" s="238">
        <f>Q32*$C$32</f>
        <v>117600</v>
      </c>
      <c r="T32" s="238"/>
      <c r="U32" s="238">
        <f>S32*$C$32</f>
        <v>117600</v>
      </c>
      <c r="V32" s="238"/>
      <c r="W32" s="238">
        <f>U32*$C$32</f>
        <v>117600</v>
      </c>
      <c r="X32" s="238"/>
      <c r="Y32" s="238">
        <f>W32*$C$32</f>
        <v>117600</v>
      </c>
      <c r="Z32" s="238"/>
      <c r="AA32" s="238">
        <f>Y32*$C$32</f>
        <v>117600</v>
      </c>
      <c r="AB32" s="238"/>
      <c r="AC32" s="238">
        <f>AA32*$C$32</f>
        <v>117600</v>
      </c>
      <c r="AD32" s="238"/>
      <c r="AE32" s="238">
        <f>AC32*$C$32</f>
        <v>117600</v>
      </c>
      <c r="AF32" s="238"/>
      <c r="AG32" s="238">
        <f>AE32*$C$32</f>
        <v>117600</v>
      </c>
    </row>
    <row r="33" spans="1:33" s="225" customFormat="1" ht="14.25">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179</v>
      </c>
      <c r="C35" s="240"/>
      <c r="E35" s="239">
        <f>SUM(E22:E33)</f>
        <v>3331600</v>
      </c>
      <c r="G35" s="239">
        <f>SUM(G22:G33)</f>
        <v>3440231.5999999996</v>
      </c>
      <c r="I35" s="239">
        <f>SUM(I22:I33)</f>
        <v>3552663.0380000002</v>
      </c>
      <c r="K35" s="239">
        <f>SUM(K22:K33)</f>
        <v>3669027.2629699991</v>
      </c>
      <c r="M35" s="239">
        <f>SUM(M22:M33)</f>
        <v>3789461.876186749</v>
      </c>
      <c r="O35" s="239">
        <f>SUM(O22:O33)</f>
        <v>3914109.294046341</v>
      </c>
      <c r="Q35" s="239">
        <f>SUM(Q22:Q33)</f>
        <v>4043116.9165748791</v>
      </c>
      <c r="S35" s="239">
        <f>SUM(S22:S33)</f>
        <v>4176637.3018366555</v>
      </c>
      <c r="U35" s="239">
        <f>SUM(U22:U33)</f>
        <v>4314828.3464462264</v>
      </c>
      <c r="W35" s="239">
        <f>SUM(W22:W33)</f>
        <v>4457853.472398038</v>
      </c>
      <c r="Y35" s="239">
        <f>SUM(Y22:Y33)</f>
        <v>4605881.8204346886</v>
      </c>
      <c r="AA35" s="239">
        <f>SUM(AA22:AA33)</f>
        <v>4759088.4501826745</v>
      </c>
      <c r="AC35" s="239">
        <f>SUM(AC22:AC33)</f>
        <v>4917654.5472924961</v>
      </c>
      <c r="AE35" s="239">
        <f>SUM(AE22:AE33)</f>
        <v>5081767.6378282281</v>
      </c>
      <c r="AG35" s="239">
        <f>SUM(AG22:AG33)</f>
        <v>5251621.810160324</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875</v>
      </c>
      <c r="C37" s="240"/>
      <c r="E37" s="239">
        <f>E11-E35</f>
        <v>414172.64999999991</v>
      </c>
      <c r="G37" s="239">
        <f>G11-G35</f>
        <v>484642.11624999996</v>
      </c>
      <c r="I37" s="239">
        <f>I11-I35</f>
        <v>485472.07115624938</v>
      </c>
      <c r="K37" s="239">
        <f>K11-K35</f>
        <v>487178.69891515607</v>
      </c>
      <c r="M37" s="239">
        <f>M11-M35</f>
        <v>472544.70974553563</v>
      </c>
      <c r="O37" s="239">
        <f>O11-O35</f>
        <v>466502.20653424924</v>
      </c>
      <c r="Q37" s="239">
        <f>Q11-Q35</f>
        <v>438976.54652022617</v>
      </c>
      <c r="S37" s="239">
        <f>S11-S35</f>
        <v>434892.19783582725</v>
      </c>
      <c r="U37" s="239">
        <f>U11-U35</f>
        <v>399170.59071806725</v>
      </c>
      <c r="W37" s="239">
        <f>W11-W35</f>
        <v>386728.96319536399</v>
      </c>
      <c r="Y37" s="239">
        <f>Y11-Y35</f>
        <v>362480.2010485474</v>
      </c>
      <c r="AA37" s="239">
        <f>AA11-AA35</f>
        <v>336336.67183764279</v>
      </c>
      <c r="AC37" s="239">
        <f>AC11-AC35</f>
        <v>288682.05277832877</v>
      </c>
      <c r="AE37" s="239">
        <f>AE11-AE35</f>
        <v>282981.15224436577</v>
      </c>
      <c r="AG37" s="239">
        <f>AG11-AG35</f>
        <v>277817.72466408461</v>
      </c>
    </row>
    <row r="38" spans="1:33" s="225" customFormat="1" ht="14.25">
      <c r="C38" s="236"/>
      <c r="E38" s="238"/>
      <c r="F38" s="238"/>
      <c r="G38" s="238"/>
      <c r="H38" s="238"/>
      <c r="I38" s="238"/>
      <c r="J38" s="238"/>
      <c r="K38" s="238"/>
      <c r="L38" s="238"/>
      <c r="M38" s="238"/>
      <c r="N38" s="238"/>
      <c r="O38" s="238"/>
      <c r="P38" s="238"/>
      <c r="Q38" s="1260"/>
      <c r="R38" s="238"/>
      <c r="S38" s="238"/>
      <c r="T38" s="238"/>
      <c r="U38" s="238"/>
      <c r="V38" s="238"/>
      <c r="W38" s="238"/>
      <c r="X38" s="238"/>
      <c r="Y38" s="238"/>
      <c r="Z38" s="238"/>
      <c r="AA38" s="238"/>
      <c r="AB38" s="238"/>
      <c r="AC38" s="238"/>
      <c r="AD38" s="238"/>
      <c r="AE38" s="238"/>
      <c r="AF38" s="238"/>
      <c r="AG38" s="238"/>
    </row>
    <row r="39" spans="1:33" s="225" customFormat="1" ht="15">
      <c r="A39" s="234" t="s">
        <v>888</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Application!C623</f>
        <v>US Bank Permanent Loan</v>
      </c>
      <c r="B40" s="242"/>
      <c r="C40" s="236"/>
      <c r="E40" s="238">
        <f>Application!AF623</f>
        <v>196859.97644082521</v>
      </c>
      <c r="F40" s="238"/>
      <c r="G40" s="238">
        <f>$E$40</f>
        <v>196859.97644082521</v>
      </c>
      <c r="H40" s="238"/>
      <c r="I40" s="238">
        <f>$E$40</f>
        <v>196859.97644082521</v>
      </c>
      <c r="J40" s="238"/>
      <c r="K40" s="238">
        <f>$E$40</f>
        <v>196859.97644082521</v>
      </c>
      <c r="L40" s="238"/>
      <c r="M40" s="238">
        <f>$E$40</f>
        <v>196859.97644082521</v>
      </c>
      <c r="N40" s="238"/>
      <c r="O40" s="238">
        <f>$E$40</f>
        <v>196859.97644082521</v>
      </c>
      <c r="P40" s="238"/>
      <c r="Q40" s="238">
        <f>$E$40</f>
        <v>196859.97644082521</v>
      </c>
      <c r="R40" s="238"/>
      <c r="S40" s="238">
        <f>$E$40</f>
        <v>196859.97644082521</v>
      </c>
      <c r="T40" s="238"/>
      <c r="U40" s="238">
        <f>$E$40</f>
        <v>196859.97644082521</v>
      </c>
      <c r="V40" s="238"/>
      <c r="W40" s="238">
        <f>$E$40</f>
        <v>196859.97644082521</v>
      </c>
      <c r="X40" s="238"/>
      <c r="Y40" s="238">
        <f>$E$40</f>
        <v>196859.97644082521</v>
      </c>
      <c r="Z40" s="238"/>
      <c r="AA40" s="238">
        <f>$E$40</f>
        <v>196859.97644082521</v>
      </c>
      <c r="AB40" s="238"/>
      <c r="AC40" s="238">
        <f>$E$40</f>
        <v>196859.97644082521</v>
      </c>
      <c r="AD40" s="238"/>
      <c r="AE40" s="238">
        <f>$E$40</f>
        <v>196859.97644082521</v>
      </c>
      <c r="AF40" s="238"/>
      <c r="AG40" s="238">
        <f>$E$40</f>
        <v>196859.97644082521</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876</v>
      </c>
      <c r="C43" s="240"/>
      <c r="E43" s="239">
        <f>SUM(E40:E42)</f>
        <v>196859.97644082521</v>
      </c>
      <c r="G43" s="239">
        <f>SUM(G40:G42)</f>
        <v>196859.97644082521</v>
      </c>
      <c r="I43" s="239">
        <f>SUM(I40:I42)</f>
        <v>196859.97644082521</v>
      </c>
      <c r="K43" s="239">
        <f>SUM(K40:K42)</f>
        <v>196859.97644082521</v>
      </c>
      <c r="M43" s="239">
        <f>SUM(M40:M42)</f>
        <v>196859.97644082521</v>
      </c>
      <c r="O43" s="239">
        <f>SUM(O40:O42)</f>
        <v>196859.97644082521</v>
      </c>
      <c r="Q43" s="239">
        <f>SUM(Q40:Q42)</f>
        <v>196859.97644082521</v>
      </c>
      <c r="S43" s="239">
        <f>SUM(S40:S42)</f>
        <v>196859.97644082521</v>
      </c>
      <c r="U43" s="239">
        <f>SUM(U40:U42)</f>
        <v>196859.97644082521</v>
      </c>
      <c r="W43" s="239">
        <f>SUM(W40:W42)</f>
        <v>196859.97644082521</v>
      </c>
      <c r="Y43" s="239">
        <f>SUM(Y40:Y42)</f>
        <v>196859.97644082521</v>
      </c>
      <c r="AA43" s="239">
        <f>SUM(AA40:AA42)</f>
        <v>196859.97644082521</v>
      </c>
      <c r="AC43" s="239">
        <f>SUM(AC40:AC42)</f>
        <v>196859.97644082521</v>
      </c>
      <c r="AE43" s="239">
        <f>SUM(AE40:AE42)</f>
        <v>196859.97644082521</v>
      </c>
      <c r="AG43" s="239">
        <f>SUM(AG40:AG42)</f>
        <v>196859.97644082521</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877</v>
      </c>
      <c r="C45" s="240"/>
      <c r="E45" s="239">
        <f>E37-E43</f>
        <v>217312.6735591747</v>
      </c>
      <c r="G45" s="239">
        <f>G37-G43</f>
        <v>287782.13980917475</v>
      </c>
      <c r="I45" s="239">
        <f>I37-I43</f>
        <v>288612.09471542417</v>
      </c>
      <c r="K45" s="239">
        <f>K37-K43</f>
        <v>290318.72247433086</v>
      </c>
      <c r="M45" s="239">
        <f>M37-M43</f>
        <v>275684.73330471042</v>
      </c>
      <c r="O45" s="239">
        <f>O37-O43</f>
        <v>269642.23009342403</v>
      </c>
      <c r="Q45" s="239">
        <f>Q37-Q43</f>
        <v>242116.57007940096</v>
      </c>
      <c r="S45" s="239">
        <f>S37-S43</f>
        <v>238032.22139500204</v>
      </c>
      <c r="U45" s="239">
        <f>U37-U43</f>
        <v>202310.61427724204</v>
      </c>
      <c r="W45" s="239">
        <f>W37-W43</f>
        <v>189868.98675453878</v>
      </c>
      <c r="Y45" s="239">
        <f>Y37-Y43</f>
        <v>165620.22460772219</v>
      </c>
      <c r="AA45" s="239">
        <f>AA37-AA43</f>
        <v>139476.69539681758</v>
      </c>
      <c r="AC45" s="239">
        <f>AC37-AC43</f>
        <v>91822.07633750356</v>
      </c>
      <c r="AE45" s="239">
        <f>AE37-AE43</f>
        <v>86121.175803540566</v>
      </c>
      <c r="AG45" s="239">
        <f>AG37-AG43</f>
        <v>80957.748223259405</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879</v>
      </c>
      <c r="C47" s="236"/>
      <c r="E47" s="243">
        <f>E45/(E4+E6+E8)</f>
        <v>6.8438750122169961E-2</v>
      </c>
      <c r="G47" s="243">
        <f>G45/(G4+G6+G8)</f>
        <v>8.8421318522849485E-2</v>
      </c>
      <c r="I47" s="243">
        <f>I45/(I4+I6+I8)</f>
        <v>8.651348576222688E-2</v>
      </c>
      <c r="K47" s="243">
        <f>K45/(K4+K6+K8)</f>
        <v>8.4902496898276517E-2</v>
      </c>
      <c r="M47" s="243">
        <f>M45/(M4+M6+M8)</f>
        <v>7.8656437008324268E-2</v>
      </c>
      <c r="O47" s="243">
        <f>O45/(O4+O6+O8)</f>
        <v>7.5056031529957712E-2</v>
      </c>
      <c r="Q47" s="243">
        <f>Q45/(Q4+Q6+Q8)</f>
        <v>6.5750390303797535E-2</v>
      </c>
      <c r="S47" s="243">
        <f>S45/(S4+S6+S8)</f>
        <v>6.3064608865055313E-2</v>
      </c>
      <c r="U47" s="243">
        <f>U45/(U4+U6+U8)</f>
        <v>5.2293144810890042E-2</v>
      </c>
      <c r="W47" s="243">
        <f>W45/(W4+W6+W8)</f>
        <v>4.7880233413444891E-2</v>
      </c>
      <c r="Y47" s="243">
        <f>Y45/(Y4+Y6+Y8)</f>
        <v>4.0746633219928954E-2</v>
      </c>
      <c r="AA47" s="243">
        <f>AA45/(AA4+AA6+AA8)</f>
        <v>3.3477740951038441E-2</v>
      </c>
      <c r="AC47" s="243">
        <f>AC45/(AC4+AC6+AC8)</f>
        <v>2.1501944623534927E-2</v>
      </c>
      <c r="AE47" s="243">
        <f>AE45/(AE4+AE6+AE8)</f>
        <v>1.9675089433857509E-2</v>
      </c>
      <c r="AG47" s="243">
        <f>AG45/(AG4+AG6+AG8)</f>
        <v>1.8044353195502745E-2</v>
      </c>
    </row>
    <row r="48" spans="1:33" s="243" customFormat="1" ht="14.25">
      <c r="A48" s="243" t="s">
        <v>880</v>
      </c>
      <c r="C48" s="236"/>
      <c r="E48" s="243">
        <f>E45/E43</f>
        <v>1.1038946437367751</v>
      </c>
      <c r="G48" s="243">
        <f>G45/G43</f>
        <v>1.461862106316365</v>
      </c>
      <c r="I48" s="243">
        <f>I45/I43</f>
        <v>1.466078072005556</v>
      </c>
      <c r="K48" s="243">
        <f>K45/K43</f>
        <v>1.4747473189990894</v>
      </c>
      <c r="M48" s="243">
        <f>M45/M43</f>
        <v>1.4004102727685706</v>
      </c>
      <c r="O48" s="243">
        <f>O45/O43</f>
        <v>1.3697158506695071</v>
      </c>
      <c r="Q48" s="243">
        <f>Q45/Q43</f>
        <v>1.2298923044531582</v>
      </c>
      <c r="S48" s="243">
        <f>S45/S43</f>
        <v>1.2091448231304291</v>
      </c>
      <c r="U48" s="243">
        <f>U45/U43</f>
        <v>1.0276878923535544</v>
      </c>
      <c r="W48" s="243">
        <f>W45/W43</f>
        <v>0.96448750115345117</v>
      </c>
      <c r="Y48" s="243">
        <f>Y45/Y43</f>
        <v>0.84130978577814941</v>
      </c>
      <c r="AA48" s="243">
        <f>AA45/AA43</f>
        <v>0.70850712226282997</v>
      </c>
      <c r="AC48" s="243">
        <f>AC45/AC43</f>
        <v>0.46643344166560269</v>
      </c>
      <c r="AE48" s="243">
        <f>AE45/AE43</f>
        <v>0.43747427669447075</v>
      </c>
      <c r="AG48" s="243">
        <f>AG45/AG43</f>
        <v>0.41124534141958896</v>
      </c>
    </row>
    <row r="49" spans="1:35" s="244" customFormat="1" ht="14.25">
      <c r="A49" s="244" t="s">
        <v>878</v>
      </c>
      <c r="C49" s="245"/>
      <c r="E49" s="244">
        <f>E37/E43</f>
        <v>2.1038946437367754</v>
      </c>
      <c r="G49" s="244">
        <f>G37/G43</f>
        <v>2.461862106316365</v>
      </c>
      <c r="I49" s="244">
        <f>I37/I43</f>
        <v>2.4660780720055557</v>
      </c>
      <c r="K49" s="244">
        <f>K37/K43</f>
        <v>2.4747473189990892</v>
      </c>
      <c r="M49" s="244">
        <f>M37/M43</f>
        <v>2.4004102727685708</v>
      </c>
      <c r="O49" s="244">
        <f>O37/O43</f>
        <v>2.3697158506695071</v>
      </c>
      <c r="Q49" s="244">
        <f>Q37/Q43</f>
        <v>2.2298923044531582</v>
      </c>
      <c r="S49" s="244">
        <f>S37/S43</f>
        <v>2.2091448231304289</v>
      </c>
      <c r="U49" s="244">
        <f>U37/U43</f>
        <v>2.0276878923535544</v>
      </c>
      <c r="W49" s="244">
        <f>W37/W43</f>
        <v>1.9644875011534513</v>
      </c>
      <c r="Y49" s="244">
        <f>Y37/Y43</f>
        <v>1.8413097857781493</v>
      </c>
      <c r="AA49" s="244">
        <f>AA37/AA43</f>
        <v>1.7085071222628301</v>
      </c>
      <c r="AC49" s="244">
        <f>AC37/AC43</f>
        <v>1.4664334416656026</v>
      </c>
      <c r="AE49" s="244">
        <f>AE37/AE43</f>
        <v>1.4374742766944708</v>
      </c>
      <c r="AG49" s="244">
        <f>AG37/AG43</f>
        <v>1.4112453414195889</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890</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45" t="s">
        <v>2731</v>
      </c>
      <c r="B52" s="2545"/>
      <c r="C52" s="2545"/>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882</v>
      </c>
      <c r="C53" s="1000">
        <v>1.0349999999999999</v>
      </c>
      <c r="E53" s="1001">
        <v>5000</v>
      </c>
      <c r="G53" s="997">
        <f>E53*$C$53</f>
        <v>5175</v>
      </c>
      <c r="I53" s="997">
        <f>G53*$C$53</f>
        <v>5356.125</v>
      </c>
      <c r="K53" s="997">
        <f>I53*$C$53</f>
        <v>5543.5893749999996</v>
      </c>
      <c r="M53" s="997">
        <f>K53*$C$53</f>
        <v>5737.615003124999</v>
      </c>
      <c r="O53" s="997">
        <f>M53*$C$53</f>
        <v>5938.4315282343732</v>
      </c>
      <c r="Q53" s="997">
        <f>O53*$C$53</f>
        <v>6146.276631722576</v>
      </c>
      <c r="S53" s="997">
        <f>Q53*$C$53</f>
        <v>6361.3963138328654</v>
      </c>
      <c r="U53" s="997">
        <f>S53*$C$53</f>
        <v>6584.0451848170151</v>
      </c>
      <c r="W53" s="997">
        <f>U53*$C$53</f>
        <v>6814.4867662856104</v>
      </c>
      <c r="Y53" s="997">
        <f>W53*$C$53</f>
        <v>7052.9938031056063</v>
      </c>
      <c r="AA53" s="997">
        <f>Y53*$C$53</f>
        <v>7299.8485862143016</v>
      </c>
      <c r="AC53" s="997">
        <f>AA53*$C$53</f>
        <v>7555.3432867318015</v>
      </c>
      <c r="AE53" s="997">
        <f>AC53*$C$53</f>
        <v>7819.7803017674141</v>
      </c>
      <c r="AG53" s="997">
        <f>AE53*$C$53</f>
        <v>8093.472612329273</v>
      </c>
    </row>
    <row r="54" spans="1:35" s="3" customFormat="1">
      <c r="A54" s="3" t="s">
        <v>883</v>
      </c>
      <c r="C54" s="1262">
        <f>C53</f>
        <v>1.0349999999999999</v>
      </c>
      <c r="E54" s="1002">
        <v>13388</v>
      </c>
      <c r="F54" s="997"/>
      <c r="G54" s="997">
        <f t="shared" ref="G54:AG57" si="1">E54*$C$53</f>
        <v>13856.579999999998</v>
      </c>
      <c r="H54" s="997"/>
      <c r="I54" s="997">
        <f t="shared" si="1"/>
        <v>14341.560299999997</v>
      </c>
      <c r="J54" s="997"/>
      <c r="K54" s="997">
        <f t="shared" si="1"/>
        <v>14843.514910499996</v>
      </c>
      <c r="L54" s="997"/>
      <c r="M54" s="997">
        <f t="shared" si="1"/>
        <v>15363.037932367495</v>
      </c>
      <c r="N54" s="997"/>
      <c r="O54" s="997">
        <f t="shared" si="1"/>
        <v>15900.744260000356</v>
      </c>
      <c r="P54" s="997"/>
      <c r="Q54" s="997">
        <f t="shared" si="1"/>
        <v>16457.270309100368</v>
      </c>
      <c r="R54" s="997"/>
      <c r="S54" s="997">
        <f t="shared" si="1"/>
        <v>17033.27476991888</v>
      </c>
      <c r="T54" s="997"/>
      <c r="U54" s="997">
        <f t="shared" si="1"/>
        <v>17629.439386866041</v>
      </c>
      <c r="V54" s="997"/>
      <c r="W54" s="997">
        <f t="shared" si="1"/>
        <v>18246.469765406349</v>
      </c>
      <c r="X54" s="997"/>
      <c r="Y54" s="997">
        <f t="shared" si="1"/>
        <v>18885.096207195569</v>
      </c>
      <c r="Z54" s="997"/>
      <c r="AA54" s="997">
        <f t="shared" si="1"/>
        <v>19546.074574447412</v>
      </c>
      <c r="AB54" s="997"/>
      <c r="AC54" s="997">
        <f t="shared" si="1"/>
        <v>20230.18718455307</v>
      </c>
      <c r="AD54" s="997"/>
      <c r="AE54" s="997">
        <f t="shared" si="1"/>
        <v>20938.243736012424</v>
      </c>
      <c r="AF54" s="997"/>
      <c r="AG54" s="997">
        <f t="shared" si="1"/>
        <v>21671.082266772857</v>
      </c>
      <c r="AH54" s="997"/>
      <c r="AI54" s="997"/>
    </row>
    <row r="55" spans="1:35" s="3" customFormat="1">
      <c r="A55" s="3" t="s">
        <v>884</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881</v>
      </c>
      <c r="C58" s="998"/>
      <c r="E58" s="997">
        <f>SUM(E53:E57)</f>
        <v>18388</v>
      </c>
      <c r="F58" s="997"/>
      <c r="G58" s="997">
        <f>SUM(G53:G57)</f>
        <v>19031.579999999998</v>
      </c>
      <c r="H58" s="997"/>
      <c r="I58" s="997">
        <f>SUM(I53:I57)</f>
        <v>19697.685299999997</v>
      </c>
      <c r="J58" s="997"/>
      <c r="K58" s="997">
        <f>SUM(K53:K57)</f>
        <v>20387.104285499998</v>
      </c>
      <c r="L58" s="997"/>
      <c r="M58" s="997">
        <f>SUM(M53:M57)</f>
        <v>21100.652935492493</v>
      </c>
      <c r="N58" s="997"/>
      <c r="O58" s="997">
        <f>SUM(O53:O57)</f>
        <v>21839.17578823473</v>
      </c>
      <c r="P58" s="997"/>
      <c r="Q58" s="997">
        <f>SUM(Q53:Q57)</f>
        <v>22603.546940822944</v>
      </c>
      <c r="R58" s="997"/>
      <c r="S58" s="997">
        <f>SUM(S53:S57)</f>
        <v>23394.671083751746</v>
      </c>
      <c r="T58" s="997"/>
      <c r="U58" s="997">
        <f>SUM(U53:U57)</f>
        <v>24213.484571683057</v>
      </c>
      <c r="V58" s="997"/>
      <c r="W58" s="997">
        <f>SUM(W53:W57)</f>
        <v>25060.956531691962</v>
      </c>
      <c r="X58" s="997"/>
      <c r="Y58" s="997">
        <f>SUM(Y53:Y57)</f>
        <v>25938.090010301174</v>
      </c>
      <c r="Z58" s="997"/>
      <c r="AA58" s="997">
        <f>SUM(AA53:AA57)</f>
        <v>26845.923160661714</v>
      </c>
      <c r="AB58" s="997"/>
      <c r="AC58" s="997">
        <f>SUM(AC53:AC57)</f>
        <v>27785.53047128487</v>
      </c>
      <c r="AD58" s="997"/>
      <c r="AE58" s="997">
        <f>SUM(AE53:AE57)</f>
        <v>28758.02403777984</v>
      </c>
      <c r="AF58" s="997"/>
      <c r="AG58" s="997">
        <f>SUM(AG53:AG57)</f>
        <v>29764.554879102128</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886</v>
      </c>
      <c r="C60" s="1006"/>
      <c r="E60" s="999">
        <f>E45-E58</f>
        <v>198924.6735591747</v>
      </c>
      <c r="G60" s="999">
        <f>G45-G58</f>
        <v>268750.55980917474</v>
      </c>
      <c r="I60" s="999">
        <f>I45-I58</f>
        <v>268914.40941542416</v>
      </c>
      <c r="K60" s="999">
        <f>K45-K58</f>
        <v>269931.61818883085</v>
      </c>
      <c r="M60" s="999">
        <f>M45-M58</f>
        <v>254584.08036921793</v>
      </c>
      <c r="O60" s="999">
        <f>O45-O58</f>
        <v>247803.05430518929</v>
      </c>
      <c r="Q60" s="999">
        <f>Q45-Q58</f>
        <v>219513.02313857802</v>
      </c>
      <c r="S60" s="999">
        <f>S45-S58</f>
        <v>214637.55031125029</v>
      </c>
      <c r="U60" s="999">
        <f>U45-U58</f>
        <v>178097.129705559</v>
      </c>
      <c r="W60" s="999">
        <f>W45-W58</f>
        <v>164808.03022284684</v>
      </c>
      <c r="Y60" s="999">
        <f>Y45-Y58</f>
        <v>139682.13459742101</v>
      </c>
      <c r="AA60" s="999">
        <f>AA45-AA58</f>
        <v>112630.77223615587</v>
      </c>
      <c r="AC60" s="999">
        <f>AC45-AC58</f>
        <v>64036.545866218687</v>
      </c>
      <c r="AE60" s="999">
        <f>AE45-AE58</f>
        <v>57363.151765760726</v>
      </c>
      <c r="AG60" s="999">
        <f>AG45-AG58</f>
        <v>51193.193344157276</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885</v>
      </c>
      <c r="C62" s="996"/>
      <c r="E62" s="1001">
        <f>E60</f>
        <v>198924.6735591747</v>
      </c>
      <c r="G62" s="999">
        <f>G60</f>
        <v>268750.55980917474</v>
      </c>
      <c r="I62" s="999">
        <f>I60</f>
        <v>268914.40941542416</v>
      </c>
      <c r="K62" s="999">
        <f>Application!AO626-('15 Year Pro Forma'!E62+'15 Year Pro Forma'!G62+'15 Year Pro Forma'!I62)</f>
        <v>103410.3572162264</v>
      </c>
      <c r="M62" s="999">
        <f>M60*$C$62</f>
        <v>0</v>
      </c>
      <c r="O62" s="999">
        <f>O60*$C$62</f>
        <v>0</v>
      </c>
      <c r="Q62" s="999">
        <f>Q60*$C$62</f>
        <v>0</v>
      </c>
      <c r="S62" s="999">
        <f>S60*$C$62</f>
        <v>0</v>
      </c>
      <c r="U62" s="999">
        <f>U60*$C$62</f>
        <v>0</v>
      </c>
      <c r="W62" s="999">
        <f>W60*$C$62</f>
        <v>0</v>
      </c>
      <c r="Y62" s="999">
        <f>Y60*$C$62</f>
        <v>0</v>
      </c>
      <c r="AA62" s="999">
        <f>AA60*$C$62</f>
        <v>0</v>
      </c>
      <c r="AC62" s="999">
        <f>AC60*$C$62</f>
        <v>0</v>
      </c>
      <c r="AE62" s="999">
        <f>AE60*$C$62</f>
        <v>0</v>
      </c>
      <c r="AG62" s="999">
        <f>AG60*$C$62</f>
        <v>0</v>
      </c>
    </row>
    <row r="63" spans="1:35" s="999" customFormat="1">
      <c r="A63" s="2545" t="s">
        <v>2731</v>
      </c>
      <c r="B63" s="2545"/>
      <c r="C63" s="2545"/>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889</v>
      </c>
      <c r="C65" s="996">
        <v>0.5</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t="s">
        <v>2723</v>
      </c>
      <c r="B66" s="1001"/>
      <c r="C66" s="1000">
        <v>0.66949999999999998</v>
      </c>
      <c r="E66" s="1001"/>
      <c r="G66" s="997">
        <f>(G60-G62)*C66</f>
        <v>0</v>
      </c>
      <c r="I66" s="997">
        <f>($I$60-I62)*C66</f>
        <v>0</v>
      </c>
      <c r="K66" s="997">
        <f>($K$60-K62)*$C$66</f>
        <v>111485.98422115868</v>
      </c>
      <c r="M66" s="997">
        <f>M60*$C$66</f>
        <v>170444.04180719139</v>
      </c>
      <c r="O66" s="997">
        <f>O60*$C$66</f>
        <v>165904.14485732422</v>
      </c>
      <c r="Q66" s="997">
        <f>Q60*$C$66</f>
        <v>146963.96899127797</v>
      </c>
      <c r="S66" s="997">
        <f>S60*$C$66</f>
        <v>143699.83993338206</v>
      </c>
      <c r="U66" s="997">
        <f>U60*$C$66</f>
        <v>119236.02833787174</v>
      </c>
      <c r="W66" s="997">
        <f>W60*$C$66</f>
        <v>110338.97623419596</v>
      </c>
      <c r="Y66" s="997">
        <f>Y60*$C$66</f>
        <v>93517.18911297337</v>
      </c>
      <c r="AA66" s="997">
        <f>AA60*$C$66</f>
        <v>75406.30201210636</v>
      </c>
      <c r="AC66" s="997">
        <f>AC60*$C$66</f>
        <v>42872.467457433413</v>
      </c>
      <c r="AE66" s="997">
        <f>AE60*$C$66</f>
        <v>38404.630107176803</v>
      </c>
      <c r="AG66" s="997">
        <f>AG60*$C$66</f>
        <v>34273.842943913296</v>
      </c>
    </row>
    <row r="67" spans="1:35" s="997" customFormat="1">
      <c r="A67" s="1002" t="s">
        <v>2722</v>
      </c>
      <c r="B67" s="1002"/>
      <c r="C67" s="1261">
        <v>0.25690000000000002</v>
      </c>
      <c r="E67" s="1001"/>
      <c r="G67" s="997">
        <f>(G60-G62)*C67</f>
        <v>0</v>
      </c>
      <c r="I67" s="997">
        <f>($I$60-I62)*C67</f>
        <v>0</v>
      </c>
      <c r="K67" s="997">
        <f>($K$60-K62)*$C$67</f>
        <v>42779.311943862085</v>
      </c>
      <c r="M67" s="997">
        <f>M60*$C$67</f>
        <v>65402.650246852092</v>
      </c>
      <c r="O67" s="997">
        <f>O60*$C$67</f>
        <v>63660.60465100313</v>
      </c>
      <c r="Q67" s="997">
        <f>Q60*$C$67</f>
        <v>56392.895644300697</v>
      </c>
      <c r="S67" s="997">
        <f>S60*$C$67</f>
        <v>55140.386674960202</v>
      </c>
      <c r="U67" s="997">
        <f>U60*$C$67</f>
        <v>45753.152621358109</v>
      </c>
      <c r="W67" s="997">
        <f>W60*$C$67</f>
        <v>42339.182964249354</v>
      </c>
      <c r="Y67" s="997">
        <f>Y60*$C$67</f>
        <v>35884.340378077461</v>
      </c>
      <c r="AA67" s="997">
        <f>AA60*$C$67</f>
        <v>28934.845387468446</v>
      </c>
      <c r="AC67" s="997">
        <f>AC60*$C$67</f>
        <v>16450.988633031582</v>
      </c>
      <c r="AE67" s="997">
        <f>AE60*$C$67</f>
        <v>14736.593688623931</v>
      </c>
      <c r="AG67" s="997">
        <f>AG60*$C$67</f>
        <v>13151.531370114006</v>
      </c>
    </row>
    <row r="68" spans="1:35" s="997" customFormat="1">
      <c r="A68" s="1002" t="s">
        <v>2732</v>
      </c>
      <c r="B68" s="1002"/>
      <c r="C68" s="1037">
        <f>1-(C66+C67)</f>
        <v>7.3599999999999999E-2</v>
      </c>
      <c r="E68" s="1002"/>
      <c r="G68" s="997">
        <f>(G60-G62)*C68</f>
        <v>0</v>
      </c>
      <c r="I68" s="997">
        <f>($I$60-I62)*C68</f>
        <v>0</v>
      </c>
      <c r="K68" s="997">
        <f>($K$60-K62)*$C$68</f>
        <v>12255.964807583687</v>
      </c>
      <c r="M68" s="997">
        <f>M60*$C$68</f>
        <v>18737.388315174441</v>
      </c>
      <c r="O68" s="997">
        <f>O60*$C$68</f>
        <v>18238.304796861932</v>
      </c>
      <c r="Q68" s="997">
        <f>Q60*$C$68</f>
        <v>16156.158502999342</v>
      </c>
      <c r="S68" s="997">
        <f>S60*$C$68</f>
        <v>15797.323702908021</v>
      </c>
      <c r="U68" s="997">
        <f>U60*$C$68</f>
        <v>13107.948746329143</v>
      </c>
      <c r="W68" s="997">
        <f>W60*$C$68</f>
        <v>12129.871024401527</v>
      </c>
      <c r="Y68" s="997">
        <f>Y60*$C$68</f>
        <v>10280.605106370187</v>
      </c>
      <c r="AA68" s="997">
        <f>AA60*$C$68</f>
        <v>8289.6248365810716</v>
      </c>
      <c r="AC68" s="997">
        <f>AC60*$C$68</f>
        <v>4713.089775753695</v>
      </c>
      <c r="AE68" s="997">
        <f>AE60*$C$68</f>
        <v>4221.9279699599892</v>
      </c>
      <c r="AG68" s="997">
        <f>AG60*$C$68</f>
        <v>3767.8190301299755</v>
      </c>
    </row>
    <row r="69" spans="1:35" s="997" customFormat="1">
      <c r="A69" s="1002"/>
      <c r="B69" s="1002"/>
      <c r="C69" s="1007"/>
      <c r="E69" s="1004"/>
      <c r="G69" s="1005">
        <f t="shared" ref="G69:AG69" si="2">E69*$C$66</f>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881</v>
      </c>
      <c r="C70" s="1007"/>
      <c r="E70" s="997">
        <f>SUM(E66:E69)</f>
        <v>0</v>
      </c>
      <c r="G70" s="997">
        <f>SUM(G66:G69)</f>
        <v>0</v>
      </c>
      <c r="I70" s="997">
        <f>SUM(I66:I69)</f>
        <v>0</v>
      </c>
      <c r="K70" s="997">
        <f>SUM(K66:K69)</f>
        <v>166521.26097260445</v>
      </c>
      <c r="M70" s="997">
        <f>SUM(M66:M69)</f>
        <v>254584.0803692179</v>
      </c>
      <c r="O70" s="997">
        <f>SUM(O66:O69)</f>
        <v>247803.05430518926</v>
      </c>
      <c r="Q70" s="997">
        <f>SUM(Q66:Q69)</f>
        <v>219513.02313857802</v>
      </c>
      <c r="S70" s="997">
        <f>SUM(S66:S69)</f>
        <v>214637.55031125029</v>
      </c>
      <c r="U70" s="997">
        <f>SUM(U66:U69)</f>
        <v>178097.129705559</v>
      </c>
      <c r="W70" s="997">
        <f>SUM(W66:W69)</f>
        <v>164808.03022284686</v>
      </c>
      <c r="Y70" s="997">
        <f>SUM(Y66:Y69)</f>
        <v>139682.13459742101</v>
      </c>
      <c r="AA70" s="997">
        <f>SUM(AA66:AA69)</f>
        <v>112630.77223615588</v>
      </c>
      <c r="AC70" s="997">
        <f>SUM(AC66:AC69)</f>
        <v>64036.545866218694</v>
      </c>
      <c r="AE70" s="997">
        <f>SUM(AE66:AE69)</f>
        <v>57363.151765760718</v>
      </c>
      <c r="AG70" s="997">
        <f>SUM(AG66:AG69)</f>
        <v>51193.193344157276</v>
      </c>
    </row>
    <row r="71" spans="1:35" s="997" customFormat="1">
      <c r="A71" s="999"/>
      <c r="C71" s="1007"/>
    </row>
    <row r="72" spans="1:35" s="997" customFormat="1">
      <c r="A72" s="999" t="s">
        <v>1982</v>
      </c>
      <c r="C72" s="1007"/>
      <c r="E72" s="999">
        <f>E60-E62-E70</f>
        <v>0</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0</v>
      </c>
      <c r="AA72" s="999">
        <f>AA60-AA62-AA70</f>
        <v>0</v>
      </c>
      <c r="AC72" s="999">
        <f>AC60-AC62-AC70</f>
        <v>0</v>
      </c>
      <c r="AE72" s="999">
        <f>AE60-AE62-AE70</f>
        <v>0</v>
      </c>
      <c r="AG72" s="999">
        <f>AG60-AG62-AG70</f>
        <v>0</v>
      </c>
    </row>
    <row r="73" spans="1:35" s="997" customFormat="1">
      <c r="A73" s="564"/>
      <c r="C73" s="1007"/>
    </row>
    <row r="74" spans="1:35" s="233" customFormat="1">
      <c r="A74" s="564"/>
      <c r="C74" s="192"/>
    </row>
    <row r="75" spans="1:35" s="233" customFormat="1">
      <c r="A75" s="997" t="s">
        <v>1981</v>
      </c>
      <c r="C75" s="192"/>
    </row>
    <row r="76" spans="1:35" s="233" customFormat="1">
      <c r="C76" s="192"/>
    </row>
    <row r="77" spans="1:35" s="250" customFormat="1" ht="30" customHeight="1">
      <c r="A77" s="2543" t="s">
        <v>1980</v>
      </c>
      <c r="B77" s="2544"/>
      <c r="C77" s="2544"/>
      <c r="D77" s="2544"/>
      <c r="E77" s="2544"/>
      <c r="F77" s="2544"/>
      <c r="G77" s="2544"/>
      <c r="H77" s="2544"/>
      <c r="I77" s="2544"/>
      <c r="J77" s="2544"/>
      <c r="K77" s="2544"/>
      <c r="L77" s="2544"/>
      <c r="M77" s="2544"/>
      <c r="N77" s="2544"/>
      <c r="O77" s="2544"/>
      <c r="P77" s="2544"/>
      <c r="Q77" s="2544"/>
      <c r="R77" s="2544"/>
      <c r="S77" s="2544"/>
      <c r="T77" s="2544"/>
      <c r="U77" s="2544"/>
      <c r="V77" s="2544"/>
      <c r="W77" s="2544"/>
      <c r="X77" s="2544"/>
      <c r="Y77" s="2544"/>
      <c r="Z77" s="2544"/>
      <c r="AA77" s="2544"/>
      <c r="AB77" s="2544"/>
      <c r="AC77" s="2544"/>
      <c r="AD77" s="2544"/>
      <c r="AE77" s="2544"/>
      <c r="AF77" s="2544"/>
      <c r="AG77" s="2544"/>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ht="47.25">
      <c r="A1" s="337" t="s">
        <v>1010</v>
      </c>
    </row>
    <row r="2" spans="1:1" ht="15.75">
      <c r="A2" s="338"/>
    </row>
    <row r="3" spans="1:1" ht="15.75">
      <c r="A3" s="339" t="s">
        <v>1005</v>
      </c>
    </row>
    <row r="4" spans="1:1" ht="15.75">
      <c r="A4" s="339" t="s">
        <v>1006</v>
      </c>
    </row>
    <row r="5" spans="1:1" ht="15.75">
      <c r="A5" s="339" t="s">
        <v>1007</v>
      </c>
    </row>
    <row r="6" spans="1:1" ht="15.75">
      <c r="A6" s="339" t="s">
        <v>1009</v>
      </c>
    </row>
    <row r="7" spans="1:1" ht="15.75">
      <c r="A7" s="339" t="s">
        <v>1008</v>
      </c>
    </row>
    <row r="8" spans="1:1" ht="15.75">
      <c r="A8" s="375" t="s">
        <v>1084</v>
      </c>
    </row>
    <row r="9" spans="1:1" ht="15.75">
      <c r="A9" s="339" t="s">
        <v>1085</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D16" sqref="D16"/>
    </sheetView>
  </sheetViews>
  <sheetFormatPr defaultColWidth="0" defaultRowHeight="12.75" zeroHeight="1"/>
  <cols>
    <col min="1" max="1" width="35.5703125" style="218" customWidth="1"/>
    <col min="2" max="4" width="14.5703125" style="218" customWidth="1"/>
    <col min="5" max="5" width="50.5703125" style="218" customWidth="1"/>
    <col min="6" max="6" width="9.140625" style="218" customWidth="1"/>
    <col min="7" max="253" width="0" style="218" hidden="1" customWidth="1"/>
    <col min="254" max="16384" width="9.140625" style="218" hidden="1"/>
  </cols>
  <sheetData>
    <row r="1" spans="1:7" s="296" customFormat="1" ht="18" customHeight="1">
      <c r="A1" s="548" t="s">
        <v>1360</v>
      </c>
      <c r="D1" s="301"/>
    </row>
    <row r="2" spans="1:7" s="296" customFormat="1">
      <c r="A2" s="279" t="s">
        <v>921</v>
      </c>
      <c r="B2" s="281"/>
      <c r="C2" s="281"/>
      <c r="D2" s="278"/>
      <c r="E2" s="282"/>
      <c r="F2" s="281"/>
    </row>
    <row r="3" spans="1:7" s="380" customFormat="1" ht="80.25" customHeight="1">
      <c r="A3" s="298"/>
      <c r="B3" s="283" t="s">
        <v>922</v>
      </c>
      <c r="C3" s="283" t="s">
        <v>923</v>
      </c>
      <c r="D3" s="283" t="s">
        <v>924</v>
      </c>
      <c r="E3" s="280" t="s">
        <v>925</v>
      </c>
      <c r="F3" s="280"/>
      <c r="G3" s="383"/>
    </row>
    <row r="4" spans="1:7" s="381" customFormat="1">
      <c r="A4" s="284" t="s">
        <v>26</v>
      </c>
      <c r="B4" s="284"/>
      <c r="C4" s="284"/>
      <c r="D4" s="284"/>
      <c r="E4" s="303"/>
      <c r="F4" s="284"/>
      <c r="G4" s="384"/>
    </row>
    <row r="5" spans="1:7" s="381" customFormat="1">
      <c r="A5" s="396" t="s">
        <v>27</v>
      </c>
      <c r="B5" s="286">
        <f>'Sources and Uses Budget'!$C4</f>
        <v>0</v>
      </c>
      <c r="C5" s="286">
        <f>'Sources and Uses Budget'!$C4</f>
        <v>0</v>
      </c>
      <c r="D5" s="290">
        <f>C5-B5</f>
        <v>0</v>
      </c>
      <c r="E5" s="288"/>
      <c r="F5" s="287"/>
      <c r="G5" s="384"/>
    </row>
    <row r="6" spans="1:7" s="381" customFormat="1">
      <c r="A6" s="396" t="s">
        <v>28</v>
      </c>
      <c r="B6" s="286">
        <f>'Sources and Uses Budget'!$C5</f>
        <v>0</v>
      </c>
      <c r="C6" s="286">
        <f>'Sources and Uses Budget'!$C5</f>
        <v>0</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602</v>
      </c>
      <c r="B9" s="290">
        <f>SUM(B5:B8)</f>
        <v>0</v>
      </c>
      <c r="C9" s="290">
        <f>SUM(C5:C8)</f>
        <v>0</v>
      </c>
      <c r="D9" s="290">
        <f t="shared" si="0"/>
        <v>0</v>
      </c>
      <c r="E9" s="288"/>
      <c r="F9" s="287"/>
      <c r="G9" s="384"/>
    </row>
    <row r="10" spans="1:7" s="381" customFormat="1">
      <c r="A10" s="396" t="s">
        <v>603</v>
      </c>
      <c r="B10" s="286">
        <f>'Sources and Uses Budget'!$C9</f>
        <v>0</v>
      </c>
      <c r="C10" s="286">
        <f>'Sources and Uses Budget'!$C9</f>
        <v>0</v>
      </c>
      <c r="D10" s="290">
        <f t="shared" si="0"/>
        <v>0</v>
      </c>
      <c r="E10" s="288"/>
      <c r="F10" s="287"/>
      <c r="G10" s="384"/>
    </row>
    <row r="11" spans="1:7" s="381" customFormat="1">
      <c r="A11" s="396" t="s">
        <v>604</v>
      </c>
      <c r="B11" s="286">
        <f>'Sources and Uses Budget'!$C10</f>
        <v>0</v>
      </c>
      <c r="C11" s="286">
        <f>'Sources and Uses Budget'!$C10</f>
        <v>0</v>
      </c>
      <c r="D11" s="290">
        <f t="shared" si="0"/>
        <v>0</v>
      </c>
      <c r="E11" s="288"/>
      <c r="F11" s="287"/>
      <c r="G11" s="384"/>
    </row>
    <row r="12" spans="1:7" s="381" customFormat="1">
      <c r="A12" s="397" t="s">
        <v>605</v>
      </c>
      <c r="B12" s="290">
        <f>SUM(B10:B11)</f>
        <v>0</v>
      </c>
      <c r="C12" s="290">
        <f>SUM(C10:C11)</f>
        <v>0</v>
      </c>
      <c r="D12" s="290">
        <f t="shared" si="0"/>
        <v>0</v>
      </c>
      <c r="E12" s="288"/>
      <c r="F12" s="287"/>
      <c r="G12" s="384"/>
    </row>
    <row r="13" spans="1:7" s="381" customFormat="1">
      <c r="A13" s="397" t="s">
        <v>85</v>
      </c>
      <c r="B13" s="290">
        <f>SUM(B9+B12)</f>
        <v>0</v>
      </c>
      <c r="C13" s="290">
        <f>SUM(C9+C12)</f>
        <v>0</v>
      </c>
      <c r="D13" s="290">
        <f t="shared" si="0"/>
        <v>0</v>
      </c>
      <c r="E13" s="288"/>
      <c r="F13" s="287"/>
      <c r="G13" s="384"/>
    </row>
    <row r="14" spans="1:7" s="381" customFormat="1">
      <c r="A14" s="398" t="s">
        <v>935</v>
      </c>
      <c r="B14" s="286">
        <f>'Sources and Uses Budget'!$C13</f>
        <v>0</v>
      </c>
      <c r="C14" s="286">
        <f>'Sources and Uses Budget'!$C13</f>
        <v>0</v>
      </c>
      <c r="D14" s="290">
        <f t="shared" si="0"/>
        <v>0</v>
      </c>
      <c r="E14" s="288"/>
      <c r="F14" s="287"/>
      <c r="G14" s="384"/>
    </row>
    <row r="15" spans="1:7" s="381" customFormat="1" ht="24">
      <c r="A15" s="396" t="s">
        <v>936</v>
      </c>
      <c r="B15" s="286">
        <f>'Sources and Uses Budget'!$C14</f>
        <v>0</v>
      </c>
      <c r="C15" s="286">
        <f>'Sources and Uses Budget'!$C14</f>
        <v>0</v>
      </c>
      <c r="D15" s="290">
        <f t="shared" si="0"/>
        <v>0</v>
      </c>
      <c r="E15" s="288"/>
      <c r="F15" s="287"/>
      <c r="G15" s="384"/>
    </row>
    <row r="16" spans="1:7" s="381" customFormat="1">
      <c r="A16" s="396" t="s">
        <v>1302</v>
      </c>
      <c r="B16" s="286">
        <f>'Sources and Uses Budget'!$C15</f>
        <v>0</v>
      </c>
      <c r="C16" s="286">
        <f>'Sources and Uses Budget'!$C15</f>
        <v>0</v>
      </c>
      <c r="D16" s="290">
        <f t="shared" si="0"/>
        <v>0</v>
      </c>
      <c r="E16" s="288"/>
      <c r="F16" s="287"/>
      <c r="G16" s="384"/>
    </row>
    <row r="17" spans="1:7" s="381" customFormat="1">
      <c r="A17" s="284" t="s">
        <v>606</v>
      </c>
      <c r="B17" s="284"/>
      <c r="C17" s="284"/>
      <c r="D17" s="284"/>
      <c r="E17" s="303"/>
      <c r="F17" s="284"/>
      <c r="G17" s="384"/>
    </row>
    <row r="18" spans="1:7" s="381" customFormat="1">
      <c r="A18" s="145" t="s">
        <v>607</v>
      </c>
      <c r="B18" s="286">
        <f>'Sources and Uses Budget'!$C17</f>
        <v>0</v>
      </c>
      <c r="C18" s="286">
        <f>'Sources and Uses Budget'!$C17</f>
        <v>0</v>
      </c>
      <c r="D18" s="290">
        <f t="shared" si="0"/>
        <v>0</v>
      </c>
      <c r="E18" s="288"/>
      <c r="F18" s="287"/>
      <c r="G18" s="384"/>
    </row>
    <row r="19" spans="1:7" s="381" customFormat="1">
      <c r="A19" s="145" t="s">
        <v>608</v>
      </c>
      <c r="B19" s="286">
        <f>'Sources and Uses Budget'!$C18</f>
        <v>0</v>
      </c>
      <c r="C19" s="286">
        <f>'Sources and Uses Budget'!$C18</f>
        <v>0</v>
      </c>
      <c r="D19" s="290">
        <f t="shared" si="0"/>
        <v>0</v>
      </c>
      <c r="E19" s="288"/>
      <c r="F19" s="287"/>
      <c r="G19" s="384"/>
    </row>
    <row r="20" spans="1:7" s="381" customFormat="1">
      <c r="A20" s="145" t="s">
        <v>609</v>
      </c>
      <c r="B20" s="286">
        <f>'Sources and Uses Budget'!$C19</f>
        <v>0</v>
      </c>
      <c r="C20" s="286">
        <f>'Sources and Uses Budget'!$C19</f>
        <v>0</v>
      </c>
      <c r="D20" s="290">
        <f t="shared" si="0"/>
        <v>0</v>
      </c>
      <c r="E20" s="288"/>
      <c r="F20" s="287"/>
      <c r="G20" s="384"/>
    </row>
    <row r="21" spans="1:7" s="381" customFormat="1">
      <c r="A21" s="145" t="s">
        <v>138</v>
      </c>
      <c r="B21" s="286">
        <f>'Sources and Uses Budget'!$C20</f>
        <v>0</v>
      </c>
      <c r="C21" s="286">
        <f>'Sources and Uses Budget'!$C20</f>
        <v>0</v>
      </c>
      <c r="D21" s="290">
        <f t="shared" si="0"/>
        <v>0</v>
      </c>
      <c r="E21" s="288"/>
      <c r="F21" s="287"/>
      <c r="G21" s="384"/>
    </row>
    <row r="22" spans="1:7" s="381" customFormat="1">
      <c r="A22" s="145" t="s">
        <v>139</v>
      </c>
      <c r="B22" s="286">
        <f>'Sources and Uses Budget'!$C21</f>
        <v>0</v>
      </c>
      <c r="C22" s="286">
        <f>'Sources and Uses Budget'!$C21</f>
        <v>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1819</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c r="A27" s="1055" t="s">
        <v>134</v>
      </c>
      <c r="B27" s="290">
        <f>SUM(B18:B26)</f>
        <v>0</v>
      </c>
      <c r="C27" s="290">
        <f>SUM(C18:C26)</f>
        <v>0</v>
      </c>
      <c r="D27" s="290">
        <f>SUM(D18:D26)</f>
        <v>0</v>
      </c>
      <c r="E27" s="288"/>
      <c r="F27" s="287"/>
      <c r="G27" s="384"/>
    </row>
    <row r="28" spans="1:7" s="381" customFormat="1">
      <c r="A28" s="291" t="s">
        <v>142</v>
      </c>
      <c r="B28" s="286">
        <f>'Sources and Uses Budget'!$C$27</f>
        <v>0</v>
      </c>
      <c r="C28" s="286">
        <f>'Sources and Uses Budget'!$C$27</f>
        <v>0</v>
      </c>
      <c r="D28" s="290">
        <f t="shared" si="0"/>
        <v>0</v>
      </c>
      <c r="E28" s="288"/>
      <c r="F28" s="287"/>
      <c r="G28" s="384"/>
    </row>
    <row r="29" spans="1:7" s="381" customFormat="1">
      <c r="A29" s="284" t="s">
        <v>143</v>
      </c>
      <c r="B29" s="284"/>
      <c r="C29" s="284"/>
      <c r="D29" s="284"/>
      <c r="E29" s="303"/>
      <c r="F29" s="284"/>
      <c r="G29" s="384"/>
    </row>
    <row r="30" spans="1:7" s="381" customFormat="1">
      <c r="A30" s="145" t="s">
        <v>607</v>
      </c>
      <c r="B30" s="286">
        <f>'Sources and Uses Budget'!$C29</f>
        <v>0</v>
      </c>
      <c r="C30" s="286">
        <f>'Sources and Uses Budget'!$C29</f>
        <v>0</v>
      </c>
      <c r="D30" s="290">
        <f t="shared" si="0"/>
        <v>0</v>
      </c>
      <c r="E30" s="288"/>
      <c r="F30" s="287"/>
      <c r="G30" s="384"/>
    </row>
    <row r="31" spans="1:7" s="381" customFormat="1">
      <c r="A31" s="145" t="s">
        <v>608</v>
      </c>
      <c r="B31" s="286">
        <f>'Sources and Uses Budget'!$C30</f>
        <v>133915463</v>
      </c>
      <c r="C31" s="286">
        <f>'Sources and Uses Budget'!$C30</f>
        <v>133915463</v>
      </c>
      <c r="D31" s="290">
        <f t="shared" si="0"/>
        <v>0</v>
      </c>
      <c r="E31" s="288"/>
      <c r="F31" s="287"/>
      <c r="G31" s="384"/>
    </row>
    <row r="32" spans="1:7" s="381" customFormat="1">
      <c r="A32" s="145" t="s">
        <v>609</v>
      </c>
      <c r="B32" s="286">
        <f>'Sources and Uses Budget'!$C31</f>
        <v>5227916</v>
      </c>
      <c r="C32" s="286">
        <f>'Sources and Uses Budget'!$C31</f>
        <v>5227916</v>
      </c>
      <c r="D32" s="290">
        <f t="shared" si="0"/>
        <v>0</v>
      </c>
      <c r="E32" s="288"/>
      <c r="F32" s="287"/>
      <c r="G32" s="384"/>
    </row>
    <row r="33" spans="1:7" s="381" customFormat="1">
      <c r="A33" s="145" t="s">
        <v>138</v>
      </c>
      <c r="B33" s="286">
        <f>'Sources and Uses Budget'!$C32</f>
        <v>3406372</v>
      </c>
      <c r="C33" s="286">
        <f>'Sources and Uses Budget'!$C32</f>
        <v>3406372</v>
      </c>
      <c r="D33" s="290">
        <f t="shared" si="0"/>
        <v>0</v>
      </c>
      <c r="E33" s="288"/>
      <c r="F33" s="287"/>
      <c r="G33" s="384"/>
    </row>
    <row r="34" spans="1:7" s="381" customFormat="1">
      <c r="A34" s="145" t="s">
        <v>139</v>
      </c>
      <c r="B34" s="286">
        <f>'Sources and Uses Budget'!$C33</f>
        <v>0</v>
      </c>
      <c r="C34" s="286">
        <f>'Sources and Uses Budget'!$C33</f>
        <v>0</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4655557</v>
      </c>
      <c r="C36" s="286">
        <f>'Sources and Uses Budget'!$C35</f>
        <v>4655557</v>
      </c>
      <c r="D36" s="290">
        <f t="shared" si="0"/>
        <v>0</v>
      </c>
      <c r="E36" s="288"/>
      <c r="F36" s="287"/>
      <c r="G36" s="384"/>
    </row>
    <row r="37" spans="1:7" s="381" customFormat="1">
      <c r="A37" s="304" t="s">
        <v>1819</v>
      </c>
      <c r="B37" s="286">
        <f>'Sources and Uses Budget'!$C36</f>
        <v>206431</v>
      </c>
      <c r="C37" s="286">
        <f>'Sources and Uses Budget'!$C36</f>
        <v>206431</v>
      </c>
      <c r="D37" s="290"/>
      <c r="E37" s="288"/>
      <c r="F37" s="287"/>
      <c r="G37" s="384"/>
    </row>
    <row r="38" spans="1:7" s="381" customFormat="1">
      <c r="A38" s="155" t="str">
        <f>'Sources and Uses Budget'!A37</f>
        <v>Other: Street Space Permits &amp; Other Taxes</v>
      </c>
      <c r="B38" s="286">
        <f>'Sources and Uses Budget'!$C37</f>
        <v>1164068</v>
      </c>
      <c r="C38" s="286">
        <f>'Sources and Uses Budget'!$C37</f>
        <v>1164068</v>
      </c>
      <c r="D38" s="290">
        <f t="shared" si="0"/>
        <v>0</v>
      </c>
      <c r="E38" s="288"/>
      <c r="F38" s="287"/>
      <c r="G38" s="384"/>
    </row>
    <row r="39" spans="1:7" s="381" customFormat="1">
      <c r="A39" s="291" t="s">
        <v>144</v>
      </c>
      <c r="B39" s="290">
        <f>SUM(B30:B38)</f>
        <v>148575807</v>
      </c>
      <c r="C39" s="290">
        <f>SUM(C30:C38)</f>
        <v>148575807</v>
      </c>
      <c r="D39" s="290">
        <f t="shared" si="0"/>
        <v>0</v>
      </c>
      <c r="E39" s="288"/>
      <c r="F39" s="287"/>
      <c r="G39" s="384"/>
    </row>
    <row r="40" spans="1:7" s="381" customFormat="1">
      <c r="A40" s="284" t="s">
        <v>145</v>
      </c>
      <c r="B40" s="284"/>
      <c r="C40" s="284"/>
      <c r="D40" s="284"/>
      <c r="E40" s="303"/>
      <c r="F40" s="284"/>
      <c r="G40" s="384"/>
    </row>
    <row r="41" spans="1:7" s="381" customFormat="1">
      <c r="A41" s="289" t="s">
        <v>146</v>
      </c>
      <c r="B41" s="286">
        <f>'Sources and Uses Budget'!$C40</f>
        <v>3769108</v>
      </c>
      <c r="C41" s="286">
        <f>'Sources and Uses Budget'!$C40</f>
        <v>3769108</v>
      </c>
      <c r="D41" s="290">
        <f t="shared" si="0"/>
        <v>0</v>
      </c>
      <c r="E41" s="288"/>
      <c r="F41" s="287"/>
      <c r="G41" s="384"/>
    </row>
    <row r="42" spans="1:7" s="381" customFormat="1">
      <c r="A42" s="289" t="s">
        <v>147</v>
      </c>
      <c r="B42" s="286">
        <f>'Sources and Uses Budget'!$C41</f>
        <v>0</v>
      </c>
      <c r="C42" s="286">
        <f>'Sources and Uses Budget'!$C41</f>
        <v>0</v>
      </c>
      <c r="D42" s="290">
        <f t="shared" si="0"/>
        <v>0</v>
      </c>
      <c r="E42" s="288"/>
      <c r="F42" s="287"/>
      <c r="G42" s="384"/>
    </row>
    <row r="43" spans="1:7" s="381" customFormat="1">
      <c r="A43" s="291" t="s">
        <v>148</v>
      </c>
      <c r="B43" s="290">
        <f>SUM(B41:B42)</f>
        <v>3769108</v>
      </c>
      <c r="C43" s="290">
        <f>SUM(C41:C42)</f>
        <v>3769108</v>
      </c>
      <c r="D43" s="290">
        <f t="shared" si="0"/>
        <v>0</v>
      </c>
      <c r="E43" s="288"/>
      <c r="F43" s="287"/>
      <c r="G43" s="384"/>
    </row>
    <row r="44" spans="1:7" s="381" customFormat="1">
      <c r="A44" s="291" t="s">
        <v>149</v>
      </c>
      <c r="B44" s="286">
        <f>'Sources and Uses Budget'!$C43</f>
        <v>1159725</v>
      </c>
      <c r="C44" s="286">
        <f>'Sources and Uses Budget'!$C43</f>
        <v>1159725</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11065258</v>
      </c>
      <c r="C46" s="286">
        <f>'Sources and Uses Budget'!$C45</f>
        <v>11065258</v>
      </c>
      <c r="D46" s="290">
        <f t="shared" si="0"/>
        <v>0</v>
      </c>
      <c r="E46" s="288"/>
      <c r="F46" s="287"/>
      <c r="G46" s="384"/>
    </row>
    <row r="47" spans="1:7" s="381" customFormat="1">
      <c r="A47" s="145" t="s">
        <v>152</v>
      </c>
      <c r="B47" s="286">
        <f>'Sources and Uses Budget'!$C46</f>
        <v>828959</v>
      </c>
      <c r="C47" s="286">
        <f>'Sources and Uses Budget'!$C46</f>
        <v>828959</v>
      </c>
      <c r="D47" s="290">
        <f t="shared" si="0"/>
        <v>0</v>
      </c>
      <c r="E47" s="288"/>
      <c r="F47" s="287"/>
      <c r="G47" s="384"/>
    </row>
    <row r="48" spans="1:7" s="381" customFormat="1" ht="12" customHeight="1">
      <c r="A48" s="198" t="s">
        <v>153</v>
      </c>
      <c r="B48" s="286">
        <f>'Sources and Uses Budget'!$C47</f>
        <v>0</v>
      </c>
      <c r="C48" s="286">
        <f>'Sources and Uses Budget'!$C47</f>
        <v>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811140</v>
      </c>
      <c r="C50" s="286">
        <f>'Sources and Uses Budget'!$C49</f>
        <v>811140</v>
      </c>
      <c r="D50" s="290">
        <f t="shared" si="0"/>
        <v>0</v>
      </c>
      <c r="E50" s="288"/>
      <c r="F50" s="287"/>
      <c r="G50" s="384"/>
    </row>
    <row r="51" spans="1:7" s="381" customFormat="1">
      <c r="A51" s="145" t="s">
        <v>157</v>
      </c>
      <c r="B51" s="286">
        <f>'Sources and Uses Budget'!$C50</f>
        <v>96644</v>
      </c>
      <c r="C51" s="286">
        <f>'Sources and Uses Budget'!$C50</f>
        <v>96644</v>
      </c>
      <c r="D51" s="290">
        <f t="shared" si="0"/>
        <v>0</v>
      </c>
      <c r="E51" s="288"/>
      <c r="F51" s="287"/>
      <c r="G51" s="384"/>
    </row>
    <row r="52" spans="1:7" s="381" customFormat="1">
      <c r="A52" s="304" t="s">
        <v>155</v>
      </c>
      <c r="B52" s="286">
        <f>'Sources and Uses Budget'!$C51</f>
        <v>0</v>
      </c>
      <c r="C52" s="286">
        <f>'Sources and Uses Budget'!$C51</f>
        <v>0</v>
      </c>
      <c r="D52" s="290">
        <f t="shared" si="0"/>
        <v>0</v>
      </c>
      <c r="E52" s="288"/>
      <c r="F52" s="287"/>
      <c r="G52" s="384"/>
    </row>
    <row r="53" spans="1:7" s="381" customFormat="1">
      <c r="A53" s="145" t="s">
        <v>156</v>
      </c>
      <c r="B53" s="286">
        <f>'Sources and Uses Budget'!$C52</f>
        <v>1932876</v>
      </c>
      <c r="C53" s="286">
        <f>'Sources and Uses Budget'!$C52</f>
        <v>1932876</v>
      </c>
      <c r="D53" s="290">
        <f t="shared" si="0"/>
        <v>0</v>
      </c>
      <c r="E53" s="288"/>
      <c r="F53" s="287"/>
      <c r="G53" s="384"/>
    </row>
    <row r="54" spans="1:7" s="381" customFormat="1">
      <c r="A54" s="155" t="str">
        <f>'Sources and Uses Budget'!A53</f>
        <v>Other: (Specify)</v>
      </c>
      <c r="B54" s="286">
        <f>'Sources and Uses Budget'!$C53</f>
        <v>0</v>
      </c>
      <c r="C54" s="286">
        <f>'Sources and Uses Budget'!$C53</f>
        <v>0</v>
      </c>
      <c r="D54" s="290">
        <f t="shared" si="0"/>
        <v>0</v>
      </c>
      <c r="E54" s="288"/>
      <c r="F54" s="287"/>
      <c r="G54" s="384"/>
    </row>
    <row r="55" spans="1:7" s="382" customFormat="1">
      <c r="A55" s="291" t="s">
        <v>158</v>
      </c>
      <c r="B55" s="293">
        <f>SUM(B46:B54)</f>
        <v>14734877</v>
      </c>
      <c r="C55" s="293">
        <f>SUM(C46:C54)</f>
        <v>14734877</v>
      </c>
      <c r="D55" s="290">
        <f t="shared" si="0"/>
        <v>0</v>
      </c>
      <c r="E55" s="288"/>
      <c r="F55" s="287"/>
      <c r="G55" s="385"/>
    </row>
    <row r="56" spans="1:7" s="381" customFormat="1">
      <c r="A56" s="284" t="s">
        <v>420</v>
      </c>
      <c r="B56" s="284"/>
      <c r="C56" s="284"/>
      <c r="D56" s="284"/>
      <c r="E56" s="303"/>
      <c r="F56" s="284"/>
      <c r="G56" s="384"/>
    </row>
    <row r="57" spans="1:7" s="381" customFormat="1">
      <c r="A57" s="289" t="s">
        <v>159</v>
      </c>
      <c r="B57" s="286">
        <f>'Sources and Uses Budget'!$C56</f>
        <v>27447</v>
      </c>
      <c r="C57" s="286">
        <f>'Sources and Uses Budget'!$C56</f>
        <v>27447</v>
      </c>
      <c r="D57" s="290">
        <f t="shared" si="0"/>
        <v>0</v>
      </c>
      <c r="E57" s="288"/>
      <c r="F57" s="287"/>
      <c r="G57" s="384"/>
    </row>
    <row r="58" spans="1:7" s="381" customFormat="1" ht="12" customHeight="1">
      <c r="A58" s="289" t="s">
        <v>153</v>
      </c>
      <c r="B58" s="286">
        <f>'Sources and Uses Budget'!$C57</f>
        <v>0</v>
      </c>
      <c r="C58" s="286">
        <f>'Sources and Uses Budget'!$C57</f>
        <v>0</v>
      </c>
      <c r="D58" s="290">
        <f t="shared" si="0"/>
        <v>0</v>
      </c>
      <c r="E58" s="288"/>
      <c r="F58" s="287"/>
      <c r="G58" s="384"/>
    </row>
    <row r="59" spans="1:7" s="381" customFormat="1">
      <c r="A59" s="289" t="s">
        <v>157</v>
      </c>
      <c r="B59" s="286">
        <f>'Sources and Uses Budget'!$C58</f>
        <v>19329</v>
      </c>
      <c r="C59" s="286">
        <f>'Sources and Uses Budget'!$C58</f>
        <v>19329</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Other: Perm Legal</v>
      </c>
      <c r="B62" s="286">
        <f>'Sources and Uses Budget'!$C61</f>
        <v>14497</v>
      </c>
      <c r="C62" s="286">
        <f>'Sources and Uses Budget'!$C61</f>
        <v>14497</v>
      </c>
      <c r="D62" s="290">
        <f t="shared" si="0"/>
        <v>0</v>
      </c>
      <c r="E62" s="288"/>
      <c r="F62" s="287"/>
      <c r="G62" s="384"/>
    </row>
    <row r="63" spans="1:7" s="381" customFormat="1" ht="13.7" customHeight="1">
      <c r="A63" s="291" t="s">
        <v>303</v>
      </c>
      <c r="B63" s="290">
        <f>SUM(B57:B62)</f>
        <v>61273</v>
      </c>
      <c r="C63" s="290">
        <f>SUM(C57:C62)</f>
        <v>61273</v>
      </c>
      <c r="D63" s="290">
        <f t="shared" si="0"/>
        <v>0</v>
      </c>
      <c r="E63" s="288"/>
      <c r="F63" s="287"/>
      <c r="G63" s="384"/>
    </row>
    <row r="64" spans="1:7" s="381" customFormat="1">
      <c r="A64" s="294" t="s">
        <v>304</v>
      </c>
      <c r="B64" s="290">
        <f>SUM(B9+B12+B14+B15+B17+B26+B28+B39+B43+B44+B55+B63)</f>
        <v>168300790</v>
      </c>
      <c r="C64" s="290">
        <f>SUM(C9+C12+C14+C15+C17+C26+C28+C39+C43+C44+C55+C63)</f>
        <v>168300790</v>
      </c>
      <c r="D64" s="290">
        <f t="shared" si="0"/>
        <v>0</v>
      </c>
      <c r="E64" s="288"/>
      <c r="F64" s="287"/>
      <c r="G64" s="384"/>
    </row>
    <row r="65" spans="1:7" s="381" customFormat="1" ht="24">
      <c r="A65" s="141" t="s">
        <v>1823</v>
      </c>
      <c r="B65" s="284"/>
      <c r="C65" s="284"/>
      <c r="D65" s="284"/>
      <c r="E65" s="303"/>
      <c r="F65" s="284"/>
      <c r="G65" s="384"/>
    </row>
    <row r="66" spans="1:7" s="381" customFormat="1">
      <c r="A66" s="145" t="s">
        <v>172</v>
      </c>
      <c r="B66" s="286">
        <f>'Sources and Uses Budget'!$C65</f>
        <v>72483</v>
      </c>
      <c r="C66" s="286">
        <f>'Sources and Uses Budget'!$C65</f>
        <v>72483</v>
      </c>
      <c r="D66" s="290">
        <f t="shared" si="0"/>
        <v>0</v>
      </c>
      <c r="E66" s="288"/>
      <c r="F66" s="287"/>
      <c r="G66" s="384"/>
    </row>
    <row r="67" spans="1:7" s="381" customFormat="1" ht="24">
      <c r="A67" s="304" t="s">
        <v>1820</v>
      </c>
      <c r="B67" s="286">
        <f>'Sources and Uses Budget'!$C66</f>
        <v>0</v>
      </c>
      <c r="C67" s="286">
        <f>'Sources and Uses Budget'!$C66</f>
        <v>0</v>
      </c>
      <c r="D67" s="290"/>
      <c r="E67" s="288"/>
      <c r="F67" s="287"/>
      <c r="G67" s="384"/>
    </row>
    <row r="68" spans="1:7" s="381" customFormat="1" ht="24">
      <c r="A68" s="304" t="s">
        <v>1821</v>
      </c>
      <c r="B68" s="286">
        <f>'Sources and Uses Budget'!$C67</f>
        <v>0</v>
      </c>
      <c r="C68" s="286">
        <f>'Sources and Uses Budget'!$C67</f>
        <v>0</v>
      </c>
      <c r="D68" s="290"/>
      <c r="E68" s="288"/>
      <c r="F68" s="287"/>
      <c r="G68" s="384"/>
    </row>
    <row r="69" spans="1:7" s="381" customFormat="1">
      <c r="A69" s="304" t="s">
        <v>1827</v>
      </c>
      <c r="B69" s="286">
        <f>'Sources and Uses Budget'!$C68</f>
        <v>0</v>
      </c>
      <c r="C69" s="286">
        <f>'Sources and Uses Budget'!$C68</f>
        <v>0</v>
      </c>
      <c r="D69" s="290"/>
      <c r="E69" s="288"/>
      <c r="F69" s="287"/>
      <c r="G69" s="384"/>
    </row>
    <row r="70" spans="1:7" s="381" customFormat="1">
      <c r="A70" s="155" t="str">
        <f>'Sources and Uses Budget'!A69</f>
        <v>Other: Owner Legal</v>
      </c>
      <c r="B70" s="286">
        <f>'Sources and Uses Budget'!$C69</f>
        <v>38658</v>
      </c>
      <c r="C70" s="286">
        <f>'Sources and Uses Budget'!$C69</f>
        <v>38658</v>
      </c>
      <c r="D70" s="290">
        <f t="shared" si="0"/>
        <v>0</v>
      </c>
      <c r="E70" s="288"/>
      <c r="F70" s="287"/>
      <c r="G70" s="384"/>
    </row>
    <row r="71" spans="1:7" s="381" customFormat="1">
      <c r="A71" s="149" t="s">
        <v>1824</v>
      </c>
      <c r="B71" s="290">
        <f>SUM(B66:B70)</f>
        <v>111141</v>
      </c>
      <c r="C71" s="290">
        <f>SUM(C66:C70)</f>
        <v>111141</v>
      </c>
      <c r="D71" s="290">
        <f t="shared" si="0"/>
        <v>0</v>
      </c>
      <c r="E71" s="288"/>
      <c r="F71" s="287"/>
      <c r="G71" s="384"/>
    </row>
    <row r="72" spans="1:7" s="381" customFormat="1">
      <c r="A72" s="284" t="s">
        <v>611</v>
      </c>
      <c r="B72" s="284"/>
      <c r="C72" s="284"/>
      <c r="D72" s="284"/>
      <c r="E72" s="303"/>
      <c r="F72" s="284"/>
      <c r="G72" s="384"/>
    </row>
    <row r="73" spans="1:7" s="381" customFormat="1">
      <c r="A73" s="289" t="s">
        <v>612</v>
      </c>
      <c r="B73" s="286">
        <f>'Sources and Uses Budget'!$C72</f>
        <v>0</v>
      </c>
      <c r="C73" s="286">
        <f>'Sources and Uses Budget'!$C72</f>
        <v>0</v>
      </c>
      <c r="D73" s="290">
        <f t="shared" si="0"/>
        <v>0</v>
      </c>
      <c r="E73" s="288"/>
      <c r="F73" s="287"/>
      <c r="G73" s="384"/>
    </row>
    <row r="74" spans="1:7" s="381" customFormat="1">
      <c r="A74" s="289" t="s">
        <v>613</v>
      </c>
      <c r="B74" s="286">
        <f>'Sources and Uses Budget'!$C73</f>
        <v>0</v>
      </c>
      <c r="C74" s="286">
        <f>'Sources and Uses Budget'!$C73</f>
        <v>0</v>
      </c>
      <c r="D74" s="290">
        <f t="shared" si="0"/>
        <v>0</v>
      </c>
      <c r="E74" s="288"/>
      <c r="F74" s="287"/>
      <c r="G74" s="384"/>
    </row>
    <row r="75" spans="1:7" s="381" customFormat="1">
      <c r="A75" s="309" t="s">
        <v>1039</v>
      </c>
      <c r="B75" s="286">
        <f>'Sources and Uses Budget'!$C74</f>
        <v>0</v>
      </c>
      <c r="C75" s="286">
        <f>'Sources and Uses Budget'!$C74</f>
        <v>0</v>
      </c>
      <c r="D75" s="290">
        <f t="shared" si="0"/>
        <v>0</v>
      </c>
      <c r="E75" s="288"/>
      <c r="F75" s="287"/>
      <c r="G75" s="384"/>
    </row>
    <row r="76" spans="1:7" s="381" customFormat="1">
      <c r="A76" s="289" t="s">
        <v>614</v>
      </c>
      <c r="B76" s="286">
        <f>'Sources and Uses Budget'!$C75</f>
        <v>867152</v>
      </c>
      <c r="C76" s="286">
        <f>'Sources and Uses Budget'!$C75</f>
        <v>867152</v>
      </c>
      <c r="D76" s="290">
        <f t="shared" si="0"/>
        <v>0</v>
      </c>
      <c r="E76" s="288"/>
      <c r="F76" s="287"/>
      <c r="G76" s="384"/>
    </row>
    <row r="77" spans="1:7" s="381" customFormat="1">
      <c r="A77" s="292" t="s">
        <v>34</v>
      </c>
      <c r="B77" s="286">
        <f>'Sources and Uses Budget'!$C76</f>
        <v>0</v>
      </c>
      <c r="C77" s="286">
        <f>'Sources and Uses Budget'!$C76</f>
        <v>0</v>
      </c>
      <c r="D77" s="290">
        <f t="shared" si="0"/>
        <v>0</v>
      </c>
      <c r="E77" s="288"/>
      <c r="F77" s="287"/>
      <c r="G77" s="384"/>
    </row>
    <row r="78" spans="1:7" s="381" customFormat="1">
      <c r="A78" s="291" t="s">
        <v>615</v>
      </c>
      <c r="B78" s="290">
        <f>SUM(B73:B77)</f>
        <v>867152</v>
      </c>
      <c r="C78" s="290">
        <f>SUM(C73:C77)</f>
        <v>867152</v>
      </c>
      <c r="D78" s="290">
        <f t="shared" ref="D78:D106" si="1">C78-B78</f>
        <v>0</v>
      </c>
      <c r="E78" s="288"/>
      <c r="F78" s="287"/>
      <c r="G78" s="384"/>
    </row>
    <row r="79" spans="1:7" s="381" customFormat="1">
      <c r="A79" s="284" t="s">
        <v>1352</v>
      </c>
      <c r="B79" s="284"/>
      <c r="C79" s="284"/>
      <c r="D79" s="284"/>
      <c r="E79" s="303"/>
      <c r="F79" s="284"/>
      <c r="G79" s="384"/>
    </row>
    <row r="80" spans="1:7" s="381" customFormat="1">
      <c r="A80" s="545" t="s">
        <v>1354</v>
      </c>
      <c r="B80" s="286">
        <f>'Sources and Uses Budget'!$C79</f>
        <v>7065209</v>
      </c>
      <c r="C80" s="286">
        <f>'Sources and Uses Budget'!$C79</f>
        <v>7065209</v>
      </c>
      <c r="D80" s="290">
        <f t="shared" si="1"/>
        <v>0</v>
      </c>
      <c r="E80" s="288"/>
      <c r="F80" s="287"/>
      <c r="G80" s="384"/>
    </row>
    <row r="81" spans="1:7" s="381" customFormat="1">
      <c r="A81" s="545" t="s">
        <v>58</v>
      </c>
      <c r="B81" s="286">
        <f>'Sources and Uses Budget'!$C80</f>
        <v>1060960</v>
      </c>
      <c r="C81" s="286">
        <f>'Sources and Uses Budget'!$C80</f>
        <v>1060960</v>
      </c>
      <c r="D81" s="290">
        <f>C81-B81</f>
        <v>0</v>
      </c>
      <c r="E81" s="288"/>
      <c r="F81" s="287"/>
      <c r="G81" s="384"/>
    </row>
    <row r="82" spans="1:7" s="381" customFormat="1">
      <c r="A82" s="291" t="s">
        <v>1351</v>
      </c>
      <c r="B82" s="290">
        <f>SUM(B80:B81)</f>
        <v>8126169</v>
      </c>
      <c r="C82" s="290">
        <f>SUM(C80:C81)</f>
        <v>8126169</v>
      </c>
      <c r="D82" s="290">
        <f t="shared" si="1"/>
        <v>0</v>
      </c>
      <c r="E82" s="288"/>
      <c r="F82" s="287"/>
      <c r="G82" s="384"/>
    </row>
    <row r="83" spans="1:7" s="381" customFormat="1">
      <c r="A83" s="284" t="s">
        <v>789</v>
      </c>
      <c r="B83" s="284"/>
      <c r="C83" s="284"/>
      <c r="D83" s="284"/>
      <c r="E83" s="303"/>
      <c r="F83" s="284"/>
      <c r="G83" s="384"/>
    </row>
    <row r="84" spans="1:7" s="381" customFormat="1" ht="13.7" customHeight="1">
      <c r="A84" s="289" t="s">
        <v>790</v>
      </c>
      <c r="B84" s="286">
        <f>'Sources and Uses Budget'!$C83</f>
        <v>167077</v>
      </c>
      <c r="C84" s="286">
        <f>'Sources and Uses Budget'!$C83</f>
        <v>167077</v>
      </c>
      <c r="D84" s="290">
        <f t="shared" si="1"/>
        <v>0</v>
      </c>
      <c r="E84" s="288"/>
      <c r="F84" s="287"/>
      <c r="G84" s="384"/>
    </row>
    <row r="85" spans="1:7" s="381" customFormat="1">
      <c r="A85" s="289" t="s">
        <v>791</v>
      </c>
      <c r="B85" s="286">
        <f>'Sources and Uses Budget'!$C84</f>
        <v>96644</v>
      </c>
      <c r="C85" s="286">
        <f>'Sources and Uses Budget'!$C84</f>
        <v>96644</v>
      </c>
      <c r="D85" s="290">
        <f t="shared" si="1"/>
        <v>0</v>
      </c>
      <c r="E85" s="288"/>
      <c r="F85" s="287"/>
      <c r="G85" s="384"/>
    </row>
    <row r="86" spans="1:7" s="381" customFormat="1">
      <c r="A86" s="289" t="s">
        <v>792</v>
      </c>
      <c r="B86" s="286">
        <f>'Sources and Uses Budget'!$C85</f>
        <v>485380</v>
      </c>
      <c r="C86" s="286">
        <f>'Sources and Uses Budget'!$C85</f>
        <v>485380</v>
      </c>
      <c r="D86" s="290">
        <f t="shared" si="1"/>
        <v>0</v>
      </c>
      <c r="E86" s="288"/>
      <c r="F86" s="287"/>
      <c r="G86" s="384"/>
    </row>
    <row r="87" spans="1:7" s="381" customFormat="1">
      <c r="A87" s="289" t="s">
        <v>793</v>
      </c>
      <c r="B87" s="286">
        <f>'Sources and Uses Budget'!$C86</f>
        <v>678211</v>
      </c>
      <c r="C87" s="286">
        <f>'Sources and Uses Budget'!$C86</f>
        <v>678211</v>
      </c>
      <c r="D87" s="290">
        <f t="shared" si="1"/>
        <v>0</v>
      </c>
      <c r="E87" s="288"/>
      <c r="F87" s="287"/>
      <c r="G87" s="384"/>
    </row>
    <row r="88" spans="1:7" s="381" customFormat="1">
      <c r="A88" s="289" t="s">
        <v>794</v>
      </c>
      <c r="B88" s="286">
        <f>'Sources and Uses Budget'!$C87</f>
        <v>0</v>
      </c>
      <c r="C88" s="286">
        <f>'Sources and Uses Budget'!$C87</f>
        <v>0</v>
      </c>
      <c r="D88" s="290">
        <f t="shared" si="1"/>
        <v>0</v>
      </c>
      <c r="E88" s="288"/>
      <c r="F88" s="287"/>
      <c r="G88" s="384"/>
    </row>
    <row r="89" spans="1:7" s="381" customFormat="1">
      <c r="A89" s="289" t="s">
        <v>795</v>
      </c>
      <c r="B89" s="286">
        <f>'Sources and Uses Budget'!$C88</f>
        <v>540171</v>
      </c>
      <c r="C89" s="286">
        <f>'Sources and Uses Budget'!$C88</f>
        <v>540171</v>
      </c>
      <c r="D89" s="290">
        <f t="shared" si="1"/>
        <v>0</v>
      </c>
      <c r="E89" s="288"/>
      <c r="F89" s="287"/>
      <c r="G89" s="384"/>
    </row>
    <row r="90" spans="1:7" s="381" customFormat="1">
      <c r="A90" s="289" t="s">
        <v>796</v>
      </c>
      <c r="B90" s="286">
        <f>'Sources and Uses Budget'!$C89</f>
        <v>639000</v>
      </c>
      <c r="C90" s="286">
        <f>'Sources and Uses Budget'!$C89</f>
        <v>639000</v>
      </c>
      <c r="D90" s="290">
        <f t="shared" si="1"/>
        <v>0</v>
      </c>
      <c r="E90" s="288"/>
      <c r="F90" s="287"/>
      <c r="G90" s="384"/>
    </row>
    <row r="91" spans="1:7" s="381" customFormat="1">
      <c r="A91" s="289" t="s">
        <v>797</v>
      </c>
      <c r="B91" s="286">
        <f>'Sources and Uses Budget'!$C90</f>
        <v>25000</v>
      </c>
      <c r="C91" s="286">
        <f>'Sources and Uses Budget'!$C90</f>
        <v>25000</v>
      </c>
      <c r="D91" s="290">
        <f t="shared" si="1"/>
        <v>0</v>
      </c>
      <c r="E91" s="288"/>
      <c r="F91" s="287"/>
      <c r="G91" s="384"/>
    </row>
    <row r="92" spans="1:7" s="381" customFormat="1">
      <c r="A92" s="289" t="s">
        <v>374</v>
      </c>
      <c r="B92" s="286">
        <f>'Sources and Uses Budget'!$C91</f>
        <v>0</v>
      </c>
      <c r="C92" s="286">
        <f>'Sources and Uses Budget'!$C91</f>
        <v>0</v>
      </c>
      <c r="D92" s="290">
        <f t="shared" si="1"/>
        <v>0</v>
      </c>
      <c r="E92" s="288"/>
      <c r="F92" s="287"/>
      <c r="G92" s="384"/>
    </row>
    <row r="93" spans="1:7" s="381" customFormat="1">
      <c r="A93" s="545" t="s">
        <v>1353</v>
      </c>
      <c r="B93" s="286">
        <f>'Sources and Uses Budget'!$C92</f>
        <v>14497</v>
      </c>
      <c r="C93" s="286">
        <f>'Sources and Uses Budget'!$C92</f>
        <v>14497</v>
      </c>
      <c r="D93" s="290">
        <f t="shared" si="1"/>
        <v>0</v>
      </c>
      <c r="E93" s="288"/>
      <c r="F93" s="287"/>
      <c r="G93" s="384"/>
    </row>
    <row r="94" spans="1:7" s="381" customFormat="1">
      <c r="A94" s="292" t="s">
        <v>34</v>
      </c>
      <c r="B94" s="286">
        <f>'Sources and Uses Budget'!$C93</f>
        <v>96644</v>
      </c>
      <c r="C94" s="286">
        <f>'Sources and Uses Budget'!$C93</f>
        <v>96644</v>
      </c>
      <c r="D94" s="290">
        <f t="shared" si="1"/>
        <v>0</v>
      </c>
      <c r="E94" s="288"/>
      <c r="F94" s="287"/>
      <c r="G94" s="384"/>
    </row>
    <row r="95" spans="1:7" s="381" customFormat="1">
      <c r="A95" s="292" t="s">
        <v>34</v>
      </c>
      <c r="B95" s="286">
        <f>'Sources and Uses Budget'!$C94</f>
        <v>0</v>
      </c>
      <c r="C95" s="286">
        <f>'Sources and Uses Budget'!$C94</f>
        <v>0</v>
      </c>
      <c r="D95" s="290">
        <f t="shared" si="1"/>
        <v>0</v>
      </c>
      <c r="E95" s="288"/>
      <c r="F95" s="287"/>
      <c r="G95" s="384"/>
    </row>
    <row r="96" spans="1:7" s="381" customFormat="1">
      <c r="A96" s="292" t="s">
        <v>34</v>
      </c>
      <c r="B96" s="286">
        <f>'Sources and Uses Budget'!$C95</f>
        <v>0</v>
      </c>
      <c r="C96" s="286">
        <f>'Sources and Uses Budget'!$C95</f>
        <v>0</v>
      </c>
      <c r="D96" s="290">
        <f t="shared" si="1"/>
        <v>0</v>
      </c>
      <c r="E96" s="288"/>
      <c r="F96" s="287"/>
      <c r="G96" s="384"/>
    </row>
    <row r="97" spans="1:7" s="381" customFormat="1">
      <c r="A97" s="291" t="s">
        <v>798</v>
      </c>
      <c r="B97" s="290">
        <f>SUM(B84:B96)</f>
        <v>2742624</v>
      </c>
      <c r="C97" s="290">
        <f>SUM(C84:C96)</f>
        <v>2742624</v>
      </c>
      <c r="D97" s="290">
        <f t="shared" si="1"/>
        <v>0</v>
      </c>
      <c r="E97" s="288"/>
      <c r="F97" s="287"/>
      <c r="G97" s="384"/>
    </row>
    <row r="98" spans="1:7" s="381" customFormat="1">
      <c r="A98" s="291" t="s">
        <v>799</v>
      </c>
      <c r="B98" s="290">
        <f>SUM(B64+B71+B78+B82+B97)</f>
        <v>180147876</v>
      </c>
      <c r="C98" s="290">
        <f>SUM(C64+C71+C78+C82+C97)</f>
        <v>180147876</v>
      </c>
      <c r="D98" s="290">
        <f t="shared" si="1"/>
        <v>0</v>
      </c>
      <c r="E98" s="288"/>
      <c r="F98" s="287"/>
      <c r="G98" s="384"/>
    </row>
    <row r="99" spans="1:7" s="381" customFormat="1">
      <c r="A99" s="284" t="s">
        <v>800</v>
      </c>
      <c r="B99" s="284"/>
      <c r="C99" s="284"/>
      <c r="D99" s="284"/>
      <c r="E99" s="303"/>
      <c r="F99" s="284"/>
      <c r="G99" s="384"/>
    </row>
    <row r="100" spans="1:7" s="381" customFormat="1">
      <c r="A100" s="145" t="s">
        <v>801</v>
      </c>
      <c r="B100" s="286">
        <f>'Sources and Uses Budget'!$C99</f>
        <v>3040000</v>
      </c>
      <c r="C100" s="286">
        <f>'Sources and Uses Budget'!$C99</f>
        <v>3040000</v>
      </c>
      <c r="D100" s="290">
        <f t="shared" si="1"/>
        <v>0</v>
      </c>
      <c r="E100" s="288"/>
      <c r="F100" s="287"/>
      <c r="G100" s="384"/>
    </row>
    <row r="101" spans="1:7" s="381" customFormat="1">
      <c r="A101" s="304" t="s">
        <v>1825</v>
      </c>
      <c r="B101" s="286">
        <f>'Sources and Uses Budget'!$C100</f>
        <v>0</v>
      </c>
      <c r="C101" s="286">
        <f>'Sources and Uses Budget'!$C100</f>
        <v>0</v>
      </c>
      <c r="D101" s="290">
        <f t="shared" si="1"/>
        <v>0</v>
      </c>
      <c r="E101" s="288"/>
      <c r="F101" s="287"/>
      <c r="G101" s="384"/>
    </row>
    <row r="102" spans="1:7" s="381" customFormat="1">
      <c r="A102" s="145" t="s">
        <v>802</v>
      </c>
      <c r="B102" s="286">
        <f>'Sources and Uses Budget'!$C101</f>
        <v>0</v>
      </c>
      <c r="C102" s="286">
        <f>'Sources and Uses Budget'!$C101</f>
        <v>0</v>
      </c>
      <c r="D102" s="290">
        <f t="shared" si="1"/>
        <v>0</v>
      </c>
      <c r="E102" s="288"/>
      <c r="F102" s="287"/>
      <c r="G102" s="384"/>
    </row>
    <row r="103" spans="1:7" s="381" customFormat="1" ht="12" customHeight="1">
      <c r="A103" s="304" t="s">
        <v>1826</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c r="A105" s="291" t="s">
        <v>803</v>
      </c>
      <c r="B105" s="290">
        <f>SUM(B100:B104)</f>
        <v>3040000</v>
      </c>
      <c r="C105" s="290">
        <f>SUM(C100:C104)</f>
        <v>3040000</v>
      </c>
      <c r="D105" s="290">
        <f t="shared" si="1"/>
        <v>0</v>
      </c>
      <c r="E105" s="288"/>
      <c r="F105" s="287"/>
      <c r="G105" s="384"/>
    </row>
    <row r="106" spans="1:7" s="381" customFormat="1">
      <c r="A106" s="291" t="s">
        <v>804</v>
      </c>
      <c r="B106" s="293">
        <f>SUM(B98+B105)</f>
        <v>183187876</v>
      </c>
      <c r="C106" s="293">
        <f>SUM(C98+C105)</f>
        <v>183187876</v>
      </c>
      <c r="D106" s="290">
        <f t="shared" si="1"/>
        <v>0</v>
      </c>
      <c r="E106" s="288"/>
      <c r="F106" s="287"/>
      <c r="G106" s="384"/>
    </row>
    <row r="107" spans="1:7" s="381" customFormat="1">
      <c r="A107" s="298" t="s">
        <v>805</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topLeftCell="B2" zoomScaleNormal="100" zoomScaleSheetLayoutView="100" workbookViewId="0">
      <selection activeCell="F5" sqref="F5"/>
    </sheetView>
  </sheetViews>
  <sheetFormatPr defaultColWidth="0" defaultRowHeight="14.25" zeroHeight="1"/>
  <cols>
    <col min="1" max="2" width="15.5703125" style="327" customWidth="1"/>
    <col min="3" max="3" width="11" style="327" customWidth="1"/>
    <col min="4" max="4" width="15.5703125" style="327" customWidth="1"/>
    <col min="5" max="5" width="3.5703125" style="327" customWidth="1"/>
    <col min="6" max="7" width="15.5703125" style="327" customWidth="1"/>
    <col min="8" max="8" width="3.5703125" style="327" customWidth="1"/>
    <col min="9" max="10" width="15.5703125" style="327" customWidth="1"/>
    <col min="11" max="11" width="3.42578125" style="327" customWidth="1"/>
    <col min="12" max="17" width="15.5703125" style="327" hidden="1" customWidth="1"/>
    <col min="18" max="16384" width="9.140625" style="327" hidden="1"/>
  </cols>
  <sheetData>
    <row r="1" spans="1:12">
      <c r="A1" s="2546" t="s">
        <v>942</v>
      </c>
      <c r="B1" s="2546"/>
      <c r="C1" s="2546"/>
      <c r="D1" s="2546"/>
      <c r="E1" s="2546"/>
      <c r="F1" s="2546"/>
      <c r="G1" s="2546"/>
      <c r="H1" s="2546"/>
      <c r="I1" s="2546"/>
      <c r="J1" s="2546"/>
      <c r="K1" s="218"/>
      <c r="L1" s="218"/>
    </row>
    <row r="2" spans="1:12">
      <c r="A2" s="225"/>
      <c r="B2" s="225"/>
      <c r="C2" s="225"/>
      <c r="D2" s="225"/>
      <c r="E2" s="225"/>
      <c r="F2" s="225"/>
      <c r="G2" s="225"/>
      <c r="H2" s="225"/>
      <c r="I2" s="225"/>
      <c r="J2" s="225"/>
    </row>
    <row r="3" spans="1:12" ht="99.75">
      <c r="A3" s="458" t="s">
        <v>943</v>
      </c>
      <c r="B3" s="458" t="s">
        <v>944</v>
      </c>
      <c r="C3" s="458" t="s">
        <v>2338</v>
      </c>
      <c r="D3" s="1199" t="s">
        <v>945</v>
      </c>
      <c r="E3" s="218"/>
      <c r="F3" s="1199" t="s">
        <v>946</v>
      </c>
      <c r="G3" s="458" t="s">
        <v>947</v>
      </c>
      <c r="H3" s="459"/>
      <c r="I3" s="458" t="s">
        <v>948</v>
      </c>
      <c r="J3" s="458" t="s">
        <v>949</v>
      </c>
      <c r="K3" s="218"/>
      <c r="L3" s="328"/>
    </row>
    <row r="4" spans="1:12">
      <c r="A4" s="460" t="str">
        <f>Application!B714</f>
        <v>1 Bedroom</v>
      </c>
      <c r="B4" s="1130">
        <f>Application!G714</f>
        <v>6</v>
      </c>
      <c r="C4" s="1131"/>
      <c r="D4" s="460">
        <f>Application!O714</f>
        <v>300</v>
      </c>
      <c r="E4" s="461"/>
      <c r="F4" s="1132">
        <f>(Application!$M$930/Application!$M$929)/12+'Subsidy Contract Calculation'!D4</f>
        <v>1819.2708333333333</v>
      </c>
      <c r="G4" s="460">
        <f>F4*B4</f>
        <v>10915.625</v>
      </c>
      <c r="H4" s="461"/>
      <c r="I4" s="460">
        <f>IF(F4=0," ",(F4-D4))</f>
        <v>1519.2708333333333</v>
      </c>
      <c r="J4" s="460">
        <f>IF(F4=0," ",(I4*B4))</f>
        <v>9115.625</v>
      </c>
      <c r="K4" s="218"/>
      <c r="L4" s="328"/>
    </row>
    <row r="5" spans="1:12">
      <c r="A5" s="460" t="str">
        <f>Application!B715</f>
        <v>2 Bedrooms</v>
      </c>
      <c r="B5" s="1130">
        <f>Application!G715</f>
        <v>18</v>
      </c>
      <c r="C5" s="1131"/>
      <c r="D5" s="460">
        <f>Application!O715</f>
        <v>350</v>
      </c>
      <c r="E5" s="461"/>
      <c r="F5" s="1132">
        <f>(Application!$M$930/Application!$M$929)/12+'Subsidy Contract Calculation'!D5</f>
        <v>1869.2708333333333</v>
      </c>
      <c r="G5" s="460">
        <f t="shared" ref="G5:G28" si="0">F5*B5</f>
        <v>33646.875</v>
      </c>
      <c r="H5" s="461"/>
      <c r="I5" s="460">
        <f t="shared" ref="I5:I28" si="1">IF(F5=0," ",(F5-D5))</f>
        <v>1519.2708333333333</v>
      </c>
      <c r="J5" s="460">
        <f t="shared" ref="J5:J28" si="2">IF(F5=0," ",(I5*B5))</f>
        <v>27346.875</v>
      </c>
      <c r="K5" s="218"/>
      <c r="L5" s="328"/>
    </row>
    <row r="6" spans="1:12">
      <c r="A6" s="460" t="str">
        <f>Application!B716</f>
        <v>3 Bedrooms</v>
      </c>
      <c r="B6" s="1130">
        <f>Application!G716</f>
        <v>8</v>
      </c>
      <c r="C6" s="1131"/>
      <c r="D6" s="460">
        <f>Application!O716</f>
        <v>400</v>
      </c>
      <c r="E6" s="461"/>
      <c r="F6" s="1132">
        <f>(Application!$M$930/Application!$M$929)/12+'Subsidy Contract Calculation'!D6</f>
        <v>1919.2708333333333</v>
      </c>
      <c r="G6" s="460">
        <f t="shared" si="0"/>
        <v>15354.166666666666</v>
      </c>
      <c r="H6" s="461"/>
      <c r="I6" s="460">
        <f t="shared" si="1"/>
        <v>1519.2708333333333</v>
      </c>
      <c r="J6" s="460">
        <f t="shared" si="2"/>
        <v>12154.166666666666</v>
      </c>
      <c r="K6" s="218"/>
      <c r="L6" s="328"/>
    </row>
    <row r="7" spans="1:12">
      <c r="A7" s="460" t="str">
        <f>Application!B717</f>
        <v>1 Bedroom</v>
      </c>
      <c r="B7" s="1130">
        <f>Application!G717</f>
        <v>2</v>
      </c>
      <c r="C7" s="1131"/>
      <c r="D7" s="460">
        <f>Application!O717</f>
        <v>300</v>
      </c>
      <c r="E7" s="461"/>
      <c r="F7" s="1132">
        <f>(Application!$M$930/Application!$M$929)/12+'Subsidy Contract Calculation'!D7</f>
        <v>1819.2708333333333</v>
      </c>
      <c r="G7" s="460">
        <f t="shared" si="0"/>
        <v>3638.5416666666665</v>
      </c>
      <c r="H7" s="461"/>
      <c r="I7" s="460">
        <f t="shared" si="1"/>
        <v>1519.2708333333333</v>
      </c>
      <c r="J7" s="460">
        <f t="shared" si="2"/>
        <v>3038.5416666666665</v>
      </c>
      <c r="K7" s="218"/>
      <c r="L7" s="328"/>
    </row>
    <row r="8" spans="1:12">
      <c r="A8" s="460" t="str">
        <f>Application!B718</f>
        <v>2 Bedrooms</v>
      </c>
      <c r="B8" s="1130">
        <f>Application!G718</f>
        <v>4</v>
      </c>
      <c r="C8" s="1131"/>
      <c r="D8" s="460">
        <f>Application!O718</f>
        <v>350</v>
      </c>
      <c r="E8" s="461"/>
      <c r="F8" s="1132">
        <f>(Application!$M$930/Application!$M$929)/12+'Subsidy Contract Calculation'!D8</f>
        <v>1869.2708333333333</v>
      </c>
      <c r="G8" s="460">
        <f t="shared" si="0"/>
        <v>7477.083333333333</v>
      </c>
      <c r="H8" s="461"/>
      <c r="I8" s="460">
        <f t="shared" si="1"/>
        <v>1519.2708333333333</v>
      </c>
      <c r="J8" s="460">
        <f t="shared" si="2"/>
        <v>6077.083333333333</v>
      </c>
      <c r="K8" s="218"/>
      <c r="L8" s="328"/>
    </row>
    <row r="9" spans="1:12">
      <c r="A9" s="460" t="str">
        <f>Application!B719</f>
        <v>3 Bedrooms</v>
      </c>
      <c r="B9" s="1130">
        <f>Application!G719</f>
        <v>2</v>
      </c>
      <c r="C9" s="1131"/>
      <c r="D9" s="460">
        <f>Application!O719</f>
        <v>400</v>
      </c>
      <c r="E9" s="461"/>
      <c r="F9" s="1132">
        <f>(Application!$M$930/Application!$M$929)/12+'Subsidy Contract Calculation'!D9</f>
        <v>1919.2708333333333</v>
      </c>
      <c r="G9" s="460">
        <f t="shared" si="0"/>
        <v>3838.5416666666665</v>
      </c>
      <c r="H9" s="461"/>
      <c r="I9" s="460">
        <f t="shared" si="1"/>
        <v>1519.2708333333333</v>
      </c>
      <c r="J9" s="460">
        <f t="shared" si="2"/>
        <v>3038.5416666666665</v>
      </c>
      <c r="K9" s="218"/>
      <c r="L9" s="328"/>
    </row>
    <row r="10" spans="1:12">
      <c r="A10" s="460" t="str">
        <f>Application!B720</f>
        <v>SRO/Studio</v>
      </c>
      <c r="B10" s="1130">
        <f>Application!G720</f>
        <v>2</v>
      </c>
      <c r="C10" s="1131"/>
      <c r="D10" s="460">
        <f>Application!O720</f>
        <v>873</v>
      </c>
      <c r="E10" s="461"/>
      <c r="F10" s="1132"/>
      <c r="G10" s="460">
        <f t="shared" si="0"/>
        <v>0</v>
      </c>
      <c r="H10" s="461"/>
      <c r="I10" s="460" t="str">
        <f t="shared" si="1"/>
        <v xml:space="preserve"> </v>
      </c>
      <c r="J10" s="460" t="str">
        <f t="shared" si="2"/>
        <v xml:space="preserve"> </v>
      </c>
      <c r="K10" s="218"/>
      <c r="L10" s="328"/>
    </row>
    <row r="11" spans="1:12">
      <c r="A11" s="460" t="str">
        <f>Application!B721</f>
        <v>1 Bedroom</v>
      </c>
      <c r="B11" s="1130">
        <f>Application!G721</f>
        <v>5</v>
      </c>
      <c r="C11" s="1131"/>
      <c r="D11" s="460">
        <f>Application!O721</f>
        <v>892</v>
      </c>
      <c r="E11" s="461"/>
      <c r="F11" s="1132"/>
      <c r="G11" s="460">
        <f t="shared" si="0"/>
        <v>0</v>
      </c>
      <c r="H11" s="461"/>
      <c r="I11" s="460" t="str">
        <f t="shared" si="1"/>
        <v xml:space="preserve"> </v>
      </c>
      <c r="J11" s="460" t="str">
        <f t="shared" si="2"/>
        <v xml:space="preserve"> </v>
      </c>
      <c r="K11" s="218"/>
      <c r="L11" s="328"/>
    </row>
    <row r="12" spans="1:12">
      <c r="A12" s="460" t="str">
        <f>Application!B722</f>
        <v>2 Bedrooms</v>
      </c>
      <c r="B12" s="1130">
        <f>Application!G722</f>
        <v>2</v>
      </c>
      <c r="C12" s="1131"/>
      <c r="D12" s="460">
        <f>Application!O722</f>
        <v>1053</v>
      </c>
      <c r="E12" s="461"/>
      <c r="F12" s="1132"/>
      <c r="G12" s="460">
        <f t="shared" si="0"/>
        <v>0</v>
      </c>
      <c r="H12" s="461"/>
      <c r="I12" s="460" t="str">
        <f t="shared" si="1"/>
        <v xml:space="preserve"> </v>
      </c>
      <c r="J12" s="460" t="str">
        <f t="shared" si="2"/>
        <v xml:space="preserve"> </v>
      </c>
      <c r="K12" s="218"/>
      <c r="L12" s="328"/>
    </row>
    <row r="13" spans="1:12">
      <c r="A13" s="460" t="str">
        <f>Application!B723</f>
        <v>3 Bedrooms</v>
      </c>
      <c r="B13" s="1130">
        <f>Application!G723</f>
        <v>2</v>
      </c>
      <c r="C13" s="1131"/>
      <c r="D13" s="460">
        <f>Application!O723</f>
        <v>1203</v>
      </c>
      <c r="E13" s="461"/>
      <c r="F13" s="1132"/>
      <c r="G13" s="460">
        <f t="shared" si="0"/>
        <v>0</v>
      </c>
      <c r="H13" s="461"/>
      <c r="I13" s="460" t="str">
        <f t="shared" si="1"/>
        <v xml:space="preserve"> </v>
      </c>
      <c r="J13" s="460" t="str">
        <f t="shared" si="2"/>
        <v xml:space="preserve"> </v>
      </c>
      <c r="K13" s="218"/>
      <c r="L13" s="328"/>
    </row>
    <row r="14" spans="1:12">
      <c r="A14" s="460" t="str">
        <f>Application!B724</f>
        <v>SRO/Studio</v>
      </c>
      <c r="B14" s="1130">
        <f>Application!G724</f>
        <v>15</v>
      </c>
      <c r="C14" s="1131"/>
      <c r="D14" s="460">
        <f>Application!O724</f>
        <v>1422</v>
      </c>
      <c r="E14" s="461"/>
      <c r="F14" s="1132"/>
      <c r="G14" s="460">
        <f t="shared" si="0"/>
        <v>0</v>
      </c>
      <c r="H14" s="461"/>
      <c r="I14" s="460" t="str">
        <f t="shared" si="1"/>
        <v xml:space="preserve"> </v>
      </c>
      <c r="J14" s="460" t="str">
        <f t="shared" si="2"/>
        <v xml:space="preserve"> </v>
      </c>
      <c r="K14" s="218"/>
      <c r="L14" s="328"/>
    </row>
    <row r="15" spans="1:12">
      <c r="A15" s="460" t="str">
        <f>Application!B725</f>
        <v>1 Bedroom</v>
      </c>
      <c r="B15" s="1130">
        <f>Application!G725</f>
        <v>39</v>
      </c>
      <c r="C15" s="1131"/>
      <c r="D15" s="460">
        <f>Application!O725</f>
        <v>1589</v>
      </c>
      <c r="E15" s="461"/>
      <c r="F15" s="1132"/>
      <c r="G15" s="460">
        <f t="shared" si="0"/>
        <v>0</v>
      </c>
      <c r="H15" s="461"/>
      <c r="I15" s="460" t="str">
        <f t="shared" si="1"/>
        <v xml:space="preserve"> </v>
      </c>
      <c r="J15" s="460" t="str">
        <f t="shared" si="2"/>
        <v xml:space="preserve"> </v>
      </c>
      <c r="K15" s="218"/>
      <c r="L15" s="328"/>
    </row>
    <row r="16" spans="1:12">
      <c r="A16" s="460" t="str">
        <f>Application!B726</f>
        <v>2 Bedrooms</v>
      </c>
      <c r="B16" s="1130">
        <f>Application!G726</f>
        <v>16</v>
      </c>
      <c r="C16" s="1131"/>
      <c r="D16" s="460">
        <f>Application!O726</f>
        <v>1792</v>
      </c>
      <c r="E16" s="461"/>
      <c r="F16" s="1132"/>
      <c r="G16" s="460">
        <f t="shared" si="0"/>
        <v>0</v>
      </c>
      <c r="H16" s="461"/>
      <c r="I16" s="460" t="str">
        <f t="shared" si="1"/>
        <v xml:space="preserve"> </v>
      </c>
      <c r="J16" s="460" t="str">
        <f t="shared" si="2"/>
        <v xml:space="preserve"> </v>
      </c>
      <c r="K16" s="218"/>
      <c r="L16" s="328"/>
    </row>
    <row r="17" spans="1:12">
      <c r="A17" s="460" t="str">
        <f>Application!B727</f>
        <v>3 Bedrooms</v>
      </c>
      <c r="B17" s="1130">
        <f>Application!G727</f>
        <v>25</v>
      </c>
      <c r="C17" s="1131"/>
      <c r="D17" s="460">
        <f>Application!O727</f>
        <v>1963</v>
      </c>
      <c r="E17" s="461"/>
      <c r="F17" s="1132"/>
      <c r="G17" s="460">
        <f t="shared" si="0"/>
        <v>0</v>
      </c>
      <c r="H17" s="461"/>
      <c r="I17" s="460" t="str">
        <f t="shared" si="1"/>
        <v xml:space="preserve"> </v>
      </c>
      <c r="J17" s="460" t="str">
        <f t="shared" si="2"/>
        <v xml:space="preserve"> </v>
      </c>
      <c r="K17" s="218"/>
      <c r="L17" s="328"/>
    </row>
    <row r="18" spans="1:12">
      <c r="A18" s="460" t="str">
        <f>Application!B728</f>
        <v>1 Bedroom</v>
      </c>
      <c r="B18" s="1130">
        <f>Application!G728</f>
        <v>23</v>
      </c>
      <c r="C18" s="1131"/>
      <c r="D18" s="460">
        <f>Application!O728</f>
        <v>1938</v>
      </c>
      <c r="E18" s="461"/>
      <c r="F18" s="1132"/>
      <c r="G18" s="460">
        <f t="shared" si="0"/>
        <v>0</v>
      </c>
      <c r="H18" s="461"/>
      <c r="I18" s="460" t="str">
        <f t="shared" si="1"/>
        <v xml:space="preserve"> </v>
      </c>
      <c r="J18" s="460" t="str">
        <f t="shared" si="2"/>
        <v xml:space="preserve"> </v>
      </c>
      <c r="K18" s="218"/>
      <c r="L18" s="328"/>
    </row>
    <row r="19" spans="1:12">
      <c r="A19" s="460" t="str">
        <f>Application!B729</f>
        <v>2 Bedrooms</v>
      </c>
      <c r="B19" s="1130">
        <f>Application!G729</f>
        <v>13</v>
      </c>
      <c r="C19" s="1131"/>
      <c r="D19" s="460">
        <f>Application!O729</f>
        <v>2308</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ht="15">
      <c r="A30" s="462" t="s">
        <v>950</v>
      </c>
      <c r="B30" s="463"/>
      <c r="C30" s="463"/>
      <c r="D30" s="464">
        <f>Application!O739</f>
        <v>260444</v>
      </c>
      <c r="E30" s="461"/>
      <c r="F30" s="461"/>
      <c r="G30" s="464">
        <f>SUM(G4:G28)*12</f>
        <v>898450</v>
      </c>
      <c r="H30" s="465"/>
      <c r="I30" s="463"/>
      <c r="J30" s="464">
        <f>SUM(J4:J28)*12</f>
        <v>729250</v>
      </c>
      <c r="K30" s="218"/>
      <c r="L30" s="329"/>
    </row>
    <row r="31" spans="1:12" ht="15">
      <c r="A31" s="462"/>
      <c r="B31" s="463"/>
      <c r="C31" s="463"/>
      <c r="D31" s="465"/>
      <c r="E31" s="461"/>
      <c r="F31" s="461"/>
      <c r="G31" s="465"/>
      <c r="H31" s="465"/>
      <c r="I31" s="463"/>
      <c r="J31" s="465"/>
      <c r="K31" s="218"/>
      <c r="L31" s="329"/>
    </row>
    <row r="32" spans="1:12">
      <c r="A32" s="466" t="s">
        <v>951</v>
      </c>
      <c r="B32" s="225"/>
      <c r="C32" s="225"/>
      <c r="D32" s="225"/>
      <c r="E32" s="225"/>
      <c r="F32" s="225"/>
      <c r="G32" s="225"/>
      <c r="H32" s="225"/>
      <c r="I32" s="225"/>
      <c r="J32" s="225"/>
    </row>
    <row r="33" spans="1:10">
      <c r="A33" s="466" t="s">
        <v>952</v>
      </c>
      <c r="B33" s="225"/>
      <c r="C33" s="225"/>
      <c r="D33" s="225"/>
      <c r="E33" s="225"/>
      <c r="F33" s="225"/>
      <c r="G33" s="225"/>
      <c r="H33" s="225"/>
      <c r="I33" s="225"/>
      <c r="J33" s="225"/>
    </row>
    <row r="34" spans="1:10">
      <c r="A34" s="225" t="s">
        <v>2520</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1" firstPageNumber="48" orientation="landscape" useFirstPageNumber="1" r:id="rId2"/>
  <headerFooter>
    <oddFooter>&amp;C&amp;P&amp;R&amp;A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5703125" style="6" customWidth="1"/>
    <col min="2" max="2" width="13.5703125" style="6" customWidth="1"/>
    <col min="3" max="3" width="2.5703125" style="6" customWidth="1"/>
    <col min="4" max="5" width="3.5703125" style="4" customWidth="1"/>
    <col min="6" max="6" width="65.5703125" style="4" customWidth="1"/>
    <col min="7" max="7" width="1.5703125" style="4" customWidth="1"/>
    <col min="8" max="8" width="3.5703125" hidden="1" customWidth="1"/>
    <col min="9" max="9" width="14" hidden="1" customWidth="1"/>
    <col min="10" max="16384" width="8.85546875" hidden="1"/>
  </cols>
  <sheetData>
    <row r="1" spans="1:9"/>
    <row r="2" spans="1:9">
      <c r="A2" s="1301" t="s">
        <v>1104</v>
      </c>
      <c r="B2" s="1301"/>
      <c r="C2" s="1265"/>
      <c r="D2" s="1265"/>
      <c r="E2" s="1265"/>
      <c r="F2" s="1265"/>
      <c r="G2" s="1265"/>
    </row>
    <row r="3" spans="1:9" s="173" customFormat="1">
      <c r="A3" s="1301" t="s">
        <v>1041</v>
      </c>
      <c r="B3" s="1301"/>
      <c r="C3" s="1265"/>
      <c r="D3" s="1265"/>
      <c r="E3" s="1265"/>
      <c r="F3" s="1265"/>
      <c r="G3" s="1265"/>
      <c r="I3" t="s">
        <v>309</v>
      </c>
    </row>
    <row r="4" spans="1:9">
      <c r="I4" s="3" t="s">
        <v>1105</v>
      </c>
    </row>
    <row r="5" spans="1:9">
      <c r="A5" s="1303" t="s">
        <v>1042</v>
      </c>
      <c r="B5" s="1303"/>
      <c r="C5" s="1265"/>
      <c r="D5" s="1265"/>
      <c r="E5" s="1265"/>
      <c r="F5" s="1265"/>
      <c r="G5" s="1265"/>
      <c r="I5" s="3" t="s">
        <v>1106</v>
      </c>
    </row>
    <row r="6" spans="1:9">
      <c r="A6" s="1303" t="s">
        <v>845</v>
      </c>
      <c r="B6" s="1303"/>
      <c r="C6" s="1265"/>
      <c r="D6" s="1265"/>
      <c r="E6" s="1265"/>
      <c r="F6" s="1265"/>
      <c r="G6" s="1265"/>
      <c r="I6" t="s">
        <v>600</v>
      </c>
    </row>
    <row r="7" spans="1:9" ht="12" customHeight="1"/>
    <row r="8" spans="1:9">
      <c r="A8" s="1301" t="s">
        <v>1201</v>
      </c>
      <c r="B8" s="1301"/>
      <c r="C8" s="1302"/>
      <c r="D8" s="1302"/>
      <c r="E8" s="1302"/>
      <c r="F8" s="1302"/>
      <c r="G8" s="1302"/>
    </row>
    <row r="9" spans="1:9">
      <c r="A9" s="1301" t="s">
        <v>1202</v>
      </c>
      <c r="B9" s="1301"/>
      <c r="C9" s="1302"/>
      <c r="D9" s="1302"/>
      <c r="E9" s="1302"/>
      <c r="F9" s="1302"/>
      <c r="G9" s="1302"/>
    </row>
    <row r="10" spans="1:9">
      <c r="A10" s="174"/>
      <c r="B10" s="174"/>
      <c r="C10" s="172"/>
      <c r="D10" s="172"/>
      <c r="E10" s="172"/>
      <c r="F10" s="172"/>
    </row>
    <row r="11" spans="1:9">
      <c r="A11" s="1284" t="s">
        <v>1204</v>
      </c>
      <c r="B11" s="1284"/>
      <c r="C11" s="1284"/>
      <c r="D11" s="1284"/>
      <c r="E11" s="1284"/>
      <c r="F11" s="1284"/>
      <c r="G11" s="1284"/>
    </row>
    <row r="12" spans="1:9">
      <c r="A12" s="172"/>
      <c r="B12" s="172"/>
      <c r="E12" s="2"/>
    </row>
    <row r="13" spans="1:9" ht="13.35" customHeight="1">
      <c r="C13" s="172"/>
      <c r="D13" s="1286" t="s">
        <v>1203</v>
      </c>
      <c r="E13" s="1286"/>
      <c r="F13" s="1286"/>
    </row>
    <row r="14" spans="1:9">
      <c r="C14" s="172"/>
      <c r="D14" s="1286"/>
      <c r="E14" s="1286"/>
      <c r="F14" s="1286"/>
    </row>
    <row r="15" spans="1:9">
      <c r="A15" s="175"/>
      <c r="B15" s="175"/>
      <c r="C15" s="175"/>
      <c r="D15" s="1283" t="s">
        <v>1186</v>
      </c>
      <c r="E15" s="1283"/>
      <c r="F15" s="1283"/>
    </row>
    <row r="16" spans="1:9">
      <c r="A16" s="175"/>
      <c r="B16" s="175"/>
      <c r="C16" s="175"/>
      <c r="D16" s="218"/>
    </row>
    <row r="17" spans="1:6" ht="14.25">
      <c r="A17" s="176"/>
      <c r="B17" s="469" t="s">
        <v>309</v>
      </c>
      <c r="C17" s="175"/>
      <c r="D17" s="1263" t="s">
        <v>1187</v>
      </c>
      <c r="E17" s="1263"/>
      <c r="F17" s="1263"/>
    </row>
    <row r="18" spans="1:6">
      <c r="A18" s="175"/>
      <c r="B18" s="175"/>
      <c r="C18" s="175"/>
      <c r="D18" s="1263"/>
      <c r="E18" s="1263"/>
      <c r="F18" s="1263"/>
    </row>
    <row r="19" spans="1:6">
      <c r="A19" s="175"/>
      <c r="B19" s="175"/>
      <c r="C19" s="175"/>
      <c r="D19" s="1263"/>
      <c r="E19" s="1263"/>
      <c r="F19" s="1263"/>
    </row>
    <row r="20" spans="1:6">
      <c r="A20" s="175"/>
      <c r="B20" s="175"/>
      <c r="C20" s="175"/>
    </row>
    <row r="21" spans="1:6" ht="14.25">
      <c r="A21" s="176"/>
      <c r="B21" s="469" t="s">
        <v>309</v>
      </c>
      <c r="D21" s="1287" t="s">
        <v>1188</v>
      </c>
      <c r="E21" s="1287"/>
      <c r="F21" s="1287"/>
    </row>
    <row r="22" spans="1:6" ht="14.25">
      <c r="A22" s="176"/>
      <c r="B22" s="176"/>
      <c r="D22" s="35"/>
    </row>
    <row r="23" spans="1:6" ht="14.25">
      <c r="A23" s="176"/>
      <c r="B23" s="469" t="s">
        <v>309</v>
      </c>
      <c r="D23" s="1263" t="s">
        <v>1189</v>
      </c>
      <c r="E23" s="1263"/>
      <c r="F23" s="1263"/>
    </row>
    <row r="24" spans="1:6" ht="14.25">
      <c r="A24" s="176"/>
      <c r="B24" s="176"/>
      <c r="D24" s="1263"/>
      <c r="E24" s="1263"/>
      <c r="F24" s="1263"/>
    </row>
    <row r="25" spans="1:6"/>
    <row r="26" spans="1:6" ht="14.25">
      <c r="A26" s="176"/>
      <c r="B26" s="469" t="s">
        <v>309</v>
      </c>
      <c r="D26" s="1263" t="s">
        <v>1190</v>
      </c>
      <c r="E26" s="1263"/>
      <c r="F26" s="1263"/>
    </row>
    <row r="27" spans="1:6">
      <c r="D27" s="1263"/>
      <c r="E27" s="1263"/>
      <c r="F27" s="1263"/>
    </row>
    <row r="28" spans="1:6">
      <c r="D28" s="1263"/>
      <c r="E28" s="1263"/>
      <c r="F28" s="1263"/>
    </row>
    <row r="29" spans="1:6">
      <c r="D29" s="1263"/>
      <c r="E29" s="1263"/>
      <c r="F29" s="1263"/>
    </row>
    <row r="30" spans="1:6">
      <c r="D30" s="1263"/>
      <c r="E30" s="1263"/>
      <c r="F30" s="1263"/>
    </row>
    <row r="31" spans="1:6">
      <c r="D31" s="220"/>
    </row>
    <row r="32" spans="1:6">
      <c r="B32" s="469" t="s">
        <v>309</v>
      </c>
      <c r="D32" s="1263" t="s">
        <v>1191</v>
      </c>
      <c r="E32" s="1263"/>
      <c r="F32" s="1263"/>
    </row>
    <row r="33" spans="1:6">
      <c r="D33" s="1263"/>
      <c r="E33" s="1263"/>
      <c r="F33" s="1263"/>
    </row>
    <row r="34" spans="1:6" ht="14.25">
      <c r="A34" s="176"/>
      <c r="B34" s="176"/>
      <c r="D34" s="220"/>
    </row>
    <row r="35" spans="1:6" ht="14.45" customHeight="1">
      <c r="A35" s="176"/>
      <c r="B35" s="469" t="s">
        <v>309</v>
      </c>
      <c r="D35" s="1263" t="s">
        <v>1192</v>
      </c>
      <c r="E35" s="1263"/>
      <c r="F35" s="1263"/>
    </row>
    <row r="36" spans="1:6" ht="14.25">
      <c r="A36" s="176"/>
      <c r="B36" s="176"/>
      <c r="D36" s="1263"/>
      <c r="E36" s="1263"/>
      <c r="F36" s="1263"/>
    </row>
    <row r="37" spans="1:6" ht="14.25">
      <c r="A37" s="176"/>
      <c r="B37" s="176"/>
      <c r="D37" s="1263"/>
      <c r="E37" s="1263"/>
      <c r="F37" s="1263"/>
    </row>
    <row r="38" spans="1:6" ht="14.25">
      <c r="A38" s="176"/>
      <c r="B38" s="176"/>
      <c r="D38"/>
    </row>
    <row r="39" spans="1:6" ht="14.25">
      <c r="A39" s="176"/>
      <c r="B39" s="469" t="s">
        <v>309</v>
      </c>
      <c r="D39" s="1263" t="s">
        <v>1193</v>
      </c>
      <c r="E39" s="1263"/>
      <c r="F39" s="1263"/>
    </row>
    <row r="40" spans="1:6" ht="14.25">
      <c r="A40" s="176"/>
      <c r="B40" s="176"/>
      <c r="D40" s="1263"/>
      <c r="E40" s="1263"/>
      <c r="F40" s="1263"/>
    </row>
    <row r="41" spans="1:6" ht="14.25">
      <c r="A41" s="176"/>
      <c r="B41" s="176"/>
      <c r="D41" s="1263"/>
      <c r="E41" s="1263"/>
      <c r="F41" s="1263"/>
    </row>
    <row r="42" spans="1:6" ht="14.25">
      <c r="A42" s="176"/>
      <c r="B42" s="176"/>
      <c r="D42" s="1263"/>
      <c r="E42" s="1263"/>
      <c r="F42" s="1263"/>
    </row>
    <row r="43" spans="1:6" ht="14.25">
      <c r="A43" s="176"/>
      <c r="B43" s="176"/>
      <c r="D43" s="1263"/>
      <c r="E43" s="1263"/>
      <c r="F43" s="1263"/>
    </row>
    <row r="44" spans="1:6" ht="14.25">
      <c r="A44" s="176"/>
      <c r="B44" s="176"/>
      <c r="D44" s="475"/>
      <c r="E44" s="475"/>
      <c r="F44" s="475"/>
    </row>
    <row r="45" spans="1:6" ht="14.25">
      <c r="A45" s="176"/>
      <c r="B45" s="469" t="s">
        <v>309</v>
      </c>
      <c r="D45" s="1263" t="s">
        <v>1194</v>
      </c>
      <c r="E45" s="1263"/>
      <c r="F45" s="1263"/>
    </row>
    <row r="46" spans="1:6" ht="14.25">
      <c r="A46" s="176"/>
      <c r="B46" s="176"/>
      <c r="D46" s="1263"/>
      <c r="E46" s="1263"/>
      <c r="F46" s="1263"/>
    </row>
    <row r="47" spans="1:6" ht="14.25">
      <c r="A47" s="176"/>
      <c r="B47" s="176"/>
      <c r="D47" s="1263"/>
      <c r="E47" s="1263"/>
      <c r="F47" s="1263"/>
    </row>
    <row r="48" spans="1:6" ht="23.25" customHeight="1">
      <c r="A48" s="176"/>
      <c r="B48" s="176"/>
      <c r="D48" s="1263"/>
      <c r="E48" s="1263"/>
      <c r="F48" s="1263"/>
    </row>
    <row r="49" spans="1:7" ht="14.25">
      <c r="A49" s="176"/>
      <c r="B49" s="176"/>
      <c r="D49" s="35"/>
    </row>
    <row r="50" spans="1:7" ht="14.45" customHeight="1">
      <c r="A50" s="176"/>
      <c r="B50" s="469" t="s">
        <v>309</v>
      </c>
      <c r="D50" s="1263" t="s">
        <v>1195</v>
      </c>
      <c r="E50" s="1263"/>
      <c r="F50" s="1263"/>
    </row>
    <row r="51" spans="1:7" ht="14.25">
      <c r="A51" s="176"/>
      <c r="B51" s="176"/>
      <c r="D51" s="1263"/>
      <c r="E51" s="1263"/>
      <c r="F51" s="1263"/>
    </row>
    <row r="52" spans="1:7" ht="14.25">
      <c r="A52" s="176"/>
      <c r="B52" s="176"/>
      <c r="D52" s="1263"/>
      <c r="E52" s="1263"/>
      <c r="F52" s="1263"/>
    </row>
    <row r="53" spans="1:7" ht="14.25">
      <c r="A53" s="176"/>
      <c r="B53" s="176"/>
      <c r="C53" s="386"/>
      <c r="D53" s="3"/>
      <c r="E53" s="3"/>
      <c r="F53" s="3"/>
      <c r="G53" s="3"/>
    </row>
    <row r="54" spans="1:7" ht="14.25">
      <c r="A54" s="176"/>
      <c r="B54" s="469" t="s">
        <v>309</v>
      </c>
      <c r="C54" s="386"/>
      <c r="D54" s="1263" t="s">
        <v>1196</v>
      </c>
      <c r="E54" s="1263"/>
      <c r="F54" s="1263"/>
      <c r="G54" s="3"/>
    </row>
    <row r="55" spans="1:7" ht="14.25">
      <c r="A55" s="176"/>
      <c r="B55" s="176"/>
      <c r="C55" s="386"/>
      <c r="D55" s="1263"/>
      <c r="E55" s="1263"/>
      <c r="F55" s="1263"/>
      <c r="G55" s="3"/>
    </row>
    <row r="56" spans="1:7">
      <c r="D56" s="220"/>
    </row>
    <row r="57" spans="1:7" ht="14.25">
      <c r="A57" s="176"/>
      <c r="B57" s="469" t="s">
        <v>309</v>
      </c>
      <c r="D57" s="1263" t="s">
        <v>1197</v>
      </c>
      <c r="E57" s="1263"/>
      <c r="F57" s="1263"/>
    </row>
    <row r="58" spans="1:7">
      <c r="D58" s="1263"/>
      <c r="E58" s="1263"/>
      <c r="F58" s="1263"/>
    </row>
    <row r="59" spans="1:7">
      <c r="D59" s="1263"/>
      <c r="E59" s="1263"/>
      <c r="F59" s="1263"/>
    </row>
    <row r="60" spans="1:7">
      <c r="D60" s="3"/>
    </row>
    <row r="61" spans="1:7" ht="14.25">
      <c r="A61" s="176"/>
      <c r="B61" s="469" t="s">
        <v>309</v>
      </c>
      <c r="D61" s="1263" t="s">
        <v>1198</v>
      </c>
      <c r="E61" s="1263"/>
      <c r="F61" s="1263"/>
    </row>
    <row r="62" spans="1:7">
      <c r="D62" s="1263"/>
      <c r="E62" s="1263"/>
      <c r="F62" s="1263"/>
    </row>
    <row r="63" spans="1:7"/>
    <row r="64" spans="1:7" ht="14.25">
      <c r="A64" s="176"/>
      <c r="B64" s="469" t="s">
        <v>309</v>
      </c>
      <c r="D64" s="1263" t="s">
        <v>1199</v>
      </c>
      <c r="E64" s="1263"/>
      <c r="F64" s="1263"/>
    </row>
    <row r="65" spans="1:7">
      <c r="D65" s="1263"/>
      <c r="E65" s="1263"/>
      <c r="F65" s="1263"/>
    </row>
    <row r="66" spans="1:7">
      <c r="D66" s="1263"/>
      <c r="E66" s="1263"/>
      <c r="F66" s="1263"/>
    </row>
    <row r="67" spans="1:7">
      <c r="D67"/>
    </row>
    <row r="68" spans="1:7" ht="14.25">
      <c r="A68" s="176"/>
      <c r="B68" s="469" t="s">
        <v>309</v>
      </c>
      <c r="D68" s="1263" t="s">
        <v>1200</v>
      </c>
      <c r="E68" s="1263"/>
      <c r="F68" s="1263"/>
    </row>
    <row r="69" spans="1:7">
      <c r="D69" s="1263"/>
      <c r="E69" s="1263"/>
      <c r="F69" s="1263"/>
    </row>
    <row r="70" spans="1:7" ht="14.25">
      <c r="A70" s="176"/>
      <c r="B70" s="176"/>
      <c r="D70" s="35"/>
    </row>
    <row r="71" spans="1:7">
      <c r="A71" s="1284" t="s">
        <v>1107</v>
      </c>
      <c r="B71" s="1284"/>
      <c r="C71" s="1284"/>
      <c r="D71" s="1284"/>
      <c r="E71" s="1284"/>
      <c r="F71" s="1284"/>
      <c r="G71" s="1284"/>
    </row>
    <row r="72" spans="1:7"/>
    <row r="73" spans="1:7">
      <c r="C73" s="177"/>
      <c r="D73" s="1295" t="s">
        <v>1205</v>
      </c>
      <c r="E73" s="1295"/>
      <c r="F73" s="1295"/>
    </row>
    <row r="74" spans="1:7">
      <c r="A74" s="35"/>
      <c r="B74" s="35"/>
      <c r="D74" s="1263" t="s">
        <v>1232</v>
      </c>
      <c r="E74" s="1263"/>
      <c r="F74" s="1263"/>
    </row>
    <row r="75" spans="1:7">
      <c r="A75" s="35"/>
      <c r="B75" s="35"/>
    </row>
    <row r="76" spans="1:7" ht="14.25">
      <c r="A76" s="176"/>
      <c r="B76" s="469" t="s">
        <v>309</v>
      </c>
      <c r="D76" s="1263" t="s">
        <v>1206</v>
      </c>
      <c r="E76" s="1263"/>
      <c r="F76" s="1263"/>
    </row>
    <row r="77" spans="1:7" ht="14.25">
      <c r="A77" s="176"/>
      <c r="B77" s="176"/>
      <c r="D77" s="1263"/>
      <c r="E77" s="1263"/>
      <c r="F77" s="1263"/>
    </row>
    <row r="78" spans="1:7" ht="14.25">
      <c r="A78" s="176"/>
      <c r="B78" s="176"/>
      <c r="D78" s="1263"/>
      <c r="E78" s="1263"/>
      <c r="F78" s="1263"/>
    </row>
    <row r="79" spans="1:7" ht="14.25">
      <c r="A79" s="176"/>
      <c r="B79" s="176"/>
      <c r="D79" s="1263"/>
      <c r="E79" s="1263"/>
      <c r="F79" s="1263"/>
    </row>
    <row r="80" spans="1:7" ht="14.25">
      <c r="A80" s="176"/>
      <c r="B80" s="176"/>
      <c r="D80" s="1263"/>
      <c r="E80" s="1263"/>
      <c r="F80" s="1263"/>
    </row>
    <row r="81" spans="1:6" ht="14.25">
      <c r="A81" s="176"/>
      <c r="B81" s="176"/>
      <c r="D81" s="1263"/>
      <c r="E81" s="1263"/>
      <c r="F81" s="1263"/>
    </row>
    <row r="82" spans="1:6" ht="14.25">
      <c r="A82" s="176"/>
      <c r="B82" s="176"/>
      <c r="D82" s="475"/>
      <c r="E82" s="475"/>
      <c r="F82" s="475"/>
    </row>
    <row r="83" spans="1:6" ht="14.45" customHeight="1">
      <c r="A83" s="176"/>
      <c r="B83" s="469" t="s">
        <v>309</v>
      </c>
      <c r="D83" s="1266" t="s">
        <v>1305</v>
      </c>
      <c r="E83" s="1266"/>
      <c r="F83" s="1266"/>
    </row>
    <row r="84" spans="1:6" ht="14.25">
      <c r="A84" s="176"/>
      <c r="B84" s="176"/>
      <c r="D84" s="1266"/>
      <c r="E84" s="1266"/>
      <c r="F84" s="1266"/>
    </row>
    <row r="85" spans="1:6" ht="14.25">
      <c r="A85" s="176"/>
      <c r="B85" s="176"/>
      <c r="D85" s="1266"/>
      <c r="E85" s="1266"/>
      <c r="F85" s="1266"/>
    </row>
    <row r="86" spans="1:6" ht="14.25">
      <c r="A86" s="176"/>
      <c r="B86" s="176"/>
      <c r="D86" s="1266"/>
      <c r="E86" s="1266"/>
      <c r="F86" s="1266"/>
    </row>
    <row r="87" spans="1:6" ht="14.25">
      <c r="A87" s="176"/>
      <c r="B87" s="176"/>
      <c r="D87" s="1266"/>
      <c r="E87" s="1266"/>
      <c r="F87" s="1266"/>
    </row>
    <row r="88" spans="1:6" ht="14.25">
      <c r="A88" s="176"/>
      <c r="B88" s="176"/>
      <c r="D88" s="1266"/>
      <c r="E88" s="1266"/>
      <c r="F88" s="1266"/>
    </row>
    <row r="89" spans="1:6" ht="14.25">
      <c r="A89" s="176"/>
      <c r="B89" s="176"/>
      <c r="D89" s="1266"/>
      <c r="E89" s="1266"/>
      <c r="F89" s="1266"/>
    </row>
    <row r="90" spans="1:6" ht="14.25">
      <c r="A90" s="176"/>
      <c r="B90" s="176"/>
      <c r="D90" s="1266"/>
      <c r="E90" s="1266"/>
      <c r="F90" s="1266"/>
    </row>
    <row r="91" spans="1:6" ht="14.25">
      <c r="A91" s="176"/>
      <c r="B91" s="176"/>
      <c r="D91" s="1266"/>
      <c r="E91" s="1266"/>
      <c r="F91" s="1266"/>
    </row>
    <row r="92" spans="1:6" ht="14.25">
      <c r="A92" s="176"/>
      <c r="B92" s="176"/>
      <c r="D92" s="1266"/>
      <c r="E92" s="1266"/>
      <c r="F92" s="1266"/>
    </row>
    <row r="93" spans="1:6" ht="14.25">
      <c r="A93" s="176"/>
      <c r="B93" s="176"/>
      <c r="D93" s="1266"/>
      <c r="E93" s="1266"/>
      <c r="F93" s="1266"/>
    </row>
    <row r="94" spans="1:6" ht="14.25">
      <c r="A94" s="176"/>
      <c r="B94" s="176"/>
      <c r="D94" s="1266"/>
      <c r="E94" s="1266"/>
      <c r="F94" s="1266"/>
    </row>
    <row r="95" spans="1:6" ht="14.25">
      <c r="A95" s="176"/>
      <c r="B95" s="176"/>
      <c r="D95" s="1266"/>
      <c r="E95" s="1266"/>
      <c r="F95" s="1266"/>
    </row>
    <row r="96" spans="1:6" ht="14.25">
      <c r="A96" s="176"/>
      <c r="B96" s="176"/>
      <c r="D96" s="1266"/>
      <c r="E96" s="1266"/>
      <c r="F96" s="1266"/>
    </row>
    <row r="97" spans="1:11" ht="14.25">
      <c r="A97" s="176"/>
      <c r="B97" s="469" t="s">
        <v>309</v>
      </c>
      <c r="D97" s="1263" t="s">
        <v>1207</v>
      </c>
      <c r="E97" s="1263"/>
      <c r="F97" s="1263"/>
    </row>
    <row r="98" spans="1:11" ht="14.25">
      <c r="A98" s="176"/>
      <c r="B98" s="176"/>
      <c r="D98" s="1263"/>
      <c r="E98" s="1263"/>
      <c r="F98" s="1263"/>
    </row>
    <row r="99" spans="1:11" ht="14.25">
      <c r="A99" s="176"/>
      <c r="B99" s="176"/>
      <c r="D99" s="1263"/>
      <c r="E99" s="1263"/>
      <c r="F99" s="1263"/>
    </row>
    <row r="100" spans="1:11" ht="14.25">
      <c r="A100" s="176"/>
      <c r="B100" s="176"/>
      <c r="D100" s="1263"/>
      <c r="E100" s="1263"/>
      <c r="F100" s="1263"/>
    </row>
    <row r="101" spans="1:11" ht="14.25">
      <c r="A101" s="176"/>
      <c r="B101" s="176"/>
      <c r="D101" s="1263"/>
      <c r="E101" s="1263"/>
      <c r="F101" s="1263"/>
    </row>
    <row r="102" spans="1:11" ht="14.25">
      <c r="A102" s="176"/>
      <c r="B102" s="176"/>
      <c r="D102" s="1263"/>
      <c r="E102" s="1263"/>
      <c r="F102" s="1263"/>
    </row>
    <row r="103" spans="1:11" ht="14.25">
      <c r="A103" s="176"/>
      <c r="B103" s="176"/>
      <c r="D103" s="1263"/>
      <c r="E103" s="1263"/>
      <c r="F103" s="1263"/>
    </row>
    <row r="104" spans="1:11" ht="14.25">
      <c r="A104" s="176"/>
      <c r="B104" s="176"/>
      <c r="D104" s="1263"/>
      <c r="E104" s="1263"/>
      <c r="F104" s="1263"/>
    </row>
    <row r="105" spans="1:11" ht="14.25">
      <c r="A105" s="176"/>
      <c r="B105" s="176"/>
      <c r="D105" s="475"/>
      <c r="E105" s="475"/>
      <c r="F105" s="475"/>
    </row>
    <row r="106" spans="1:11" ht="14.25">
      <c r="A106" s="176"/>
      <c r="B106" s="469" t="s">
        <v>309</v>
      </c>
      <c r="C106" s="179"/>
      <c r="D106" s="1304" t="s">
        <v>1208</v>
      </c>
      <c r="E106" s="1304"/>
      <c r="F106" s="1304"/>
      <c r="G106" s="183"/>
      <c r="H106" s="181"/>
      <c r="I106" s="181"/>
      <c r="J106" s="181"/>
      <c r="K106" s="181"/>
    </row>
    <row r="107" spans="1:11" ht="14.25">
      <c r="A107" s="176"/>
      <c r="B107" s="176"/>
      <c r="C107" s="179"/>
      <c r="D107" s="1304"/>
      <c r="E107" s="1304"/>
      <c r="F107" s="1304"/>
      <c r="G107" s="183"/>
      <c r="H107" s="181"/>
      <c r="I107" s="181"/>
      <c r="J107" s="181"/>
      <c r="K107" s="181"/>
    </row>
    <row r="108" spans="1:11" ht="14.25">
      <c r="A108" s="176"/>
      <c r="B108" s="176"/>
      <c r="C108" s="179"/>
      <c r="D108" s="1304"/>
      <c r="E108" s="1304"/>
      <c r="F108" s="1304"/>
      <c r="G108" s="183"/>
      <c r="H108" s="181"/>
      <c r="I108" s="181"/>
      <c r="J108" s="181"/>
      <c r="K108" s="181"/>
    </row>
    <row r="109" spans="1:11" ht="14.25">
      <c r="A109" s="176"/>
      <c r="B109" s="176"/>
      <c r="C109" s="179"/>
      <c r="D109" s="1304"/>
      <c r="E109" s="1304"/>
      <c r="F109" s="1304"/>
      <c r="G109" s="183"/>
      <c r="H109" s="181"/>
      <c r="I109" s="181"/>
      <c r="J109" s="181"/>
      <c r="K109" s="181"/>
    </row>
    <row r="110" spans="1:11" ht="14.25">
      <c r="A110" s="176"/>
      <c r="B110" s="176"/>
      <c r="C110" s="179"/>
      <c r="D110" s="1304"/>
      <c r="E110" s="1304"/>
      <c r="F110" s="1304"/>
      <c r="G110" s="183"/>
      <c r="H110" s="181"/>
      <c r="I110" s="181"/>
      <c r="J110" s="181"/>
      <c r="K110" s="181"/>
    </row>
    <row r="111" spans="1:11">
      <c r="C111"/>
      <c r="D111" s="1304"/>
      <c r="E111" s="1304"/>
      <c r="F111" s="1304"/>
      <c r="G111"/>
    </row>
    <row r="112" spans="1:11">
      <c r="C112"/>
      <c r="D112" s="1304"/>
      <c r="E112" s="1304"/>
      <c r="F112" s="1304"/>
      <c r="G112"/>
    </row>
    <row r="113" spans="1:7">
      <c r="C113"/>
      <c r="D113" s="330"/>
      <c r="E113"/>
      <c r="F113"/>
      <c r="G113"/>
    </row>
    <row r="114" spans="1:7" ht="14.25">
      <c r="A114" s="176"/>
      <c r="B114" s="469" t="s">
        <v>309</v>
      </c>
      <c r="C114"/>
      <c r="D114" s="1305" t="s">
        <v>1209</v>
      </c>
      <c r="E114" s="1305"/>
      <c r="F114" s="1305"/>
      <c r="G114"/>
    </row>
    <row r="115" spans="1:7" ht="14.25">
      <c r="A115" s="176"/>
      <c r="B115" s="176"/>
      <c r="C115"/>
      <c r="D115" s="1305"/>
      <c r="E115" s="1305"/>
      <c r="F115" s="1305"/>
      <c r="G115"/>
    </row>
    <row r="116" spans="1:7"/>
    <row r="117" spans="1:7" ht="14.25">
      <c r="A117" s="176"/>
      <c r="B117" s="469" t="s">
        <v>309</v>
      </c>
      <c r="D117" s="1263" t="s">
        <v>1210</v>
      </c>
      <c r="E117" s="1263"/>
      <c r="F117" s="1263"/>
    </row>
    <row r="118" spans="1:7">
      <c r="D118" s="1263"/>
      <c r="E118" s="1263"/>
      <c r="F118" s="1263"/>
    </row>
    <row r="119" spans="1:7">
      <c r="D119" s="1263"/>
      <c r="E119" s="1263"/>
      <c r="F119" s="1263"/>
    </row>
    <row r="120" spans="1:7">
      <c r="D120" s="1263"/>
      <c r="E120" s="1263"/>
      <c r="F120" s="1263"/>
    </row>
    <row r="121" spans="1:7">
      <c r="D121" s="1263"/>
      <c r="E121" s="1263"/>
      <c r="F121" s="1263"/>
    </row>
    <row r="122" spans="1:7"/>
    <row r="123" spans="1:7" ht="14.25">
      <c r="A123" s="176"/>
      <c r="B123" s="469" t="s">
        <v>309</v>
      </c>
      <c r="D123" s="1263" t="s">
        <v>1211</v>
      </c>
      <c r="E123" s="1263"/>
      <c r="F123" s="1263"/>
    </row>
    <row r="124" spans="1:7" s="197" customFormat="1" ht="13.7" customHeight="1">
      <c r="A124" s="195"/>
      <c r="B124" s="195"/>
      <c r="C124" s="195"/>
      <c r="D124" s="1263"/>
      <c r="E124" s="1263"/>
      <c r="F124" s="1263"/>
      <c r="G124" s="196"/>
    </row>
    <row r="125" spans="1:7" ht="13.7" customHeight="1">
      <c r="D125" s="1263"/>
      <c r="E125" s="1263"/>
      <c r="F125" s="1263"/>
    </row>
    <row r="126" spans="1:7" ht="13.7" customHeight="1">
      <c r="D126" s="1263"/>
      <c r="E126" s="1263"/>
      <c r="F126" s="1263"/>
    </row>
    <row r="127" spans="1:7" ht="13.7" customHeight="1">
      <c r="D127" s="1263"/>
      <c r="E127" s="1263"/>
      <c r="F127" s="1263"/>
    </row>
    <row r="128" spans="1:7" ht="13.7" customHeight="1">
      <c r="A128" s="256"/>
      <c r="B128" s="256"/>
      <c r="D128" s="1263"/>
      <c r="E128" s="1263"/>
      <c r="F128" s="1263"/>
    </row>
    <row r="129" spans="2:6" ht="13.7" customHeight="1">
      <c r="D129" s="1263"/>
      <c r="E129" s="1263"/>
      <c r="F129" s="1263"/>
    </row>
    <row r="130" spans="2:6" ht="13.7" customHeight="1">
      <c r="D130" s="1263"/>
      <c r="E130" s="1263"/>
      <c r="F130" s="1263"/>
    </row>
    <row r="131" spans="2:6" ht="13.7" customHeight="1">
      <c r="D131" s="1263"/>
      <c r="E131" s="1263"/>
      <c r="F131" s="1263"/>
    </row>
    <row r="132" spans="2:6" ht="13.7" customHeight="1">
      <c r="D132" s="1263"/>
      <c r="E132" s="1263"/>
      <c r="F132" s="1263"/>
    </row>
    <row r="133" spans="2:6" ht="13.7" customHeight="1">
      <c r="D133" s="1263"/>
      <c r="E133" s="1263"/>
      <c r="F133" s="1263"/>
    </row>
    <row r="134" spans="2:6" ht="13.7" customHeight="1">
      <c r="D134" s="1263"/>
      <c r="E134" s="1263"/>
      <c r="F134" s="1263"/>
    </row>
    <row r="135" spans="2:6" ht="13.7" customHeight="1">
      <c r="D135" s="218"/>
      <c r="E135" s="35"/>
      <c r="F135" s="35"/>
    </row>
    <row r="136" spans="2:6" ht="13.7" customHeight="1">
      <c r="B136" s="469" t="s">
        <v>309</v>
      </c>
      <c r="D136" s="1263" t="s">
        <v>1319</v>
      </c>
      <c r="E136" s="1263"/>
      <c r="F136" s="1263"/>
    </row>
    <row r="137" spans="2:6" ht="13.7" customHeight="1">
      <c r="D137" s="1263"/>
      <c r="E137" s="1263"/>
      <c r="F137" s="1263"/>
    </row>
    <row r="138" spans="2:6" ht="13.7" customHeight="1">
      <c r="D138" s="1263"/>
      <c r="E138" s="1263"/>
      <c r="F138" s="1263"/>
    </row>
    <row r="139" spans="2:6" ht="13.7" customHeight="1">
      <c r="D139" s="1263"/>
      <c r="E139" s="1263"/>
      <c r="F139" s="1263"/>
    </row>
    <row r="140" spans="2:6" ht="13.7" customHeight="1">
      <c r="D140" s="1263"/>
      <c r="E140" s="1263"/>
      <c r="F140" s="1263"/>
    </row>
    <row r="141" spans="2:6" ht="13.7" customHeight="1">
      <c r="D141" s="1263"/>
      <c r="E141" s="1263"/>
      <c r="F141" s="1263"/>
    </row>
    <row r="142" spans="2:6" ht="13.7" customHeight="1">
      <c r="D142" s="1263"/>
      <c r="E142" s="1263"/>
      <c r="F142" s="1263"/>
    </row>
    <row r="143" spans="2:6" ht="13.7" customHeight="1">
      <c r="D143" s="1263"/>
      <c r="E143" s="1263"/>
      <c r="F143" s="1263"/>
    </row>
    <row r="144" spans="2:6" ht="13.7" customHeight="1">
      <c r="D144" s="1263"/>
      <c r="E144" s="1263"/>
      <c r="F144" s="1263"/>
    </row>
    <row r="145" spans="1:7" ht="13.7" customHeight="1">
      <c r="D145" s="1263"/>
      <c r="E145" s="1263"/>
      <c r="F145" s="1263"/>
    </row>
    <row r="146" spans="1:7" ht="13.7" customHeight="1">
      <c r="D146" s="1263"/>
      <c r="E146" s="1263"/>
      <c r="F146" s="1263"/>
    </row>
    <row r="147" spans="1:7" ht="13.7" customHeight="1">
      <c r="D147" s="1263"/>
      <c r="E147" s="1263"/>
      <c r="F147" s="1263"/>
    </row>
    <row r="148" spans="1:7" ht="13.7" customHeight="1">
      <c r="D148" s="1263"/>
      <c r="E148" s="1263"/>
      <c r="F148" s="1263"/>
    </row>
    <row r="149" spans="1:7" ht="13.7" customHeight="1">
      <c r="D149" s="1263"/>
      <c r="E149" s="1263"/>
      <c r="F149" s="1263"/>
    </row>
    <row r="150" spans="1:7" ht="13.7" customHeight="1">
      <c r="D150" s="1263"/>
      <c r="E150" s="1263"/>
      <c r="F150" s="1263"/>
    </row>
    <row r="151" spans="1:7" ht="13.7" customHeight="1">
      <c r="D151" s="1263"/>
      <c r="E151" s="1263"/>
      <c r="F151" s="1263"/>
    </row>
    <row r="152" spans="1:7" ht="13.7" customHeight="1">
      <c r="D152" s="1263"/>
      <c r="E152" s="1263"/>
      <c r="F152" s="1263"/>
    </row>
    <row r="153" spans="1:7" ht="13.7" customHeight="1">
      <c r="D153" s="1263"/>
      <c r="E153" s="1263"/>
      <c r="F153" s="1263"/>
    </row>
    <row r="154" spans="1:7" ht="13.7" customHeight="1">
      <c r="D154" s="1263"/>
      <c r="E154" s="1263"/>
      <c r="F154" s="1263"/>
    </row>
    <row r="155" spans="1:7" ht="13.7" customHeight="1">
      <c r="D155" s="218"/>
      <c r="E155" s="35"/>
      <c r="F155" s="35"/>
    </row>
    <row r="156" spans="1:7" ht="13.7" customHeight="1">
      <c r="A156" s="256"/>
      <c r="B156" s="469" t="s">
        <v>309</v>
      </c>
      <c r="C156" s="218"/>
      <c r="D156" s="1266" t="s">
        <v>1212</v>
      </c>
      <c r="E156" s="1266"/>
      <c r="F156" s="1266"/>
      <c r="G156" s="218"/>
    </row>
    <row r="157" spans="1:7" ht="13.7" customHeight="1">
      <c r="A157" s="256"/>
      <c r="B157" s="256"/>
      <c r="C157" s="218"/>
      <c r="D157" s="1266"/>
      <c r="E157" s="1266"/>
      <c r="F157" s="1266"/>
      <c r="G157" s="218"/>
    </row>
    <row r="158" spans="1:7" ht="13.7" customHeight="1">
      <c r="A158" s="256"/>
      <c r="B158" s="256"/>
      <c r="C158" s="218"/>
      <c r="D158" s="218"/>
      <c r="E158" s="218"/>
      <c r="F158" s="218"/>
      <c r="G158" s="218"/>
    </row>
    <row r="159" spans="1:7" ht="13.7" customHeight="1">
      <c r="A159" s="256"/>
      <c r="B159" s="469" t="s">
        <v>309</v>
      </c>
      <c r="C159" s="218"/>
      <c r="D159" s="1266" t="s">
        <v>1213</v>
      </c>
      <c r="E159" s="1266"/>
      <c r="F159" s="1266"/>
      <c r="G159" s="218"/>
    </row>
    <row r="160" spans="1:7" ht="13.7" customHeight="1">
      <c r="A160" s="256"/>
      <c r="B160" s="256"/>
      <c r="C160" s="218"/>
      <c r="D160" s="1266"/>
      <c r="E160" s="1266"/>
      <c r="F160" s="1266"/>
      <c r="G160" s="218"/>
    </row>
    <row r="161" spans="1:7" ht="13.7" customHeight="1">
      <c r="A161" s="256"/>
      <c r="B161" s="256"/>
      <c r="C161" s="218"/>
      <c r="D161" s="1266"/>
      <c r="E161" s="1266"/>
      <c r="F161" s="1266"/>
      <c r="G161" s="218"/>
    </row>
    <row r="162" spans="1:7" ht="13.7" customHeight="1">
      <c r="A162" s="256"/>
      <c r="B162" s="256"/>
      <c r="C162" s="218"/>
      <c r="D162" s="1266"/>
      <c r="E162" s="1266"/>
      <c r="F162" s="1266"/>
      <c r="G162" s="218"/>
    </row>
    <row r="163" spans="1:7" ht="13.7" customHeight="1">
      <c r="D163" s="35"/>
      <c r="E163" s="35"/>
      <c r="F163" s="35"/>
    </row>
    <row r="164" spans="1:7" ht="13.7" customHeight="1">
      <c r="B164" s="469" t="s">
        <v>309</v>
      </c>
      <c r="D164" s="1300" t="s">
        <v>1214</v>
      </c>
      <c r="E164" s="1300"/>
      <c r="F164" s="1300"/>
    </row>
    <row r="165" spans="1:7" ht="13.7" customHeight="1">
      <c r="D165" s="1300"/>
      <c r="E165" s="1300"/>
      <c r="F165" s="1300"/>
    </row>
    <row r="166" spans="1:7" ht="13.7" customHeight="1">
      <c r="D166" s="1300"/>
      <c r="E166" s="1300"/>
      <c r="F166" s="1300"/>
    </row>
    <row r="167" spans="1:7" ht="13.7" customHeight="1">
      <c r="A167" s="13"/>
      <c r="B167" s="13"/>
      <c r="E167" s="35"/>
      <c r="F167" s="35"/>
    </row>
    <row r="168" spans="1:7">
      <c r="A168" s="1284" t="s">
        <v>1108</v>
      </c>
      <c r="B168" s="1284"/>
      <c r="C168" s="1284"/>
      <c r="D168" s="1284"/>
      <c r="E168" s="1284"/>
      <c r="F168" s="1284"/>
      <c r="G168" s="1284"/>
    </row>
    <row r="169" spans="1:7" ht="12" customHeight="1">
      <c r="D169" s="35"/>
      <c r="E169" s="35"/>
      <c r="F169" s="35"/>
    </row>
    <row r="170" spans="1:7">
      <c r="B170" s="1281" t="s">
        <v>449</v>
      </c>
      <c r="C170" s="1281"/>
      <c r="D170" s="1281"/>
      <c r="E170" s="1281"/>
      <c r="F170" s="1281"/>
    </row>
    <row r="171" spans="1:7" ht="12" customHeight="1">
      <c r="A171" s="172"/>
      <c r="B171" s="172"/>
      <c r="C171" s="172"/>
    </row>
    <row r="172" spans="1:7">
      <c r="A172" s="1284" t="s">
        <v>1109</v>
      </c>
      <c r="B172" s="1284"/>
      <c r="C172" s="1284"/>
      <c r="D172" s="1284"/>
      <c r="E172" s="1284"/>
      <c r="F172" s="1284"/>
      <c r="G172" s="1284"/>
    </row>
    <row r="173" spans="1:7" ht="12" customHeight="1">
      <c r="A173" s="2"/>
      <c r="B173" s="2"/>
      <c r="E173" s="2"/>
    </row>
    <row r="174" spans="1:7" ht="13.35" customHeight="1">
      <c r="A174" s="2"/>
      <c r="B174" s="2"/>
      <c r="D174" s="1306" t="s">
        <v>1217</v>
      </c>
      <c r="E174" s="1306"/>
      <c r="F174" s="1306"/>
    </row>
    <row r="175" spans="1:7">
      <c r="A175" s="2"/>
      <c r="B175" s="2"/>
      <c r="D175" s="1306"/>
      <c r="E175" s="1306"/>
      <c r="F175" s="1306"/>
    </row>
    <row r="176" spans="1:7">
      <c r="A176" s="2"/>
      <c r="B176" s="2"/>
      <c r="D176" s="1293" t="s">
        <v>1218</v>
      </c>
      <c r="E176" s="1293"/>
      <c r="F176" s="1293"/>
    </row>
    <row r="177" spans="1:7" ht="12" customHeight="1">
      <c r="A177" s="2"/>
      <c r="B177" s="2"/>
      <c r="E177" s="2"/>
    </row>
    <row r="178" spans="1:7" ht="14.25">
      <c r="A178" s="176"/>
      <c r="B178" s="469" t="s">
        <v>309</v>
      </c>
      <c r="D178" s="1278" t="s">
        <v>1216</v>
      </c>
      <c r="E178" s="1278"/>
      <c r="F178" s="1278"/>
    </row>
    <row r="179" spans="1:7" ht="14.25">
      <c r="A179" s="176"/>
      <c r="B179" s="176"/>
      <c r="D179" s="1278"/>
      <c r="E179" s="1278"/>
      <c r="F179" s="1278"/>
    </row>
    <row r="180" spans="1:7" ht="14.25">
      <c r="A180" s="176"/>
      <c r="B180" s="176"/>
      <c r="D180" s="1278"/>
      <c r="E180" s="1278"/>
      <c r="F180" s="1278"/>
    </row>
    <row r="181" spans="1:7">
      <c r="D181" s="1278"/>
      <c r="E181" s="1278"/>
      <c r="F181" s="1278"/>
    </row>
    <row r="182" spans="1:7">
      <c r="D182" s="220"/>
    </row>
    <row r="183" spans="1:7">
      <c r="D183" s="1299" t="s">
        <v>1125</v>
      </c>
      <c r="E183" s="1299"/>
      <c r="F183" s="1299"/>
    </row>
    <row r="184" spans="1:7">
      <c r="D184" s="1299"/>
      <c r="E184" s="1299"/>
      <c r="F184" s="1299"/>
    </row>
    <row r="185" spans="1:7">
      <c r="D185" s="476"/>
      <c r="E185" s="476"/>
      <c r="F185" s="476"/>
    </row>
    <row r="186" spans="1:7" ht="14.25">
      <c r="A186" s="176"/>
      <c r="B186" s="469" t="s">
        <v>309</v>
      </c>
      <c r="C186" s="386"/>
      <c r="D186" s="1263" t="s">
        <v>1215</v>
      </c>
      <c r="E186" s="1263"/>
      <c r="F186" s="1263"/>
      <c r="G186" s="3"/>
    </row>
    <row r="187" spans="1:7" ht="14.45" customHeight="1">
      <c r="A187" s="176"/>
      <c r="B187"/>
      <c r="C187" s="386"/>
      <c r="D187" s="1263"/>
      <c r="E187" s="1263"/>
      <c r="F187" s="1263"/>
      <c r="G187" s="3"/>
    </row>
    <row r="188" spans="1:7" ht="14.25">
      <c r="A188" s="176"/>
      <c r="B188" s="386"/>
      <c r="C188" s="386"/>
      <c r="D188" s="1263"/>
      <c r="E188" s="1263"/>
      <c r="F188" s="1263"/>
      <c r="G188" s="3"/>
    </row>
    <row r="189" spans="1:7" ht="14.25">
      <c r="A189" s="176"/>
      <c r="B189" s="386"/>
      <c r="C189" s="386"/>
      <c r="D189" s="1263"/>
      <c r="E189" s="1263"/>
      <c r="F189" s="1263"/>
      <c r="G189" s="3"/>
    </row>
    <row r="190" spans="1:7">
      <c r="D190" s="476"/>
      <c r="E190" s="476"/>
      <c r="F190" s="476"/>
    </row>
    <row r="191" spans="1:7">
      <c r="A191" s="1284" t="s">
        <v>1110</v>
      </c>
      <c r="B191" s="1284"/>
      <c r="C191" s="1284"/>
      <c r="D191" s="1284"/>
      <c r="E191" s="1284"/>
      <c r="F191" s="1284"/>
      <c r="G191" s="1284"/>
    </row>
    <row r="192" spans="1:7" ht="12" customHeight="1">
      <c r="D192" s="35"/>
      <c r="E192" s="35"/>
      <c r="F192" s="35"/>
    </row>
    <row r="193" spans="1:6">
      <c r="C193" s="177"/>
      <c r="D193" s="1282" t="s">
        <v>210</v>
      </c>
      <c r="E193" s="1282"/>
      <c r="F193" s="1282"/>
    </row>
    <row r="194" spans="1:6">
      <c r="A194" s="172"/>
      <c r="B194" s="172"/>
      <c r="C194" s="172"/>
      <c r="D194" s="1283" t="s">
        <v>1239</v>
      </c>
      <c r="E194" s="1289"/>
      <c r="F194" s="1289"/>
    </row>
    <row r="195" spans="1:6" ht="12" customHeight="1">
      <c r="A195" s="13"/>
      <c r="B195" s="13"/>
      <c r="C195" s="13"/>
    </row>
    <row r="196" spans="1:6" ht="13.35" customHeight="1">
      <c r="A196" s="13"/>
      <c r="C196" s="13"/>
      <c r="D196" s="1282" t="s">
        <v>555</v>
      </c>
      <c r="E196" s="1282"/>
      <c r="F196" s="1282"/>
    </row>
    <row r="197" spans="1:6" ht="14.25">
      <c r="A197" s="176"/>
      <c r="B197" s="469" t="s">
        <v>309</v>
      </c>
      <c r="D197" s="1263" t="s">
        <v>1233</v>
      </c>
      <c r="E197" s="1263"/>
      <c r="F197" s="1263"/>
    </row>
    <row r="198" spans="1:6" ht="14.25">
      <c r="A198" s="176"/>
      <c r="B198" s="176"/>
      <c r="D198" s="1263"/>
      <c r="E198" s="1263"/>
      <c r="F198" s="1263"/>
    </row>
    <row r="199" spans="1:6"/>
    <row r="200" spans="1:6" ht="14.25">
      <c r="A200" s="176"/>
      <c r="B200" s="469" t="s">
        <v>309</v>
      </c>
      <c r="D200" s="1263" t="s">
        <v>1234</v>
      </c>
      <c r="E200" s="1263"/>
      <c r="F200" s="1263"/>
    </row>
    <row r="201" spans="1:6" ht="14.25">
      <c r="A201" s="176"/>
      <c r="B201" s="176"/>
      <c r="D201" s="1263"/>
      <c r="E201" s="1263"/>
      <c r="F201" s="1263"/>
    </row>
    <row r="202" spans="1:6" ht="14.25">
      <c r="A202" s="176"/>
      <c r="B202" s="176"/>
      <c r="D202" s="1263"/>
      <c r="E202" s="1263"/>
      <c r="F202" s="1263"/>
    </row>
    <row r="203" spans="1:6" ht="5.25" customHeight="1">
      <c r="A203" s="176"/>
      <c r="B203" s="176"/>
      <c r="D203" s="35"/>
      <c r="E203" s="35"/>
      <c r="F203" s="35"/>
    </row>
    <row r="204" spans="1:6" ht="14.25">
      <c r="A204" s="176"/>
      <c r="B204" s="176"/>
      <c r="D204" s="1263" t="s">
        <v>1235</v>
      </c>
      <c r="E204" s="1263"/>
      <c r="F204" s="1263"/>
    </row>
    <row r="205" spans="1:6" ht="14.25">
      <c r="A205" s="176"/>
      <c r="B205" s="176"/>
      <c r="D205" s="1263"/>
      <c r="E205" s="1263"/>
      <c r="F205" s="1263"/>
    </row>
    <row r="206" spans="1:6" ht="14.25">
      <c r="A206" s="176"/>
      <c r="B206" s="176"/>
      <c r="D206" s="1263"/>
      <c r="E206" s="1263"/>
      <c r="F206" s="1263"/>
    </row>
    <row r="207" spans="1:6" ht="14.25">
      <c r="A207" s="176"/>
      <c r="B207" s="176"/>
      <c r="D207" s="1263"/>
      <c r="E207" s="1263"/>
      <c r="F207" s="1263"/>
    </row>
    <row r="208" spans="1:6" ht="14.25">
      <c r="A208" s="176"/>
      <c r="B208" s="176"/>
      <c r="D208" s="1263"/>
      <c r="E208" s="1263"/>
      <c r="F208" s="1263"/>
    </row>
    <row r="209" spans="1:7" ht="14.25">
      <c r="A209" s="176"/>
      <c r="B209" s="176"/>
      <c r="D209" s="35"/>
      <c r="E209" s="35"/>
      <c r="F209" s="35"/>
    </row>
    <row r="210" spans="1:7" ht="14.25">
      <c r="A210" s="176"/>
      <c r="B210" s="469" t="s">
        <v>309</v>
      </c>
      <c r="D210" s="1263" t="s">
        <v>1236</v>
      </c>
      <c r="E210" s="1263"/>
      <c r="F210" s="1263"/>
    </row>
    <row r="211" spans="1:7" ht="14.25">
      <c r="A211" s="176"/>
      <c r="B211" s="176"/>
      <c r="D211" s="1263"/>
      <c r="E211" s="1263"/>
      <c r="F211" s="1263"/>
    </row>
    <row r="212" spans="1:7" ht="14.25">
      <c r="A212" s="176"/>
      <c r="B212" s="176"/>
      <c r="D212" s="1281" t="s">
        <v>927</v>
      </c>
      <c r="E212" s="1281"/>
      <c r="F212" s="1281"/>
    </row>
    <row r="213" spans="1:7" ht="14.25">
      <c r="A213" s="176"/>
      <c r="B213" s="176"/>
      <c r="D213" s="35"/>
      <c r="E213" s="35"/>
      <c r="F213" s="35"/>
    </row>
    <row r="214" spans="1:7" ht="14.45" customHeight="1">
      <c r="A214" s="176"/>
      <c r="B214" s="469" t="s">
        <v>309</v>
      </c>
      <c r="D214" s="1263" t="s">
        <v>1238</v>
      </c>
      <c r="E214" s="1263"/>
      <c r="F214" s="1263"/>
    </row>
    <row r="215" spans="1:7" ht="14.25">
      <c r="A215" s="176"/>
      <c r="B215" s="176"/>
      <c r="D215" s="1263"/>
      <c r="E215" s="1263"/>
      <c r="F215" s="1263"/>
    </row>
    <row r="216" spans="1:7" ht="14.25">
      <c r="A216" s="176"/>
      <c r="B216" s="176"/>
      <c r="D216" s="1263"/>
      <c r="E216" s="1263"/>
      <c r="F216" s="1263"/>
    </row>
    <row r="217" spans="1:7" ht="14.25">
      <c r="A217" s="176"/>
      <c r="B217" s="176"/>
      <c r="D217" s="1263"/>
      <c r="E217" s="1263"/>
      <c r="F217" s="1263"/>
    </row>
    <row r="218" spans="1:7" ht="14.25">
      <c r="A218" s="176"/>
      <c r="B218" s="176"/>
      <c r="D218" s="1263"/>
      <c r="E218" s="1263"/>
      <c r="F218" s="1263"/>
    </row>
    <row r="219" spans="1:7">
      <c r="D219" s="35"/>
      <c r="E219" s="35"/>
      <c r="F219" s="35"/>
    </row>
    <row r="220" spans="1:7" ht="14.25">
      <c r="A220" s="176"/>
      <c r="B220" s="469" t="s">
        <v>309</v>
      </c>
      <c r="D220" s="1263" t="s">
        <v>1237</v>
      </c>
      <c r="E220" s="1263"/>
      <c r="F220" s="1263"/>
    </row>
    <row r="221" spans="1:7" ht="14.25">
      <c r="A221" s="176"/>
      <c r="B221" s="176"/>
      <c r="D221" s="1263"/>
      <c r="E221" s="1263"/>
      <c r="F221" s="1263"/>
    </row>
    <row r="222" spans="1:7">
      <c r="D222" s="19"/>
    </row>
    <row r="223" spans="1:7">
      <c r="A223" s="1284" t="s">
        <v>1111</v>
      </c>
      <c r="B223" s="1284"/>
      <c r="C223" s="1284"/>
      <c r="D223" s="1284"/>
      <c r="E223" s="1284"/>
      <c r="F223" s="1284"/>
      <c r="G223" s="1284"/>
    </row>
    <row r="224" spans="1:7">
      <c r="D224" s="19"/>
    </row>
    <row r="225" spans="1:6">
      <c r="C225" s="177"/>
      <c r="D225" s="1282" t="s">
        <v>1240</v>
      </c>
      <c r="E225" s="1282"/>
      <c r="F225" s="1282"/>
    </row>
    <row r="226" spans="1:6">
      <c r="A226" s="172"/>
      <c r="B226" s="172"/>
      <c r="C226" s="172"/>
      <c r="D226" s="35"/>
      <c r="E226" s="35"/>
      <c r="F226" s="35"/>
    </row>
    <row r="227" spans="1:6">
      <c r="A227" s="175"/>
      <c r="B227" s="175"/>
      <c r="C227" s="175"/>
      <c r="D227" s="1282" t="s">
        <v>271</v>
      </c>
      <c r="E227" s="1282"/>
      <c r="F227" s="1282"/>
    </row>
    <row r="228" spans="1:6" ht="14.25">
      <c r="A228" s="176"/>
      <c r="B228" s="469" t="s">
        <v>309</v>
      </c>
      <c r="D228" s="1312" t="s">
        <v>1241</v>
      </c>
      <c r="E228" s="1312"/>
      <c r="F228" s="1312"/>
    </row>
    <row r="229" spans="1:6" ht="14.25">
      <c r="A229" s="176"/>
      <c r="B229" s="176"/>
      <c r="D229" s="1312"/>
      <c r="E229" s="1312"/>
      <c r="F229" s="1312"/>
    </row>
    <row r="230" spans="1:6">
      <c r="D230" s="35"/>
      <c r="E230" s="35"/>
      <c r="F230" s="35"/>
    </row>
    <row r="231" spans="1:6" ht="14.45" customHeight="1">
      <c r="A231" s="176"/>
      <c r="B231" s="469" t="s">
        <v>309</v>
      </c>
      <c r="D231" s="1263" t="s">
        <v>1242</v>
      </c>
      <c r="E231" s="1263"/>
      <c r="F231" s="1263"/>
    </row>
    <row r="232" spans="1:6">
      <c r="D232" s="1263"/>
      <c r="E232" s="1263"/>
      <c r="F232" s="1263"/>
    </row>
    <row r="233" spans="1:6">
      <c r="D233" s="1289" t="s">
        <v>918</v>
      </c>
      <c r="E233" s="1289"/>
      <c r="F233" s="1289"/>
    </row>
    <row r="234" spans="1:6">
      <c r="D234" s="35"/>
      <c r="E234" s="35"/>
      <c r="F234" s="35"/>
    </row>
    <row r="235" spans="1:6" ht="14.45" customHeight="1">
      <c r="A235" s="176"/>
      <c r="B235" s="469" t="s">
        <v>309</v>
      </c>
      <c r="D235" s="1263" t="s">
        <v>1244</v>
      </c>
      <c r="E235" s="1263"/>
      <c r="F235" s="1263"/>
    </row>
    <row r="236" spans="1:6">
      <c r="D236" s="1263"/>
      <c r="E236" s="1263"/>
      <c r="F236" s="1263"/>
    </row>
    <row r="237" spans="1:6">
      <c r="D237" s="1263"/>
      <c r="E237" s="1263"/>
      <c r="F237" s="1263"/>
    </row>
    <row r="238" spans="1:6">
      <c r="D238" s="1263"/>
      <c r="E238" s="1263"/>
      <c r="F238" s="1263"/>
    </row>
    <row r="239" spans="1:6">
      <c r="D239" s="1263"/>
      <c r="E239" s="1263"/>
      <c r="F239" s="1263"/>
    </row>
    <row r="240" spans="1:6">
      <c r="D240" s="35"/>
      <c r="E240" s="35"/>
      <c r="F240" s="35"/>
    </row>
    <row r="241" spans="1:7" ht="14.25">
      <c r="A241" s="176"/>
      <c r="B241" s="469" t="s">
        <v>309</v>
      </c>
      <c r="D241" s="1263" t="s">
        <v>1243</v>
      </c>
      <c r="E241" s="1263"/>
      <c r="F241" s="1263"/>
    </row>
    <row r="242" spans="1:7">
      <c r="D242" s="1263"/>
      <c r="E242" s="1263"/>
      <c r="F242" s="1263"/>
    </row>
    <row r="243" spans="1:7">
      <c r="D243" s="1263"/>
      <c r="E243" s="1263"/>
      <c r="F243" s="1263"/>
    </row>
    <row r="244" spans="1:7">
      <c r="D244" s="178"/>
      <c r="E244" s="35"/>
      <c r="F244" s="35"/>
    </row>
    <row r="245" spans="1:7">
      <c r="A245" s="1284" t="s">
        <v>1112</v>
      </c>
      <c r="B245" s="1284"/>
      <c r="C245" s="1284"/>
      <c r="D245" s="1284"/>
      <c r="E245" s="1284"/>
      <c r="F245" s="1284"/>
      <c r="G245" s="1284"/>
    </row>
    <row r="246" spans="1:7">
      <c r="D246" s="178"/>
      <c r="E246" s="35"/>
      <c r="F246" s="35"/>
    </row>
    <row r="247" spans="1:7">
      <c r="C247" s="172"/>
      <c r="D247" s="1295" t="s">
        <v>1245</v>
      </c>
      <c r="E247" s="1295"/>
      <c r="F247" s="1295"/>
    </row>
    <row r="248" spans="1:7">
      <c r="C248" s="172"/>
      <c r="D248" s="1295"/>
      <c r="E248" s="1295"/>
      <c r="F248" s="1295"/>
    </row>
    <row r="249" spans="1:7">
      <c r="A249" s="175"/>
      <c r="B249" s="175"/>
      <c r="C249" s="175"/>
      <c r="D249" s="2"/>
      <c r="E249" s="3"/>
      <c r="F249" s="3"/>
    </row>
    <row r="250" spans="1:7">
      <c r="C250" s="175"/>
      <c r="D250" s="1282" t="s">
        <v>211</v>
      </c>
      <c r="E250" s="1282"/>
      <c r="F250" s="1282"/>
    </row>
    <row r="251" spans="1:7" ht="15.75" customHeight="1">
      <c r="A251" s="176"/>
      <c r="B251" s="176"/>
      <c r="D251" s="1288" t="s">
        <v>1246</v>
      </c>
      <c r="E251" s="1288"/>
      <c r="F251" s="1288"/>
    </row>
    <row r="252" spans="1:7">
      <c r="E252" s="35"/>
      <c r="F252" s="35"/>
    </row>
    <row r="253" spans="1:7" ht="14.25">
      <c r="A253" s="176"/>
      <c r="B253" s="469" t="s">
        <v>309</v>
      </c>
      <c r="D253" s="1263" t="s">
        <v>1247</v>
      </c>
      <c r="E253" s="1263"/>
      <c r="F253" s="1263"/>
    </row>
    <row r="254" spans="1:7" ht="14.25">
      <c r="A254" s="176"/>
      <c r="B254" s="176"/>
      <c r="D254" s="1263"/>
      <c r="E254" s="1263"/>
      <c r="F254" s="1263"/>
    </row>
    <row r="255" spans="1:7">
      <c r="D255" s="35"/>
      <c r="E255" s="35"/>
      <c r="F255" s="35"/>
    </row>
    <row r="256" spans="1:7" ht="14.25">
      <c r="A256" s="176"/>
      <c r="B256" s="469" t="s">
        <v>309</v>
      </c>
      <c r="D256" s="1263" t="s">
        <v>1248</v>
      </c>
      <c r="E256" s="1263"/>
      <c r="F256" s="1263"/>
    </row>
    <row r="257" spans="1:7" ht="14.25">
      <c r="A257" s="176"/>
      <c r="B257" s="176"/>
      <c r="D257" s="1263"/>
      <c r="E257" s="1263"/>
      <c r="F257" s="1263"/>
    </row>
    <row r="258" spans="1:7" ht="14.25">
      <c r="A258" s="176"/>
      <c r="B258" s="176"/>
      <c r="D258" s="1263"/>
      <c r="E258" s="1263"/>
      <c r="F258" s="1263"/>
    </row>
    <row r="259" spans="1:7">
      <c r="D259" s="35"/>
      <c r="E259" s="35"/>
      <c r="F259" s="35"/>
    </row>
    <row r="260" spans="1:7" ht="14.25">
      <c r="A260" s="176"/>
      <c r="B260" s="469" t="s">
        <v>309</v>
      </c>
      <c r="D260" s="1263" t="s">
        <v>1249</v>
      </c>
      <c r="E260" s="1263"/>
      <c r="F260" s="1263"/>
    </row>
    <row r="261" spans="1:7" ht="14.25">
      <c r="A261" s="176"/>
      <c r="B261" s="176"/>
      <c r="D261" s="1263"/>
      <c r="E261" s="1263"/>
      <c r="F261" s="1263"/>
    </row>
    <row r="262" spans="1:7">
      <c r="A262" s="13"/>
      <c r="B262" s="13"/>
      <c r="E262" s="35"/>
      <c r="F262" s="35"/>
    </row>
    <row r="263" spans="1:7">
      <c r="A263" s="1284" t="s">
        <v>1113</v>
      </c>
      <c r="B263" s="1284"/>
      <c r="C263" s="1284"/>
      <c r="D263" s="1284"/>
      <c r="E263" s="1284"/>
      <c r="F263" s="1284"/>
      <c r="G263" s="1284"/>
    </row>
    <row r="264" spans="1:7">
      <c r="A264" s="13"/>
      <c r="B264" s="13"/>
      <c r="D264" s="35"/>
      <c r="E264" s="35"/>
      <c r="F264" s="35"/>
    </row>
    <row r="265" spans="1:7">
      <c r="C265" s="13"/>
      <c r="D265" s="1282" t="s">
        <v>691</v>
      </c>
      <c r="E265" s="1282"/>
      <c r="F265" s="1282"/>
    </row>
    <row r="266" spans="1:7">
      <c r="C266" s="13"/>
      <c r="D266" s="1283" t="s">
        <v>1250</v>
      </c>
      <c r="E266" s="1283"/>
      <c r="F266" s="1283"/>
    </row>
    <row r="267" spans="1:7">
      <c r="C267" s="13"/>
      <c r="D267" s="173"/>
    </row>
    <row r="268" spans="1:7">
      <c r="B268" s="469" t="s">
        <v>309</v>
      </c>
      <c r="D268" s="1283" t="s">
        <v>1251</v>
      </c>
      <c r="E268" s="1283"/>
      <c r="F268" s="1283"/>
    </row>
    <row r="269" spans="1:7" ht="14.25">
      <c r="A269" s="176"/>
      <c r="B269" s="176"/>
      <c r="D269" s="342"/>
      <c r="E269" s="343"/>
      <c r="F269" s="343"/>
    </row>
    <row r="270" spans="1:7" ht="13.35" customHeight="1">
      <c r="B270" s="469" t="s">
        <v>309</v>
      </c>
      <c r="D270" s="1313" t="s">
        <v>1252</v>
      </c>
      <c r="E270" s="1313"/>
      <c r="F270" s="1313"/>
    </row>
    <row r="271" spans="1:7" ht="14.25">
      <c r="A271" s="176"/>
      <c r="B271" s="176"/>
      <c r="D271" s="1313"/>
      <c r="E271" s="1313"/>
      <c r="F271" s="1313"/>
    </row>
    <row r="272" spans="1:7" ht="14.25">
      <c r="A272" s="176"/>
      <c r="B272" s="176"/>
      <c r="D272" s="1313"/>
      <c r="E272" s="1313"/>
      <c r="F272" s="1313"/>
    </row>
    <row r="273" spans="1:6" ht="14.25">
      <c r="A273" s="176"/>
      <c r="B273" s="176"/>
      <c r="D273" s="1313"/>
      <c r="E273" s="1313"/>
      <c r="F273" s="1313"/>
    </row>
    <row r="274" spans="1:6" ht="14.25">
      <c r="A274" s="176"/>
      <c r="B274" s="176"/>
      <c r="D274" s="1313"/>
      <c r="E274" s="1313"/>
      <c r="F274" s="1313"/>
    </row>
    <row r="275" spans="1:6" ht="14.25">
      <c r="A275" s="176"/>
      <c r="B275" s="176"/>
      <c r="D275" s="342"/>
      <c r="E275" s="343"/>
      <c r="F275" s="343"/>
    </row>
    <row r="276" spans="1:6" ht="13.35" customHeight="1">
      <c r="B276" s="469" t="s">
        <v>309</v>
      </c>
      <c r="D276" s="1313" t="s">
        <v>1253</v>
      </c>
      <c r="E276" s="1313"/>
      <c r="F276" s="1313"/>
    </row>
    <row r="277" spans="1:6">
      <c r="D277" s="1313"/>
      <c r="E277" s="1313"/>
      <c r="F277" s="1313"/>
    </row>
    <row r="278" spans="1:6" ht="14.25">
      <c r="A278" s="176"/>
      <c r="B278" s="176"/>
      <c r="D278" s="342"/>
      <c r="E278" s="343"/>
      <c r="F278" s="343"/>
    </row>
    <row r="279" spans="1:6">
      <c r="B279" s="469" t="s">
        <v>309</v>
      </c>
      <c r="D279" s="1283" t="s">
        <v>1254</v>
      </c>
      <c r="E279" s="1283"/>
      <c r="F279" s="1283"/>
    </row>
    <row r="280" spans="1:6">
      <c r="E280" s="35"/>
      <c r="F280" s="35"/>
    </row>
    <row r="281" spans="1:6" ht="14.25">
      <c r="A281" s="176"/>
      <c r="B281" s="469" t="s">
        <v>309</v>
      </c>
      <c r="D281" s="1263" t="s">
        <v>1255</v>
      </c>
      <c r="E281" s="1263"/>
      <c r="F281" s="1263"/>
    </row>
    <row r="282" spans="1:6" ht="14.25">
      <c r="A282" s="176"/>
      <c r="B282" s="176"/>
      <c r="D282" s="1263"/>
      <c r="E282" s="1263"/>
      <c r="F282" s="1263"/>
    </row>
    <row r="283" spans="1:6" ht="14.25">
      <c r="A283" s="176"/>
      <c r="B283" s="176"/>
      <c r="D283" s="1263"/>
      <c r="E283" s="1263"/>
      <c r="F283" s="1263"/>
    </row>
    <row r="284" spans="1:6" ht="14.25">
      <c r="A284" s="176"/>
      <c r="B284" s="176"/>
      <c r="D284" s="1263"/>
      <c r="E284" s="1263"/>
      <c r="F284" s="1263"/>
    </row>
    <row r="285" spans="1:6" ht="14.25">
      <c r="A285" s="176"/>
      <c r="B285" s="176"/>
      <c r="D285" s="1263"/>
      <c r="E285" s="1263"/>
      <c r="F285" s="1263"/>
    </row>
    <row r="286" spans="1:6" ht="14.25">
      <c r="A286" s="176"/>
      <c r="B286" s="176"/>
      <c r="D286" s="1263"/>
      <c r="E286" s="1263"/>
      <c r="F286" s="1263"/>
    </row>
    <row r="287" spans="1:6" ht="14.25">
      <c r="A287" s="176"/>
      <c r="B287" s="176"/>
      <c r="D287" s="1263"/>
      <c r="E287" s="1263"/>
      <c r="F287" s="1263"/>
    </row>
    <row r="288" spans="1:6" ht="14.25">
      <c r="A288" s="176"/>
      <c r="B288" s="176"/>
      <c r="D288" s="1263"/>
      <c r="E288" s="1263"/>
      <c r="F288" s="1263"/>
    </row>
    <row r="289" spans="1:6" ht="14.25">
      <c r="A289" s="176"/>
      <c r="B289" s="176"/>
      <c r="D289" s="1263"/>
      <c r="E289" s="1263"/>
      <c r="F289" s="1263"/>
    </row>
    <row r="290" spans="1:6" ht="14.25">
      <c r="A290" s="176"/>
      <c r="B290" s="176"/>
      <c r="D290" s="1263"/>
      <c r="E290" s="1263"/>
      <c r="F290" s="1263"/>
    </row>
    <row r="291" spans="1:6" ht="14.25">
      <c r="A291" s="176"/>
      <c r="B291" s="176"/>
      <c r="D291" s="1263"/>
      <c r="E291" s="1263"/>
      <c r="F291" s="1263"/>
    </row>
    <row r="292" spans="1:6" ht="14.25">
      <c r="A292" s="176"/>
      <c r="B292" s="176"/>
      <c r="D292" s="1263"/>
      <c r="E292" s="1263"/>
      <c r="F292" s="1263"/>
    </row>
    <row r="293" spans="1:6" ht="14.25">
      <c r="A293" s="176"/>
      <c r="B293" s="176"/>
      <c r="D293" s="1263"/>
      <c r="E293" s="1263"/>
      <c r="F293" s="1263"/>
    </row>
    <row r="294" spans="1:6" ht="14.25">
      <c r="A294" s="176"/>
      <c r="B294" s="176"/>
      <c r="D294" s="1263"/>
      <c r="E294" s="1263"/>
      <c r="F294" s="1263"/>
    </row>
    <row r="295" spans="1:6" ht="14.25">
      <c r="A295" s="176"/>
      <c r="B295" s="176"/>
      <c r="D295" s="1263"/>
      <c r="E295" s="1263"/>
      <c r="F295" s="1263"/>
    </row>
    <row r="296" spans="1:6">
      <c r="D296" s="35"/>
      <c r="E296" s="35"/>
      <c r="F296" s="35"/>
    </row>
    <row r="297" spans="1:6" ht="14.25">
      <c r="A297" s="176"/>
      <c r="B297" s="469" t="s">
        <v>309</v>
      </c>
      <c r="D297" s="1263" t="s">
        <v>1256</v>
      </c>
      <c r="E297" s="1263"/>
      <c r="F297" s="1263"/>
    </row>
    <row r="298" spans="1:6">
      <c r="D298" s="1263"/>
      <c r="E298" s="1263"/>
      <c r="F298" s="1263"/>
    </row>
    <row r="299" spans="1:6">
      <c r="D299" s="1263"/>
      <c r="E299" s="1263"/>
      <c r="F299" s="1263"/>
    </row>
    <row r="300" spans="1:6">
      <c r="D300" s="1263"/>
      <c r="E300" s="1263"/>
      <c r="F300" s="1263"/>
    </row>
    <row r="301" spans="1:6">
      <c r="D301" s="1263"/>
      <c r="E301" s="1263"/>
      <c r="F301" s="1263"/>
    </row>
    <row r="302" spans="1:6">
      <c r="D302" s="1263"/>
      <c r="E302" s="1263"/>
      <c r="F302" s="1263"/>
    </row>
    <row r="303" spans="1:6">
      <c r="D303" s="1263"/>
      <c r="E303" s="1263"/>
      <c r="F303" s="1263"/>
    </row>
    <row r="304" spans="1:6">
      <c r="D304" s="1263"/>
      <c r="E304" s="1263"/>
      <c r="F304" s="1263"/>
    </row>
    <row r="305" spans="1:7">
      <c r="D305" s="1263"/>
      <c r="E305" s="1263"/>
      <c r="F305" s="1263"/>
    </row>
    <row r="306" spans="1:7">
      <c r="D306" s="35"/>
      <c r="E306" s="35"/>
      <c r="F306" s="35"/>
    </row>
    <row r="307" spans="1:7" ht="14.25">
      <c r="A307" s="176"/>
      <c r="B307" s="469" t="s">
        <v>309</v>
      </c>
      <c r="D307" s="1263" t="s">
        <v>1257</v>
      </c>
      <c r="E307" s="1263"/>
      <c r="F307" s="1263"/>
    </row>
    <row r="308" spans="1:7">
      <c r="D308" s="1263"/>
      <c r="E308" s="1263"/>
      <c r="F308" s="1263"/>
      <c r="G308"/>
    </row>
    <row r="309" spans="1:7">
      <c r="D309" s="1263"/>
      <c r="E309" s="1263"/>
      <c r="F309" s="1263"/>
      <c r="G309"/>
    </row>
    <row r="310" spans="1:7">
      <c r="D310" s="1263"/>
      <c r="E310" s="1263"/>
      <c r="F310" s="1263"/>
      <c r="G310"/>
    </row>
    <row r="311" spans="1:7">
      <c r="D311" s="1263"/>
      <c r="E311" s="1263"/>
      <c r="F311" s="1263"/>
      <c r="G311"/>
    </row>
    <row r="312" spans="1:7">
      <c r="D312" s="1263"/>
      <c r="E312" s="1263"/>
      <c r="F312" s="1263"/>
      <c r="G312"/>
    </row>
    <row r="313" spans="1:7">
      <c r="D313" s="475"/>
      <c r="E313" s="475"/>
      <c r="F313" s="475"/>
      <c r="G313"/>
    </row>
    <row r="314" spans="1:7" ht="13.5" thickBot="1">
      <c r="D314" s="1309" t="s">
        <v>1018</v>
      </c>
      <c r="E314" s="1309"/>
      <c r="F314" s="1309"/>
      <c r="G314"/>
    </row>
    <row r="315" spans="1:7" ht="13.5" thickTop="1">
      <c r="D315" s="1310" t="s">
        <v>1258</v>
      </c>
      <c r="E315" s="1310"/>
      <c r="F315" s="1310"/>
      <c r="G315"/>
    </row>
    <row r="316" spans="1:7">
      <c r="A316" s="218"/>
      <c r="B316" s="218"/>
      <c r="C316" s="218"/>
      <c r="D316" s="220"/>
      <c r="E316" s="220"/>
      <c r="F316" s="35"/>
      <c r="G316"/>
    </row>
    <row r="317" spans="1:7" ht="14.25">
      <c r="A317" s="176"/>
      <c r="B317" s="469" t="s">
        <v>309</v>
      </c>
      <c r="C317" s="218"/>
      <c r="D317" s="1311" t="s">
        <v>1259</v>
      </c>
      <c r="E317" s="1311"/>
      <c r="F317" s="1311"/>
      <c r="G317"/>
    </row>
    <row r="318" spans="1:7">
      <c r="A318" s="218"/>
      <c r="B318" s="218"/>
      <c r="C318" s="218"/>
      <c r="D318" s="220"/>
      <c r="E318" s="220"/>
      <c r="F318" s="35"/>
      <c r="G318"/>
    </row>
    <row r="319" spans="1:7">
      <c r="A319" s="218"/>
      <c r="B319" s="469" t="s">
        <v>309</v>
      </c>
      <c r="C319" s="218"/>
      <c r="D319" s="1266" t="s">
        <v>1260</v>
      </c>
      <c r="E319" s="1266"/>
      <c r="F319" s="1266"/>
      <c r="G319"/>
    </row>
    <row r="320" spans="1:7">
      <c r="A320" s="218"/>
      <c r="B320" s="218"/>
      <c r="C320" s="218"/>
      <c r="D320" s="1266"/>
      <c r="E320" s="1266"/>
      <c r="F320" s="1266"/>
      <c r="G320"/>
    </row>
    <row r="321" spans="1:7">
      <c r="A321" s="218"/>
      <c r="B321" s="218"/>
      <c r="C321" s="218"/>
      <c r="D321" s="1266"/>
      <c r="E321" s="1266"/>
      <c r="F321" s="1266"/>
      <c r="G321"/>
    </row>
    <row r="322" spans="1:7">
      <c r="A322" s="218"/>
      <c r="B322" s="218"/>
      <c r="C322" s="218"/>
      <c r="D322" s="1266"/>
      <c r="E322" s="1266"/>
      <c r="F322" s="1266"/>
      <c r="G322"/>
    </row>
    <row r="323" spans="1:7">
      <c r="A323" s="218"/>
      <c r="B323" s="218"/>
      <c r="C323" s="218"/>
      <c r="D323" s="1266"/>
      <c r="E323" s="1266"/>
      <c r="F323" s="1266"/>
      <c r="G323"/>
    </row>
    <row r="324" spans="1:7">
      <c r="A324" s="218"/>
      <c r="B324" s="218"/>
      <c r="C324" s="218"/>
      <c r="D324" s="1266"/>
      <c r="E324" s="1266"/>
      <c r="F324" s="1266"/>
      <c r="G324"/>
    </row>
    <row r="325" spans="1:7">
      <c r="A325" s="218"/>
      <c r="B325" s="218"/>
      <c r="C325" s="218"/>
      <c r="D325" s="1266"/>
      <c r="E325" s="1266"/>
      <c r="F325" s="1266"/>
      <c r="G325"/>
    </row>
    <row r="326" spans="1:7">
      <c r="A326" s="218"/>
      <c r="B326" s="218"/>
      <c r="C326" s="218"/>
      <c r="D326" s="1266"/>
      <c r="E326" s="1266"/>
      <c r="F326" s="1266"/>
      <c r="G326"/>
    </row>
    <row r="327" spans="1:7">
      <c r="A327" s="218"/>
      <c r="B327" s="218"/>
      <c r="C327" s="218"/>
      <c r="D327" s="1266"/>
      <c r="E327" s="1266"/>
      <c r="F327" s="1266"/>
      <c r="G327"/>
    </row>
    <row r="328" spans="1:7">
      <c r="A328" s="218"/>
      <c r="B328" s="218"/>
      <c r="C328" s="218"/>
      <c r="D328" s="1266"/>
      <c r="E328" s="1266"/>
      <c r="F328" s="1266"/>
      <c r="G328"/>
    </row>
    <row r="329" spans="1:7">
      <c r="A329" s="218"/>
      <c r="B329" s="218"/>
      <c r="C329" s="218"/>
      <c r="D329" s="1266"/>
      <c r="E329" s="1266"/>
      <c r="F329" s="1266"/>
      <c r="G329"/>
    </row>
    <row r="330" spans="1:7">
      <c r="A330" s="218"/>
      <c r="B330" s="218"/>
      <c r="C330" s="218"/>
      <c r="D330"/>
      <c r="E330" s="220"/>
      <c r="F330" s="35"/>
      <c r="G330"/>
    </row>
    <row r="331" spans="1:7" ht="14.25">
      <c r="A331" s="176"/>
      <c r="B331" s="469" t="s">
        <v>309</v>
      </c>
      <c r="C331" s="218"/>
      <c r="D331" s="1266" t="s">
        <v>1261</v>
      </c>
      <c r="E331" s="1266"/>
      <c r="F331" s="1266"/>
      <c r="G331"/>
    </row>
    <row r="332" spans="1:7">
      <c r="A332" s="218"/>
      <c r="B332" s="218"/>
      <c r="C332" s="218"/>
      <c r="D332" s="1266"/>
      <c r="E332" s="1266"/>
      <c r="F332" s="1266"/>
      <c r="G332"/>
    </row>
    <row r="333" spans="1:7">
      <c r="A333" s="218"/>
      <c r="B333" s="218"/>
      <c r="C333" s="218"/>
      <c r="D333" s="1266"/>
      <c r="E333" s="1266"/>
      <c r="F333" s="1266"/>
      <c r="G333"/>
    </row>
    <row r="334" spans="1:7">
      <c r="A334" s="218"/>
      <c r="B334" s="218"/>
      <c r="C334" s="218"/>
      <c r="D334" s="1266"/>
      <c r="E334" s="1266"/>
      <c r="F334" s="1266"/>
      <c r="G334"/>
    </row>
    <row r="335" spans="1:7">
      <c r="A335" s="218"/>
      <c r="B335" s="218"/>
      <c r="C335" s="218"/>
      <c r="D335" s="220"/>
      <c r="E335" s="220"/>
      <c r="F335" s="35"/>
      <c r="G335"/>
    </row>
    <row r="336" spans="1:7">
      <c r="A336" s="218"/>
      <c r="B336" s="218"/>
      <c r="C336" s="218"/>
      <c r="D336" s="1266" t="s">
        <v>1262</v>
      </c>
      <c r="E336" s="1266"/>
      <c r="F336" s="1266"/>
      <c r="G336"/>
    </row>
    <row r="337" spans="1:7">
      <c r="A337" s="218"/>
      <c r="B337" s="218"/>
      <c r="C337" s="218"/>
      <c r="D337" s="1266"/>
      <c r="E337" s="1266"/>
      <c r="F337" s="1266"/>
      <c r="G337"/>
    </row>
    <row r="338" spans="1:7">
      <c r="A338" s="218"/>
      <c r="B338" s="218"/>
      <c r="C338" s="218"/>
      <c r="D338" s="1266"/>
      <c r="E338" s="1266"/>
      <c r="F338" s="1266"/>
      <c r="G338"/>
    </row>
    <row r="339" spans="1:7">
      <c r="A339" s="218"/>
      <c r="B339" s="218"/>
      <c r="C339" s="218"/>
      <c r="D339" s="1266"/>
      <c r="E339" s="1266"/>
      <c r="F339" s="1266"/>
      <c r="G339"/>
    </row>
    <row r="340" spans="1:7" ht="18" customHeight="1">
      <c r="A340" s="218"/>
      <c r="B340" s="218"/>
      <c r="C340" s="218"/>
      <c r="D340" s="1266"/>
      <c r="E340" s="1266"/>
      <c r="F340" s="1266"/>
      <c r="G340"/>
    </row>
    <row r="341" spans="1:7">
      <c r="A341" s="218"/>
      <c r="B341" s="218"/>
      <c r="C341" s="218"/>
      <c r="D341" s="1266"/>
      <c r="E341" s="1266"/>
      <c r="F341" s="1266"/>
      <c r="G341"/>
    </row>
    <row r="342" spans="1:7">
      <c r="A342" s="218"/>
      <c r="B342" s="218"/>
      <c r="C342" s="218"/>
      <c r="D342" s="1266"/>
      <c r="E342" s="1266"/>
      <c r="F342" s="1266"/>
      <c r="G342"/>
    </row>
    <row r="343" spans="1:7">
      <c r="A343" s="218"/>
      <c r="B343" s="218"/>
      <c r="C343" s="218"/>
      <c r="D343" s="1266"/>
      <c r="E343" s="1266"/>
      <c r="F343" s="1266"/>
      <c r="G343"/>
    </row>
    <row r="344" spans="1:7" ht="8.25" customHeight="1">
      <c r="A344" s="218"/>
      <c r="B344" s="218"/>
      <c r="C344" s="218"/>
      <c r="D344" s="1266"/>
      <c r="E344" s="1266"/>
      <c r="F344" s="1266"/>
      <c r="G344"/>
    </row>
    <row r="345" spans="1:7" ht="13.35" customHeight="1">
      <c r="A345" s="218"/>
      <c r="B345" s="218"/>
      <c r="C345" s="218"/>
      <c r="D345" s="1266" t="s">
        <v>1263</v>
      </c>
      <c r="E345" s="1266"/>
      <c r="F345" s="1266"/>
      <c r="G345"/>
    </row>
    <row r="346" spans="1:7">
      <c r="A346" s="218"/>
      <c r="B346" s="218"/>
      <c r="C346" s="218"/>
      <c r="D346" s="1266"/>
      <c r="E346" s="1266"/>
      <c r="F346" s="1266"/>
      <c r="G346"/>
    </row>
    <row r="347" spans="1:7">
      <c r="A347" s="218"/>
      <c r="B347" s="218"/>
      <c r="C347" s="218"/>
      <c r="D347" s="1266"/>
      <c r="E347" s="1266"/>
      <c r="F347" s="1266"/>
      <c r="G347"/>
    </row>
    <row r="348" spans="1:7">
      <c r="A348" s="218"/>
      <c r="B348" s="218"/>
      <c r="C348" s="218"/>
      <c r="D348" s="1266"/>
      <c r="E348" s="1266"/>
      <c r="F348" s="1266"/>
      <c r="G348"/>
    </row>
    <row r="349" spans="1:7">
      <c r="A349" s="218"/>
      <c r="B349" s="218"/>
      <c r="C349" s="218"/>
      <c r="D349" s="1266"/>
      <c r="E349" s="1266"/>
      <c r="F349" s="1266"/>
      <c r="G349"/>
    </row>
    <row r="350" spans="1:7">
      <c r="A350" s="218"/>
      <c r="B350" s="218"/>
      <c r="C350" s="218"/>
      <c r="D350" s="1266"/>
      <c r="E350" s="1266"/>
      <c r="F350" s="1266"/>
      <c r="G350"/>
    </row>
    <row r="351" spans="1:7">
      <c r="A351" s="218"/>
      <c r="B351" s="218"/>
      <c r="C351" s="218"/>
      <c r="D351" s="1266"/>
      <c r="E351" s="1266"/>
      <c r="F351" s="1266"/>
      <c r="G351"/>
    </row>
    <row r="352" spans="1:7">
      <c r="A352" s="218"/>
      <c r="B352" s="218"/>
      <c r="C352" s="218"/>
      <c r="D352" s="1266"/>
      <c r="E352" s="1266"/>
      <c r="F352" s="1266"/>
      <c r="G352"/>
    </row>
    <row r="353" spans="1:7">
      <c r="A353" s="218"/>
      <c r="B353" s="218"/>
      <c r="C353" s="218"/>
      <c r="D353" s="1266"/>
      <c r="E353" s="1266"/>
      <c r="F353" s="1266"/>
      <c r="G353"/>
    </row>
    <row r="354" spans="1:7">
      <c r="A354" s="218"/>
      <c r="B354" s="218"/>
      <c r="C354" s="218"/>
      <c r="D354" s="1266"/>
      <c r="E354" s="1266"/>
      <c r="F354" s="1266"/>
      <c r="G354"/>
    </row>
    <row r="355" spans="1:7">
      <c r="A355" s="218"/>
      <c r="B355" s="218"/>
      <c r="C355" s="218"/>
      <c r="D355" s="1266"/>
      <c r="E355" s="1266"/>
      <c r="F355" s="1266"/>
      <c r="G355"/>
    </row>
    <row r="356" spans="1:7">
      <c r="A356" s="218"/>
      <c r="B356" s="218"/>
      <c r="C356" s="218"/>
      <c r="D356" s="1266"/>
      <c r="E356" s="1266"/>
      <c r="F356" s="1266"/>
      <c r="G356"/>
    </row>
    <row r="357" spans="1:7">
      <c r="A357" s="218"/>
      <c r="B357" s="218"/>
      <c r="C357" s="348"/>
      <c r="D357" s="1266"/>
      <c r="E357" s="1266"/>
      <c r="F357" s="1266"/>
      <c r="G357"/>
    </row>
    <row r="358" spans="1:7">
      <c r="A358" s="218"/>
      <c r="B358" s="218"/>
      <c r="C358" s="348"/>
      <c r="D358" s="1266"/>
      <c r="E358" s="1266"/>
      <c r="F358" s="1266"/>
      <c r="G358"/>
    </row>
    <row r="359" spans="1:7">
      <c r="A359" s="218"/>
      <c r="B359" s="218"/>
      <c r="C359" s="218"/>
      <c r="D359" s="1266"/>
      <c r="E359" s="1266"/>
      <c r="F359" s="1266"/>
      <c r="G359"/>
    </row>
    <row r="360" spans="1:7">
      <c r="A360" s="218"/>
      <c r="B360" s="218"/>
      <c r="C360" s="348"/>
      <c r="D360" s="1266"/>
      <c r="E360" s="1266"/>
      <c r="F360" s="1266"/>
      <c r="G360"/>
    </row>
    <row r="361" spans="1:7">
      <c r="A361" s="218"/>
      <c r="B361" s="218"/>
      <c r="C361" s="348"/>
      <c r="D361" s="1266"/>
      <c r="E361" s="1266"/>
      <c r="F361" s="1266"/>
      <c r="G361"/>
    </row>
    <row r="362" spans="1:7">
      <c r="A362" s="218"/>
      <c r="B362" s="218"/>
      <c r="C362" s="348"/>
      <c r="D362" s="1266"/>
      <c r="E362" s="1266"/>
      <c r="F362" s="1266"/>
      <c r="G362"/>
    </row>
    <row r="363" spans="1:7">
      <c r="A363" s="218"/>
      <c r="B363" s="218"/>
      <c r="C363" s="218"/>
      <c r="D363" s="220"/>
      <c r="E363" s="220"/>
      <c r="F363" s="35"/>
      <c r="G363"/>
    </row>
    <row r="364" spans="1:7">
      <c r="A364" s="218"/>
      <c r="B364" s="469" t="s">
        <v>309</v>
      </c>
      <c r="C364" s="218"/>
      <c r="D364" s="1266" t="s">
        <v>1264</v>
      </c>
      <c r="E364" s="1266"/>
      <c r="F364" s="1266"/>
      <c r="G364"/>
    </row>
    <row r="365" spans="1:7">
      <c r="A365" s="218"/>
      <c r="B365" s="218"/>
      <c r="C365" s="218"/>
      <c r="D365" s="1266"/>
      <c r="E365" s="1266"/>
      <c r="F365" s="1266"/>
      <c r="G365"/>
    </row>
    <row r="366" spans="1:7">
      <c r="A366" s="218"/>
      <c r="B366" s="218"/>
      <c r="C366" s="218"/>
      <c r="D366" s="220"/>
      <c r="E366" s="220"/>
      <c r="F366" s="35"/>
      <c r="G366"/>
    </row>
    <row r="367" spans="1:7" ht="14.25">
      <c r="A367" s="176"/>
      <c r="B367" s="469" t="s">
        <v>309</v>
      </c>
      <c r="C367" s="218"/>
      <c r="D367" s="1266" t="s">
        <v>1265</v>
      </c>
      <c r="E367" s="1266"/>
      <c r="F367" s="1266"/>
      <c r="G367"/>
    </row>
    <row r="368" spans="1:7" ht="14.25">
      <c r="A368" s="347"/>
      <c r="B368" s="347"/>
      <c r="C368" s="218"/>
      <c r="D368" s="1266"/>
      <c r="E368" s="1266"/>
      <c r="F368" s="1266"/>
      <c r="G368"/>
    </row>
    <row r="369" spans="1:7" ht="14.25">
      <c r="A369" s="347"/>
      <c r="B369" s="347"/>
      <c r="C369" s="218"/>
      <c r="D369" s="1266"/>
      <c r="E369" s="1266"/>
      <c r="F369" s="1266"/>
      <c r="G369"/>
    </row>
    <row r="370" spans="1:7" ht="14.25">
      <c r="A370" s="347"/>
      <c r="B370" s="347"/>
      <c r="C370" s="218"/>
      <c r="D370" s="1266"/>
      <c r="E370" s="1266"/>
      <c r="F370" s="1266"/>
      <c r="G370"/>
    </row>
    <row r="371" spans="1:7" ht="14.25">
      <c r="A371" s="347"/>
      <c r="B371" s="347"/>
      <c r="C371" s="218"/>
      <c r="D371" s="1266"/>
      <c r="E371" s="1266"/>
      <c r="F371" s="1266"/>
      <c r="G371"/>
    </row>
    <row r="372" spans="1:7">
      <c r="D372" s="35"/>
      <c r="E372" s="35"/>
      <c r="F372" s="35"/>
      <c r="G372"/>
    </row>
    <row r="373" spans="1:7" ht="14.25">
      <c r="A373" s="176"/>
      <c r="B373" s="469" t="s">
        <v>309</v>
      </c>
      <c r="C373" s="179"/>
      <c r="D373" s="1263" t="s">
        <v>1266</v>
      </c>
      <c r="E373" s="1263"/>
      <c r="F373" s="1263"/>
      <c r="G373"/>
    </row>
    <row r="374" spans="1:7" ht="14.25">
      <c r="A374" s="176"/>
      <c r="B374" s="176"/>
      <c r="D374" s="1263"/>
      <c r="E374" s="1263"/>
      <c r="F374" s="1263"/>
      <c r="G374"/>
    </row>
    <row r="375" spans="1:7">
      <c r="D375" s="1263"/>
      <c r="E375" s="1263"/>
      <c r="F375" s="1263"/>
      <c r="G375"/>
    </row>
    <row r="376" spans="1:7">
      <c r="D376" s="1263"/>
      <c r="E376" s="1263"/>
      <c r="F376" s="1263"/>
      <c r="G376"/>
    </row>
    <row r="377" spans="1:7">
      <c r="D377" s="1263"/>
      <c r="E377" s="1263"/>
      <c r="F377" s="1263"/>
      <c r="G377"/>
    </row>
    <row r="378" spans="1:7">
      <c r="D378" s="1263"/>
      <c r="E378" s="1263"/>
      <c r="F378" s="1263"/>
      <c r="G378"/>
    </row>
    <row r="379" spans="1:7">
      <c r="D379" s="1263"/>
      <c r="E379" s="1263"/>
      <c r="F379" s="1263"/>
      <c r="G379"/>
    </row>
    <row r="380" spans="1:7">
      <c r="D380" s="1263"/>
      <c r="E380" s="1263"/>
      <c r="F380" s="1263"/>
      <c r="G380"/>
    </row>
    <row r="381" spans="1:7">
      <c r="D381" s="1263"/>
      <c r="E381" s="1263"/>
      <c r="F381" s="1263"/>
      <c r="G381"/>
    </row>
    <row r="382" spans="1:7">
      <c r="D382" s="1263"/>
      <c r="E382" s="1263"/>
      <c r="F382" s="1263"/>
      <c r="G382"/>
    </row>
    <row r="383" spans="1:7">
      <c r="D383" s="1263"/>
      <c r="E383" s="1263"/>
      <c r="F383" s="1263"/>
      <c r="G383"/>
    </row>
    <row r="384" spans="1:7">
      <c r="D384" s="1263"/>
      <c r="E384" s="1263"/>
      <c r="F384" s="1263"/>
      <c r="G384"/>
    </row>
    <row r="385" spans="1:7">
      <c r="D385" s="1263"/>
      <c r="E385" s="1263"/>
      <c r="F385" s="1263"/>
      <c r="G385"/>
    </row>
    <row r="386" spans="1:7">
      <c r="A386"/>
      <c r="B386"/>
      <c r="C386"/>
      <c r="D386" s="1263"/>
      <c r="E386" s="1263"/>
      <c r="F386" s="1263"/>
      <c r="G386"/>
    </row>
    <row r="387" spans="1:7">
      <c r="A387"/>
      <c r="B387"/>
      <c r="C387"/>
      <c r="D387" s="1263"/>
      <c r="E387" s="1263"/>
      <c r="F387" s="1263"/>
      <c r="G387"/>
    </row>
    <row r="388" spans="1:7">
      <c r="A388"/>
      <c r="B388"/>
      <c r="C388"/>
      <c r="D388" s="1263"/>
      <c r="E388" s="1263"/>
      <c r="F388" s="1263"/>
      <c r="G388"/>
    </row>
    <row r="389" spans="1:7">
      <c r="A389"/>
      <c r="B389"/>
      <c r="C389"/>
      <c r="D389" s="1263"/>
      <c r="E389" s="1263"/>
      <c r="F389" s="1263"/>
      <c r="G389"/>
    </row>
    <row r="390" spans="1:7">
      <c r="A390"/>
      <c r="B390"/>
      <c r="C390"/>
      <c r="D390" s="1263"/>
      <c r="E390" s="1263"/>
      <c r="F390" s="1263"/>
      <c r="G390"/>
    </row>
    <row r="391" spans="1:7">
      <c r="A391"/>
      <c r="B391"/>
      <c r="C391"/>
      <c r="D391" s="1263"/>
      <c r="E391" s="1263"/>
      <c r="F391" s="1263"/>
      <c r="G391"/>
    </row>
    <row r="392" spans="1:7">
      <c r="A392"/>
      <c r="B392"/>
      <c r="C392"/>
      <c r="D392" s="1263"/>
      <c r="E392" s="1263"/>
      <c r="F392" s="1263"/>
      <c r="G392"/>
    </row>
    <row r="393" spans="1:7">
      <c r="A393"/>
      <c r="B393"/>
      <c r="C393"/>
      <c r="D393" s="1263"/>
      <c r="E393" s="1263"/>
      <c r="F393" s="1263"/>
      <c r="G393"/>
    </row>
    <row r="394" spans="1:7">
      <c r="A394"/>
      <c r="B394"/>
      <c r="C394"/>
      <c r="D394" s="1263"/>
      <c r="E394" s="1263"/>
      <c r="F394" s="1263"/>
      <c r="G394"/>
    </row>
    <row r="395" spans="1:7">
      <c r="A395"/>
      <c r="B395"/>
      <c r="C395"/>
      <c r="D395" s="1263"/>
      <c r="E395" s="1263"/>
      <c r="F395" s="1263"/>
      <c r="G395"/>
    </row>
    <row r="396" spans="1:7">
      <c r="A396"/>
      <c r="B396"/>
      <c r="C396"/>
      <c r="D396" s="1263"/>
      <c r="E396" s="1263"/>
      <c r="F396" s="1263"/>
      <c r="G396"/>
    </row>
    <row r="397" spans="1:7">
      <c r="A397"/>
      <c r="B397"/>
      <c r="C397"/>
      <c r="D397" s="1263"/>
      <c r="E397" s="1263"/>
      <c r="F397" s="1263"/>
      <c r="G397"/>
    </row>
    <row r="398" spans="1:7">
      <c r="A398"/>
      <c r="B398"/>
      <c r="C398"/>
      <c r="D398" s="1263"/>
      <c r="E398" s="1263"/>
      <c r="F398" s="1263"/>
      <c r="G398"/>
    </row>
    <row r="399" spans="1:7">
      <c r="A399"/>
      <c r="B399"/>
      <c r="C399"/>
      <c r="D399" s="1263"/>
      <c r="E399" s="1263"/>
      <c r="F399" s="1263"/>
      <c r="G399"/>
    </row>
    <row r="400" spans="1:7">
      <c r="A400"/>
      <c r="B400"/>
      <c r="C400"/>
      <c r="D400" s="1263"/>
      <c r="E400" s="1263"/>
      <c r="F400" s="1263"/>
      <c r="G400"/>
    </row>
    <row r="401" spans="1:7">
      <c r="A401"/>
      <c r="B401"/>
      <c r="C401"/>
      <c r="D401" s="1263"/>
      <c r="E401" s="1263"/>
      <c r="F401" s="1263"/>
      <c r="G401"/>
    </row>
    <row r="402" spans="1:7">
      <c r="D402" s="1263"/>
      <c r="E402" s="1263"/>
      <c r="F402" s="1263"/>
    </row>
    <row r="403" spans="1:7" ht="40.700000000000003" customHeight="1">
      <c r="D403" s="1263"/>
      <c r="E403" s="1263"/>
      <c r="F403" s="1263"/>
    </row>
    <row r="404" spans="1:7">
      <c r="D404" s="35"/>
      <c r="E404" s="35"/>
      <c r="F404" s="35"/>
    </row>
    <row r="405" spans="1:7" ht="14.25">
      <c r="A405" s="176"/>
      <c r="B405" s="469" t="s">
        <v>309</v>
      </c>
      <c r="C405" s="179"/>
      <c r="D405" s="1283" t="s">
        <v>1267</v>
      </c>
      <c r="E405" s="1283"/>
      <c r="F405" s="1283"/>
    </row>
    <row r="406" spans="1:7">
      <c r="D406" s="1308" t="s">
        <v>1038</v>
      </c>
      <c r="E406" s="1308"/>
      <c r="F406" s="1308"/>
    </row>
    <row r="407" spans="1:7">
      <c r="D407" s="1263" t="s">
        <v>1268</v>
      </c>
      <c r="E407" s="1263"/>
      <c r="F407" s="1263"/>
    </row>
    <row r="408" spans="1:7">
      <c r="D408" s="1263"/>
      <c r="E408" s="1263"/>
      <c r="F408" s="1263"/>
    </row>
    <row r="409" spans="1:7">
      <c r="D409" s="1263"/>
      <c r="E409" s="1263"/>
      <c r="F409" s="1263"/>
    </row>
    <row r="410" spans="1:7">
      <c r="D410" s="1263"/>
      <c r="E410" s="1263"/>
      <c r="F410" s="1263"/>
    </row>
    <row r="411" spans="1:7">
      <c r="D411" s="35"/>
      <c r="E411" s="35"/>
      <c r="F411" s="35"/>
      <c r="G411"/>
    </row>
    <row r="412" spans="1:7" ht="14.25">
      <c r="A412" s="176"/>
      <c r="B412" s="469" t="s">
        <v>309</v>
      </c>
      <c r="C412" s="179"/>
      <c r="D412" s="1263" t="s">
        <v>1269</v>
      </c>
      <c r="E412" s="1263"/>
      <c r="F412" s="1263"/>
      <c r="G412"/>
    </row>
    <row r="413" spans="1:7">
      <c r="D413" s="1263"/>
      <c r="E413" s="1263"/>
      <c r="F413" s="1263"/>
      <c r="G413"/>
    </row>
    <row r="414" spans="1:7">
      <c r="D414" s="1263"/>
      <c r="E414" s="1263"/>
      <c r="F414" s="1263"/>
      <c r="G414"/>
    </row>
    <row r="415" spans="1:7">
      <c r="D415" s="475"/>
      <c r="E415" s="475"/>
      <c r="F415" s="475"/>
      <c r="G415"/>
    </row>
    <row r="416" spans="1:7" ht="14.25">
      <c r="B416" s="469" t="s">
        <v>309</v>
      </c>
      <c r="C416" s="176"/>
      <c r="D416" s="1263" t="s">
        <v>1270</v>
      </c>
      <c r="E416" s="1263"/>
      <c r="F416" s="1263"/>
      <c r="G416"/>
    </row>
    <row r="417" spans="1:7">
      <c r="D417" s="1263"/>
      <c r="E417" s="1263"/>
      <c r="F417" s="1263"/>
      <c r="G417"/>
    </row>
    <row r="418" spans="1:7">
      <c r="D418" s="35"/>
      <c r="E418" s="35"/>
      <c r="F418" s="35"/>
      <c r="G418"/>
    </row>
    <row r="419" spans="1:7" ht="14.25">
      <c r="B419" s="469" t="s">
        <v>309</v>
      </c>
      <c r="C419" s="176"/>
      <c r="D419" s="1263" t="s">
        <v>1271</v>
      </c>
      <c r="E419" s="1263"/>
      <c r="F419" s="1263"/>
      <c r="G419"/>
    </row>
    <row r="420" spans="1:7">
      <c r="D420" s="1263"/>
      <c r="E420" s="1263"/>
      <c r="F420" s="1263"/>
      <c r="G420"/>
    </row>
    <row r="421" spans="1:7">
      <c r="D421" s="1263"/>
      <c r="E421" s="1263"/>
      <c r="F421" s="1263"/>
      <c r="G421"/>
    </row>
    <row r="422" spans="1:7">
      <c r="D422" s="1263"/>
      <c r="E422" s="1263"/>
      <c r="F422" s="1263"/>
      <c r="G422"/>
    </row>
    <row r="423" spans="1:7">
      <c r="B423" s="469" t="s">
        <v>309</v>
      </c>
      <c r="D423" s="1263"/>
      <c r="E423" s="1263"/>
      <c r="F423" s="1263"/>
      <c r="G423"/>
    </row>
    <row r="424" spans="1:7">
      <c r="A424"/>
      <c r="B424"/>
      <c r="C424"/>
      <c r="D424" s="1263"/>
      <c r="E424" s="1263"/>
      <c r="F424" s="1263"/>
      <c r="G424"/>
    </row>
    <row r="425" spans="1:7">
      <c r="A425"/>
      <c r="C425"/>
      <c r="D425" s="1263"/>
      <c r="E425" s="1263"/>
      <c r="F425" s="1263"/>
      <c r="G425"/>
    </row>
    <row r="426" spans="1:7">
      <c r="A426"/>
      <c r="B426" s="469" t="s">
        <v>309</v>
      </c>
      <c r="C426"/>
      <c r="D426" s="1263"/>
      <c r="E426" s="1263"/>
      <c r="F426" s="1263"/>
      <c r="G426"/>
    </row>
    <row r="427" spans="1:7">
      <c r="A427"/>
      <c r="B427"/>
      <c r="C427"/>
      <c r="D427" s="1263"/>
      <c r="E427" s="1263"/>
      <c r="F427" s="1263"/>
      <c r="G427"/>
    </row>
    <row r="428" spans="1:7">
      <c r="A428"/>
      <c r="C428"/>
      <c r="D428" s="1263"/>
      <c r="E428" s="1263"/>
      <c r="F428" s="1263"/>
      <c r="G428"/>
    </row>
    <row r="429" spans="1:7">
      <c r="A429"/>
      <c r="C429"/>
      <c r="D429" s="1263"/>
      <c r="E429" s="1263"/>
      <c r="F429" s="1263"/>
      <c r="G429"/>
    </row>
    <row r="430" spans="1:7">
      <c r="A430"/>
      <c r="B430" s="469" t="s">
        <v>309</v>
      </c>
      <c r="C430"/>
      <c r="D430" s="1263"/>
      <c r="E430" s="1263"/>
      <c r="F430" s="1263"/>
      <c r="G430"/>
    </row>
    <row r="431" spans="1:7">
      <c r="A431"/>
      <c r="B431"/>
      <c r="C431"/>
      <c r="D431" s="1263"/>
      <c r="E431" s="1263"/>
      <c r="F431" s="1263"/>
      <c r="G431"/>
    </row>
    <row r="432" spans="1:7">
      <c r="A432"/>
      <c r="B432" s="469" t="s">
        <v>309</v>
      </c>
      <c r="C432"/>
      <c r="D432" s="1263"/>
      <c r="E432" s="1263"/>
      <c r="F432" s="1263"/>
      <c r="G432"/>
    </row>
    <row r="433" spans="1:7">
      <c r="A433"/>
      <c r="B433"/>
      <c r="C433"/>
      <c r="D433" s="475"/>
      <c r="E433" s="475"/>
      <c r="F433" s="475"/>
      <c r="G433"/>
    </row>
    <row r="434" spans="1:7">
      <c r="A434"/>
      <c r="B434" s="469" t="s">
        <v>309</v>
      </c>
      <c r="C434"/>
      <c r="D434" s="1263" t="s">
        <v>1272</v>
      </c>
      <c r="E434" s="1263"/>
      <c r="F434" s="1263"/>
      <c r="G434"/>
    </row>
    <row r="435" spans="1:7">
      <c r="A435"/>
      <c r="B435"/>
      <c r="C435"/>
      <c r="D435" s="1263"/>
      <c r="E435" s="1263"/>
      <c r="F435" s="1263"/>
      <c r="G435"/>
    </row>
    <row r="436" spans="1:7">
      <c r="A436"/>
      <c r="B436"/>
      <c r="C436"/>
      <c r="D436" s="1263"/>
      <c r="E436" s="1263"/>
      <c r="F436" s="1263"/>
      <c r="G436"/>
    </row>
    <row r="437" spans="1:7">
      <c r="A437"/>
      <c r="B437"/>
      <c r="C437"/>
      <c r="D437" s="1263"/>
      <c r="E437" s="1263"/>
      <c r="F437" s="1263"/>
      <c r="G437"/>
    </row>
    <row r="438" spans="1:7">
      <c r="D438" s="1263"/>
      <c r="E438" s="1263"/>
      <c r="F438" s="1263"/>
    </row>
    <row r="439" spans="1:7">
      <c r="D439" s="35"/>
      <c r="E439" s="35"/>
      <c r="F439" s="35"/>
    </row>
    <row r="440" spans="1:7">
      <c r="B440" s="469" t="s">
        <v>309</v>
      </c>
      <c r="D440" s="1283" t="s">
        <v>1273</v>
      </c>
      <c r="E440" s="1283"/>
      <c r="F440" s="1283"/>
    </row>
    <row r="441" spans="1:7">
      <c r="A441" s="35"/>
      <c r="B441" s="35"/>
    </row>
    <row r="442" spans="1:7">
      <c r="A442" s="1284" t="s">
        <v>1114</v>
      </c>
      <c r="B442" s="1284"/>
      <c r="C442" s="1284"/>
      <c r="D442" s="1284"/>
      <c r="E442" s="1284"/>
      <c r="F442" s="1284"/>
      <c r="G442" s="1284"/>
    </row>
    <row r="443" spans="1:7">
      <c r="A443" s="35"/>
      <c r="B443" s="35"/>
    </row>
    <row r="444" spans="1:7">
      <c r="D444" s="1314" t="s">
        <v>912</v>
      </c>
      <c r="E444" s="1314"/>
      <c r="F444" s="1314"/>
    </row>
    <row r="445" spans="1:7" ht="14.25">
      <c r="A445" s="176"/>
      <c r="B445" s="176"/>
      <c r="D445" s="1311" t="s">
        <v>1274</v>
      </c>
      <c r="E445" s="1311"/>
      <c r="F445" s="1311"/>
    </row>
    <row r="446" spans="1:7" ht="14.25">
      <c r="A446" s="176"/>
      <c r="B446" s="176"/>
      <c r="D446" s="482"/>
      <c r="E446" s="3"/>
      <c r="F446" s="3"/>
    </row>
    <row r="447" spans="1:7" ht="14.25">
      <c r="A447" s="176"/>
      <c r="B447" s="469" t="s">
        <v>309</v>
      </c>
      <c r="D447" s="1266" t="s">
        <v>1275</v>
      </c>
      <c r="E447" s="1266"/>
      <c r="F447" s="1266"/>
    </row>
    <row r="448" spans="1:7" ht="14.25">
      <c r="A448" s="176"/>
      <c r="B448" s="176"/>
      <c r="D448" s="1266"/>
      <c r="E448" s="1266"/>
      <c r="F448" s="1266"/>
    </row>
    <row r="449" spans="1:7" ht="14.25">
      <c r="A449" s="176"/>
      <c r="B449" s="176"/>
      <c r="D449" s="118"/>
      <c r="E449" s="3"/>
      <c r="F449" s="3"/>
    </row>
    <row r="450" spans="1:7">
      <c r="B450" s="469" t="s">
        <v>309</v>
      </c>
      <c r="D450" s="1300" t="s">
        <v>1276</v>
      </c>
      <c r="E450" s="1300"/>
      <c r="F450" s="1300"/>
    </row>
    <row r="451" spans="1:7" ht="14.25">
      <c r="A451" s="176"/>
      <c r="D451" s="1300"/>
      <c r="E451" s="1300"/>
      <c r="F451" s="1300"/>
    </row>
    <row r="452" spans="1:7" ht="14.25">
      <c r="A452" s="176"/>
      <c r="B452" s="176"/>
      <c r="D452" s="1300"/>
      <c r="E452" s="1300"/>
      <c r="F452" s="1300"/>
    </row>
    <row r="453" spans="1:7" ht="14.25">
      <c r="A453" s="176"/>
      <c r="B453" s="176"/>
      <c r="D453" s="1300"/>
      <c r="E453" s="1300"/>
      <c r="F453" s="1300"/>
    </row>
    <row r="454" spans="1:7">
      <c r="D454" s="3"/>
      <c r="E454" s="3"/>
      <c r="F454" s="3"/>
      <c r="G454"/>
    </row>
    <row r="455" spans="1:7" ht="14.25">
      <c r="A455" s="176"/>
      <c r="B455" s="469" t="s">
        <v>309</v>
      </c>
      <c r="D455" s="1263" t="s">
        <v>1277</v>
      </c>
      <c r="E455" s="1263"/>
      <c r="F455" s="1263"/>
      <c r="G455"/>
    </row>
    <row r="456" spans="1:7" ht="14.25">
      <c r="A456" s="176"/>
      <c r="B456" s="176"/>
      <c r="D456" s="1263"/>
      <c r="E456" s="1263"/>
      <c r="F456" s="1263"/>
      <c r="G456"/>
    </row>
    <row r="457" spans="1:7" ht="14.25">
      <c r="A457" s="176"/>
      <c r="D457" s="1263"/>
      <c r="E457" s="1263"/>
      <c r="F457" s="1263"/>
      <c r="G457"/>
    </row>
    <row r="458" spans="1:7" ht="14.25">
      <c r="A458" s="176"/>
      <c r="B458" s="176"/>
      <c r="D458" s="3"/>
      <c r="E458" s="3"/>
      <c r="F458" s="3"/>
      <c r="G458"/>
    </row>
    <row r="459" spans="1:7" ht="14.25">
      <c r="A459" s="176"/>
      <c r="B459" s="469" t="s">
        <v>309</v>
      </c>
      <c r="D459" s="1283" t="s">
        <v>1278</v>
      </c>
      <c r="E459" s="1283"/>
      <c r="F459" s="1283"/>
      <c r="G459"/>
    </row>
    <row r="460" spans="1:7" ht="14.25">
      <c r="A460" s="176"/>
      <c r="B460" s="176"/>
      <c r="D460" s="118"/>
      <c r="E460" s="3"/>
      <c r="F460" s="3"/>
      <c r="G460"/>
    </row>
    <row r="461" spans="1:7" ht="14.25">
      <c r="A461" s="176"/>
      <c r="B461" s="469" t="s">
        <v>309</v>
      </c>
      <c r="D461" s="1263" t="s">
        <v>1279</v>
      </c>
      <c r="E461" s="1263"/>
      <c r="F461" s="1263"/>
      <c r="G461"/>
    </row>
    <row r="462" spans="1:7" ht="14.25">
      <c r="A462" s="176"/>
      <c r="D462" s="1263"/>
      <c r="E462" s="1263"/>
      <c r="F462" s="1263"/>
      <c r="G462"/>
    </row>
    <row r="463" spans="1:7">
      <c r="A463" s="13"/>
      <c r="B463" s="13"/>
      <c r="D463" s="482"/>
      <c r="E463" s="3"/>
      <c r="F463" s="3"/>
      <c r="G463"/>
    </row>
    <row r="464" spans="1:7">
      <c r="A464" s="13"/>
      <c r="B464" s="469" t="s">
        <v>309</v>
      </c>
      <c r="D464" s="1283" t="s">
        <v>1280</v>
      </c>
      <c r="E464" s="1283"/>
      <c r="F464" s="1283"/>
      <c r="G464"/>
    </row>
    <row r="465" spans="1:7" ht="14.25">
      <c r="A465" s="176"/>
      <c r="B465" s="176"/>
      <c r="D465" s="35"/>
    </row>
    <row r="466" spans="1:7">
      <c r="A466" s="1284" t="s">
        <v>1115</v>
      </c>
      <c r="B466" s="1284"/>
      <c r="C466" s="1284"/>
      <c r="D466" s="1284"/>
      <c r="E466" s="1284"/>
      <c r="F466" s="1284"/>
      <c r="G466" s="1284"/>
    </row>
    <row r="467" spans="1:7" ht="12" customHeight="1">
      <c r="A467" s="176"/>
      <c r="B467" s="176"/>
      <c r="D467" s="35"/>
    </row>
    <row r="468" spans="1:7">
      <c r="C468" s="172"/>
      <c r="D468" s="1282" t="s">
        <v>817</v>
      </c>
      <c r="E468" s="1282"/>
      <c r="F468" s="1282"/>
    </row>
    <row r="469" spans="1:7" ht="13.35" customHeight="1">
      <c r="A469" s="175"/>
      <c r="B469" s="175"/>
      <c r="C469" s="175"/>
      <c r="D469" s="1315" t="s">
        <v>1158</v>
      </c>
      <c r="E469" s="1315"/>
      <c r="F469" s="1315"/>
    </row>
    <row r="470" spans="1:7">
      <c r="A470" s="175"/>
      <c r="B470" s="175"/>
      <c r="C470" s="175"/>
      <c r="D470" s="1315"/>
      <c r="E470" s="1315"/>
      <c r="F470" s="1315"/>
    </row>
    <row r="471" spans="1:7">
      <c r="A471" s="175"/>
      <c r="B471" s="175"/>
      <c r="C471" s="175"/>
      <c r="D471" s="1315"/>
      <c r="E471" s="1315"/>
      <c r="F471" s="1315"/>
    </row>
    <row r="472" spans="1:7">
      <c r="A472" s="175"/>
      <c r="B472" s="175"/>
      <c r="C472" s="175"/>
      <c r="D472" s="1315"/>
      <c r="E472" s="1315"/>
      <c r="F472" s="1315"/>
    </row>
    <row r="473" spans="1:7">
      <c r="A473" s="175"/>
      <c r="B473" s="175"/>
      <c r="C473" s="175"/>
      <c r="D473" s="1315"/>
      <c r="E473" s="1315"/>
      <c r="F473" s="1315"/>
    </row>
    <row r="474" spans="1:7">
      <c r="A474" s="175"/>
      <c r="B474" s="175"/>
      <c r="C474" s="175"/>
      <c r="D474" s="326"/>
      <c r="F474" s="35"/>
    </row>
    <row r="475" spans="1:7" ht="14.45" customHeight="1">
      <c r="A475" s="176"/>
      <c r="B475" s="469" t="s">
        <v>309</v>
      </c>
      <c r="C475" s="175"/>
      <c r="D475" s="1299" t="s">
        <v>1149</v>
      </c>
      <c r="E475" s="1299"/>
      <c r="F475" s="1299"/>
    </row>
    <row r="476" spans="1:7">
      <c r="A476" s="175"/>
      <c r="B476" s="175"/>
      <c r="C476" s="175"/>
      <c r="D476" s="1299"/>
      <c r="E476" s="1299"/>
      <c r="F476" s="1299"/>
    </row>
    <row r="477" spans="1:7">
      <c r="A477" s="175"/>
      <c r="B477" s="175"/>
      <c r="C477" s="175"/>
      <c r="D477" s="1299"/>
      <c r="E477" s="1299"/>
      <c r="F477" s="1299"/>
    </row>
    <row r="478" spans="1:7">
      <c r="A478" s="175"/>
      <c r="B478" s="175"/>
      <c r="C478" s="175"/>
      <c r="D478" s="1299"/>
      <c r="E478" s="1299"/>
      <c r="F478" s="1299"/>
    </row>
    <row r="479" spans="1:7">
      <c r="A479" s="175"/>
      <c r="B479" s="175"/>
      <c r="C479" s="175"/>
      <c r="D479" s="1299"/>
      <c r="E479" s="1299"/>
      <c r="F479" s="1299"/>
    </row>
    <row r="480" spans="1:7">
      <c r="A480" s="175"/>
      <c r="B480" s="175"/>
      <c r="C480" s="175"/>
      <c r="D480" s="220"/>
      <c r="F480" s="35"/>
    </row>
    <row r="481" spans="1:6" ht="14.45" customHeight="1">
      <c r="A481" s="176"/>
      <c r="B481" s="469" t="s">
        <v>309</v>
      </c>
      <c r="C481" s="175"/>
      <c r="D481" s="1299" t="s">
        <v>1152</v>
      </c>
      <c r="E481" s="1299"/>
      <c r="F481" s="1299"/>
    </row>
    <row r="482" spans="1:6">
      <c r="A482" s="175"/>
      <c r="B482" s="175"/>
      <c r="C482" s="175"/>
      <c r="D482" s="1299"/>
      <c r="E482" s="1299"/>
      <c r="F482" s="1299"/>
    </row>
    <row r="483" spans="1:6">
      <c r="A483" s="175"/>
      <c r="B483" s="175"/>
      <c r="C483" s="175"/>
      <c r="D483" s="1299"/>
      <c r="E483" s="1299"/>
      <c r="F483" s="1299"/>
    </row>
    <row r="484" spans="1:6">
      <c r="A484" s="175"/>
      <c r="B484" s="175"/>
      <c r="C484" s="175"/>
      <c r="D484" s="1299"/>
      <c r="E484" s="1299"/>
      <c r="F484" s="1299"/>
    </row>
    <row r="485" spans="1:6" ht="9.9499999999999993" customHeight="1">
      <c r="A485" s="175"/>
      <c r="B485" s="175"/>
      <c r="C485" s="175"/>
      <c r="D485" s="220"/>
      <c r="F485" s="35"/>
    </row>
    <row r="486" spans="1:6" ht="14.45" customHeight="1">
      <c r="A486" s="176"/>
      <c r="B486" s="469" t="s">
        <v>309</v>
      </c>
      <c r="C486" s="175"/>
      <c r="D486" s="1299" t="s">
        <v>1150</v>
      </c>
      <c r="E486" s="1299"/>
      <c r="F486" s="1299"/>
    </row>
    <row r="487" spans="1:6">
      <c r="A487" s="175"/>
      <c r="B487" s="175"/>
      <c r="C487" s="175"/>
      <c r="D487" s="1299"/>
      <c r="E487" s="1299"/>
      <c r="F487" s="1299"/>
    </row>
    <row r="488" spans="1:6">
      <c r="A488" s="175"/>
      <c r="B488" s="175"/>
      <c r="C488" s="175"/>
      <c r="D488" s="1299"/>
      <c r="E488" s="1299"/>
      <c r="F488" s="1299"/>
    </row>
    <row r="489" spans="1:6">
      <c r="A489" s="175"/>
      <c r="B489" s="175"/>
      <c r="C489" s="175"/>
      <c r="D489" s="476"/>
      <c r="E489" s="476"/>
      <c r="F489" s="476"/>
    </row>
    <row r="490" spans="1:6" ht="14.45" customHeight="1">
      <c r="A490" s="176"/>
      <c r="B490" s="469" t="s">
        <v>309</v>
      </c>
      <c r="C490" s="175"/>
      <c r="D490" s="1299" t="s">
        <v>1151</v>
      </c>
      <c r="E490" s="1299"/>
      <c r="F490" s="1299"/>
    </row>
    <row r="491" spans="1:6">
      <c r="A491" s="175"/>
      <c r="B491" s="175"/>
      <c r="C491" s="175"/>
      <c r="D491" s="1299"/>
      <c r="E491" s="1299"/>
      <c r="F491" s="1299"/>
    </row>
    <row r="492" spans="1:6">
      <c r="A492" s="175"/>
      <c r="B492" s="175"/>
      <c r="C492" s="175"/>
      <c r="D492" s="1299"/>
      <c r="E492" s="1299"/>
      <c r="F492" s="1299"/>
    </row>
    <row r="493" spans="1:6">
      <c r="A493" s="175"/>
      <c r="B493" s="175"/>
      <c r="C493" s="175"/>
      <c r="D493" s="1299"/>
      <c r="E493" s="1299"/>
      <c r="F493" s="1299"/>
    </row>
    <row r="494" spans="1:6">
      <c r="A494" s="175"/>
      <c r="B494" s="175"/>
      <c r="C494" s="175"/>
      <c r="D494" s="1299"/>
      <c r="E494" s="1299"/>
      <c r="F494" s="1299"/>
    </row>
    <row r="495" spans="1:6">
      <c r="A495" s="175"/>
      <c r="B495" s="175"/>
      <c r="C495" s="175"/>
      <c r="D495" s="1299"/>
      <c r="E495" s="1299"/>
      <c r="F495" s="1299"/>
    </row>
    <row r="496" spans="1:6">
      <c r="A496" s="175"/>
      <c r="B496" s="175"/>
      <c r="C496" s="175"/>
      <c r="D496" s="1299"/>
      <c r="E496" s="1299"/>
      <c r="F496" s="1299"/>
    </row>
    <row r="497" spans="1:7">
      <c r="A497" s="175"/>
      <c r="B497" s="175"/>
      <c r="C497" s="175"/>
      <c r="D497" s="1299"/>
      <c r="E497" s="1299"/>
      <c r="F497" s="1299"/>
    </row>
    <row r="498" spans="1:7">
      <c r="A498" s="175"/>
      <c r="B498" s="175"/>
      <c r="C498" s="175"/>
      <c r="D498" s="1299"/>
      <c r="E498" s="1299"/>
      <c r="F498" s="1299"/>
    </row>
    <row r="499" spans="1:7">
      <c r="A499" s="175"/>
      <c r="B499" s="175"/>
      <c r="C499" s="175"/>
      <c r="D499" s="220"/>
      <c r="F499" s="35"/>
    </row>
    <row r="500" spans="1:7" ht="13.35" customHeight="1">
      <c r="A500" s="175"/>
      <c r="B500" s="469" t="s">
        <v>309</v>
      </c>
      <c r="C500" s="175"/>
      <c r="D500" s="1266" t="s">
        <v>1295</v>
      </c>
      <c r="E500" s="1266"/>
      <c r="F500" s="1266"/>
    </row>
    <row r="501" spans="1:7">
      <c r="A501" s="175"/>
      <c r="B501" s="175"/>
      <c r="C501" s="175"/>
      <c r="D501" s="1266"/>
      <c r="E501" s="1266"/>
      <c r="F501" s="1266"/>
    </row>
    <row r="502" spans="1:7">
      <c r="A502" s="175"/>
      <c r="B502" s="175"/>
      <c r="C502" s="175"/>
      <c r="D502" s="1266"/>
      <c r="E502" s="1266"/>
      <c r="F502" s="1266"/>
    </row>
    <row r="503" spans="1:7">
      <c r="A503" s="175"/>
      <c r="B503" s="175"/>
      <c r="C503" s="175"/>
      <c r="D503" s="1266"/>
      <c r="E503" s="1266"/>
      <c r="F503" s="1266"/>
    </row>
    <row r="504" spans="1:7">
      <c r="A504" s="175"/>
      <c r="B504" s="175"/>
      <c r="C504" s="175"/>
      <c r="D504" s="1266"/>
      <c r="E504" s="1266"/>
      <c r="F504" s="1266"/>
    </row>
    <row r="505" spans="1:7">
      <c r="A505" s="175"/>
      <c r="B505" s="175"/>
      <c r="C505" s="175"/>
      <c r="D505" s="486"/>
      <c r="E505" s="486"/>
      <c r="F505" s="486"/>
    </row>
    <row r="506" spans="1:7" ht="14.45" customHeight="1">
      <c r="A506" s="176"/>
      <c r="B506" s="469" t="s">
        <v>309</v>
      </c>
      <c r="D506" s="1299" t="s">
        <v>1153</v>
      </c>
      <c r="E506" s="1299"/>
      <c r="F506" s="1299"/>
    </row>
    <row r="507" spans="1:7">
      <c r="D507" s="1299"/>
      <c r="E507" s="1299"/>
      <c r="F507" s="1299"/>
    </row>
    <row r="508" spans="1:7">
      <c r="D508" s="1299"/>
      <c r="E508" s="1299"/>
      <c r="F508" s="1299"/>
    </row>
    <row r="509" spans="1:7" ht="12" customHeight="1">
      <c r="A509" s="35"/>
      <c r="B509" s="35"/>
      <c r="C509" s="179"/>
      <c r="D509" s="35"/>
      <c r="F509" s="57"/>
    </row>
    <row r="510" spans="1:7">
      <c r="A510" s="1284" t="s">
        <v>1116</v>
      </c>
      <c r="B510" s="1284"/>
      <c r="C510" s="1284"/>
      <c r="D510" s="1284"/>
      <c r="E510" s="1284"/>
      <c r="F510" s="1284"/>
      <c r="G510" s="1284"/>
    </row>
    <row r="511" spans="1:7">
      <c r="A511" s="35"/>
      <c r="B511" s="35"/>
      <c r="C511" s="179"/>
      <c r="F511" s="57"/>
    </row>
    <row r="512" spans="1:7">
      <c r="B512" s="1281" t="s">
        <v>449</v>
      </c>
      <c r="C512" s="1281"/>
      <c r="D512" s="1281"/>
      <c r="E512" s="1281"/>
      <c r="F512" s="1281"/>
    </row>
    <row r="513" spans="1:7">
      <c r="A513" s="35"/>
      <c r="B513" s="35"/>
      <c r="C513" s="179"/>
      <c r="D513" s="35"/>
      <c r="F513" s="35"/>
    </row>
    <row r="514" spans="1:7">
      <c r="A514" s="1285" t="s">
        <v>1117</v>
      </c>
      <c r="B514" s="1285"/>
      <c r="C514" s="1285"/>
      <c r="D514" s="1285"/>
      <c r="E514" s="1285"/>
      <c r="F514" s="1285"/>
      <c r="G514" s="1285"/>
    </row>
    <row r="515" spans="1:7">
      <c r="A515" s="35"/>
      <c r="B515" s="35"/>
      <c r="C515" s="179"/>
      <c r="D515" s="35"/>
      <c r="F515" s="35"/>
    </row>
    <row r="516" spans="1:7">
      <c r="C516" s="179"/>
      <c r="D516" s="1282" t="s">
        <v>692</v>
      </c>
      <c r="E516" s="1282"/>
      <c r="F516" s="1282"/>
    </row>
    <row r="517" spans="1:7">
      <c r="C517" s="179"/>
      <c r="D517" s="1283" t="s">
        <v>1174</v>
      </c>
      <c r="E517" s="1283"/>
      <c r="F517" s="1283"/>
    </row>
    <row r="518" spans="1:7">
      <c r="C518" s="179"/>
      <c r="D518" s="118"/>
      <c r="E518" s="118"/>
      <c r="F518" s="118"/>
    </row>
    <row r="519" spans="1:7" ht="13.35" customHeight="1">
      <c r="A519" s="176"/>
      <c r="B519" s="469" t="s">
        <v>309</v>
      </c>
      <c r="C519" s="179"/>
      <c r="D519" s="1283" t="s">
        <v>913</v>
      </c>
      <c r="E519" s="1283"/>
      <c r="F519" s="1283"/>
      <c r="G519"/>
    </row>
    <row r="520" spans="1:7" ht="13.35" customHeight="1">
      <c r="A520" s="179"/>
      <c r="B520" s="179"/>
      <c r="C520" s="179"/>
      <c r="D520" s="118"/>
      <c r="E520"/>
      <c r="F520"/>
      <c r="G520"/>
    </row>
    <row r="521" spans="1:7" ht="14.25">
      <c r="A521" s="176"/>
      <c r="B521" s="469" t="s">
        <v>309</v>
      </c>
      <c r="C521" s="179"/>
      <c r="D521" s="1263" t="s">
        <v>1175</v>
      </c>
      <c r="E521" s="1263"/>
      <c r="F521" s="1263"/>
      <c r="G521"/>
    </row>
    <row r="522" spans="1:7">
      <c r="A522" s="179"/>
      <c r="B522" s="179"/>
      <c r="C522" s="179"/>
      <c r="D522" s="1263"/>
      <c r="E522" s="1263"/>
      <c r="F522" s="1263"/>
      <c r="G522"/>
    </row>
    <row r="523" spans="1:7">
      <c r="A523" s="179"/>
      <c r="B523" s="179"/>
      <c r="C523" s="179"/>
      <c r="D523" s="35"/>
      <c r="E523" s="35"/>
      <c r="F523" s="35"/>
      <c r="G523"/>
    </row>
    <row r="524" spans="1:7" ht="14.25">
      <c r="A524" s="176"/>
      <c r="B524" s="469" t="s">
        <v>309</v>
      </c>
      <c r="C524" s="179"/>
      <c r="D524" s="1263" t="s">
        <v>1176</v>
      </c>
      <c r="E524" s="1263"/>
      <c r="F524" s="1263"/>
      <c r="G524"/>
    </row>
    <row r="525" spans="1:7">
      <c r="A525" s="179"/>
      <c r="B525" s="179"/>
      <c r="C525" s="179"/>
      <c r="D525" s="1263"/>
      <c r="E525" s="1263"/>
      <c r="F525" s="1263"/>
      <c r="G525"/>
    </row>
    <row r="526" spans="1:7">
      <c r="A526" s="179"/>
      <c r="B526" s="179"/>
      <c r="C526" s="179"/>
      <c r="D526" s="35"/>
      <c r="E526" s="35"/>
      <c r="F526" s="35"/>
      <c r="G526"/>
    </row>
    <row r="527" spans="1:7" ht="14.25">
      <c r="A527" s="176"/>
      <c r="B527" s="469" t="s">
        <v>309</v>
      </c>
      <c r="C527" s="179"/>
      <c r="D527" s="1263" t="s">
        <v>1177</v>
      </c>
      <c r="E527" s="1263"/>
      <c r="F527" s="1263"/>
      <c r="G527"/>
    </row>
    <row r="528" spans="1:7">
      <c r="A528" s="179"/>
      <c r="B528" s="179"/>
      <c r="C528" s="179"/>
      <c r="D528" s="1263"/>
      <c r="E528" s="1263"/>
      <c r="F528" s="1263"/>
      <c r="G528"/>
    </row>
    <row r="529" spans="1:7">
      <c r="A529" s="179"/>
      <c r="B529" s="179"/>
      <c r="C529" s="179"/>
      <c r="D529" s="35"/>
      <c r="E529" s="35"/>
      <c r="F529" s="35"/>
      <c r="G529"/>
    </row>
    <row r="530" spans="1:7" ht="14.25">
      <c r="A530" s="176"/>
      <c r="B530" s="469" t="s">
        <v>309</v>
      </c>
      <c r="C530" s="179"/>
      <c r="D530" s="1263" t="s">
        <v>1178</v>
      </c>
      <c r="E530" s="1263"/>
      <c r="F530" s="1263"/>
      <c r="G530"/>
    </row>
    <row r="531" spans="1:7">
      <c r="A531" s="179"/>
      <c r="B531" s="179"/>
      <c r="C531" s="179"/>
      <c r="D531" s="1263"/>
      <c r="E531" s="1263"/>
      <c r="F531" s="1263"/>
      <c r="G531"/>
    </row>
    <row r="532" spans="1:7">
      <c r="A532" s="179"/>
      <c r="B532" s="179"/>
      <c r="C532" s="179"/>
      <c r="D532" s="1263"/>
      <c r="E532" s="1263"/>
      <c r="F532" s="1263"/>
      <c r="G532"/>
    </row>
    <row r="533" spans="1:7">
      <c r="A533" s="179"/>
      <c r="B533" s="179"/>
      <c r="C533" s="179"/>
      <c r="D533" s="35"/>
      <c r="E533" s="35"/>
      <c r="F533" s="35"/>
    </row>
    <row r="534" spans="1:7" ht="14.25">
      <c r="A534" s="176"/>
      <c r="B534" s="469" t="s">
        <v>309</v>
      </c>
      <c r="C534" s="179"/>
      <c r="D534" s="1263" t="s">
        <v>1296</v>
      </c>
      <c r="E534" s="1263"/>
      <c r="F534" s="1263"/>
    </row>
    <row r="535" spans="1:7">
      <c r="A535" s="179"/>
      <c r="B535" s="179"/>
      <c r="C535" s="179"/>
      <c r="D535" s="1263"/>
      <c r="E535" s="1263"/>
      <c r="F535" s="1263"/>
    </row>
    <row r="536" spans="1:7">
      <c r="A536" s="179"/>
      <c r="B536" s="179"/>
      <c r="C536" s="179"/>
      <c r="D536" s="35"/>
      <c r="E536" s="35"/>
      <c r="F536" s="35"/>
    </row>
    <row r="537" spans="1:7" ht="14.25">
      <c r="A537" s="176"/>
      <c r="B537" s="469" t="s">
        <v>309</v>
      </c>
      <c r="C537" s="179"/>
      <c r="D537" s="1263" t="s">
        <v>1179</v>
      </c>
      <c r="E537" s="1263"/>
      <c r="F537" s="1263"/>
    </row>
    <row r="538" spans="1:7">
      <c r="A538" s="179"/>
      <c r="B538" s="179"/>
      <c r="C538" s="179"/>
      <c r="D538" s="1263"/>
      <c r="E538" s="1263"/>
      <c r="F538" s="1263"/>
    </row>
    <row r="539" spans="1:7">
      <c r="A539" s="179"/>
      <c r="B539" s="179"/>
      <c r="C539" s="179"/>
      <c r="D539" s="35"/>
      <c r="E539" s="35"/>
      <c r="F539" s="35"/>
    </row>
    <row r="540" spans="1:7" ht="14.25">
      <c r="A540" s="176"/>
      <c r="B540" s="469" t="s">
        <v>309</v>
      </c>
      <c r="C540" s="179"/>
      <c r="D540" s="1263" t="s">
        <v>1180</v>
      </c>
      <c r="E540" s="1263"/>
      <c r="F540" s="1263"/>
    </row>
    <row r="541" spans="1:7">
      <c r="A541" s="179"/>
      <c r="B541" s="179"/>
      <c r="C541" s="179"/>
      <c r="D541" s="1263"/>
      <c r="E541" s="1263"/>
      <c r="F541" s="1263"/>
    </row>
    <row r="542" spans="1:7">
      <c r="A542" s="179"/>
      <c r="B542" s="179"/>
      <c r="C542" s="179"/>
      <c r="D542" s="35"/>
      <c r="E542" s="35"/>
      <c r="F542" s="35"/>
    </row>
    <row r="543" spans="1:7" ht="14.25">
      <c r="A543" s="176"/>
      <c r="B543" s="469" t="s">
        <v>309</v>
      </c>
      <c r="C543" s="179"/>
      <c r="D543" s="1283" t="s">
        <v>1181</v>
      </c>
      <c r="E543" s="1283"/>
      <c r="F543" s="1283"/>
    </row>
    <row r="544" spans="1:7">
      <c r="A544" s="13"/>
      <c r="B544" s="13"/>
      <c r="C544" s="179"/>
      <c r="D544" s="1283" t="s">
        <v>846</v>
      </c>
      <c r="E544" s="1283"/>
      <c r="F544" s="1283"/>
    </row>
    <row r="545" spans="1:7">
      <c r="A545" s="13"/>
      <c r="B545" s="13"/>
      <c r="C545" s="179"/>
      <c r="D545" s="3"/>
      <c r="E545" s="1288" t="s">
        <v>1182</v>
      </c>
      <c r="F545" s="1288"/>
    </row>
    <row r="546" spans="1:7" ht="14.25">
      <c r="A546" s="176"/>
      <c r="B546" s="176"/>
      <c r="C546" s="179"/>
      <c r="E546" s="35"/>
      <c r="F546" s="35"/>
    </row>
    <row r="547" spans="1:7" ht="14.25">
      <c r="A547" s="176"/>
      <c r="B547" s="469" t="s">
        <v>309</v>
      </c>
      <c r="C547" s="179"/>
      <c r="D547" s="1283" t="s">
        <v>1183</v>
      </c>
      <c r="E547" s="1283"/>
      <c r="F547" s="1283"/>
    </row>
    <row r="548" spans="1:7">
      <c r="C548" s="179"/>
      <c r="D548" s="1263" t="s">
        <v>1184</v>
      </c>
      <c r="E548" s="1263"/>
      <c r="F548" s="1263"/>
    </row>
    <row r="549" spans="1:7">
      <c r="A549" s="179"/>
      <c r="B549" s="179"/>
      <c r="C549" s="179"/>
      <c r="D549" s="1263"/>
      <c r="E549" s="1263"/>
      <c r="F549" s="1263"/>
    </row>
    <row r="550" spans="1:7">
      <c r="A550" s="179"/>
      <c r="B550" s="179"/>
      <c r="C550" s="179"/>
      <c r="D550" s="1263"/>
      <c r="E550" s="1263"/>
      <c r="F550" s="1263"/>
    </row>
    <row r="551" spans="1:7">
      <c r="A551" s="179"/>
      <c r="B551" s="179"/>
      <c r="C551" s="179"/>
      <c r="D551" s="35"/>
      <c r="E551" s="35"/>
      <c r="F551" s="35"/>
    </row>
    <row r="552" spans="1:7" ht="14.25">
      <c r="A552" s="176"/>
      <c r="B552" s="469" t="s">
        <v>309</v>
      </c>
      <c r="C552" s="179"/>
      <c r="D552" s="1263" t="s">
        <v>1185</v>
      </c>
      <c r="E552" s="1263"/>
      <c r="F552" s="1263"/>
    </row>
    <row r="553" spans="1:7" ht="14.25">
      <c r="A553" s="176"/>
      <c r="B553" s="176"/>
      <c r="C553" s="179"/>
      <c r="D553" s="1263"/>
      <c r="E553" s="1263"/>
      <c r="F553" s="1263"/>
    </row>
    <row r="554" spans="1:7" ht="14.25">
      <c r="A554" s="176"/>
      <c r="B554" s="176"/>
      <c r="C554" s="179"/>
      <c r="D554" s="1263"/>
      <c r="E554" s="1263"/>
      <c r="F554" s="1263"/>
    </row>
    <row r="555" spans="1:7" ht="14.25">
      <c r="A555" s="176"/>
      <c r="B555" s="176"/>
      <c r="C555" s="179"/>
      <c r="D555" s="1263"/>
      <c r="E555" s="1263"/>
      <c r="F555" s="1263"/>
    </row>
    <row r="556" spans="1:7" ht="14.25">
      <c r="A556" s="176"/>
      <c r="B556" s="176"/>
      <c r="C556" s="179"/>
      <c r="D556" s="35"/>
      <c r="E556" s="35"/>
      <c r="F556" s="35"/>
    </row>
    <row r="557" spans="1:7">
      <c r="A557" s="1284" t="s">
        <v>1118</v>
      </c>
      <c r="B557" s="1284"/>
      <c r="C557" s="1284"/>
      <c r="D557" s="1284"/>
      <c r="E557" s="1284"/>
      <c r="F557" s="1284"/>
      <c r="G557" s="1284"/>
    </row>
    <row r="558" spans="1:7">
      <c r="A558" s="179"/>
      <c r="B558" s="179"/>
      <c r="C558" s="179"/>
      <c r="E558" s="35"/>
      <c r="F558" s="35"/>
    </row>
    <row r="559" spans="1:7" ht="12.75" customHeight="1">
      <c r="C559" s="172"/>
      <c r="D559" s="1295" t="s">
        <v>212</v>
      </c>
      <c r="E559" s="1295"/>
      <c r="F559" s="1295"/>
    </row>
    <row r="560" spans="1:7">
      <c r="A560" s="175"/>
      <c r="B560" s="175"/>
      <c r="C560" s="175"/>
      <c r="D560" s="1300" t="s">
        <v>1134</v>
      </c>
      <c r="E560" s="1300"/>
      <c r="F560" s="1300"/>
    </row>
    <row r="561" spans="1:6">
      <c r="A561"/>
      <c r="B561"/>
      <c r="C561" s="175"/>
      <c r="D561" s="255"/>
    </row>
    <row r="562" spans="1:6">
      <c r="A562" s="175"/>
      <c r="B562" s="469" t="s">
        <v>309</v>
      </c>
      <c r="D562" s="1300" t="s">
        <v>919</v>
      </c>
      <c r="E562" s="1300"/>
      <c r="F562" s="1300"/>
    </row>
    <row r="563" spans="1:6">
      <c r="A563" s="13"/>
      <c r="B563" s="13"/>
      <c r="D563" s="218"/>
    </row>
    <row r="564" spans="1:6">
      <c r="A564" s="13"/>
      <c r="B564" s="469" t="s">
        <v>309</v>
      </c>
      <c r="D564" s="1300" t="s">
        <v>1135</v>
      </c>
      <c r="E564" s="1300"/>
      <c r="F564" s="1300"/>
    </row>
    <row r="565" spans="1:6">
      <c r="A565" s="13"/>
      <c r="B565" s="13"/>
      <c r="D565" s="1300"/>
      <c r="E565" s="1300"/>
      <c r="F565" s="1300"/>
    </row>
    <row r="566" spans="1:6">
      <c r="A566" s="13"/>
      <c r="B566" s="13"/>
      <c r="D566" s="1300"/>
      <c r="E566" s="1300"/>
      <c r="F566" s="1300"/>
    </row>
    <row r="567" spans="1:6">
      <c r="A567" s="13"/>
      <c r="B567" s="13"/>
      <c r="D567" s="255"/>
    </row>
    <row r="568" spans="1:6">
      <c r="A568" s="13"/>
      <c r="B568" s="469" t="s">
        <v>309</v>
      </c>
      <c r="D568" s="1300" t="s">
        <v>1136</v>
      </c>
      <c r="E568" s="1300"/>
      <c r="F568" s="1300"/>
    </row>
    <row r="569" spans="1:6">
      <c r="A569" s="13"/>
      <c r="B569" s="13"/>
      <c r="D569" s="1300"/>
      <c r="E569" s="1300"/>
      <c r="F569" s="1300"/>
    </row>
    <row r="570" spans="1:6">
      <c r="A570" s="13"/>
      <c r="B570" s="13"/>
      <c r="D570" s="1300"/>
      <c r="E570" s="1300"/>
      <c r="F570" s="1300"/>
    </row>
    <row r="571" spans="1:6">
      <c r="A571" s="13"/>
      <c r="B571" s="13"/>
      <c r="D571" s="1300"/>
      <c r="E571" s="1300"/>
      <c r="F571" s="1300"/>
    </row>
    <row r="572" spans="1:6">
      <c r="A572" s="13"/>
      <c r="B572" s="13"/>
      <c r="D572" s="474"/>
      <c r="E572" s="474"/>
      <c r="F572" s="474"/>
    </row>
    <row r="573" spans="1:6">
      <c r="A573" s="13"/>
      <c r="B573" s="469" t="s">
        <v>309</v>
      </c>
      <c r="D573" s="1300" t="s">
        <v>1137</v>
      </c>
      <c r="E573" s="1300"/>
      <c r="F573" s="1300"/>
    </row>
    <row r="574" spans="1:6">
      <c r="A574" s="13"/>
      <c r="B574" s="13"/>
      <c r="D574" s="1300"/>
      <c r="E574" s="1300"/>
      <c r="F574" s="1300"/>
    </row>
    <row r="575" spans="1:6">
      <c r="A575" s="13"/>
      <c r="B575" s="13"/>
      <c r="D575" s="255"/>
    </row>
    <row r="576" spans="1:6">
      <c r="A576" s="13"/>
      <c r="B576" s="469" t="s">
        <v>309</v>
      </c>
      <c r="D576" s="1300" t="s">
        <v>1138</v>
      </c>
      <c r="E576" s="1300"/>
      <c r="F576" s="1300"/>
    </row>
    <row r="577" spans="1:7">
      <c r="A577" s="13"/>
      <c r="B577" s="13"/>
      <c r="D577" s="1300"/>
      <c r="E577" s="1300"/>
      <c r="F577" s="1300"/>
    </row>
    <row r="578" spans="1:7">
      <c r="A578" s="13"/>
      <c r="B578" s="13"/>
      <c r="D578" s="255"/>
    </row>
    <row r="579" spans="1:7" ht="14.25">
      <c r="A579" s="176"/>
      <c r="B579" s="469" t="s">
        <v>309</v>
      </c>
      <c r="D579" s="1300" t="s">
        <v>914</v>
      </c>
      <c r="E579" s="1300"/>
      <c r="F579" s="1300"/>
    </row>
    <row r="580" spans="1:7" ht="14.25">
      <c r="A580" s="176"/>
      <c r="B580" s="176"/>
      <c r="D580" s="255"/>
    </row>
    <row r="581" spans="1:7" ht="14.25">
      <c r="A581" s="176"/>
      <c r="B581" s="469" t="s">
        <v>309</v>
      </c>
      <c r="D581" s="1300" t="s">
        <v>1139</v>
      </c>
      <c r="E581" s="1300"/>
      <c r="F581" s="1300"/>
    </row>
    <row r="582" spans="1:7" ht="14.25">
      <c r="A582" s="176"/>
      <c r="B582" s="176"/>
      <c r="D582" s="1300"/>
      <c r="E582" s="1300"/>
      <c r="F582" s="1300"/>
    </row>
    <row r="583" spans="1:7">
      <c r="D583" s="1300"/>
      <c r="E583" s="1300"/>
      <c r="F583" s="1300"/>
    </row>
    <row r="584" spans="1:7">
      <c r="D584" s="1300"/>
      <c r="E584" s="1300"/>
      <c r="F584" s="1300"/>
    </row>
    <row r="585" spans="1:7">
      <c r="D585" s="1300"/>
      <c r="E585" s="1300"/>
      <c r="F585" s="1300"/>
    </row>
    <row r="586" spans="1:7">
      <c r="D586" s="1300"/>
      <c r="E586" s="1300"/>
      <c r="F586" s="1300"/>
    </row>
    <row r="587" spans="1:7"/>
    <row r="588" spans="1:7">
      <c r="A588" s="1284" t="s">
        <v>1119</v>
      </c>
      <c r="B588" s="1284"/>
      <c r="C588" s="1284"/>
      <c r="D588" s="1284"/>
      <c r="E588" s="1284"/>
      <c r="F588" s="1284"/>
      <c r="G588" s="1284"/>
    </row>
    <row r="589" spans="1:7"/>
    <row r="590" spans="1:7">
      <c r="D590" s="1276" t="s">
        <v>1219</v>
      </c>
      <c r="E590" s="1276"/>
      <c r="F590" s="1276"/>
    </row>
    <row r="591" spans="1:7">
      <c r="D591" s="1277" t="s">
        <v>1220</v>
      </c>
      <c r="E591" s="1277"/>
      <c r="F591" s="1277"/>
    </row>
    <row r="592" spans="1:7">
      <c r="D592" s="479"/>
      <c r="E592" s="434"/>
      <c r="F592" s="434"/>
    </row>
    <row r="593" spans="1:7" ht="14.25">
      <c r="A593" s="176"/>
      <c r="B593" s="469" t="s">
        <v>309</v>
      </c>
      <c r="D593" s="1278" t="s">
        <v>1221</v>
      </c>
      <c r="E593" s="1278"/>
      <c r="F593" s="1278"/>
    </row>
    <row r="594" spans="1:7">
      <c r="D594" s="1278"/>
      <c r="E594" s="1278"/>
      <c r="F594" s="1278"/>
    </row>
    <row r="595" spans="1:7">
      <c r="D595" s="1278"/>
      <c r="E595" s="1278"/>
      <c r="F595" s="1278"/>
    </row>
    <row r="596" spans="1:7"/>
    <row r="597" spans="1:7">
      <c r="A597" s="1284" t="s">
        <v>1120</v>
      </c>
      <c r="B597" s="1284"/>
      <c r="C597" s="1284"/>
      <c r="D597" s="1284"/>
      <c r="E597" s="1284"/>
      <c r="F597" s="1284"/>
      <c r="G597" s="1284"/>
    </row>
    <row r="598" spans="1:7">
      <c r="A598" s="35"/>
      <c r="B598" s="35"/>
    </row>
    <row r="599" spans="1:7">
      <c r="A599" s="172"/>
      <c r="B599" s="172"/>
      <c r="C599" s="172"/>
      <c r="D599" s="1279" t="s">
        <v>1222</v>
      </c>
      <c r="E599" s="1279"/>
      <c r="F599" s="1279"/>
    </row>
    <row r="600" spans="1:7">
      <c r="A600" s="172"/>
      <c r="B600" s="172"/>
      <c r="C600" s="172"/>
      <c r="D600" s="1279"/>
      <c r="E600" s="1279"/>
      <c r="F600" s="1279"/>
    </row>
    <row r="601" spans="1:7">
      <c r="C601" s="175"/>
      <c r="D601" s="1277" t="s">
        <v>1223</v>
      </c>
      <c r="E601" s="1277"/>
      <c r="F601" s="1277"/>
    </row>
    <row r="602" spans="1:7">
      <c r="C602" s="175"/>
      <c r="D602" s="479"/>
      <c r="E602" s="479"/>
      <c r="F602" s="479"/>
    </row>
    <row r="603" spans="1:7">
      <c r="A603" s="13"/>
      <c r="B603" s="469" t="s">
        <v>309</v>
      </c>
      <c r="D603" s="1277" t="s">
        <v>434</v>
      </c>
      <c r="E603" s="1277"/>
      <c r="F603" s="1277"/>
    </row>
    <row r="604" spans="1:7">
      <c r="C604" s="180"/>
      <c r="E604"/>
    </row>
    <row r="605" spans="1:7">
      <c r="A605" s="13"/>
      <c r="B605" s="469" t="s">
        <v>309</v>
      </c>
      <c r="D605" s="1280" t="s">
        <v>1224</v>
      </c>
      <c r="E605" s="1280"/>
      <c r="F605" s="1280"/>
    </row>
    <row r="606" spans="1:7">
      <c r="D606" s="1280"/>
      <c r="E606" s="1280"/>
      <c r="F606" s="1280"/>
    </row>
    <row r="607" spans="1:7">
      <c r="D607"/>
    </row>
    <row r="608" spans="1:7">
      <c r="B608" s="469" t="s">
        <v>309</v>
      </c>
      <c r="D608" s="1280" t="s">
        <v>1225</v>
      </c>
      <c r="E608" s="1280"/>
      <c r="F608" s="1280"/>
    </row>
    <row r="609" spans="1:7">
      <c r="C609" s="180"/>
      <c r="D609" s="1280"/>
      <c r="E609" s="1280"/>
      <c r="F609" s="1280"/>
    </row>
    <row r="610" spans="1:7">
      <c r="C610" s="180"/>
    </row>
    <row r="611" spans="1:7">
      <c r="B611" s="469" t="s">
        <v>309</v>
      </c>
      <c r="C611" s="180"/>
      <c r="D611" s="1280" t="s">
        <v>1226</v>
      </c>
      <c r="E611" s="1280"/>
      <c r="F611" s="1280"/>
    </row>
    <row r="612" spans="1:7">
      <c r="C612" s="180"/>
      <c r="D612" s="1280"/>
      <c r="E612" s="1280"/>
      <c r="F612" s="1280"/>
    </row>
    <row r="613" spans="1:7">
      <c r="C613" s="180"/>
    </row>
    <row r="614" spans="1:7">
      <c r="A614" s="1284" t="s">
        <v>1121</v>
      </c>
      <c r="B614" s="1284"/>
      <c r="C614" s="1284"/>
      <c r="D614" s="1284"/>
      <c r="E614" s="1284"/>
      <c r="F614" s="1284"/>
      <c r="G614" s="1284"/>
    </row>
    <row r="615" spans="1:7">
      <c r="A615" s="172"/>
      <c r="B615" s="172"/>
      <c r="C615" s="172"/>
    </row>
    <row r="616" spans="1:7">
      <c r="C616" s="13"/>
      <c r="D616" s="1276" t="s">
        <v>1227</v>
      </c>
      <c r="E616" s="1276"/>
      <c r="F616" s="1276"/>
    </row>
    <row r="617" spans="1:7">
      <c r="A617" s="13"/>
      <c r="B617" s="13"/>
      <c r="D617" s="2"/>
    </row>
    <row r="618" spans="1:7" ht="14.25">
      <c r="A618" s="176"/>
      <c r="B618" s="469" t="s">
        <v>309</v>
      </c>
      <c r="D618" s="1278" t="s">
        <v>1228</v>
      </c>
      <c r="E618" s="1278"/>
      <c r="F618" s="1278"/>
    </row>
    <row r="619" spans="1:7">
      <c r="D619" s="1278"/>
      <c r="E619" s="1278"/>
      <c r="F619" s="1278"/>
    </row>
    <row r="620" spans="1:7">
      <c r="D620" s="1278"/>
      <c r="E620" s="1278"/>
      <c r="F620" s="1278"/>
    </row>
    <row r="621" spans="1:7">
      <c r="D621" s="1278"/>
      <c r="E621" s="1278"/>
      <c r="F621" s="1278"/>
    </row>
    <row r="622" spans="1:7">
      <c r="D622" s="1278"/>
      <c r="E622" s="1278"/>
      <c r="F622" s="1278"/>
    </row>
    <row r="623" spans="1:7">
      <c r="D623" s="1278"/>
      <c r="E623" s="1278"/>
      <c r="F623" s="1278"/>
    </row>
    <row r="624" spans="1:7">
      <c r="D624" s="480"/>
      <c r="E624" s="480"/>
      <c r="F624" s="480"/>
    </row>
    <row r="625" spans="1:7" ht="14.25">
      <c r="A625" s="176"/>
      <c r="B625" s="469" t="s">
        <v>309</v>
      </c>
      <c r="D625" s="1278" t="s">
        <v>1229</v>
      </c>
      <c r="E625" s="1278"/>
      <c r="F625" s="1278"/>
    </row>
    <row r="626" spans="1:7">
      <c r="A626" s="179"/>
      <c r="B626" s="179"/>
      <c r="C626" s="179"/>
      <c r="D626" s="1278"/>
      <c r="E626" s="1278"/>
      <c r="F626" s="1278"/>
    </row>
    <row r="627" spans="1:7">
      <c r="A627" s="179"/>
      <c r="B627" s="179"/>
      <c r="C627" s="179"/>
      <c r="D627" s="35"/>
      <c r="E627" s="35"/>
      <c r="F627" s="35"/>
    </row>
    <row r="628" spans="1:7" ht="14.25">
      <c r="A628" s="176"/>
      <c r="B628" s="469" t="s">
        <v>309</v>
      </c>
      <c r="C628" s="179"/>
      <c r="D628" s="1278" t="s">
        <v>1230</v>
      </c>
      <c r="E628" s="1278"/>
      <c r="F628" s="1278"/>
    </row>
    <row r="629" spans="1:7" ht="14.25">
      <c r="A629" s="176"/>
      <c r="B629" s="176"/>
      <c r="C629" s="179"/>
      <c r="D629" s="1278"/>
      <c r="E629" s="1278"/>
      <c r="F629" s="1278"/>
    </row>
    <row r="630" spans="1:7" ht="14.25">
      <c r="A630" s="176"/>
      <c r="B630" s="176"/>
      <c r="C630" s="179"/>
      <c r="D630" s="1278"/>
      <c r="E630" s="1278"/>
      <c r="F630" s="1278"/>
    </row>
    <row r="631" spans="1:7">
      <c r="A631" s="179"/>
      <c r="B631" s="179"/>
      <c r="C631" s="179"/>
      <c r="D631" s="1278"/>
      <c r="E631" s="1278"/>
      <c r="F631" s="1278"/>
    </row>
    <row r="632" spans="1:7">
      <c r="A632" s="179"/>
      <c r="B632" s="179"/>
      <c r="C632" s="179"/>
      <c r="D632" s="480"/>
      <c r="E632" s="480"/>
      <c r="F632" s="480"/>
    </row>
    <row r="633" spans="1:7">
      <c r="A633" s="179"/>
      <c r="B633" s="469" t="s">
        <v>309</v>
      </c>
      <c r="C633" s="179"/>
      <c r="D633" s="1307" t="s">
        <v>1231</v>
      </c>
      <c r="E633" s="1307"/>
      <c r="F633" s="1307"/>
    </row>
    <row r="634" spans="1:7">
      <c r="A634" s="179"/>
      <c r="B634" s="179"/>
      <c r="C634" s="179"/>
      <c r="D634" s="481"/>
      <c r="E634" s="481"/>
      <c r="F634" s="481"/>
    </row>
    <row r="635" spans="1:7">
      <c r="A635" s="1284" t="s">
        <v>1122</v>
      </c>
      <c r="B635" s="1284"/>
      <c r="C635" s="1284"/>
      <c r="D635" s="1284"/>
      <c r="E635" s="1284"/>
      <c r="F635" s="1284"/>
      <c r="G635" s="1284"/>
    </row>
    <row r="636" spans="1:7">
      <c r="A636" s="35"/>
      <c r="B636" s="35"/>
      <c r="C636" s="179"/>
      <c r="D636" s="35"/>
      <c r="E636" s="35"/>
      <c r="F636" s="35"/>
    </row>
    <row r="637" spans="1:7">
      <c r="C637" s="172"/>
      <c r="D637" s="1282" t="s">
        <v>1281</v>
      </c>
      <c r="E637" s="1282"/>
      <c r="F637" s="1282"/>
    </row>
    <row r="638" spans="1:7">
      <c r="A638" s="175"/>
      <c r="B638" s="175"/>
      <c r="C638" s="175"/>
      <c r="D638" s="1283" t="s">
        <v>1282</v>
      </c>
      <c r="E638" s="1283"/>
      <c r="F638" s="1283"/>
    </row>
    <row r="639" spans="1:7">
      <c r="A639" s="175"/>
      <c r="B639" s="175"/>
      <c r="C639" s="175"/>
      <c r="D639" s="118"/>
      <c r="E639" s="118"/>
      <c r="F639" s="118"/>
    </row>
    <row r="640" spans="1:7" ht="14.45" customHeight="1">
      <c r="A640" s="176"/>
      <c r="B640" s="469" t="s">
        <v>309</v>
      </c>
      <c r="C640" s="179"/>
      <c r="D640" s="1263" t="s">
        <v>1283</v>
      </c>
      <c r="E640" s="1263"/>
      <c r="F640" s="1263"/>
    </row>
    <row r="641" spans="1:11" ht="14.25">
      <c r="A641" s="176"/>
      <c r="B641" s="176"/>
      <c r="C641" s="179"/>
      <c r="D641" s="1263"/>
      <c r="E641" s="1263"/>
      <c r="F641" s="1263"/>
    </row>
    <row r="642" spans="1:11" ht="14.25">
      <c r="A642" s="176"/>
      <c r="B642" s="176"/>
      <c r="C642" s="179"/>
      <c r="D642" s="1263"/>
      <c r="E642" s="1263"/>
      <c r="F642" s="1263"/>
    </row>
    <row r="643" spans="1:11" ht="14.25">
      <c r="A643" s="176"/>
      <c r="B643" s="176"/>
      <c r="C643" s="179"/>
      <c r="D643" s="1263"/>
      <c r="E643" s="1263"/>
      <c r="F643" s="1263"/>
    </row>
    <row r="644" spans="1:11" ht="14.25">
      <c r="A644" s="176"/>
      <c r="B644" s="176"/>
      <c r="C644" s="179"/>
      <c r="D644" s="1263"/>
      <c r="E644" s="1263"/>
      <c r="F644" s="1263"/>
    </row>
    <row r="645" spans="1:11" ht="14.25">
      <c r="A645" s="176"/>
      <c r="B645" s="176"/>
      <c r="C645" s="179"/>
      <c r="D645" s="475"/>
      <c r="E645" s="475"/>
      <c r="F645" s="475"/>
    </row>
    <row r="646" spans="1:11" ht="14.25">
      <c r="A646" s="176"/>
      <c r="B646" s="469" t="s">
        <v>309</v>
      </c>
      <c r="C646" s="179"/>
      <c r="D646" s="1297" t="s">
        <v>1133</v>
      </c>
      <c r="E646" s="1297"/>
      <c r="F646" s="1297"/>
    </row>
    <row r="647" spans="1:11" ht="14.25">
      <c r="A647" s="176"/>
      <c r="B647" s="176"/>
      <c r="C647" s="179"/>
      <c r="D647" s="1296" t="s">
        <v>1284</v>
      </c>
      <c r="E647" s="1296"/>
      <c r="F647" s="1296"/>
    </row>
    <row r="648" spans="1:11" ht="14.25">
      <c r="A648" s="176"/>
      <c r="B648" s="176"/>
      <c r="C648" s="179"/>
      <c r="D648" s="1296"/>
      <c r="E648" s="1296"/>
      <c r="F648" s="1296"/>
    </row>
    <row r="649" spans="1:11" ht="14.25">
      <c r="A649" s="176"/>
      <c r="B649" s="176"/>
      <c r="C649" s="179"/>
      <c r="D649" s="1296"/>
      <c r="E649" s="1296"/>
      <c r="F649" s="1296"/>
    </row>
    <row r="650" spans="1:11" ht="14.25">
      <c r="A650" s="176"/>
      <c r="B650" s="176"/>
      <c r="C650" s="179"/>
      <c r="D650" s="1296"/>
      <c r="E650" s="1296"/>
      <c r="F650" s="1296"/>
    </row>
    <row r="651" spans="1:11" ht="14.25">
      <c r="A651" s="176"/>
      <c r="B651" s="176"/>
      <c r="C651" s="179"/>
      <c r="D651" s="1296"/>
      <c r="E651" s="1296"/>
      <c r="F651" s="1296"/>
    </row>
    <row r="652" spans="1:11" ht="14.25">
      <c r="A652" s="176"/>
      <c r="B652" s="176"/>
      <c r="C652" s="179"/>
      <c r="D652" s="1298" t="s">
        <v>1285</v>
      </c>
      <c r="E652" s="1298"/>
      <c r="F652" s="1298"/>
    </row>
    <row r="653" spans="1:11">
      <c r="A653" s="179"/>
      <c r="B653" s="179"/>
      <c r="C653" s="179"/>
      <c r="D653" s="35"/>
      <c r="E653" s="35"/>
      <c r="F653" s="35"/>
    </row>
    <row r="654" spans="1:11">
      <c r="A654" s="1284" t="s">
        <v>1123</v>
      </c>
      <c r="B654" s="1284"/>
      <c r="C654" s="1284"/>
      <c r="D654" s="1284"/>
      <c r="E654" s="1284"/>
      <c r="F654" s="1284"/>
      <c r="G654" s="1284"/>
      <c r="H654" s="181"/>
      <c r="I654" s="181"/>
      <c r="J654" s="181"/>
      <c r="K654" s="181"/>
    </row>
    <row r="655" spans="1:11">
      <c r="A655" s="483"/>
      <c r="B655" s="483"/>
      <c r="C655" s="483"/>
      <c r="D655" s="483"/>
      <c r="E655" s="483"/>
      <c r="F655" s="483"/>
      <c r="G655" s="483"/>
      <c r="H655" s="181"/>
      <c r="I655" s="181"/>
      <c r="J655" s="181"/>
      <c r="K655" s="181"/>
    </row>
    <row r="656" spans="1:11">
      <c r="C656" s="172"/>
      <c r="D656" s="1282" t="s">
        <v>100</v>
      </c>
      <c r="E656" s="1282"/>
      <c r="F656" s="1282"/>
      <c r="H656" s="181"/>
      <c r="I656" s="181"/>
      <c r="J656" s="181"/>
      <c r="K656" s="181"/>
    </row>
    <row r="657" spans="1:11">
      <c r="A657" s="172"/>
      <c r="B657" s="172"/>
      <c r="C657" s="172"/>
      <c r="D657" s="1282" t="s">
        <v>124</v>
      </c>
      <c r="E657" s="1282"/>
      <c r="F657" s="1282"/>
      <c r="H657" s="181"/>
      <c r="I657" s="181"/>
      <c r="J657" s="181"/>
      <c r="K657" s="181"/>
    </row>
    <row r="658" spans="1:11">
      <c r="A658" s="175"/>
      <c r="B658" s="175"/>
      <c r="C658" s="175"/>
      <c r="D658" s="1283" t="s">
        <v>1159</v>
      </c>
      <c r="E658" s="1283"/>
      <c r="F658" s="1283"/>
      <c r="H658" s="181"/>
      <c r="I658" s="181"/>
      <c r="J658" s="181"/>
      <c r="K658" s="181"/>
    </row>
    <row r="659" spans="1:11">
      <c r="A659" s="175"/>
      <c r="B659" s="175"/>
      <c r="C659" s="175"/>
      <c r="H659" s="181"/>
      <c r="I659" s="181"/>
      <c r="J659" s="181"/>
      <c r="K659" s="181"/>
    </row>
    <row r="660" spans="1:11" ht="14.25">
      <c r="A660" s="176"/>
      <c r="B660" s="469" t="s">
        <v>309</v>
      </c>
      <c r="C660" s="175"/>
      <c r="D660" s="1283" t="s">
        <v>915</v>
      </c>
      <c r="E660" s="1283"/>
      <c r="F660" s="1283"/>
      <c r="H660" s="181"/>
      <c r="I660" s="181"/>
      <c r="J660" s="181"/>
      <c r="K660" s="181"/>
    </row>
    <row r="661" spans="1:11">
      <c r="A661" s="175"/>
      <c r="B661" s="175"/>
      <c r="C661" s="175"/>
      <c r="D661" s="1283" t="s">
        <v>926</v>
      </c>
      <c r="E661" s="1283"/>
      <c r="F661" s="1283"/>
      <c r="H661" s="181"/>
      <c r="I661" s="181"/>
      <c r="J661" s="181"/>
      <c r="K661" s="181"/>
    </row>
    <row r="662" spans="1:11">
      <c r="A662" s="175"/>
      <c r="B662" s="175"/>
      <c r="C662" s="175"/>
      <c r="D662" s="3"/>
      <c r="E662" s="1267" t="s">
        <v>1160</v>
      </c>
      <c r="F662" s="1267"/>
      <c r="H662" s="181"/>
      <c r="I662" s="181"/>
      <c r="J662" s="181"/>
      <c r="K662" s="181"/>
    </row>
    <row r="663" spans="1:11">
      <c r="A663" s="175"/>
      <c r="B663" s="175"/>
      <c r="C663" s="175"/>
      <c r="D663" s="3"/>
      <c r="E663" s="1267"/>
      <c r="F663" s="1267"/>
      <c r="H663" s="181"/>
      <c r="I663" s="181"/>
      <c r="J663" s="181"/>
      <c r="K663" s="181"/>
    </row>
    <row r="664" spans="1:11">
      <c r="A664" s="175"/>
      <c r="B664" s="175"/>
      <c r="C664" s="175"/>
      <c r="D664" s="182"/>
      <c r="E664" s="35"/>
      <c r="H664" s="181"/>
      <c r="I664" s="181"/>
      <c r="J664" s="181"/>
      <c r="K664" s="181"/>
    </row>
    <row r="665" spans="1:11" ht="14.25">
      <c r="A665" s="176"/>
      <c r="B665" s="469" t="s">
        <v>309</v>
      </c>
      <c r="C665" s="175"/>
      <c r="D665" s="1263" t="s">
        <v>1161</v>
      </c>
      <c r="E665" s="1263"/>
      <c r="F665" s="1263"/>
      <c r="H665" s="181"/>
      <c r="I665" s="181"/>
      <c r="J665" s="181"/>
      <c r="K665" s="181"/>
    </row>
    <row r="666" spans="1:11">
      <c r="A666" s="13"/>
      <c r="B666" s="13"/>
      <c r="C666" s="175"/>
      <c r="D666" s="1263"/>
      <c r="E666" s="1263"/>
      <c r="F666" s="1263"/>
      <c r="H666" s="181"/>
      <c r="I666" s="181"/>
      <c r="J666" s="181"/>
      <c r="K666" s="181"/>
    </row>
    <row r="667" spans="1:11">
      <c r="A667" s="175"/>
      <c r="B667" s="175"/>
      <c r="C667" s="175"/>
      <c r="D667" s="1263"/>
      <c r="E667" s="1263"/>
      <c r="F667" s="1263"/>
      <c r="H667" s="181"/>
      <c r="I667" s="181"/>
      <c r="J667" s="181"/>
      <c r="K667" s="181"/>
    </row>
    <row r="668" spans="1:11">
      <c r="A668" s="175"/>
      <c r="B668" s="175"/>
      <c r="C668" s="175"/>
      <c r="H668" s="181"/>
      <c r="I668" s="181"/>
      <c r="J668" s="181"/>
      <c r="K668" s="181"/>
    </row>
    <row r="669" spans="1:11" ht="14.25">
      <c r="A669" s="176"/>
      <c r="B669" s="469" t="s">
        <v>309</v>
      </c>
      <c r="C669" s="175"/>
      <c r="D669" s="1283" t="s">
        <v>954</v>
      </c>
      <c r="E669" s="1283"/>
      <c r="F669" s="1283"/>
      <c r="H669" s="181"/>
      <c r="I669" s="181"/>
      <c r="J669" s="181"/>
      <c r="K669" s="181"/>
    </row>
    <row r="670" spans="1:11" ht="14.25">
      <c r="A670" s="176"/>
      <c r="B670" s="176"/>
      <c r="C670" s="175"/>
      <c r="D670" s="1283" t="s">
        <v>926</v>
      </c>
      <c r="E670" s="1283"/>
      <c r="F670" s="1283"/>
      <c r="H670" s="181"/>
      <c r="I670" s="181"/>
      <c r="J670" s="181"/>
      <c r="K670" s="181"/>
    </row>
    <row r="671" spans="1:11">
      <c r="A671" s="175"/>
      <c r="B671" s="175"/>
      <c r="C671" s="175"/>
      <c r="D671" s="3"/>
      <c r="E671" s="1288" t="s">
        <v>1162</v>
      </c>
      <c r="F671" s="1288"/>
      <c r="H671" s="181"/>
      <c r="I671" s="181"/>
      <c r="J671" s="181"/>
      <c r="K671" s="181"/>
    </row>
    <row r="672" spans="1:11">
      <c r="A672" s="175"/>
      <c r="B672" s="175"/>
      <c r="C672" s="175"/>
      <c r="D672" s="2"/>
      <c r="H672" s="181"/>
      <c r="I672" s="181"/>
      <c r="J672" s="181"/>
      <c r="K672" s="181"/>
    </row>
    <row r="673" spans="1:11" ht="14.25">
      <c r="A673" s="176"/>
      <c r="B673" s="469" t="s">
        <v>309</v>
      </c>
      <c r="C673" s="175"/>
      <c r="D673" s="1263" t="s">
        <v>1172</v>
      </c>
      <c r="E673" s="1263"/>
      <c r="F673" s="1263"/>
      <c r="H673" s="181"/>
      <c r="I673" s="181"/>
      <c r="J673" s="181"/>
      <c r="K673" s="181"/>
    </row>
    <row r="674" spans="1:11">
      <c r="A674" s="175"/>
      <c r="B674" s="175"/>
      <c r="C674" s="175"/>
      <c r="D674" s="1263"/>
      <c r="E674" s="1263"/>
      <c r="F674" s="1263"/>
      <c r="H674" s="181"/>
      <c r="I674" s="181"/>
      <c r="J674" s="181"/>
      <c r="K674" s="181"/>
    </row>
    <row r="675" spans="1:11">
      <c r="A675" s="175"/>
      <c r="B675" s="175"/>
      <c r="C675" s="175"/>
      <c r="D675" s="1263"/>
      <c r="E675" s="1263"/>
      <c r="F675" s="1263"/>
      <c r="H675" s="181"/>
      <c r="I675" s="181"/>
      <c r="J675" s="181"/>
      <c r="K675" s="181"/>
    </row>
    <row r="676" spans="1:11">
      <c r="A676" s="175"/>
      <c r="B676" s="175"/>
      <c r="C676" s="175"/>
      <c r="D676" s="1263"/>
      <c r="E676" s="1263"/>
      <c r="F676" s="1263"/>
      <c r="H676" s="181"/>
      <c r="I676" s="181"/>
      <c r="J676" s="181"/>
      <c r="K676" s="181"/>
    </row>
    <row r="677" spans="1:11">
      <c r="A677" s="175"/>
      <c r="B677" s="175"/>
      <c r="C677" s="175"/>
      <c r="D677" s="1263"/>
      <c r="E677" s="1263"/>
      <c r="F677" s="1263"/>
      <c r="H677" s="181"/>
      <c r="I677" s="181"/>
      <c r="J677" s="181"/>
      <c r="K677" s="181"/>
    </row>
    <row r="678" spans="1:11">
      <c r="A678" s="175"/>
      <c r="B678" s="175"/>
      <c r="C678" s="175"/>
      <c r="D678" s="1263"/>
      <c r="E678" s="1263"/>
      <c r="F678" s="1263"/>
      <c r="H678" s="181"/>
      <c r="I678" s="181"/>
      <c r="J678" s="181"/>
      <c r="K678" s="181"/>
    </row>
    <row r="679" spans="1:11">
      <c r="A679" s="175"/>
      <c r="B679" s="175"/>
      <c r="C679" s="175"/>
      <c r="D679" s="475"/>
      <c r="E679" s="475"/>
      <c r="F679" s="475"/>
      <c r="H679" s="181"/>
      <c r="I679" s="181"/>
      <c r="J679" s="181"/>
      <c r="K679" s="181"/>
    </row>
    <row r="680" spans="1:11" ht="14.25">
      <c r="A680" s="176"/>
      <c r="B680" s="469" t="s">
        <v>309</v>
      </c>
      <c r="C680" s="175"/>
      <c r="D680" s="1263" t="s">
        <v>1163</v>
      </c>
      <c r="E680" s="1263"/>
      <c r="F680" s="1263"/>
      <c r="H680" s="181"/>
      <c r="I680" s="181"/>
      <c r="J680" s="181"/>
      <c r="K680" s="181"/>
    </row>
    <row r="681" spans="1:11">
      <c r="A681" s="175"/>
      <c r="B681" s="175"/>
      <c r="C681" s="175"/>
      <c r="D681" s="1263"/>
      <c r="E681" s="1263"/>
      <c r="F681" s="1263"/>
      <c r="H681" s="181"/>
      <c r="I681" s="181"/>
      <c r="J681" s="181"/>
      <c r="K681" s="181"/>
    </row>
    <row r="682" spans="1:11">
      <c r="A682" s="175"/>
      <c r="B682" s="175"/>
      <c r="C682" s="175"/>
      <c r="D682" s="1263"/>
      <c r="E682" s="1263"/>
      <c r="F682" s="1263"/>
      <c r="H682" s="181"/>
      <c r="I682" s="181"/>
      <c r="J682" s="181"/>
      <c r="K682" s="181"/>
    </row>
    <row r="683" spans="1:11" ht="15" customHeight="1">
      <c r="A683" s="175"/>
      <c r="B683" s="175"/>
      <c r="C683" s="175"/>
      <c r="D683" s="1263"/>
      <c r="E683" s="1263"/>
      <c r="F683" s="1263"/>
      <c r="H683" s="181"/>
      <c r="I683" s="181"/>
      <c r="J683" s="181"/>
      <c r="K683" s="181"/>
    </row>
    <row r="684" spans="1:11" ht="15" customHeight="1">
      <c r="A684" s="175"/>
      <c r="B684" s="175"/>
      <c r="C684" s="175"/>
      <c r="D684" s="1263"/>
      <c r="E684" s="1263"/>
      <c r="F684" s="1263"/>
      <c r="H684" s="181"/>
      <c r="I684" s="181"/>
      <c r="J684" s="181"/>
      <c r="K684" s="181"/>
    </row>
    <row r="685" spans="1:11">
      <c r="A685" s="175"/>
      <c r="B685" s="175"/>
      <c r="C685" s="175"/>
      <c r="D685" s="1263"/>
      <c r="E685" s="1263"/>
      <c r="F685" s="1263"/>
      <c r="H685" s="181"/>
      <c r="I685" s="181"/>
      <c r="J685" s="181"/>
      <c r="K685" s="181"/>
    </row>
    <row r="686" spans="1:11">
      <c r="A686" s="175"/>
      <c r="B686" s="175"/>
      <c r="C686" s="175"/>
      <c r="D686" s="1263"/>
      <c r="E686" s="1263"/>
      <c r="F686" s="1263"/>
      <c r="H686" s="181"/>
      <c r="I686" s="181"/>
      <c r="J686" s="181"/>
      <c r="K686" s="181"/>
    </row>
    <row r="687" spans="1:11">
      <c r="A687" s="175"/>
      <c r="B687" s="175"/>
      <c r="C687" s="175"/>
      <c r="D687" s="1263"/>
      <c r="E687" s="1263"/>
      <c r="F687" s="1263"/>
      <c r="H687" s="181"/>
      <c r="I687" s="181"/>
      <c r="J687" s="181"/>
      <c r="K687" s="181"/>
    </row>
    <row r="688" spans="1:11" ht="15" customHeight="1">
      <c r="A688" s="175"/>
      <c r="B688" s="175"/>
      <c r="C688" s="175"/>
      <c r="D688" s="1263"/>
      <c r="E688" s="1263"/>
      <c r="F688" s="1263"/>
      <c r="H688" s="181"/>
      <c r="I688" s="181"/>
      <c r="J688" s="181"/>
      <c r="K688" s="181"/>
    </row>
    <row r="689" spans="1:11">
      <c r="A689" s="175"/>
      <c r="B689" s="175"/>
      <c r="C689" s="175"/>
      <c r="D689" s="1263"/>
      <c r="E689" s="1263"/>
      <c r="F689" s="1263"/>
      <c r="H689" s="181"/>
      <c r="I689" s="181"/>
      <c r="J689" s="181"/>
      <c r="K689" s="181"/>
    </row>
    <row r="690" spans="1:11">
      <c r="A690" s="175"/>
      <c r="B690" s="175"/>
      <c r="C690" s="175"/>
      <c r="D690" s="1263"/>
      <c r="E690" s="1263"/>
      <c r="F690" s="1263"/>
      <c r="H690" s="181"/>
      <c r="I690" s="181"/>
      <c r="J690" s="181"/>
      <c r="K690" s="181"/>
    </row>
    <row r="691" spans="1:11">
      <c r="A691" s="175"/>
      <c r="B691" s="175"/>
      <c r="C691" s="175"/>
      <c r="D691" s="1263"/>
      <c r="E691" s="1263"/>
      <c r="F691" s="1263"/>
      <c r="H691" s="181"/>
      <c r="I691" s="181"/>
      <c r="J691" s="181"/>
      <c r="K691" s="181"/>
    </row>
    <row r="692" spans="1:11">
      <c r="A692" s="175"/>
      <c r="B692" s="175"/>
      <c r="C692" s="175"/>
      <c r="D692" s="475"/>
      <c r="E692" s="475"/>
      <c r="F692" s="475"/>
      <c r="H692" s="181"/>
      <c r="I692" s="181"/>
      <c r="J692" s="181"/>
      <c r="K692" s="181"/>
    </row>
    <row r="693" spans="1:11" ht="14.25">
      <c r="A693" s="176"/>
      <c r="B693" s="469" t="s">
        <v>309</v>
      </c>
      <c r="C693" s="175"/>
      <c r="D693" s="1263" t="s">
        <v>1173</v>
      </c>
      <c r="E693" s="1263"/>
      <c r="F693" s="1263"/>
      <c r="H693" s="181"/>
      <c r="I693" s="181"/>
      <c r="J693" s="181"/>
      <c r="K693" s="181"/>
    </row>
    <row r="694" spans="1:11">
      <c r="A694" s="175"/>
      <c r="B694" s="175"/>
      <c r="C694" s="175"/>
      <c r="D694" s="1263"/>
      <c r="E694" s="1263"/>
      <c r="F694" s="1263"/>
      <c r="H694" s="181"/>
      <c r="I694" s="181"/>
      <c r="J694" s="181"/>
      <c r="K694" s="181"/>
    </row>
    <row r="695" spans="1:11">
      <c r="A695" s="175"/>
      <c r="B695" s="175"/>
      <c r="C695" s="175"/>
      <c r="D695" s="1263"/>
      <c r="E695" s="1263"/>
      <c r="F695" s="1263"/>
      <c r="H695" s="181"/>
      <c r="I695" s="181"/>
      <c r="J695" s="181"/>
      <c r="K695" s="181"/>
    </row>
    <row r="696" spans="1:11">
      <c r="A696" s="175"/>
      <c r="B696" s="175"/>
      <c r="C696" s="175"/>
      <c r="D696" s="475"/>
      <c r="E696" s="475"/>
      <c r="F696" s="475"/>
      <c r="H696" s="181"/>
      <c r="I696" s="181"/>
      <c r="J696" s="181"/>
      <c r="K696" s="181"/>
    </row>
    <row r="697" spans="1:11">
      <c r="A697" s="175"/>
      <c r="B697" s="469" t="s">
        <v>309</v>
      </c>
      <c r="C697" s="175"/>
      <c r="D697" s="1263" t="s">
        <v>1170</v>
      </c>
      <c r="E697" s="1263"/>
      <c r="F697" s="1263"/>
      <c r="H697" s="181"/>
      <c r="I697" s="181"/>
      <c r="J697" s="181"/>
      <c r="K697" s="181"/>
    </row>
    <row r="698" spans="1:11">
      <c r="A698" s="175"/>
      <c r="B698" s="175"/>
      <c r="C698" s="175"/>
      <c r="D698" s="1263"/>
      <c r="E698" s="1263"/>
      <c r="F698" s="1263"/>
      <c r="H698" s="181"/>
      <c r="I698" s="181"/>
      <c r="J698" s="181"/>
      <c r="K698" s="181"/>
    </row>
    <row r="699" spans="1:11">
      <c r="A699" s="175"/>
      <c r="B699" s="175"/>
      <c r="C699" s="175"/>
      <c r="D699" s="475"/>
      <c r="E699" s="475"/>
      <c r="F699" s="475"/>
      <c r="H699" s="181"/>
      <c r="I699" s="181"/>
      <c r="J699" s="181"/>
      <c r="K699" s="181"/>
    </row>
    <row r="700" spans="1:11">
      <c r="A700" s="175"/>
      <c r="B700" s="469" t="s">
        <v>309</v>
      </c>
      <c r="C700" s="175"/>
      <c r="D700" s="1263" t="s">
        <v>1171</v>
      </c>
      <c r="E700" s="1263"/>
      <c r="F700" s="1263"/>
      <c r="H700" s="181"/>
      <c r="I700" s="181"/>
      <c r="J700" s="181"/>
      <c r="K700" s="181"/>
    </row>
    <row r="701" spans="1:11">
      <c r="A701" s="175"/>
      <c r="B701" s="175"/>
      <c r="C701" s="175"/>
      <c r="D701" s="1263"/>
      <c r="E701" s="1263"/>
      <c r="F701" s="1263"/>
      <c r="H701" s="181"/>
      <c r="I701" s="181"/>
      <c r="J701" s="181"/>
      <c r="K701" s="181"/>
    </row>
    <row r="702" spans="1:11">
      <c r="A702" s="175"/>
      <c r="B702" s="175"/>
      <c r="C702" s="175"/>
      <c r="D702" s="1263"/>
      <c r="E702" s="1263"/>
      <c r="F702" s="1263"/>
      <c r="H702" s="181"/>
      <c r="I702" s="181"/>
      <c r="J702" s="181"/>
      <c r="K702" s="181"/>
    </row>
    <row r="703" spans="1:11">
      <c r="A703" s="175"/>
      <c r="B703" s="175"/>
      <c r="C703" s="175"/>
      <c r="D703" s="475"/>
      <c r="E703" s="475"/>
      <c r="F703" s="475"/>
      <c r="H703" s="181"/>
      <c r="I703" s="181"/>
      <c r="J703" s="181"/>
      <c r="K703" s="181"/>
    </row>
    <row r="704" spans="1:11">
      <c r="A704" s="175"/>
      <c r="B704" s="469" t="s">
        <v>309</v>
      </c>
      <c r="C704" s="175"/>
      <c r="D704" s="1263" t="s">
        <v>1164</v>
      </c>
      <c r="E704" s="1263"/>
      <c r="F704" s="1263"/>
      <c r="H704" s="181"/>
      <c r="I704" s="181"/>
      <c r="J704" s="181"/>
      <c r="K704" s="181"/>
    </row>
    <row r="705" spans="1:11">
      <c r="A705" s="175"/>
      <c r="B705" s="175"/>
      <c r="C705" s="175"/>
      <c r="D705" s="1263"/>
      <c r="E705" s="1263"/>
      <c r="F705" s="1263"/>
      <c r="H705" s="181"/>
      <c r="I705" s="181"/>
      <c r="J705" s="181"/>
      <c r="K705" s="181"/>
    </row>
    <row r="706" spans="1:11">
      <c r="A706" s="175"/>
      <c r="B706" s="175"/>
      <c r="C706" s="175"/>
      <c r="D706" s="1263"/>
      <c r="E706" s="1263"/>
      <c r="F706" s="1263"/>
      <c r="H706" s="181"/>
      <c r="I706" s="181"/>
      <c r="J706" s="181"/>
      <c r="K706" s="181"/>
    </row>
    <row r="707" spans="1:11">
      <c r="A707" s="175"/>
      <c r="B707" s="175"/>
      <c r="C707" s="175"/>
      <c r="H707" s="181"/>
      <c r="I707" s="181"/>
      <c r="J707" s="181"/>
      <c r="K707" s="181"/>
    </row>
    <row r="708" spans="1:11">
      <c r="A708" s="175"/>
      <c r="B708" s="469" t="s">
        <v>309</v>
      </c>
      <c r="C708" s="175"/>
      <c r="D708" s="1263" t="s">
        <v>1165</v>
      </c>
      <c r="E708" s="1263"/>
      <c r="F708" s="1263"/>
      <c r="H708" s="181"/>
      <c r="I708" s="181"/>
      <c r="J708" s="181"/>
      <c r="K708" s="181"/>
    </row>
    <row r="709" spans="1:11">
      <c r="A709" s="175"/>
      <c r="B709" s="175"/>
      <c r="C709" s="175"/>
      <c r="D709" s="1263"/>
      <c r="E709" s="1263"/>
      <c r="F709" s="1263"/>
      <c r="H709" s="181"/>
      <c r="I709" s="181"/>
      <c r="J709" s="181"/>
      <c r="K709" s="181"/>
    </row>
    <row r="710" spans="1:11">
      <c r="A710" s="175"/>
      <c r="B710" s="175"/>
      <c r="C710" s="175"/>
      <c r="D710" s="1263"/>
      <c r="E710" s="1263"/>
      <c r="F710" s="1263"/>
      <c r="H710" s="181"/>
      <c r="I710" s="181"/>
      <c r="J710" s="181"/>
      <c r="K710" s="181"/>
    </row>
    <row r="711" spans="1:11">
      <c r="A711" s="175"/>
      <c r="B711" s="175"/>
      <c r="C711" s="175"/>
      <c r="D711"/>
      <c r="H711" s="181"/>
      <c r="I711" s="181"/>
      <c r="J711" s="181"/>
      <c r="K711" s="181"/>
    </row>
    <row r="712" spans="1:11" ht="14.25">
      <c r="A712" s="176"/>
      <c r="B712" s="469" t="s">
        <v>309</v>
      </c>
      <c r="C712" s="175"/>
      <c r="D712" s="1263" t="s">
        <v>1166</v>
      </c>
      <c r="E712" s="1263"/>
      <c r="F712" s="1263"/>
      <c r="H712" s="181"/>
      <c r="I712" s="181"/>
      <c r="J712" s="181"/>
      <c r="K712" s="181"/>
    </row>
    <row r="713" spans="1:11">
      <c r="A713" s="175"/>
      <c r="B713" s="175"/>
      <c r="C713" s="175"/>
      <c r="D713" s="1263"/>
      <c r="E713" s="1263"/>
      <c r="F713" s="1263"/>
      <c r="H713" s="181"/>
      <c r="I713" s="181"/>
      <c r="J713" s="181"/>
      <c r="K713" s="181"/>
    </row>
    <row r="714" spans="1:11">
      <c r="A714" s="175"/>
      <c r="B714" s="175"/>
      <c r="C714" s="175"/>
      <c r="D714" s="1263"/>
      <c r="E714" s="1263"/>
      <c r="F714" s="1263"/>
      <c r="H714" s="181"/>
      <c r="I714" s="181"/>
      <c r="J714" s="181"/>
      <c r="K714" s="181"/>
    </row>
    <row r="715" spans="1:11">
      <c r="A715" s="175"/>
      <c r="B715" s="175"/>
      <c r="C715" s="175"/>
      <c r="D715" s="1263"/>
      <c r="E715" s="1263"/>
      <c r="F715" s="1263"/>
      <c r="H715" s="181"/>
      <c r="I715" s="181"/>
      <c r="J715" s="181"/>
      <c r="K715" s="181"/>
    </row>
    <row r="716" spans="1:11">
      <c r="A716" s="175"/>
      <c r="B716" s="175"/>
      <c r="C716" s="175"/>
      <c r="D716" s="178"/>
      <c r="H716" s="181"/>
      <c r="I716" s="181"/>
      <c r="J716" s="181"/>
      <c r="K716" s="181"/>
    </row>
    <row r="717" spans="1:11" ht="14.25">
      <c r="A717" s="176"/>
      <c r="B717" s="469" t="s">
        <v>309</v>
      </c>
      <c r="C717" s="175"/>
      <c r="D717" s="1263" t="s">
        <v>1299</v>
      </c>
      <c r="E717" s="1263"/>
      <c r="F717" s="1263"/>
      <c r="H717" s="181"/>
      <c r="I717" s="181"/>
      <c r="J717" s="181"/>
      <c r="K717" s="181"/>
    </row>
    <row r="718" spans="1:11">
      <c r="A718" s="175"/>
      <c r="B718" s="175"/>
      <c r="C718" s="175"/>
      <c r="D718" s="1263"/>
      <c r="E718" s="1263"/>
      <c r="F718" s="1263"/>
      <c r="H718" s="181"/>
      <c r="I718" s="181"/>
      <c r="J718" s="181"/>
      <c r="K718" s="181"/>
    </row>
    <row r="719" spans="1:11">
      <c r="A719" s="175"/>
      <c r="B719" s="175"/>
      <c r="C719" s="175"/>
      <c r="D719" s="1263"/>
      <c r="E719" s="1263"/>
      <c r="F719" s="1263"/>
      <c r="H719" s="181"/>
      <c r="I719" s="181"/>
      <c r="J719" s="181"/>
      <c r="K719" s="181"/>
    </row>
    <row r="720" spans="1:11">
      <c r="A720" s="175"/>
      <c r="B720" s="175"/>
      <c r="C720" s="175"/>
      <c r="D720" s="1263"/>
      <c r="E720" s="1263"/>
      <c r="F720" s="1263"/>
      <c r="H720" s="181"/>
      <c r="I720" s="181"/>
      <c r="J720" s="181"/>
      <c r="K720" s="181"/>
    </row>
    <row r="721" spans="1:11">
      <c r="A721" s="175"/>
      <c r="B721" s="175"/>
      <c r="C721" s="175"/>
      <c r="D721" s="1263"/>
      <c r="E721" s="1263"/>
      <c r="F721" s="1263"/>
      <c r="H721" s="181"/>
      <c r="I721" s="181"/>
      <c r="J721" s="181"/>
      <c r="K721" s="181"/>
    </row>
    <row r="722" spans="1:11">
      <c r="A722" s="175"/>
      <c r="B722" s="175"/>
      <c r="C722" s="175"/>
      <c r="D722" s="1263"/>
      <c r="E722" s="1263"/>
      <c r="F722" s="1263"/>
      <c r="H722" s="181"/>
      <c r="I722" s="181"/>
      <c r="J722" s="181"/>
      <c r="K722" s="181"/>
    </row>
    <row r="723" spans="1:11">
      <c r="A723" s="175"/>
      <c r="B723" s="175"/>
      <c r="C723" s="175"/>
      <c r="D723" s="1263"/>
      <c r="E723" s="1263"/>
      <c r="F723" s="1263"/>
      <c r="H723" s="181"/>
      <c r="I723" s="181"/>
      <c r="J723" s="181"/>
      <c r="K723" s="181"/>
    </row>
    <row r="724" spans="1:11">
      <c r="A724" s="175"/>
      <c r="B724" s="175"/>
      <c r="C724" s="175"/>
      <c r="D724" s="1290" t="s">
        <v>1167</v>
      </c>
      <c r="E724" s="1290"/>
      <c r="F724" s="1290"/>
      <c r="H724" s="181"/>
      <c r="I724" s="181"/>
      <c r="J724" s="181"/>
      <c r="K724" s="181"/>
    </row>
    <row r="725" spans="1:11">
      <c r="A725" s="175"/>
      <c r="B725" s="175"/>
      <c r="C725" s="175"/>
      <c r="D725" s="370"/>
      <c r="H725" s="181"/>
      <c r="I725" s="181"/>
      <c r="J725" s="181"/>
      <c r="K725" s="181"/>
    </row>
    <row r="726" spans="1:11">
      <c r="A726" s="1285" t="s">
        <v>1124</v>
      </c>
      <c r="B726" s="1285"/>
      <c r="C726" s="1285"/>
      <c r="D726" s="1285"/>
      <c r="E726" s="1285"/>
      <c r="F726" s="1285"/>
      <c r="G726" s="1285"/>
      <c r="H726" s="181"/>
      <c r="I726" s="181"/>
      <c r="J726" s="181"/>
      <c r="K726" s="181"/>
    </row>
    <row r="727" spans="1:11">
      <c r="A727" s="175"/>
      <c r="B727" s="175"/>
      <c r="C727" s="175"/>
      <c r="D727" s="178"/>
      <c r="G727" s="183"/>
      <c r="H727" s="181"/>
      <c r="I727" s="181"/>
      <c r="J727" s="181"/>
      <c r="K727" s="181"/>
    </row>
    <row r="728" spans="1:11" ht="13.35" customHeight="1">
      <c r="C728" s="175"/>
      <c r="D728" s="1295" t="s">
        <v>1140</v>
      </c>
      <c r="E728" s="1295"/>
      <c r="F728" s="1295"/>
      <c r="G728" s="183"/>
      <c r="H728" s="181"/>
      <c r="I728" s="181"/>
      <c r="J728" s="181"/>
      <c r="K728" s="181"/>
    </row>
    <row r="729" spans="1:11">
      <c r="A729" s="175"/>
      <c r="B729" s="175"/>
      <c r="C729" s="175"/>
      <c r="D729" s="1287" t="s">
        <v>1141</v>
      </c>
      <c r="E729" s="1287"/>
      <c r="F729" s="1287"/>
      <c r="G729" s="183"/>
      <c r="H729" s="181"/>
      <c r="I729" s="181"/>
      <c r="J729" s="181"/>
      <c r="K729" s="181"/>
    </row>
    <row r="730" spans="1:11">
      <c r="A730" s="175"/>
      <c r="B730" s="175"/>
      <c r="C730" s="175"/>
      <c r="G730" s="183"/>
      <c r="H730" s="181"/>
      <c r="I730" s="181"/>
      <c r="J730" s="181"/>
      <c r="K730" s="181"/>
    </row>
    <row r="731" spans="1:11" ht="14.25">
      <c r="A731" s="176"/>
      <c r="B731" s="469" t="s">
        <v>309</v>
      </c>
      <c r="D731" s="1263" t="s">
        <v>1142</v>
      </c>
      <c r="E731" s="1263"/>
      <c r="F731" s="1263"/>
      <c r="G731" s="183"/>
      <c r="H731" s="181"/>
      <c r="I731" s="181"/>
      <c r="J731" s="181"/>
      <c r="K731" s="181"/>
    </row>
    <row r="732" spans="1:11" ht="10.5" customHeight="1">
      <c r="D732" s="1263"/>
      <c r="E732" s="1263"/>
      <c r="F732" s="1263"/>
      <c r="G732" s="183"/>
      <c r="H732" s="181"/>
      <c r="I732" s="181"/>
      <c r="J732" s="181"/>
      <c r="K732" s="181"/>
    </row>
    <row r="733" spans="1:11">
      <c r="D733" s="1263"/>
      <c r="E733" s="1263"/>
      <c r="F733" s="1263"/>
      <c r="G733" s="183"/>
      <c r="H733" s="181"/>
      <c r="I733" s="181"/>
      <c r="J733" s="181"/>
      <c r="K733" s="181"/>
    </row>
    <row r="734" spans="1:11">
      <c r="D734" s="1263"/>
      <c r="E734" s="1263"/>
      <c r="F734" s="1263"/>
      <c r="G734" s="183"/>
      <c r="H734" s="181"/>
      <c r="I734" s="181"/>
      <c r="J734" s="181"/>
      <c r="K734" s="181"/>
    </row>
    <row r="735" spans="1:11">
      <c r="D735" s="1263"/>
      <c r="E735" s="1263"/>
      <c r="F735" s="1263"/>
      <c r="G735" s="183"/>
      <c r="H735" s="181"/>
      <c r="I735" s="181"/>
      <c r="J735" s="181"/>
      <c r="K735" s="181"/>
    </row>
    <row r="736" spans="1:11" ht="15.75" customHeight="1">
      <c r="D736" s="1263"/>
      <c r="E736" s="1263"/>
      <c r="F736" s="1263"/>
      <c r="G736" s="183"/>
      <c r="H736" s="181"/>
      <c r="I736" s="181"/>
      <c r="J736" s="181"/>
      <c r="K736" s="181"/>
    </row>
    <row r="737" spans="1:11">
      <c r="D737" s="255"/>
      <c r="E737" s="35"/>
      <c r="F737" s="35"/>
      <c r="G737" s="183"/>
      <c r="H737" s="181"/>
      <c r="I737" s="181"/>
      <c r="J737" s="181"/>
      <c r="K737" s="181"/>
    </row>
    <row r="738" spans="1:11" s="274" customFormat="1" ht="14.25">
      <c r="A738" s="272"/>
      <c r="B738" s="469" t="s">
        <v>309</v>
      </c>
      <c r="C738" s="273"/>
      <c r="D738" s="1263" t="s">
        <v>1143</v>
      </c>
      <c r="E738" s="1263"/>
      <c r="F738" s="1263"/>
      <c r="G738" s="210"/>
    </row>
    <row r="739" spans="1:11" s="274" customFormat="1">
      <c r="A739" s="273"/>
      <c r="B739" s="273"/>
      <c r="C739" s="273"/>
      <c r="D739" s="1263"/>
      <c r="E739" s="1263"/>
      <c r="F739" s="1263"/>
      <c r="G739" s="210"/>
    </row>
    <row r="740" spans="1:11" s="274" customFormat="1">
      <c r="A740" s="273"/>
      <c r="B740" s="273"/>
      <c r="C740" s="273"/>
      <c r="D740" s="1263"/>
      <c r="E740" s="1263"/>
      <c r="F740" s="1263"/>
      <c r="G740" s="210"/>
    </row>
    <row r="741" spans="1:11" s="274" customFormat="1">
      <c r="A741" s="273"/>
      <c r="B741" s="273"/>
      <c r="C741" s="273"/>
      <c r="D741" s="1263"/>
      <c r="E741" s="1263"/>
      <c r="F741" s="1263"/>
      <c r="G741" s="210"/>
    </row>
    <row r="742" spans="1:11" s="274" customFormat="1">
      <c r="A742" s="273"/>
      <c r="B742" s="273"/>
      <c r="C742" s="273"/>
      <c r="D742" s="255"/>
      <c r="E742" s="210"/>
      <c r="F742" s="210"/>
      <c r="G742" s="210"/>
    </row>
    <row r="743" spans="1:11" s="274" customFormat="1" ht="14.25">
      <c r="A743" s="176"/>
      <c r="B743" s="469" t="s">
        <v>309</v>
      </c>
      <c r="C743" s="273"/>
      <c r="D743" s="1296" t="s">
        <v>1144</v>
      </c>
      <c r="E743" s="1296"/>
      <c r="F743" s="1296"/>
      <c r="G743" s="210"/>
    </row>
    <row r="744" spans="1:11" s="274" customFormat="1">
      <c r="A744" s="273"/>
      <c r="B744" s="273"/>
      <c r="C744" s="273"/>
      <c r="D744" s="1296"/>
      <c r="E744" s="1296"/>
      <c r="F744" s="1296"/>
      <c r="G744" s="210"/>
    </row>
    <row r="745" spans="1:11" s="274" customFormat="1">
      <c r="A745" s="273"/>
      <c r="B745" s="273"/>
      <c r="C745" s="273"/>
      <c r="D745" s="1296"/>
      <c r="E745" s="1296"/>
      <c r="F745" s="1296"/>
      <c r="G745" s="210"/>
    </row>
    <row r="746" spans="1:11">
      <c r="D746" s="255"/>
      <c r="E746" s="35"/>
      <c r="F746" s="35"/>
      <c r="G746" s="183"/>
      <c r="H746" s="181"/>
      <c r="I746" s="181"/>
      <c r="J746" s="181"/>
      <c r="K746" s="181"/>
    </row>
    <row r="747" spans="1:11" ht="14.25">
      <c r="A747" s="176"/>
      <c r="B747" s="469" t="s">
        <v>309</v>
      </c>
      <c r="D747" s="1263" t="s">
        <v>1145</v>
      </c>
      <c r="E747" s="1263"/>
      <c r="F747" s="1263"/>
      <c r="G747" s="183"/>
      <c r="H747" s="181"/>
      <c r="I747" s="181"/>
      <c r="J747" s="181"/>
      <c r="K747" s="181"/>
    </row>
    <row r="748" spans="1:11">
      <c r="D748" s="1263"/>
      <c r="E748" s="1263"/>
      <c r="F748" s="1263"/>
      <c r="G748" s="183"/>
      <c r="H748" s="181"/>
      <c r="I748" s="181"/>
      <c r="J748" s="181"/>
      <c r="K748" s="181"/>
    </row>
    <row r="749" spans="1:11">
      <c r="D749" s="475"/>
      <c r="E749" s="475"/>
      <c r="F749" s="475"/>
      <c r="G749" s="183"/>
      <c r="H749" s="181"/>
      <c r="I749" s="181"/>
      <c r="J749" s="181"/>
      <c r="K749" s="181"/>
    </row>
    <row r="750" spans="1:11">
      <c r="B750" s="469" t="s">
        <v>309</v>
      </c>
      <c r="D750" s="1263" t="s">
        <v>1146</v>
      </c>
      <c r="E750" s="1263"/>
      <c r="F750" s="1263"/>
      <c r="G750" s="183"/>
      <c r="H750" s="181"/>
      <c r="I750" s="181"/>
      <c r="J750" s="181"/>
      <c r="K750" s="181"/>
    </row>
    <row r="751" spans="1:11">
      <c r="D751" s="1263"/>
      <c r="E751" s="1263"/>
      <c r="F751" s="1263"/>
      <c r="G751" s="183"/>
      <c r="H751" s="181"/>
      <c r="I751" s="181"/>
      <c r="J751" s="181"/>
      <c r="K751" s="181"/>
    </row>
    <row r="752" spans="1:11">
      <c r="D752" s="1263"/>
      <c r="E752" s="1263"/>
      <c r="F752" s="1263"/>
      <c r="G752" s="183"/>
      <c r="H752" s="181"/>
      <c r="I752" s="181"/>
      <c r="J752" s="181"/>
      <c r="K752" s="181"/>
    </row>
    <row r="753" spans="1:11">
      <c r="D753" s="475"/>
      <c r="E753" s="475"/>
      <c r="F753" s="475"/>
      <c r="G753" s="183"/>
      <c r="H753" s="181"/>
      <c r="I753" s="181"/>
      <c r="J753" s="181"/>
      <c r="K753" s="181"/>
    </row>
    <row r="754" spans="1:11">
      <c r="A754" s="1284" t="s">
        <v>1147</v>
      </c>
      <c r="B754" s="1284"/>
      <c r="C754" s="1284"/>
      <c r="D754" s="1284"/>
      <c r="E754" s="1284"/>
      <c r="F754" s="1284"/>
      <c r="G754" s="1284"/>
    </row>
    <row r="755" spans="1:11">
      <c r="A755" s="175"/>
      <c r="B755" s="175"/>
      <c r="C755" s="175"/>
      <c r="D755" s="184"/>
      <c r="F755" s="35"/>
      <c r="G755" s="183"/>
    </row>
    <row r="756" spans="1:11">
      <c r="D756" s="1292" t="s">
        <v>1131</v>
      </c>
      <c r="E756" s="1292"/>
      <c r="F756" s="1292"/>
      <c r="G756" s="183"/>
    </row>
    <row r="757" spans="1:11">
      <c r="A757" s="346"/>
      <c r="B757" s="346"/>
      <c r="C757" s="346"/>
      <c r="D757" s="1293" t="s">
        <v>1148</v>
      </c>
      <c r="E757" s="1293"/>
      <c r="F757" s="1293"/>
      <c r="G757" s="183"/>
    </row>
    <row r="758" spans="1:11">
      <c r="D758" s="434"/>
      <c r="E758" s="434"/>
      <c r="F758" s="434"/>
      <c r="G758" s="183"/>
    </row>
    <row r="759" spans="1:11" ht="14.25">
      <c r="A759" s="176"/>
      <c r="B759" s="469" t="s">
        <v>309</v>
      </c>
      <c r="D759" s="1293" t="s">
        <v>1025</v>
      </c>
      <c r="E759" s="1293"/>
      <c r="F759" s="1293"/>
      <c r="G759" s="183"/>
    </row>
    <row r="760" spans="1:11">
      <c r="D760" s="434"/>
      <c r="E760" s="1294" t="s">
        <v>1132</v>
      </c>
      <c r="F760" s="1294"/>
      <c r="G760" s="183"/>
    </row>
    <row r="761" spans="1:11">
      <c r="A761" s="172"/>
      <c r="B761" s="172"/>
      <c r="C761" s="172"/>
      <c r="D761" s="35"/>
      <c r="G761" s="183"/>
    </row>
    <row r="762" spans="1:11">
      <c r="A762" s="1291" t="s">
        <v>450</v>
      </c>
      <c r="B762" s="1291"/>
      <c r="C762" s="1291"/>
      <c r="D762" s="1291"/>
      <c r="E762" s="1291"/>
      <c r="F762" s="1291"/>
      <c r="G762" s="1291"/>
    </row>
    <row r="763" spans="1:11">
      <c r="A763" s="172"/>
      <c r="B763" s="172"/>
      <c r="C763" s="179"/>
      <c r="D763" s="183"/>
      <c r="E763" s="183"/>
      <c r="F763" s="183"/>
      <c r="G763" s="183"/>
    </row>
    <row r="764" spans="1:11">
      <c r="A764" s="35"/>
      <c r="B764" s="1287" t="s">
        <v>1024</v>
      </c>
      <c r="C764" s="1287"/>
      <c r="D764" s="1287"/>
      <c r="E764" s="1287"/>
      <c r="F764" s="1287"/>
      <c r="G764" s="183"/>
    </row>
    <row r="765" spans="1:11">
      <c r="A765" s="13"/>
      <c r="B765" s="13"/>
      <c r="G765" s="183"/>
    </row>
    <row r="766" spans="1:11">
      <c r="A766" s="1291" t="s">
        <v>451</v>
      </c>
      <c r="B766" s="1291"/>
      <c r="C766" s="1291"/>
      <c r="D766" s="1291"/>
      <c r="E766" s="1291"/>
      <c r="F766" s="1291"/>
      <c r="G766" s="1291"/>
    </row>
    <row r="767" spans="1:11">
      <c r="A767" s="172"/>
      <c r="B767" s="172"/>
      <c r="C767" s="172"/>
      <c r="D767" s="178"/>
      <c r="G767" s="183"/>
    </row>
    <row r="768" spans="1:11">
      <c r="A768" s="35"/>
      <c r="B768" s="1283" t="s">
        <v>449</v>
      </c>
      <c r="C768" s="1283"/>
      <c r="D768" s="1283"/>
      <c r="E768" s="1283"/>
      <c r="F768" s="1283"/>
      <c r="G768" s="183"/>
    </row>
    <row r="769" spans="1:7" ht="14.25">
      <c r="A769" s="176"/>
      <c r="B769" s="176"/>
      <c r="D769" s="35"/>
      <c r="E769" s="35"/>
      <c r="F769" s="183"/>
      <c r="G769" s="183"/>
    </row>
    <row r="770" spans="1:7">
      <c r="A770" s="1291" t="s">
        <v>452</v>
      </c>
      <c r="B770" s="1291"/>
      <c r="C770" s="1291"/>
      <c r="D770" s="1291"/>
      <c r="E770" s="1291"/>
      <c r="F770" s="1291"/>
      <c r="G770" s="1291"/>
    </row>
    <row r="771" spans="1:7">
      <c r="C771" s="175"/>
      <c r="D771" s="173"/>
      <c r="E771" s="35"/>
      <c r="F771" s="183"/>
      <c r="G771" s="183"/>
    </row>
    <row r="772" spans="1:7">
      <c r="A772" s="35"/>
      <c r="B772" s="1283" t="s">
        <v>449</v>
      </c>
      <c r="C772" s="1283"/>
      <c r="D772" s="1283"/>
      <c r="E772" s="1283"/>
      <c r="F772" s="1283"/>
      <c r="G772" s="183"/>
    </row>
    <row r="773" spans="1:7">
      <c r="A773" s="35"/>
      <c r="B773" s="35"/>
      <c r="C773" s="179"/>
      <c r="D773" s="183"/>
      <c r="E773" s="183"/>
      <c r="F773" s="183"/>
      <c r="G773" s="183"/>
    </row>
    <row r="774" spans="1:7">
      <c r="A774" s="1291" t="s">
        <v>453</v>
      </c>
      <c r="B774" s="1291"/>
      <c r="C774" s="1291"/>
      <c r="D774" s="1291"/>
      <c r="E774" s="1291"/>
      <c r="F774" s="1291"/>
      <c r="G774" s="1291"/>
    </row>
    <row r="775" spans="1:7">
      <c r="A775" s="35"/>
      <c r="B775" s="35"/>
    </row>
    <row r="776" spans="1:7">
      <c r="A776" s="35"/>
      <c r="B776" s="1283" t="s">
        <v>449</v>
      </c>
      <c r="C776" s="1283"/>
      <c r="D776" s="1283"/>
      <c r="E776" s="1283"/>
      <c r="F776" s="1283"/>
    </row>
    <row r="777" spans="1:7">
      <c r="A777" s="179"/>
      <c r="B777" s="179"/>
      <c r="C777" s="179"/>
      <c r="D777" s="174"/>
      <c r="F777" s="183"/>
    </row>
    <row r="778" spans="1:7">
      <c r="A778" s="1291" t="s">
        <v>454</v>
      </c>
      <c r="B778" s="1291"/>
      <c r="C778" s="1291"/>
      <c r="D778" s="1291"/>
      <c r="E778" s="1291"/>
      <c r="F778" s="1291"/>
      <c r="G778" s="1291"/>
    </row>
    <row r="779" spans="1:7">
      <c r="A779" s="35"/>
      <c r="B779" s="35"/>
    </row>
    <row r="780" spans="1:7">
      <c r="A780" s="35"/>
      <c r="B780" s="1283" t="s">
        <v>449</v>
      </c>
      <c r="C780" s="1283"/>
      <c r="D780" s="1283"/>
      <c r="E780" s="1283"/>
      <c r="F780" s="1283"/>
    </row>
    <row r="781" spans="1:7">
      <c r="A781" s="179"/>
      <c r="B781" s="179"/>
      <c r="C781" s="179"/>
      <c r="D781" s="174"/>
      <c r="F781" s="183"/>
    </row>
    <row r="782" spans="1:7">
      <c r="A782" s="1291" t="s">
        <v>455</v>
      </c>
      <c r="B782" s="1291"/>
      <c r="C782" s="1291"/>
      <c r="D782" s="1291"/>
      <c r="E782" s="1291"/>
      <c r="F782" s="1291"/>
      <c r="G782" s="1291"/>
    </row>
    <row r="783" spans="1:7">
      <c r="A783" s="35"/>
      <c r="B783" s="35"/>
    </row>
    <row r="784" spans="1:7">
      <c r="A784" s="35"/>
      <c r="B784" s="1283" t="s">
        <v>449</v>
      </c>
      <c r="C784" s="1283"/>
      <c r="D784" s="1283"/>
      <c r="E784" s="1283"/>
      <c r="F784" s="1283"/>
    </row>
    <row r="785" spans="1:7">
      <c r="D785" s="174"/>
    </row>
    <row r="786" spans="1:7">
      <c r="A786" s="1291" t="s">
        <v>188</v>
      </c>
      <c r="B786" s="1291"/>
      <c r="C786" s="1291"/>
      <c r="D786" s="1291"/>
      <c r="E786" s="1291"/>
      <c r="F786" s="1291"/>
      <c r="G786" s="1291"/>
    </row>
    <row r="787" spans="1:7">
      <c r="A787" s="35"/>
      <c r="B787" s="35"/>
    </row>
    <row r="788" spans="1:7">
      <c r="A788" s="35"/>
      <c r="B788" s="1283" t="s">
        <v>449</v>
      </c>
      <c r="C788" s="1283"/>
      <c r="D788" s="1283"/>
      <c r="E788" s="1283"/>
      <c r="F788" s="1283"/>
    </row>
    <row r="789" spans="1:7">
      <c r="A789" s="35"/>
      <c r="B789" s="35"/>
      <c r="D789" s="174"/>
    </row>
    <row r="790" spans="1:7">
      <c r="A790" s="1291" t="s">
        <v>902</v>
      </c>
      <c r="B790" s="1291"/>
      <c r="C790" s="1291"/>
      <c r="D790" s="1291"/>
      <c r="E790" s="1291"/>
      <c r="F790" s="1291"/>
      <c r="G790" s="1291"/>
    </row>
    <row r="791" spans="1:7">
      <c r="A791" s="35"/>
      <c r="B791" s="35"/>
    </row>
    <row r="792" spans="1:7">
      <c r="A792" s="35"/>
      <c r="B792" s="1283" t="s">
        <v>449</v>
      </c>
      <c r="C792" s="1283"/>
      <c r="D792" s="1283"/>
      <c r="E792" s="1283"/>
      <c r="F792" s="1283"/>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6" customHeight="1" zeroHeight="1"/>
  <cols>
    <col min="1" max="10" width="10.5703125" style="434" customWidth="1"/>
    <col min="11" max="16384" width="8.85546875" style="434" hidden="1"/>
  </cols>
  <sheetData>
    <row r="1" spans="1:10" ht="14.25" customHeight="1"/>
    <row r="2" spans="1:10" ht="15.75">
      <c r="A2" s="1316" t="s">
        <v>2133</v>
      </c>
      <c r="B2" s="1317"/>
      <c r="C2" s="1317"/>
      <c r="D2" s="1317"/>
      <c r="E2" s="1317"/>
      <c r="F2" s="1317"/>
      <c r="G2" s="1317"/>
      <c r="H2" s="1317"/>
      <c r="I2" s="1317"/>
      <c r="J2" s="1317"/>
    </row>
    <row r="3" spans="1:10" ht="15">
      <c r="A3" s="1320" t="s">
        <v>1425</v>
      </c>
      <c r="B3" s="1321"/>
      <c r="C3" s="1321"/>
      <c r="D3" s="1321"/>
      <c r="E3" s="1321"/>
      <c r="F3" s="1321"/>
      <c r="G3" s="1321"/>
      <c r="H3" s="1321"/>
      <c r="I3" s="1321"/>
      <c r="J3" s="1321"/>
    </row>
    <row r="4" spans="1:10" ht="12.75"/>
    <row r="5" spans="1:10" ht="12.75" customHeight="1">
      <c r="A5" s="1318" t="s">
        <v>2441</v>
      </c>
      <c r="B5" s="1318"/>
      <c r="C5" s="1318"/>
      <c r="D5" s="1318"/>
      <c r="E5" s="1318"/>
      <c r="F5" s="1318"/>
      <c r="G5" s="1318"/>
      <c r="H5" s="1318"/>
      <c r="I5" s="1318"/>
      <c r="J5" s="1318"/>
    </row>
    <row r="6" spans="1:10" ht="12.75">
      <c r="A6" s="1318"/>
      <c r="B6" s="1318"/>
      <c r="C6" s="1318"/>
      <c r="D6" s="1318"/>
      <c r="E6" s="1318"/>
      <c r="F6" s="1318"/>
      <c r="G6" s="1318"/>
      <c r="H6" s="1318"/>
      <c r="I6" s="1318"/>
      <c r="J6" s="1318"/>
    </row>
    <row r="7" spans="1:10" ht="30" customHeight="1">
      <c r="A7" s="1318"/>
      <c r="B7" s="1318"/>
      <c r="C7" s="1318"/>
      <c r="D7" s="1318"/>
      <c r="E7" s="1318"/>
      <c r="F7" s="1318"/>
      <c r="G7" s="1318"/>
      <c r="H7" s="1318"/>
      <c r="I7" s="1318"/>
      <c r="J7" s="1318"/>
    </row>
    <row r="8" spans="1:10" ht="12.75">
      <c r="A8" s="448"/>
      <c r="B8" s="448"/>
      <c r="C8" s="448"/>
      <c r="D8" s="448"/>
      <c r="E8" s="448"/>
      <c r="F8" s="448"/>
      <c r="G8" s="448"/>
      <c r="H8" s="448"/>
      <c r="I8" s="448"/>
      <c r="J8" s="448"/>
    </row>
    <row r="9" spans="1:10" ht="12.75" customHeight="1">
      <c r="A9" s="434" t="s">
        <v>2136</v>
      </c>
      <c r="B9" s="448"/>
      <c r="C9" s="448"/>
      <c r="D9" s="448"/>
      <c r="E9" s="448"/>
      <c r="F9" s="448"/>
      <c r="G9" s="448"/>
      <c r="H9" s="448"/>
      <c r="I9" s="448"/>
      <c r="J9" s="448"/>
    </row>
    <row r="10" spans="1:10" ht="12.75"/>
    <row r="11" spans="1:10" ht="12.75" customHeight="1">
      <c r="A11" s="1322" t="s">
        <v>2138</v>
      </c>
      <c r="B11" s="1322"/>
      <c r="C11" s="1322"/>
      <c r="D11" s="1322"/>
      <c r="E11" s="1322"/>
      <c r="F11" s="1322"/>
      <c r="G11" s="1322"/>
      <c r="H11" s="1322"/>
      <c r="I11" s="1322"/>
      <c r="J11" s="1322"/>
    </row>
    <row r="12" spans="1:10" ht="12.75">
      <c r="A12" s="1322"/>
      <c r="B12" s="1322"/>
      <c r="C12" s="1322"/>
      <c r="D12" s="1322"/>
      <c r="E12" s="1322"/>
      <c r="F12" s="1322"/>
      <c r="G12" s="1322"/>
      <c r="H12" s="1322"/>
      <c r="I12" s="1322"/>
      <c r="J12" s="1322"/>
    </row>
    <row r="13" spans="1:10" ht="12.75">
      <c r="A13" s="1322"/>
      <c r="B13" s="1322"/>
      <c r="C13" s="1322"/>
      <c r="D13" s="1322"/>
      <c r="E13" s="1322"/>
      <c r="F13" s="1322"/>
      <c r="G13" s="1322"/>
      <c r="H13" s="1322"/>
      <c r="I13" s="1322"/>
      <c r="J13" s="1322"/>
    </row>
    <row r="14" spans="1:10" ht="12.75">
      <c r="A14" s="1322"/>
      <c r="B14" s="1322"/>
      <c r="C14" s="1322"/>
      <c r="D14" s="1322"/>
      <c r="E14" s="1322"/>
      <c r="F14" s="1322"/>
      <c r="G14" s="1322"/>
      <c r="H14" s="1322"/>
      <c r="I14" s="1322"/>
      <c r="J14" s="1322"/>
    </row>
    <row r="15" spans="1:10" ht="12.75">
      <c r="A15" s="1322"/>
      <c r="B15" s="1322"/>
      <c r="C15" s="1322"/>
      <c r="D15" s="1322"/>
      <c r="E15" s="1322"/>
      <c r="F15" s="1322"/>
      <c r="G15" s="1322"/>
      <c r="H15" s="1322"/>
      <c r="I15" s="1322"/>
      <c r="J15" s="1322"/>
    </row>
    <row r="16" spans="1:10" ht="12.75">
      <c r="A16" s="1322"/>
      <c r="B16" s="1322"/>
      <c r="C16" s="1322"/>
      <c r="D16" s="1322"/>
      <c r="E16" s="1322"/>
      <c r="F16" s="1322"/>
      <c r="G16" s="1322"/>
      <c r="H16" s="1322"/>
      <c r="I16" s="1322"/>
      <c r="J16" s="1322"/>
    </row>
    <row r="17" spans="1:10" ht="12.75">
      <c r="A17" s="559"/>
      <c r="B17" s="559"/>
      <c r="C17" s="559"/>
      <c r="D17" s="559"/>
      <c r="E17" s="559"/>
      <c r="F17" s="559"/>
      <c r="G17" s="559"/>
      <c r="H17" s="559"/>
      <c r="I17" s="559"/>
      <c r="J17" s="559"/>
    </row>
    <row r="18" spans="1:10" ht="12.75">
      <c r="A18" s="511" t="s">
        <v>2137</v>
      </c>
      <c r="B18" s="448"/>
      <c r="C18" s="448"/>
      <c r="D18" s="448"/>
      <c r="E18" s="448"/>
      <c r="F18" s="448"/>
      <c r="G18" s="448"/>
      <c r="H18" s="448"/>
      <c r="I18" s="448"/>
      <c r="J18" s="448"/>
    </row>
    <row r="19" spans="1:10" ht="12.75">
      <c r="A19" s="448" t="s">
        <v>252</v>
      </c>
      <c r="B19" s="448"/>
      <c r="C19" s="448"/>
      <c r="D19" s="448"/>
      <c r="E19" s="448"/>
      <c r="F19" s="448"/>
      <c r="G19" s="448"/>
      <c r="H19" s="448"/>
      <c r="I19" s="448"/>
      <c r="J19" s="448"/>
    </row>
    <row r="20" spans="1:10" ht="12.75">
      <c r="A20" s="1321" t="s">
        <v>1331</v>
      </c>
      <c r="B20" s="1321"/>
      <c r="C20" s="1321"/>
      <c r="D20" s="1321"/>
      <c r="E20" s="1321"/>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8" t="s">
        <v>1332</v>
      </c>
      <c r="B57" s="1318"/>
      <c r="C57" s="1318"/>
      <c r="D57" s="1318"/>
      <c r="E57" s="1318"/>
      <c r="F57" s="1318"/>
      <c r="G57" s="1318"/>
      <c r="H57" s="1318"/>
      <c r="I57" s="1318"/>
      <c r="J57" s="1318"/>
    </row>
    <row r="58" spans="1:10" ht="12.75">
      <c r="A58" s="1318"/>
      <c r="B58" s="1318"/>
      <c r="C58" s="1318"/>
      <c r="D58" s="1318"/>
      <c r="E58" s="1318"/>
      <c r="F58" s="1318"/>
      <c r="G58" s="1318"/>
      <c r="H58" s="1318"/>
      <c r="I58" s="1318"/>
      <c r="J58" s="1318"/>
    </row>
    <row r="59" spans="1:10" ht="12.75">
      <c r="A59" s="1318"/>
      <c r="B59" s="1318"/>
      <c r="C59" s="1318"/>
      <c r="D59" s="1318"/>
      <c r="E59" s="1318"/>
      <c r="F59" s="1318"/>
      <c r="G59" s="1318"/>
      <c r="H59" s="1318"/>
      <c r="I59" s="1318"/>
      <c r="J59" s="1318"/>
    </row>
    <row r="60" spans="1:10" ht="12.75"/>
    <row r="61" spans="1:10" ht="12.75">
      <c r="A61" s="434" t="s">
        <v>1331</v>
      </c>
    </row>
    <row r="62" spans="1:10" ht="12.75"/>
    <row r="63" spans="1:10" ht="12.75"/>
    <row r="64" spans="1:10" ht="12.75"/>
    <row r="65" spans="1:9" ht="12.75"/>
    <row r="66" spans="1:9" ht="12.75"/>
    <row r="67" spans="1:9" ht="12.75"/>
    <row r="68" spans="1:9" ht="12.75"/>
    <row r="69" spans="1:9" ht="12.75"/>
    <row r="70" spans="1:9" ht="12.75"/>
    <row r="71" spans="1:9" ht="12.75"/>
    <row r="72" spans="1:9" ht="12.75">
      <c r="A72" s="1319" t="s">
        <v>2134</v>
      </c>
      <c r="B72" s="1319"/>
      <c r="C72" s="1319"/>
      <c r="D72" s="1319"/>
      <c r="E72" s="1319"/>
      <c r="F72" s="1319"/>
      <c r="G72" s="1319"/>
      <c r="H72" s="1319"/>
      <c r="I72" s="1319"/>
    </row>
    <row r="73" spans="1:9" ht="12.75">
      <c r="A73" s="1270" t="s">
        <v>2439</v>
      </c>
      <c r="B73" s="1270"/>
      <c r="C73" s="1270"/>
      <c r="D73" s="1270"/>
      <c r="E73" s="1270"/>
    </row>
    <row r="74" spans="1:9" ht="12.75">
      <c r="A74" s="1270" t="s">
        <v>2440</v>
      </c>
      <c r="B74" s="1270"/>
      <c r="C74" s="1270"/>
      <c r="D74" s="1270"/>
      <c r="E74" s="1270"/>
    </row>
    <row r="75" spans="1:9" ht="12.75">
      <c r="A75" s="1270" t="s">
        <v>2135</v>
      </c>
      <c r="B75" s="1270"/>
      <c r="C75" s="1270"/>
      <c r="D75" s="1270"/>
      <c r="E75" s="1270"/>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g9EifY6MsfHKpjdcOgRADqHtuapiZtVnO9VoSJVCQdl3Nam1gyfxHoaJdGtYbjDmlYLyGkmVMJDBCUbVcL0FDw==" saltValue="+AdSxO40+xsL+jDHKWO3r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opLeftCell="A1099" zoomScale="115" zoomScaleNormal="115" zoomScaleSheetLayoutView="100" workbookViewId="0">
      <selection activeCell="B1073" sqref="B1073"/>
    </sheetView>
  </sheetViews>
  <sheetFormatPr defaultColWidth="0" defaultRowHeight="12.75" zeroHeight="1"/>
  <cols>
    <col min="1" max="1" width="3.42578125" style="515" customWidth="1"/>
    <col min="2" max="2" width="13.42578125" style="515" customWidth="1"/>
    <col min="3" max="3" width="2.42578125" style="515" customWidth="1"/>
    <col min="4" max="5" width="3.42578125" style="434" customWidth="1"/>
    <col min="6" max="6" width="65.42578125" style="434" customWidth="1"/>
    <col min="7" max="7" width="1.42578125" style="434" customWidth="1"/>
    <col min="8" max="8" width="3.42578125" style="434" customWidth="1"/>
    <col min="9" max="9" width="24.42578125" style="436" customWidth="1"/>
    <col min="10" max="10" width="8.85546875" style="434" customWidth="1"/>
    <col min="11" max="16384" width="8.85546875" style="434" hidden="1"/>
  </cols>
  <sheetData>
    <row r="1" spans="1:13"/>
    <row r="2" spans="1:13">
      <c r="A2" s="1323" t="s">
        <v>2607</v>
      </c>
      <c r="B2" s="1323"/>
      <c r="C2" s="1323"/>
      <c r="D2" s="1323"/>
      <c r="E2" s="1323"/>
      <c r="F2" s="1323"/>
      <c r="G2" s="1323"/>
      <c r="H2" s="1323"/>
      <c r="I2" s="1323"/>
    </row>
    <row r="3" spans="1:13">
      <c r="A3" s="1324" t="s">
        <v>2001</v>
      </c>
      <c r="B3" s="1324"/>
      <c r="C3" s="1324"/>
      <c r="D3" s="1324"/>
      <c r="E3" s="1324"/>
      <c r="F3" s="1324"/>
      <c r="G3" s="1324"/>
      <c r="H3" s="1324"/>
      <c r="I3" s="1324"/>
    </row>
    <row r="4" spans="1:13">
      <c r="A4" s="1324"/>
      <c r="B4" s="1324"/>
      <c r="C4" s="1321"/>
      <c r="D4" s="1321"/>
      <c r="E4" s="1321"/>
      <c r="F4" s="1321"/>
      <c r="G4" s="1321"/>
    </row>
    <row r="5" spans="1:13">
      <c r="A5" s="1324"/>
      <c r="B5" s="1324"/>
      <c r="C5" s="1321"/>
      <c r="D5" s="1321"/>
      <c r="E5" s="1321"/>
      <c r="F5" s="1321"/>
      <c r="G5" s="1321"/>
    </row>
    <row r="6" spans="1:13">
      <c r="A6" s="1323" t="s">
        <v>1201</v>
      </c>
      <c r="B6" s="1323"/>
      <c r="C6" s="1335"/>
      <c r="D6" s="1335"/>
      <c r="E6" s="1335"/>
      <c r="F6" s="1335"/>
      <c r="G6" s="1335"/>
      <c r="I6" s="525" t="s">
        <v>2144</v>
      </c>
    </row>
    <row r="7" spans="1:13">
      <c r="A7" s="1323" t="s">
        <v>1202</v>
      </c>
      <c r="B7" s="1323"/>
      <c r="C7" s="1335"/>
      <c r="D7" s="1335"/>
      <c r="E7" s="1335"/>
      <c r="F7" s="1335"/>
      <c r="G7" s="1335"/>
      <c r="I7" s="525" t="s">
        <v>2145</v>
      </c>
    </row>
    <row r="8" spans="1:13">
      <c r="A8" s="516"/>
      <c r="B8" s="516"/>
      <c r="C8" s="517"/>
      <c r="D8" s="517"/>
      <c r="E8" s="517"/>
      <c r="F8" s="517"/>
    </row>
    <row r="9" spans="1:13">
      <c r="A9" s="1284" t="s">
        <v>1204</v>
      </c>
      <c r="B9" s="1284"/>
      <c r="C9" s="1284"/>
      <c r="D9" s="1284"/>
      <c r="E9" s="1284"/>
      <c r="F9" s="1284"/>
      <c r="G9" s="1284"/>
      <c r="H9" s="1071"/>
      <c r="I9" s="1072"/>
    </row>
    <row r="10" spans="1:13">
      <c r="A10" s="517"/>
      <c r="B10" s="517"/>
      <c r="E10" s="436"/>
    </row>
    <row r="11" spans="1:13" ht="13.7" customHeight="1">
      <c r="C11" s="517"/>
      <c r="D11" s="1336" t="s">
        <v>1203</v>
      </c>
      <c r="E11" s="1336"/>
      <c r="F11" s="1336"/>
    </row>
    <row r="12" spans="1:13">
      <c r="C12" s="517"/>
      <c r="D12" s="1336"/>
      <c r="E12" s="1336"/>
      <c r="F12" s="1336"/>
    </row>
    <row r="13" spans="1:13">
      <c r="A13" s="518"/>
      <c r="B13" s="518"/>
      <c r="C13" s="518"/>
      <c r="D13" s="1307" t="s">
        <v>1186</v>
      </c>
      <c r="E13" s="1307"/>
      <c r="F13" s="1307"/>
      <c r="M13" s="96"/>
    </row>
    <row r="14" spans="1:13">
      <c r="A14" s="518"/>
      <c r="B14" s="518"/>
      <c r="C14" s="518"/>
      <c r="D14" s="511"/>
      <c r="L14" s="336"/>
    </row>
    <row r="15" spans="1:13" ht="14.25">
      <c r="A15" s="519"/>
      <c r="B15" s="520" t="s">
        <v>2624</v>
      </c>
      <c r="C15" s="518"/>
      <c r="D15" s="1278" t="s">
        <v>2302</v>
      </c>
      <c r="E15" s="1278"/>
      <c r="F15" s="1278"/>
      <c r="I15" s="436" t="s">
        <v>2146</v>
      </c>
    </row>
    <row r="16" spans="1:13">
      <c r="A16" s="518"/>
      <c r="B16" s="518"/>
      <c r="C16" s="518"/>
      <c r="D16" s="1278"/>
      <c r="E16" s="1278"/>
      <c r="F16" s="1278"/>
    </row>
    <row r="17" spans="1:9">
      <c r="A17" s="518"/>
      <c r="B17" s="518"/>
      <c r="C17" s="518"/>
      <c r="D17" s="1278"/>
      <c r="E17" s="1278"/>
      <c r="F17" s="1278"/>
    </row>
    <row r="18" spans="1:9">
      <c r="A18" s="518"/>
      <c r="B18" s="518"/>
      <c r="C18" s="518"/>
      <c r="D18" s="480"/>
      <c r="E18" s="336" t="s">
        <v>2300</v>
      </c>
      <c r="F18" s="480"/>
    </row>
    <row r="19" spans="1:9">
      <c r="A19" s="518"/>
      <c r="B19" s="518"/>
      <c r="C19" s="518"/>
    </row>
    <row r="20" spans="1:9" ht="14.25">
      <c r="A20" s="519"/>
      <c r="B20" s="520" t="s">
        <v>2624</v>
      </c>
      <c r="D20" s="1278" t="s">
        <v>2303</v>
      </c>
      <c r="E20" s="1278"/>
      <c r="F20" s="1278"/>
      <c r="I20" s="436" t="s">
        <v>2147</v>
      </c>
    </row>
    <row r="21" spans="1:9" ht="14.25">
      <c r="A21" s="519"/>
      <c r="D21" s="1278"/>
      <c r="E21" s="1278"/>
      <c r="F21" s="1278"/>
    </row>
    <row r="22" spans="1:9" ht="14.25">
      <c r="A22" s="519"/>
      <c r="D22" s="424"/>
      <c r="E22" s="96" t="s">
        <v>2299</v>
      </c>
      <c r="F22" s="424"/>
    </row>
    <row r="23" spans="1:9" ht="14.25">
      <c r="A23" s="519"/>
      <c r="B23" s="519"/>
      <c r="D23" s="481"/>
    </row>
    <row r="24" spans="1:9" ht="14.25">
      <c r="A24" s="519"/>
      <c r="B24" s="520" t="s">
        <v>2623</v>
      </c>
      <c r="D24" s="1278" t="s">
        <v>1189</v>
      </c>
      <c r="E24" s="1278"/>
      <c r="F24" s="1278"/>
      <c r="I24" s="436" t="s">
        <v>2147</v>
      </c>
    </row>
    <row r="25" spans="1:9" ht="14.25">
      <c r="A25" s="519"/>
      <c r="B25" s="519"/>
      <c r="D25" s="1278"/>
      <c r="E25" s="1278"/>
      <c r="F25" s="1278"/>
    </row>
    <row r="26" spans="1:9"/>
    <row r="27" spans="1:9" ht="14.25">
      <c r="A27" s="519"/>
      <c r="B27" s="520" t="s">
        <v>2624</v>
      </c>
      <c r="D27" s="1278" t="s">
        <v>2442</v>
      </c>
      <c r="E27" s="1278"/>
      <c r="F27" s="1278"/>
      <c r="I27" s="436" t="s">
        <v>2150</v>
      </c>
    </row>
    <row r="28" spans="1:9">
      <c r="D28" s="1278"/>
      <c r="E28" s="1278"/>
      <c r="F28" s="1278"/>
    </row>
    <row r="29" spans="1:9">
      <c r="D29" s="1278"/>
      <c r="E29" s="1278"/>
      <c r="F29" s="1278"/>
    </row>
    <row r="30" spans="1:9">
      <c r="D30" s="1278"/>
      <c r="E30" s="1278"/>
      <c r="F30" s="1278"/>
    </row>
    <row r="31" spans="1:9">
      <c r="D31" s="1278"/>
      <c r="E31" s="1278"/>
      <c r="F31" s="1278"/>
    </row>
    <row r="32" spans="1:9">
      <c r="D32" s="482"/>
    </row>
    <row r="33" spans="1:9">
      <c r="B33" s="520" t="s">
        <v>2623</v>
      </c>
      <c r="D33" s="1278" t="s">
        <v>2443</v>
      </c>
      <c r="E33" s="1278"/>
      <c r="F33" s="1278"/>
      <c r="I33" s="436" t="s">
        <v>2146</v>
      </c>
    </row>
    <row r="34" spans="1:9">
      <c r="D34" s="1278"/>
      <c r="E34" s="1278"/>
      <c r="F34" s="1278"/>
    </row>
    <row r="35" spans="1:9" ht="14.25">
      <c r="A35" s="519"/>
      <c r="B35" s="519"/>
      <c r="D35" s="482"/>
    </row>
    <row r="36" spans="1:9" ht="14.45" customHeight="1">
      <c r="A36" s="519"/>
      <c r="B36" s="520" t="s">
        <v>2623</v>
      </c>
      <c r="D36" s="1278" t="s">
        <v>1356</v>
      </c>
      <c r="E36" s="1278"/>
      <c r="F36" s="1278"/>
      <c r="I36" s="436" t="s">
        <v>2217</v>
      </c>
    </row>
    <row r="37" spans="1:9" ht="14.25">
      <c r="A37" s="519"/>
      <c r="B37" s="519"/>
      <c r="D37" s="1278"/>
      <c r="E37" s="1278"/>
      <c r="F37" s="1278"/>
    </row>
    <row r="38" spans="1:9" ht="14.25">
      <c r="A38" s="519"/>
      <c r="B38" s="519"/>
      <c r="D38" s="1278"/>
      <c r="E38" s="1278"/>
      <c r="F38" s="1278"/>
    </row>
    <row r="39" spans="1:9" ht="14.25">
      <c r="A39" s="519"/>
      <c r="B39" s="519"/>
      <c r="D39" s="1278"/>
      <c r="E39" s="1278"/>
      <c r="F39" s="1278"/>
    </row>
    <row r="40" spans="1:9" ht="14.25">
      <c r="A40" s="519"/>
      <c r="B40" s="519"/>
    </row>
    <row r="41" spans="1:9" ht="14.25">
      <c r="A41" s="519"/>
      <c r="B41" s="520" t="s">
        <v>2623</v>
      </c>
      <c r="D41" s="1278" t="s">
        <v>1193</v>
      </c>
      <c r="E41" s="1278"/>
      <c r="F41" s="1278"/>
    </row>
    <row r="42" spans="1:9" ht="14.25">
      <c r="A42" s="519"/>
      <c r="B42" s="519"/>
      <c r="D42" s="1278"/>
      <c r="E42" s="1278"/>
      <c r="F42" s="1278"/>
    </row>
    <row r="43" spans="1:9" ht="14.25">
      <c r="A43" s="519"/>
      <c r="B43" s="519"/>
      <c r="D43" s="1278"/>
      <c r="E43" s="1278"/>
      <c r="F43" s="1278"/>
    </row>
    <row r="44" spans="1:9" ht="14.25">
      <c r="A44" s="519"/>
      <c r="B44" s="519"/>
      <c r="D44" s="1278"/>
      <c r="E44" s="1278"/>
      <c r="F44" s="1278"/>
    </row>
    <row r="45" spans="1:9" ht="14.25">
      <c r="A45" s="519"/>
      <c r="B45" s="519"/>
      <c r="D45" s="1278"/>
      <c r="E45" s="1278"/>
      <c r="F45" s="1278"/>
    </row>
    <row r="46" spans="1:9" ht="14.25">
      <c r="A46" s="519"/>
      <c r="B46" s="519"/>
      <c r="D46" s="480"/>
      <c r="E46" s="480"/>
      <c r="F46" s="480"/>
    </row>
    <row r="47" spans="1:9" ht="14.25">
      <c r="A47" s="519"/>
      <c r="B47" s="520" t="s">
        <v>2624</v>
      </c>
      <c r="D47" s="1278" t="s">
        <v>1194</v>
      </c>
      <c r="E47" s="1278"/>
      <c r="F47" s="1278"/>
      <c r="I47" s="436" t="s">
        <v>2217</v>
      </c>
    </row>
    <row r="48" spans="1:9" ht="14.25">
      <c r="A48" s="519"/>
      <c r="B48" s="519"/>
      <c r="D48" s="1278"/>
      <c r="E48" s="1278"/>
      <c r="F48" s="1278"/>
    </row>
    <row r="49" spans="1:9" ht="14.25">
      <c r="A49" s="519"/>
      <c r="B49" s="519"/>
      <c r="D49" s="1278"/>
      <c r="E49" s="1278"/>
      <c r="F49" s="1278"/>
    </row>
    <row r="50" spans="1:9" ht="23.25" customHeight="1">
      <c r="A50" s="519"/>
      <c r="B50" s="519"/>
      <c r="D50" s="1278"/>
      <c r="E50" s="1278"/>
      <c r="F50" s="1278"/>
    </row>
    <row r="51" spans="1:9" ht="14.25">
      <c r="A51" s="519"/>
      <c r="B51" s="519"/>
      <c r="D51" s="481"/>
    </row>
    <row r="52" spans="1:9" ht="14.45" customHeight="1">
      <c r="A52" s="519"/>
      <c r="B52" s="520" t="s">
        <v>2623</v>
      </c>
      <c r="D52" s="1278" t="s">
        <v>1195</v>
      </c>
      <c r="E52" s="1278"/>
      <c r="F52" s="1278"/>
      <c r="I52" s="436" t="s">
        <v>2217</v>
      </c>
    </row>
    <row r="53" spans="1:9" ht="14.25">
      <c r="A53" s="519"/>
      <c r="B53" s="519"/>
      <c r="D53" s="1278"/>
      <c r="E53" s="1278"/>
      <c r="F53" s="1278"/>
    </row>
    <row r="54" spans="1:9" ht="14.25">
      <c r="A54" s="519"/>
      <c r="B54" s="519"/>
      <c r="D54" s="1278"/>
      <c r="E54" s="1278"/>
      <c r="F54" s="1278"/>
    </row>
    <row r="55" spans="1:9" ht="14.25">
      <c r="A55" s="519"/>
      <c r="B55" s="519"/>
    </row>
    <row r="56" spans="1:9" ht="14.25">
      <c r="A56" s="519"/>
      <c r="B56" s="520" t="s">
        <v>2624</v>
      </c>
      <c r="D56" s="1337" t="s">
        <v>1196</v>
      </c>
      <c r="E56" s="1337"/>
      <c r="F56" s="1337"/>
    </row>
    <row r="57" spans="1:9" ht="14.25">
      <c r="A57" s="519"/>
      <c r="B57" s="519"/>
      <c r="D57" s="1337"/>
      <c r="E57" s="1337"/>
      <c r="F57" s="1337"/>
    </row>
    <row r="58" spans="1:9" ht="14.25">
      <c r="A58" s="519"/>
      <c r="B58" s="519"/>
      <c r="D58" s="424" t="s">
        <v>2301</v>
      </c>
      <c r="E58" s="480"/>
      <c r="F58" s="480"/>
    </row>
    <row r="59" spans="1:9" ht="14.25">
      <c r="A59" s="519"/>
      <c r="B59" s="519"/>
      <c r="D59" s="480"/>
      <c r="E59" s="336" t="s">
        <v>2300</v>
      </c>
      <c r="F59" s="480"/>
    </row>
    <row r="60" spans="1:9">
      <c r="D60" s="482"/>
    </row>
    <row r="61" spans="1:9" ht="14.25">
      <c r="A61" s="519"/>
      <c r="B61" s="520" t="s">
        <v>2624</v>
      </c>
      <c r="D61" s="1278" t="s">
        <v>1197</v>
      </c>
      <c r="E61" s="1278"/>
      <c r="F61" s="1278"/>
      <c r="I61" s="436" t="s">
        <v>2148</v>
      </c>
    </row>
    <row r="62" spans="1:9">
      <c r="D62" s="1278"/>
      <c r="E62" s="1278"/>
      <c r="F62" s="1278"/>
    </row>
    <row r="63" spans="1:9">
      <c r="D63" s="1278"/>
      <c r="E63" s="1278"/>
      <c r="F63" s="1278"/>
    </row>
    <row r="64" spans="1:9"/>
    <row r="65" spans="1:9" ht="14.25">
      <c r="A65" s="519"/>
      <c r="B65" s="520" t="s">
        <v>2623</v>
      </c>
      <c r="D65" s="1278" t="s">
        <v>1198</v>
      </c>
      <c r="E65" s="1278"/>
      <c r="F65" s="1278"/>
      <c r="I65" s="436" t="s">
        <v>2149</v>
      </c>
    </row>
    <row r="66" spans="1:9">
      <c r="D66" s="1278"/>
      <c r="E66" s="1278"/>
      <c r="F66" s="1278"/>
    </row>
    <row r="67" spans="1:9"/>
    <row r="68" spans="1:9" ht="14.25">
      <c r="A68" s="519"/>
      <c r="B68" s="520" t="s">
        <v>2624</v>
      </c>
      <c r="D68" s="1278" t="s">
        <v>1199</v>
      </c>
      <c r="E68" s="1278"/>
      <c r="F68" s="1278"/>
    </row>
    <row r="69" spans="1:9">
      <c r="D69" s="1278"/>
      <c r="E69" s="1278"/>
      <c r="F69" s="1278"/>
      <c r="I69" s="436" t="s">
        <v>2150</v>
      </c>
    </row>
    <row r="70" spans="1:9">
      <c r="D70" s="1278"/>
      <c r="E70" s="1278"/>
      <c r="F70" s="1278"/>
    </row>
    <row r="71" spans="1:9"/>
    <row r="72" spans="1:9" ht="14.25">
      <c r="A72" s="519"/>
      <c r="B72" s="520" t="s">
        <v>2624</v>
      </c>
      <c r="D72" s="1278" t="s">
        <v>1200</v>
      </c>
      <c r="E72" s="1278"/>
      <c r="F72" s="1278"/>
      <c r="I72" s="436" t="s">
        <v>2150</v>
      </c>
    </row>
    <row r="73" spans="1:9">
      <c r="D73" s="1278"/>
      <c r="E73" s="1278"/>
      <c r="F73" s="1278"/>
    </row>
    <row r="74" spans="1:9" ht="14.25">
      <c r="A74" s="519"/>
      <c r="B74" s="519"/>
      <c r="D74" s="481"/>
    </row>
    <row r="75" spans="1:9">
      <c r="A75" s="1284" t="s">
        <v>1107</v>
      </c>
      <c r="B75" s="1284"/>
      <c r="C75" s="1284"/>
      <c r="D75" s="1284"/>
      <c r="E75" s="1284"/>
      <c r="F75" s="1284"/>
      <c r="G75" s="1284"/>
      <c r="H75" s="1071"/>
      <c r="I75" s="1072"/>
    </row>
    <row r="76" spans="1:9"/>
    <row r="77" spans="1:9">
      <c r="C77" s="521"/>
      <c r="D77" s="1306" t="s">
        <v>1205</v>
      </c>
      <c r="E77" s="1306"/>
      <c r="F77" s="1306"/>
    </row>
    <row r="78" spans="1:9">
      <c r="A78" s="481"/>
      <c r="B78" s="481"/>
      <c r="D78" s="1278" t="s">
        <v>1232</v>
      </c>
      <c r="E78" s="1278"/>
      <c r="F78" s="1278"/>
    </row>
    <row r="79" spans="1:9">
      <c r="A79" s="481"/>
      <c r="B79" s="481"/>
    </row>
    <row r="80" spans="1:9" ht="13.7" customHeight="1">
      <c r="A80" s="519"/>
      <c r="B80" s="520" t="s">
        <v>2624</v>
      </c>
      <c r="D80" s="1278" t="s">
        <v>1400</v>
      </c>
      <c r="E80" s="1278"/>
      <c r="F80" s="1278"/>
      <c r="I80" s="436" t="s">
        <v>2151</v>
      </c>
    </row>
    <row r="81" spans="1:9" ht="14.25">
      <c r="A81" s="519"/>
      <c r="B81" s="519"/>
      <c r="D81" s="1278"/>
      <c r="E81" s="1278"/>
      <c r="F81" s="1278"/>
    </row>
    <row r="82" spans="1:9" ht="14.25">
      <c r="A82" s="519"/>
      <c r="B82" s="519"/>
      <c r="D82" s="1278"/>
      <c r="E82" s="1278"/>
      <c r="F82" s="1278"/>
    </row>
    <row r="83" spans="1:9" ht="14.25">
      <c r="A83" s="519"/>
      <c r="B83" s="519"/>
      <c r="D83" s="1278"/>
      <c r="E83" s="1278"/>
      <c r="F83" s="1278"/>
    </row>
    <row r="84" spans="1:9" ht="14.25">
      <c r="A84" s="519"/>
      <c r="B84" s="519"/>
      <c r="D84" s="1278"/>
      <c r="E84" s="1278"/>
      <c r="F84" s="1278"/>
    </row>
    <row r="85" spans="1:9" ht="14.25">
      <c r="A85" s="519"/>
      <c r="B85" s="519"/>
      <c r="D85" s="1278"/>
      <c r="E85" s="1278"/>
      <c r="F85" s="1278"/>
    </row>
    <row r="86" spans="1:9" ht="14.25">
      <c r="A86" s="519"/>
      <c r="B86" s="519"/>
      <c r="D86" s="1278"/>
      <c r="E86" s="1278"/>
      <c r="F86" s="1278"/>
    </row>
    <row r="87" spans="1:9" ht="14.25">
      <c r="A87" s="519"/>
      <c r="B87" s="519"/>
      <c r="D87" s="1278"/>
      <c r="E87" s="1278"/>
      <c r="F87" s="1278"/>
    </row>
    <row r="88" spans="1:9" ht="14.25">
      <c r="A88" s="519"/>
      <c r="B88" s="519"/>
      <c r="D88" s="417"/>
      <c r="E88" s="417"/>
      <c r="F88" s="417"/>
    </row>
    <row r="89" spans="1:9" ht="15" customHeight="1">
      <c r="A89" s="519"/>
      <c r="B89" s="520" t="s">
        <v>2624</v>
      </c>
      <c r="D89" s="1278" t="s">
        <v>2002</v>
      </c>
      <c r="E89" s="1278"/>
      <c r="F89" s="1278"/>
      <c r="I89" s="436" t="s">
        <v>2152</v>
      </c>
    </row>
    <row r="90" spans="1:9" ht="14.25">
      <c r="A90" s="519"/>
      <c r="B90" s="519"/>
      <c r="D90" s="1278"/>
      <c r="E90" s="1278"/>
      <c r="F90" s="1278"/>
    </row>
    <row r="91" spans="1:9" ht="14.25">
      <c r="A91" s="519"/>
      <c r="B91" s="519"/>
      <c r="D91" s="480"/>
      <c r="E91" s="480"/>
      <c r="F91" s="480"/>
    </row>
    <row r="92" spans="1:9" ht="14.25">
      <c r="A92" s="519"/>
      <c r="B92" s="520" t="s">
        <v>2623</v>
      </c>
      <c r="D92" s="1278" t="s">
        <v>2005</v>
      </c>
      <c r="E92" s="1278"/>
      <c r="F92" s="1278"/>
      <c r="I92" s="436" t="s">
        <v>2153</v>
      </c>
    </row>
    <row r="93" spans="1:9" ht="14.25">
      <c r="A93" s="519"/>
      <c r="B93" s="519"/>
      <c r="D93" s="1278"/>
      <c r="E93" s="1278"/>
      <c r="F93" s="1278"/>
    </row>
    <row r="94" spans="1:9" ht="14.25">
      <c r="A94" s="519"/>
      <c r="B94" s="519"/>
      <c r="D94" s="1278"/>
      <c r="E94" s="1278"/>
      <c r="F94" s="1278"/>
    </row>
    <row r="95" spans="1:9" ht="14.25">
      <c r="A95" s="519"/>
      <c r="B95" s="519"/>
      <c r="D95" s="480"/>
      <c r="E95" s="480"/>
      <c r="F95" s="480"/>
    </row>
    <row r="96" spans="1:9" ht="14.25">
      <c r="A96" s="519"/>
      <c r="B96" s="520" t="s">
        <v>2624</v>
      </c>
      <c r="D96" s="1278" t="s">
        <v>2004</v>
      </c>
      <c r="E96" s="1278"/>
      <c r="F96" s="1278"/>
      <c r="I96" s="436" t="s">
        <v>2198</v>
      </c>
    </row>
    <row r="97" spans="1:9" s="1024" customFormat="1" ht="14.25">
      <c r="A97" s="1022"/>
      <c r="B97" s="1022"/>
      <c r="C97" s="1023"/>
      <c r="D97" s="1278"/>
      <c r="E97" s="1278"/>
      <c r="F97" s="1278"/>
      <c r="I97" s="1063"/>
    </row>
    <row r="98" spans="1:9" ht="14.25">
      <c r="A98" s="519"/>
      <c r="B98" s="519"/>
      <c r="D98" s="424"/>
      <c r="E98" s="336" t="s">
        <v>2304</v>
      </c>
      <c r="F98" s="480"/>
    </row>
    <row r="99" spans="1:9" ht="14.25">
      <c r="A99" s="519"/>
      <c r="B99" s="519"/>
      <c r="D99" s="417"/>
      <c r="E99" s="417"/>
      <c r="F99" s="417"/>
    </row>
    <row r="100" spans="1:9" ht="14.25">
      <c r="A100" s="519"/>
      <c r="B100" s="520" t="s">
        <v>2623</v>
      </c>
      <c r="D100" s="1278" t="s">
        <v>2003</v>
      </c>
      <c r="E100" s="1278"/>
      <c r="F100" s="1278"/>
      <c r="I100" s="436" t="s">
        <v>2154</v>
      </c>
    </row>
    <row r="101" spans="1:9" ht="14.25">
      <c r="A101" s="519"/>
      <c r="B101" s="519"/>
      <c r="D101" s="1278"/>
      <c r="E101" s="1278"/>
      <c r="F101" s="1278"/>
    </row>
    <row r="102" spans="1:9" ht="14.25">
      <c r="A102" s="519"/>
      <c r="B102" s="519"/>
      <c r="D102" s="480"/>
      <c r="E102" s="480"/>
      <c r="F102" s="480"/>
    </row>
    <row r="103" spans="1:9" ht="14.45" customHeight="1">
      <c r="A103" s="519"/>
      <c r="B103" s="520" t="s">
        <v>2623</v>
      </c>
      <c r="D103" s="1278" t="s">
        <v>1336</v>
      </c>
      <c r="E103" s="1278"/>
      <c r="F103" s="1278"/>
      <c r="I103" s="436" t="s">
        <v>2155</v>
      </c>
    </row>
    <row r="104" spans="1:9" ht="14.25">
      <c r="A104" s="519"/>
      <c r="B104" s="519"/>
      <c r="D104" s="1278"/>
      <c r="E104" s="1278"/>
      <c r="F104" s="1278"/>
    </row>
    <row r="105" spans="1:9" ht="14.25">
      <c r="A105" s="519"/>
      <c r="B105" s="519"/>
      <c r="D105" s="1278"/>
      <c r="E105" s="1278"/>
      <c r="F105" s="1278"/>
    </row>
    <row r="106" spans="1:9" ht="14.25">
      <c r="A106" s="519"/>
      <c r="B106" s="519"/>
      <c r="D106" s="1278"/>
      <c r="E106" s="1278"/>
      <c r="F106" s="1278"/>
    </row>
    <row r="107" spans="1:9" ht="14.25">
      <c r="A107" s="519"/>
      <c r="B107" s="519"/>
      <c r="D107" s="1278"/>
      <c r="E107" s="1278"/>
      <c r="F107" s="1278"/>
    </row>
    <row r="108" spans="1:9" ht="14.25">
      <c r="A108" s="519"/>
      <c r="B108" s="519"/>
      <c r="D108" s="1278"/>
      <c r="E108" s="1278"/>
      <c r="F108" s="1278"/>
    </row>
    <row r="109" spans="1:9" ht="14.25">
      <c r="A109" s="519"/>
      <c r="B109" s="519"/>
      <c r="D109" s="1278"/>
      <c r="E109" s="1278"/>
      <c r="F109" s="1278"/>
    </row>
    <row r="110" spans="1:9" ht="14.25">
      <c r="A110" s="519"/>
      <c r="B110" s="519"/>
      <c r="D110" s="1278"/>
      <c r="E110" s="1278"/>
      <c r="F110" s="1278"/>
    </row>
    <row r="111" spans="1:9" ht="14.25">
      <c r="A111" s="519"/>
      <c r="B111" s="519"/>
      <c r="D111" s="1278"/>
      <c r="E111" s="1278"/>
      <c r="F111" s="1278"/>
    </row>
    <row r="112" spans="1:9" ht="14.25">
      <c r="A112" s="519"/>
      <c r="B112" s="519"/>
      <c r="D112" s="1278"/>
      <c r="E112" s="1278"/>
      <c r="F112" s="1278"/>
    </row>
    <row r="113" spans="1:9" ht="14.25">
      <c r="A113" s="519"/>
      <c r="B113" s="519"/>
      <c r="D113" s="1278"/>
      <c r="E113" s="1278"/>
      <c r="F113" s="1278"/>
    </row>
    <row r="114" spans="1:9" ht="14.25">
      <c r="A114" s="519"/>
      <c r="B114" s="519"/>
      <c r="D114" s="1278"/>
      <c r="E114" s="1278"/>
      <c r="F114" s="1278"/>
    </row>
    <row r="115" spans="1:9" ht="14.25">
      <c r="A115" s="519"/>
      <c r="B115" s="519"/>
      <c r="D115" s="1278"/>
      <c r="E115" s="1278"/>
      <c r="F115" s="1278"/>
    </row>
    <row r="116" spans="1:9" ht="14.25">
      <c r="A116" s="519"/>
      <c r="B116" s="519"/>
      <c r="D116" s="1278"/>
      <c r="E116" s="1278"/>
      <c r="F116" s="1278"/>
    </row>
    <row r="117" spans="1:9" ht="14.25">
      <c r="A117" s="519"/>
      <c r="B117" s="519"/>
      <c r="D117" s="1278"/>
      <c r="E117" s="1278"/>
      <c r="F117" s="1278"/>
    </row>
    <row r="118" spans="1:9" ht="14.25">
      <c r="A118" s="519"/>
      <c r="B118" s="519"/>
      <c r="D118" s="559"/>
      <c r="E118" s="559"/>
      <c r="F118" s="559"/>
    </row>
    <row r="119" spans="1:9" ht="14.25" customHeight="1">
      <c r="A119" s="519"/>
      <c r="B119" s="520" t="s">
        <v>2623</v>
      </c>
      <c r="D119" s="1305" t="s">
        <v>1207</v>
      </c>
      <c r="E119" s="1305"/>
      <c r="F119" s="1305"/>
    </row>
    <row r="120" spans="1:9" ht="14.25">
      <c r="A120" s="519"/>
      <c r="B120" s="519"/>
      <c r="D120" s="1305"/>
      <c r="E120" s="1305"/>
      <c r="F120" s="1305"/>
    </row>
    <row r="121" spans="1:9" ht="14.25">
      <c r="A121" s="519"/>
      <c r="B121" s="519"/>
      <c r="D121" s="1305"/>
      <c r="E121" s="1305"/>
      <c r="F121" s="1305"/>
    </row>
    <row r="122" spans="1:9" ht="14.25">
      <c r="A122" s="519"/>
      <c r="B122" s="519"/>
      <c r="D122" s="1305"/>
      <c r="E122" s="1305"/>
      <c r="F122" s="1305"/>
    </row>
    <row r="123" spans="1:9" ht="14.25">
      <c r="A123" s="519"/>
      <c r="B123" s="519"/>
      <c r="D123" s="1305"/>
      <c r="E123" s="1305"/>
      <c r="F123" s="1305"/>
    </row>
    <row r="124" spans="1:9" ht="14.25">
      <c r="A124" s="519"/>
      <c r="B124" s="519"/>
      <c r="D124" s="1305"/>
      <c r="E124" s="1305"/>
      <c r="F124" s="1305"/>
    </row>
    <row r="125" spans="1:9" ht="14.25">
      <c r="A125" s="519"/>
      <c r="B125" s="519"/>
      <c r="D125" s="1305"/>
      <c r="E125" s="1305"/>
      <c r="F125" s="1305"/>
    </row>
    <row r="126" spans="1:9" ht="14.25">
      <c r="A126" s="519"/>
      <c r="B126" s="519"/>
      <c r="D126" s="1305"/>
      <c r="E126" s="1305"/>
      <c r="F126" s="1305"/>
    </row>
    <row r="127" spans="1:9">
      <c r="C127" s="434"/>
      <c r="D127" s="560"/>
      <c r="E127" s="560"/>
      <c r="F127" s="560"/>
    </row>
    <row r="128" spans="1:9" ht="14.25">
      <c r="A128" s="519"/>
      <c r="B128" s="520" t="s">
        <v>2624</v>
      </c>
      <c r="C128" s="434"/>
      <c r="D128" s="1305" t="s">
        <v>2444</v>
      </c>
      <c r="E128" s="1305"/>
      <c r="F128" s="1305"/>
      <c r="I128" s="436" t="s">
        <v>2156</v>
      </c>
    </row>
    <row r="129" spans="1:9" ht="14.25">
      <c r="A129" s="519"/>
      <c r="B129" s="519"/>
      <c r="C129" s="434"/>
      <c r="D129" s="1305"/>
      <c r="E129" s="1305"/>
      <c r="F129" s="1305"/>
    </row>
    <row r="130" spans="1:9"/>
    <row r="131" spans="1:9" ht="14.25">
      <c r="A131" s="519"/>
      <c r="B131" s="520" t="s">
        <v>2624</v>
      </c>
      <c r="D131" s="1278" t="s">
        <v>1210</v>
      </c>
      <c r="E131" s="1278"/>
      <c r="F131" s="1278"/>
      <c r="I131" s="436" t="s">
        <v>2156</v>
      </c>
    </row>
    <row r="132" spans="1:9">
      <c r="D132" s="1278"/>
      <c r="E132" s="1278"/>
      <c r="F132" s="1278"/>
    </row>
    <row r="133" spans="1:9">
      <c r="D133" s="1278"/>
      <c r="E133" s="1278"/>
      <c r="F133" s="1278"/>
    </row>
    <row r="134" spans="1:9">
      <c r="D134" s="1278"/>
      <c r="E134" s="1278"/>
      <c r="F134" s="1278"/>
    </row>
    <row r="135" spans="1:9">
      <c r="D135" s="1278"/>
      <c r="E135" s="1278"/>
      <c r="F135" s="1278"/>
    </row>
    <row r="136" spans="1:9"/>
    <row r="137" spans="1:9" ht="14.25">
      <c r="A137" s="519"/>
      <c r="B137" s="520" t="s">
        <v>2624</v>
      </c>
      <c r="D137" s="1278" t="s">
        <v>1211</v>
      </c>
      <c r="E137" s="1278"/>
      <c r="F137" s="1278"/>
      <c r="I137" s="436" t="s">
        <v>2157</v>
      </c>
    </row>
    <row r="138" spans="1:9" s="449" customFormat="1" ht="13.7" customHeight="1">
      <c r="A138" s="523"/>
      <c r="B138" s="523"/>
      <c r="C138" s="523"/>
      <c r="D138" s="1278"/>
      <c r="E138" s="1278"/>
      <c r="F138" s="1278"/>
      <c r="I138" s="1064"/>
    </row>
    <row r="139" spans="1:9" ht="13.7" customHeight="1">
      <c r="D139" s="1278"/>
      <c r="E139" s="1278"/>
      <c r="F139" s="1278"/>
    </row>
    <row r="140" spans="1:9" ht="13.7" customHeight="1">
      <c r="D140" s="1278"/>
      <c r="E140" s="1278"/>
      <c r="F140" s="1278"/>
    </row>
    <row r="141" spans="1:9" ht="13.7" customHeight="1">
      <c r="D141" s="1278"/>
      <c r="E141" s="1278"/>
      <c r="F141" s="1278"/>
    </row>
    <row r="142" spans="1:9" ht="13.7" customHeight="1">
      <c r="A142" s="524"/>
      <c r="B142" s="524"/>
      <c r="D142" s="1278"/>
      <c r="E142" s="1278"/>
      <c r="F142" s="1278"/>
    </row>
    <row r="143" spans="1:9" ht="13.7" customHeight="1">
      <c r="D143" s="1278"/>
      <c r="E143" s="1278"/>
      <c r="F143" s="1278"/>
    </row>
    <row r="144" spans="1:9" ht="13.7" customHeight="1">
      <c r="D144" s="1278"/>
      <c r="E144" s="1278"/>
      <c r="F144" s="1278"/>
    </row>
    <row r="145" spans="2:9" ht="13.7" customHeight="1">
      <c r="D145" s="1278"/>
      <c r="E145" s="1278"/>
      <c r="F145" s="1278"/>
    </row>
    <row r="146" spans="2:9" ht="13.7" customHeight="1">
      <c r="D146" s="1278"/>
      <c r="E146" s="1278"/>
      <c r="F146" s="1278"/>
    </row>
    <row r="147" spans="2:9" ht="13.7" customHeight="1">
      <c r="D147" s="1278"/>
      <c r="E147" s="1278"/>
      <c r="F147" s="1278"/>
    </row>
    <row r="148" spans="2:9" ht="13.7" customHeight="1">
      <c r="D148" s="1278"/>
      <c r="E148" s="1278"/>
      <c r="F148" s="1278"/>
    </row>
    <row r="149" spans="2:9" ht="13.7" customHeight="1">
      <c r="D149" s="1278"/>
      <c r="E149" s="1278"/>
      <c r="F149" s="1278"/>
    </row>
    <row r="150" spans="2:9" ht="13.7" customHeight="1">
      <c r="D150" s="511"/>
      <c r="E150" s="481"/>
      <c r="F150" s="481"/>
    </row>
    <row r="151" spans="2:9" ht="13.7" customHeight="1">
      <c r="B151" s="520" t="s">
        <v>2623</v>
      </c>
      <c r="D151" s="1278" t="s">
        <v>1319</v>
      </c>
      <c r="E151" s="1278"/>
      <c r="F151" s="1278"/>
      <c r="I151" s="436" t="s">
        <v>2158</v>
      </c>
    </row>
    <row r="152" spans="2:9" ht="13.7" customHeight="1">
      <c r="D152" s="1278"/>
      <c r="E152" s="1278"/>
      <c r="F152" s="1278"/>
    </row>
    <row r="153" spans="2:9" ht="13.7" customHeight="1">
      <c r="D153" s="1278"/>
      <c r="E153" s="1278"/>
      <c r="F153" s="1278"/>
    </row>
    <row r="154" spans="2:9" ht="13.7" customHeight="1">
      <c r="D154" s="1278"/>
      <c r="E154" s="1278"/>
      <c r="F154" s="1278"/>
    </row>
    <row r="155" spans="2:9" ht="13.7" customHeight="1">
      <c r="D155" s="1278"/>
      <c r="E155" s="1278"/>
      <c r="F155" s="1278"/>
    </row>
    <row r="156" spans="2:9" ht="13.7" customHeight="1">
      <c r="D156" s="1278"/>
      <c r="E156" s="1278"/>
      <c r="F156" s="1278"/>
    </row>
    <row r="157" spans="2:9" ht="13.7" customHeight="1">
      <c r="D157" s="1278"/>
      <c r="E157" s="1278"/>
      <c r="F157" s="1278"/>
    </row>
    <row r="158" spans="2:9" ht="13.7" customHeight="1">
      <c r="D158" s="1278"/>
      <c r="E158" s="1278"/>
      <c r="F158" s="1278"/>
    </row>
    <row r="159" spans="2:9" ht="13.7" customHeight="1">
      <c r="D159" s="1278"/>
      <c r="E159" s="1278"/>
      <c r="F159" s="1278"/>
    </row>
    <row r="160" spans="2:9" ht="13.7" customHeight="1">
      <c r="D160" s="1278"/>
      <c r="E160" s="1278"/>
      <c r="F160" s="1278"/>
    </row>
    <row r="161" spans="1:9" ht="13.7" customHeight="1">
      <c r="D161" s="1278"/>
      <c r="E161" s="1278"/>
      <c r="F161" s="1278"/>
    </row>
    <row r="162" spans="1:9" ht="13.7" customHeight="1">
      <c r="D162" s="1278"/>
      <c r="E162" s="1278"/>
      <c r="F162" s="1278"/>
    </row>
    <row r="163" spans="1:9" ht="13.7" customHeight="1">
      <c r="D163" s="1278"/>
      <c r="E163" s="1278"/>
      <c r="F163" s="1278"/>
    </row>
    <row r="164" spans="1:9" ht="13.7" customHeight="1">
      <c r="D164" s="1278"/>
      <c r="E164" s="1278"/>
      <c r="F164" s="1278"/>
    </row>
    <row r="165" spans="1:9" ht="13.7" customHeight="1">
      <c r="D165" s="1278"/>
      <c r="E165" s="1278"/>
      <c r="F165" s="1278"/>
    </row>
    <row r="166" spans="1:9" ht="13.7" customHeight="1">
      <c r="D166" s="1278"/>
      <c r="E166" s="1278"/>
      <c r="F166" s="1278"/>
    </row>
    <row r="167" spans="1:9" ht="13.7" customHeight="1">
      <c r="D167" s="1278"/>
      <c r="E167" s="1278"/>
      <c r="F167" s="1278"/>
    </row>
    <row r="168" spans="1:9" ht="13.7" customHeight="1">
      <c r="D168" s="1278"/>
      <c r="E168" s="1278"/>
      <c r="F168" s="1278"/>
    </row>
    <row r="169" spans="1:9" ht="13.7" customHeight="1">
      <c r="D169" s="1338" t="s">
        <v>2468</v>
      </c>
      <c r="E169" s="1338"/>
      <c r="F169" s="1338"/>
      <c r="G169" s="542"/>
    </row>
    <row r="170" spans="1:9" ht="13.7" customHeight="1">
      <c r="D170" s="1311"/>
      <c r="E170" s="1311"/>
      <c r="F170" s="1311"/>
      <c r="G170" s="1311"/>
    </row>
    <row r="171" spans="1:9" ht="14.45" customHeight="1">
      <c r="A171" s="524"/>
      <c r="B171" s="520" t="s">
        <v>2624</v>
      </c>
      <c r="C171" s="511"/>
      <c r="D171" s="1266" t="s">
        <v>1366</v>
      </c>
      <c r="E171" s="1266"/>
      <c r="F171" s="1266"/>
      <c r="G171" s="511"/>
      <c r="I171" s="436" t="s">
        <v>2153</v>
      </c>
    </row>
    <row r="172" spans="1:9" ht="14.45" customHeight="1">
      <c r="A172" s="524"/>
      <c r="B172" s="524"/>
      <c r="C172" s="511"/>
      <c r="D172" s="1266"/>
      <c r="E172" s="1266"/>
      <c r="F172" s="1266"/>
      <c r="G172" s="511"/>
    </row>
    <row r="173" spans="1:9" ht="13.7" customHeight="1">
      <c r="A173" s="524"/>
      <c r="B173" s="524"/>
      <c r="C173" s="511"/>
      <c r="D173" s="1266"/>
      <c r="E173" s="1266"/>
      <c r="F173" s="1266"/>
      <c r="G173" s="511"/>
    </row>
    <row r="174" spans="1:9" ht="13.7" customHeight="1">
      <c r="A174" s="524"/>
      <c r="B174" s="524"/>
      <c r="C174" s="511"/>
      <c r="D174" s="511"/>
      <c r="E174" s="511"/>
      <c r="F174" s="511"/>
      <c r="G174" s="511"/>
    </row>
    <row r="175" spans="1:9" ht="13.7" customHeight="1">
      <c r="A175" s="524"/>
      <c r="B175" s="520" t="s">
        <v>2623</v>
      </c>
      <c r="C175" s="511"/>
      <c r="D175" s="1266" t="s">
        <v>1213</v>
      </c>
      <c r="E175" s="1266"/>
      <c r="F175" s="1266"/>
      <c r="G175" s="511"/>
      <c r="I175" s="436" t="s">
        <v>2159</v>
      </c>
    </row>
    <row r="176" spans="1:9" ht="13.7" customHeight="1">
      <c r="A176" s="524"/>
      <c r="B176" s="524"/>
      <c r="C176" s="511"/>
      <c r="D176" s="1266"/>
      <c r="E176" s="1266"/>
      <c r="F176" s="1266"/>
      <c r="G176" s="511"/>
    </row>
    <row r="177" spans="1:9" ht="13.7" customHeight="1">
      <c r="A177" s="524"/>
      <c r="B177" s="524"/>
      <c r="C177" s="511"/>
      <c r="D177" s="1266"/>
      <c r="E177" s="1266"/>
      <c r="F177" s="1266"/>
      <c r="G177" s="511"/>
    </row>
    <row r="178" spans="1:9" ht="13.7" customHeight="1">
      <c r="A178" s="524"/>
      <c r="B178" s="524"/>
      <c r="C178" s="511"/>
      <c r="D178" s="1266"/>
      <c r="E178" s="1266"/>
      <c r="F178" s="1266"/>
      <c r="G178" s="511"/>
    </row>
    <row r="179" spans="1:9" ht="13.7" customHeight="1">
      <c r="D179" s="481"/>
      <c r="E179" s="481"/>
      <c r="F179" s="481"/>
    </row>
    <row r="180" spans="1:9" ht="13.7" customHeight="1">
      <c r="B180" s="520" t="s">
        <v>2623</v>
      </c>
      <c r="D180" s="1300" t="s">
        <v>2445</v>
      </c>
      <c r="E180" s="1300"/>
      <c r="F180" s="1300"/>
      <c r="I180" s="436" t="s">
        <v>2160</v>
      </c>
    </row>
    <row r="181" spans="1:9" ht="13.7" customHeight="1">
      <c r="D181" s="1300"/>
      <c r="E181" s="1300"/>
      <c r="F181" s="1300"/>
    </row>
    <row r="182" spans="1:9" ht="13.7" customHeight="1">
      <c r="D182" s="1300"/>
      <c r="E182" s="1300"/>
      <c r="F182" s="1300"/>
    </row>
    <row r="183" spans="1:9" ht="13.7" customHeight="1">
      <c r="A183" s="525"/>
      <c r="B183" s="525"/>
      <c r="E183" s="481"/>
      <c r="F183" s="481"/>
    </row>
    <row r="184" spans="1:9">
      <c r="A184" s="1284" t="s">
        <v>2446</v>
      </c>
      <c r="B184" s="1284"/>
      <c r="C184" s="1284"/>
      <c r="D184" s="1284"/>
      <c r="E184" s="1284"/>
      <c r="F184" s="1284"/>
      <c r="G184" s="1284"/>
      <c r="H184" s="1071"/>
      <c r="I184" s="1072"/>
    </row>
    <row r="185" spans="1:9" ht="12" customHeight="1">
      <c r="D185" s="481"/>
      <c r="E185" s="481"/>
      <c r="F185" s="481"/>
    </row>
    <row r="186" spans="1:9">
      <c r="B186" s="1293" t="s">
        <v>449</v>
      </c>
      <c r="C186" s="1293"/>
      <c r="D186" s="1293"/>
      <c r="E186" s="1293"/>
      <c r="F186" s="1293"/>
    </row>
    <row r="187" spans="1:9">
      <c r="B187" s="424" t="s">
        <v>2139</v>
      </c>
      <c r="C187" s="424"/>
      <c r="D187" s="424"/>
      <c r="E187" s="424"/>
      <c r="F187" s="424"/>
    </row>
    <row r="188" spans="1:9" ht="12" customHeight="1">
      <c r="A188" s="517"/>
      <c r="B188" s="517"/>
      <c r="C188" s="517"/>
    </row>
    <row r="189" spans="1:9">
      <c r="A189" s="1284" t="s">
        <v>1109</v>
      </c>
      <c r="B189" s="1284"/>
      <c r="C189" s="1284"/>
      <c r="D189" s="1284"/>
      <c r="E189" s="1284"/>
      <c r="F189" s="1284"/>
      <c r="G189" s="1284"/>
      <c r="H189" s="1071"/>
      <c r="I189" s="1072"/>
    </row>
    <row r="190" spans="1:9" ht="12" customHeight="1">
      <c r="A190" s="436"/>
      <c r="B190" s="436"/>
      <c r="E190" s="436"/>
    </row>
    <row r="191" spans="1:9" ht="13.7" customHeight="1">
      <c r="A191" s="436"/>
      <c r="B191" s="436"/>
      <c r="D191" s="1306" t="s">
        <v>2006</v>
      </c>
      <c r="E191" s="1306"/>
      <c r="F191" s="1306"/>
    </row>
    <row r="192" spans="1:9">
      <c r="A192" s="436"/>
      <c r="B192" s="436"/>
      <c r="D192" s="1306"/>
      <c r="E192" s="1306"/>
      <c r="F192" s="1306"/>
    </row>
    <row r="193" spans="1:9">
      <c r="A193" s="436"/>
      <c r="B193" s="436"/>
      <c r="D193" s="1293" t="s">
        <v>1337</v>
      </c>
      <c r="E193" s="1293"/>
      <c r="F193" s="1293"/>
    </row>
    <row r="194" spans="1:9">
      <c r="A194" s="436"/>
      <c r="B194" s="436"/>
      <c r="D194" s="424"/>
      <c r="E194" s="424"/>
      <c r="F194" s="424"/>
    </row>
    <row r="195" spans="1:9">
      <c r="A195" s="436"/>
      <c r="B195" s="520" t="s">
        <v>2623</v>
      </c>
      <c r="D195" s="1283" t="s">
        <v>2007</v>
      </c>
      <c r="E195" s="1283"/>
      <c r="F195" s="1283"/>
      <c r="I195" s="436" t="s">
        <v>2209</v>
      </c>
    </row>
    <row r="196" spans="1:9">
      <c r="A196" s="436"/>
      <c r="B196" s="436"/>
      <c r="D196" s="1287" t="s">
        <v>2282</v>
      </c>
      <c r="E196" s="1287"/>
      <c r="F196" s="1287"/>
    </row>
    <row r="197" spans="1:9">
      <c r="A197" s="436"/>
      <c r="B197" s="436"/>
      <c r="D197" s="96" t="s">
        <v>2008</v>
      </c>
      <c r="E197" s="1334" t="s">
        <v>2305</v>
      </c>
      <c r="F197" s="1334"/>
    </row>
    <row r="198" spans="1:9">
      <c r="A198" s="436"/>
      <c r="B198" s="436"/>
      <c r="D198" s="3"/>
      <c r="E198" s="3"/>
      <c r="F198" s="3"/>
    </row>
    <row r="199" spans="1:9">
      <c r="A199" s="436"/>
      <c r="B199" s="520" t="s">
        <v>2623</v>
      </c>
      <c r="D199" s="1287" t="s">
        <v>2009</v>
      </c>
      <c r="E199" s="1287"/>
      <c r="F199" s="1287"/>
      <c r="I199" s="436" t="s">
        <v>2210</v>
      </c>
    </row>
    <row r="200" spans="1:9">
      <c r="A200" s="436"/>
      <c r="B200" s="436"/>
      <c r="D200" s="1283" t="s">
        <v>2282</v>
      </c>
      <c r="E200" s="1283"/>
      <c r="F200" s="1283"/>
    </row>
    <row r="201" spans="1:9">
      <c r="A201" s="436"/>
      <c r="B201" s="436"/>
      <c r="D201" s="57" t="s">
        <v>2010</v>
      </c>
      <c r="E201" s="1334" t="s">
        <v>2306</v>
      </c>
      <c r="F201" s="1334"/>
    </row>
    <row r="202" spans="1:9">
      <c r="A202" s="436"/>
      <c r="B202" s="436"/>
      <c r="D202" s="3"/>
      <c r="E202" s="3"/>
      <c r="F202" s="3"/>
    </row>
    <row r="203" spans="1:9">
      <c r="A203" s="436"/>
      <c r="B203" s="520" t="s">
        <v>2623</v>
      </c>
      <c r="D203" s="1287" t="s">
        <v>2011</v>
      </c>
      <c r="E203" s="1287"/>
      <c r="F203" s="1287"/>
      <c r="I203" s="436" t="s">
        <v>2211</v>
      </c>
    </row>
    <row r="204" spans="1:9">
      <c r="A204" s="436"/>
      <c r="B204" s="436"/>
      <c r="D204" s="1283" t="s">
        <v>2282</v>
      </c>
      <c r="E204" s="1283"/>
      <c r="F204" s="1283"/>
    </row>
    <row r="205" spans="1:9">
      <c r="A205" s="436"/>
      <c r="B205" s="436"/>
      <c r="D205" s="57" t="s">
        <v>2008</v>
      </c>
      <c r="E205" s="1334" t="s">
        <v>2307</v>
      </c>
      <c r="F205" s="1334"/>
    </row>
    <row r="206" spans="1:9">
      <c r="A206" s="436"/>
      <c r="B206" s="436"/>
      <c r="D206" s="424"/>
      <c r="E206" s="424"/>
      <c r="F206" s="424"/>
    </row>
    <row r="207" spans="1:9" ht="14.25" customHeight="1">
      <c r="A207" s="519"/>
      <c r="B207" s="520" t="s">
        <v>2623</v>
      </c>
      <c r="D207" s="418" t="s">
        <v>2275</v>
      </c>
      <c r="E207" s="417"/>
      <c r="F207" s="417"/>
      <c r="I207" s="436" t="s">
        <v>2212</v>
      </c>
    </row>
    <row r="208" spans="1:9" ht="14.25">
      <c r="A208" s="519"/>
      <c r="B208" s="519"/>
      <c r="D208" s="1283" t="s">
        <v>2282</v>
      </c>
      <c r="E208" s="1283"/>
      <c r="F208" s="1283"/>
    </row>
    <row r="209" spans="1:9">
      <c r="D209" s="417"/>
      <c r="E209" s="1334" t="s">
        <v>2308</v>
      </c>
      <c r="F209" s="1334"/>
    </row>
    <row r="210" spans="1:9">
      <c r="D210" s="482"/>
    </row>
    <row r="211" spans="1:9">
      <c r="B211" s="520" t="s">
        <v>2623</v>
      </c>
      <c r="D211" s="1287" t="s">
        <v>2012</v>
      </c>
      <c r="E211" s="1287"/>
      <c r="F211" s="1287"/>
      <c r="I211" s="436" t="s">
        <v>2213</v>
      </c>
    </row>
    <row r="212" spans="1:9">
      <c r="D212" s="1283" t="s">
        <v>2282</v>
      </c>
      <c r="E212" s="1283"/>
      <c r="F212" s="1283"/>
    </row>
    <row r="213" spans="1:9">
      <c r="D213" s="57" t="s">
        <v>2008</v>
      </c>
      <c r="E213" s="1334" t="s">
        <v>2309</v>
      </c>
      <c r="F213" s="1334"/>
    </row>
    <row r="214" spans="1:9">
      <c r="D214" s="486"/>
      <c r="E214" s="486"/>
      <c r="F214" s="486"/>
    </row>
    <row r="215" spans="1:9" ht="14.25">
      <c r="A215" s="519"/>
      <c r="B215" s="520" t="s">
        <v>2623</v>
      </c>
      <c r="D215" s="1278" t="s">
        <v>1358</v>
      </c>
      <c r="E215" s="1278"/>
      <c r="F215" s="1278"/>
    </row>
    <row r="216" spans="1:9" ht="14.45" customHeight="1">
      <c r="A216" s="519"/>
      <c r="B216" s="434"/>
      <c r="D216" s="1278"/>
      <c r="E216" s="1278"/>
      <c r="F216" s="1278"/>
    </row>
    <row r="217" spans="1:9" ht="14.25">
      <c r="A217" s="519"/>
      <c r="D217" s="1278"/>
      <c r="E217" s="1278"/>
      <c r="F217" s="1278"/>
    </row>
    <row r="218" spans="1:9" ht="14.25">
      <c r="A218" s="519"/>
      <c r="D218" s="1278"/>
      <c r="E218" s="1278"/>
      <c r="F218" s="1278"/>
    </row>
    <row r="219" spans="1:9">
      <c r="D219" s="486"/>
      <c r="E219" s="486"/>
      <c r="F219" s="486"/>
    </row>
    <row r="220" spans="1:9">
      <c r="A220" s="1284" t="s">
        <v>1110</v>
      </c>
      <c r="B220" s="1284"/>
      <c r="C220" s="1284"/>
      <c r="D220" s="1284"/>
      <c r="E220" s="1284"/>
      <c r="F220" s="1284"/>
      <c r="G220" s="1284"/>
      <c r="H220" s="1071"/>
      <c r="I220" s="1072"/>
    </row>
    <row r="221" spans="1:9" ht="12" customHeight="1">
      <c r="D221" s="481"/>
      <c r="E221" s="481"/>
      <c r="F221" s="481"/>
    </row>
    <row r="222" spans="1:9">
      <c r="C222" s="521"/>
      <c r="D222" s="1276" t="s">
        <v>210</v>
      </c>
      <c r="E222" s="1276"/>
      <c r="F222" s="1276"/>
    </row>
    <row r="223" spans="1:9">
      <c r="A223" s="517"/>
      <c r="B223" s="517"/>
      <c r="C223" s="517"/>
      <c r="D223" s="1307" t="s">
        <v>1239</v>
      </c>
      <c r="E223" s="1307"/>
      <c r="F223" s="1307"/>
    </row>
    <row r="224" spans="1:9" ht="12" customHeight="1">
      <c r="A224" s="525"/>
      <c r="B224" s="525"/>
      <c r="C224" s="525"/>
    </row>
    <row r="225" spans="1:9" ht="13.7" customHeight="1">
      <c r="A225" s="525"/>
      <c r="C225" s="525"/>
      <c r="D225" s="1276" t="s">
        <v>555</v>
      </c>
      <c r="E225" s="1276"/>
      <c r="F225" s="1276"/>
      <c r="I225" s="436" t="s">
        <v>2161</v>
      </c>
    </row>
    <row r="226" spans="1:9" ht="14.25">
      <c r="A226" s="519"/>
      <c r="B226" s="520" t="s">
        <v>2624</v>
      </c>
      <c r="D226" s="1278" t="s">
        <v>2013</v>
      </c>
      <c r="E226" s="1278"/>
      <c r="F226" s="1278"/>
    </row>
    <row r="227" spans="1:9" ht="14.25" customHeight="1">
      <c r="A227" s="519"/>
      <c r="B227" s="519"/>
      <c r="D227" s="1278"/>
      <c r="E227" s="1278"/>
      <c r="F227" s="1278"/>
    </row>
    <row r="228" spans="1:9" ht="14.25" customHeight="1">
      <c r="A228" s="519"/>
      <c r="B228" s="519"/>
      <c r="D228" s="1278"/>
      <c r="E228" s="1278"/>
      <c r="F228" s="1278"/>
    </row>
    <row r="229" spans="1:9" ht="14.25">
      <c r="A229" s="519"/>
      <c r="B229" s="519"/>
      <c r="D229" s="1278"/>
      <c r="E229" s="1278"/>
      <c r="F229" s="1278"/>
    </row>
    <row r="230" spans="1:9" ht="14.25">
      <c r="A230" s="519"/>
      <c r="B230" s="519"/>
      <c r="D230" s="480"/>
      <c r="E230" s="480"/>
      <c r="F230" s="480"/>
    </row>
    <row r="231" spans="1:9" ht="14.25">
      <c r="A231" s="519"/>
      <c r="B231" s="520" t="s">
        <v>2624</v>
      </c>
      <c r="D231" s="1278" t="s">
        <v>2014</v>
      </c>
      <c r="E231" s="1278"/>
      <c r="F231" s="1278"/>
      <c r="I231" s="436" t="s">
        <v>2162</v>
      </c>
    </row>
    <row r="232" spans="1:9" ht="14.25">
      <c r="A232" s="519"/>
      <c r="B232" s="519"/>
      <c r="D232" s="1278"/>
      <c r="E232" s="1278"/>
      <c r="F232" s="1278"/>
    </row>
    <row r="233" spans="1:9" ht="14.25">
      <c r="A233" s="519"/>
      <c r="B233" s="519"/>
      <c r="D233" s="1278"/>
      <c r="E233" s="1278"/>
      <c r="F233" s="1278"/>
    </row>
    <row r="234" spans="1:9" ht="14.25">
      <c r="A234" s="519"/>
      <c r="B234" s="519"/>
      <c r="D234" s="1278"/>
      <c r="E234" s="1278"/>
      <c r="F234" s="1278"/>
    </row>
    <row r="235" spans="1:9" ht="14.25" customHeight="1">
      <c r="A235" s="519"/>
      <c r="B235" s="519"/>
      <c r="D235" s="1278"/>
      <c r="E235" s="1278"/>
      <c r="F235" s="1278"/>
    </row>
    <row r="236" spans="1:9" ht="14.25" customHeight="1">
      <c r="A236" s="519"/>
      <c r="B236" s="519"/>
      <c r="D236" s="480"/>
      <c r="E236" s="480"/>
      <c r="F236" s="480"/>
    </row>
    <row r="237" spans="1:9" ht="14.25">
      <c r="A237" s="519"/>
      <c r="B237" s="519"/>
      <c r="D237" s="1278" t="s">
        <v>1235</v>
      </c>
      <c r="E237" s="1278"/>
      <c r="F237" s="1278"/>
      <c r="I237" s="436" t="s">
        <v>2161</v>
      </c>
    </row>
    <row r="238" spans="1:9" ht="14.25">
      <c r="A238" s="519"/>
      <c r="B238" s="519"/>
      <c r="D238" s="1278"/>
      <c r="E238" s="1278"/>
      <c r="F238" s="1278"/>
    </row>
    <row r="239" spans="1:9" ht="14.25">
      <c r="A239" s="519"/>
      <c r="B239" s="519"/>
      <c r="D239" s="1278"/>
      <c r="E239" s="1278"/>
      <c r="F239" s="1278"/>
    </row>
    <row r="240" spans="1:9" ht="14.25">
      <c r="A240" s="519"/>
      <c r="B240" s="519"/>
      <c r="D240" s="1278"/>
      <c r="E240" s="1278"/>
      <c r="F240" s="1278"/>
    </row>
    <row r="241" spans="1:9" ht="14.25">
      <c r="A241" s="519"/>
      <c r="B241" s="519"/>
      <c r="D241" s="1278"/>
      <c r="E241" s="1278"/>
      <c r="F241" s="1278"/>
    </row>
    <row r="242" spans="1:9" ht="14.25">
      <c r="A242" s="519"/>
      <c r="B242" s="519"/>
      <c r="D242" s="481"/>
      <c r="E242" s="481"/>
      <c r="F242" s="481"/>
    </row>
    <row r="243" spans="1:9" ht="14.25">
      <c r="A243" s="519"/>
      <c r="B243" s="520" t="s">
        <v>2623</v>
      </c>
      <c r="D243" s="1278" t="s">
        <v>2447</v>
      </c>
      <c r="E243" s="1278"/>
      <c r="F243" s="1278"/>
      <c r="I243" s="436" t="s">
        <v>2200</v>
      </c>
    </row>
    <row r="244" spans="1:9" ht="14.25">
      <c r="A244" s="519"/>
      <c r="B244" s="519"/>
      <c r="D244" s="1278"/>
      <c r="E244" s="1278"/>
      <c r="F244" s="1278"/>
    </row>
    <row r="245" spans="1:9" ht="14.25">
      <c r="A245" s="519"/>
      <c r="B245" s="519"/>
      <c r="D245" s="1278"/>
      <c r="E245" s="1278"/>
      <c r="F245" s="1278"/>
    </row>
    <row r="246" spans="1:9" ht="14.25">
      <c r="A246" s="519"/>
      <c r="B246" s="519"/>
      <c r="E246" s="1080" t="s">
        <v>2276</v>
      </c>
    </row>
    <row r="247" spans="1:9" ht="14.25">
      <c r="A247" s="519"/>
      <c r="B247" s="519"/>
      <c r="D247" s="481"/>
      <c r="E247" s="481"/>
      <c r="F247" s="481"/>
    </row>
    <row r="248" spans="1:9" ht="14.45" customHeight="1">
      <c r="A248" s="519"/>
      <c r="B248" s="520" t="s">
        <v>2623</v>
      </c>
      <c r="D248" s="1278" t="s">
        <v>2448</v>
      </c>
      <c r="E248" s="1278"/>
      <c r="F248" s="1278"/>
      <c r="I248" s="436" t="s">
        <v>2218</v>
      </c>
    </row>
    <row r="249" spans="1:9" ht="14.25">
      <c r="A249" s="519"/>
      <c r="B249" s="519"/>
      <c r="D249" s="1278"/>
      <c r="E249" s="1278"/>
      <c r="F249" s="1278"/>
    </row>
    <row r="250" spans="1:9" ht="14.25">
      <c r="A250" s="519"/>
      <c r="B250" s="519"/>
      <c r="D250" s="1278"/>
      <c r="E250" s="1278"/>
      <c r="F250" s="1278"/>
    </row>
    <row r="251" spans="1:9" ht="14.25">
      <c r="A251" s="519"/>
      <c r="B251" s="519"/>
      <c r="D251" s="1278"/>
      <c r="E251" s="1278"/>
      <c r="F251" s="1278"/>
    </row>
    <row r="252" spans="1:9" ht="14.25">
      <c r="A252" s="519"/>
      <c r="B252" s="519"/>
      <c r="D252" s="1278"/>
      <c r="E252" s="1278"/>
      <c r="F252" s="1278"/>
    </row>
    <row r="253" spans="1:9" ht="14.25">
      <c r="A253" s="519"/>
      <c r="B253" s="519"/>
      <c r="D253" s="480"/>
      <c r="E253" s="480"/>
      <c r="F253" s="480"/>
    </row>
    <row r="254" spans="1:9" ht="14.25">
      <c r="A254" s="519"/>
      <c r="B254" s="520" t="s">
        <v>2624</v>
      </c>
      <c r="D254" s="424" t="s">
        <v>2449</v>
      </c>
      <c r="E254" s="480"/>
      <c r="F254" s="480"/>
      <c r="I254" s="436" t="s">
        <v>2199</v>
      </c>
    </row>
    <row r="255" spans="1:9" ht="14.25">
      <c r="A255" s="519"/>
      <c r="B255" s="519"/>
      <c r="E255" s="1080" t="s">
        <v>2277</v>
      </c>
    </row>
    <row r="256" spans="1:9">
      <c r="D256" s="481"/>
      <c r="E256" s="481"/>
      <c r="F256" s="481"/>
    </row>
    <row r="257" spans="1:9" ht="14.25">
      <c r="A257" s="519"/>
      <c r="B257" s="520" t="s">
        <v>2624</v>
      </c>
      <c r="D257" s="1278" t="s">
        <v>1237</v>
      </c>
      <c r="E257" s="1278"/>
      <c r="F257" s="1278"/>
    </row>
    <row r="258" spans="1:9" ht="14.25">
      <c r="A258" s="519"/>
      <c r="B258" s="519"/>
      <c r="D258" s="1278"/>
      <c r="E258" s="1278"/>
      <c r="F258" s="1278"/>
    </row>
    <row r="259" spans="1:9">
      <c r="D259" s="526"/>
    </row>
    <row r="260" spans="1:9">
      <c r="A260" s="1284" t="s">
        <v>1111</v>
      </c>
      <c r="B260" s="1284"/>
      <c r="C260" s="1284"/>
      <c r="D260" s="1284"/>
      <c r="E260" s="1284"/>
      <c r="F260" s="1284"/>
      <c r="G260" s="1284"/>
      <c r="H260" s="1071"/>
      <c r="I260" s="1072"/>
    </row>
    <row r="261" spans="1:9">
      <c r="D261" s="526"/>
    </row>
    <row r="262" spans="1:9">
      <c r="C262" s="521"/>
      <c r="D262" s="1276" t="s">
        <v>1240</v>
      </c>
      <c r="E262" s="1276"/>
      <c r="F262" s="1276"/>
    </row>
    <row r="263" spans="1:9">
      <c r="A263" s="517"/>
      <c r="B263" s="517"/>
      <c r="C263" s="517"/>
      <c r="D263" s="481"/>
      <c r="E263" s="481"/>
      <c r="F263" s="481"/>
    </row>
    <row r="264" spans="1:9">
      <c r="A264" s="518"/>
      <c r="B264" s="518"/>
      <c r="C264" s="518"/>
      <c r="D264" s="1276" t="s">
        <v>271</v>
      </c>
      <c r="E264" s="1276"/>
      <c r="F264" s="1276"/>
      <c r="I264" s="436" t="s">
        <v>2201</v>
      </c>
    </row>
    <row r="265" spans="1:9" ht="14.45" customHeight="1">
      <c r="A265" s="519"/>
      <c r="B265" s="520" t="s">
        <v>2624</v>
      </c>
      <c r="D265" s="1278" t="s">
        <v>1338</v>
      </c>
      <c r="E265" s="1278"/>
      <c r="F265" s="1278"/>
    </row>
    <row r="266" spans="1:9">
      <c r="D266" s="1278"/>
      <c r="E266" s="1278"/>
      <c r="F266" s="1278"/>
    </row>
    <row r="267" spans="1:9">
      <c r="E267" s="1080" t="s">
        <v>2278</v>
      </c>
    </row>
    <row r="268" spans="1:9">
      <c r="D268" s="481"/>
      <c r="E268" s="481"/>
      <c r="F268" s="481"/>
    </row>
    <row r="269" spans="1:9" ht="14.45" customHeight="1">
      <c r="A269" s="519"/>
      <c r="B269" s="520" t="s">
        <v>2623</v>
      </c>
      <c r="D269" s="1278" t="s">
        <v>2450</v>
      </c>
      <c r="E269" s="1278"/>
      <c r="F269" s="1278"/>
      <c r="I269" s="436" t="s">
        <v>2219</v>
      </c>
    </row>
    <row r="270" spans="1:9">
      <c r="D270" s="1278"/>
      <c r="E270" s="1278"/>
      <c r="F270" s="1278"/>
    </row>
    <row r="271" spans="1:9">
      <c r="D271" s="1278"/>
      <c r="E271" s="1278"/>
      <c r="F271" s="1278"/>
    </row>
    <row r="272" spans="1:9">
      <c r="D272" s="1278"/>
      <c r="E272" s="1278"/>
      <c r="F272" s="1278"/>
    </row>
    <row r="273" spans="1:9">
      <c r="D273" s="1278"/>
      <c r="E273" s="1278"/>
      <c r="F273" s="1278"/>
    </row>
    <row r="274" spans="1:9">
      <c r="D274" s="1278"/>
      <c r="E274" s="1278"/>
      <c r="F274" s="1278"/>
    </row>
    <row r="275" spans="1:9">
      <c r="D275" s="481"/>
      <c r="E275" s="481"/>
      <c r="F275" s="481"/>
    </row>
    <row r="276" spans="1:9" ht="14.25">
      <c r="A276" s="519"/>
      <c r="B276" s="520" t="s">
        <v>2623</v>
      </c>
      <c r="D276" s="1278" t="s">
        <v>1243</v>
      </c>
      <c r="E276" s="1278"/>
      <c r="F276" s="1278"/>
    </row>
    <row r="277" spans="1:9">
      <c r="D277" s="1278"/>
      <c r="E277" s="1278"/>
      <c r="F277" s="1278"/>
    </row>
    <row r="278" spans="1:9">
      <c r="D278" s="1278"/>
      <c r="E278" s="1278"/>
      <c r="F278" s="1278"/>
    </row>
    <row r="279" spans="1:9">
      <c r="D279" s="527"/>
      <c r="E279" s="481"/>
      <c r="F279" s="481"/>
    </row>
    <row r="280" spans="1:9">
      <c r="A280" s="1284" t="s">
        <v>1112</v>
      </c>
      <c r="B280" s="1284"/>
      <c r="C280" s="1284"/>
      <c r="D280" s="1284"/>
      <c r="E280" s="1284"/>
      <c r="F280" s="1284"/>
      <c r="G280" s="1284"/>
      <c r="H280" s="1071"/>
      <c r="I280" s="1072"/>
    </row>
    <row r="281" spans="1:9">
      <c r="D281" s="527"/>
      <c r="E281" s="481"/>
      <c r="F281" s="481"/>
    </row>
    <row r="282" spans="1:9">
      <c r="C282" s="517"/>
      <c r="D282" s="1306" t="s">
        <v>1245</v>
      </c>
      <c r="E282" s="1306"/>
      <c r="F282" s="1306"/>
    </row>
    <row r="283" spans="1:9">
      <c r="C283" s="517"/>
      <c r="D283" s="1306"/>
      <c r="E283" s="1306"/>
      <c r="F283" s="1306"/>
    </row>
    <row r="284" spans="1:9">
      <c r="A284" s="518"/>
      <c r="B284" s="518"/>
      <c r="C284" s="518"/>
      <c r="D284" s="436"/>
    </row>
    <row r="285" spans="1:9">
      <c r="C285" s="518"/>
      <c r="D285" s="1276" t="s">
        <v>211</v>
      </c>
      <c r="E285" s="1276"/>
      <c r="F285" s="1276"/>
    </row>
    <row r="286" spans="1:9" ht="15.75" customHeight="1">
      <c r="A286" s="519"/>
      <c r="B286" s="519"/>
      <c r="D286" s="1331" t="s">
        <v>1246</v>
      </c>
      <c r="E286" s="1331"/>
      <c r="F286" s="1331"/>
    </row>
    <row r="287" spans="1:9">
      <c r="E287" s="481"/>
      <c r="F287" s="481"/>
    </row>
    <row r="288" spans="1:9" ht="14.25">
      <c r="A288" s="519"/>
      <c r="B288" s="520" t="s">
        <v>2623</v>
      </c>
      <c r="D288" s="1278" t="s">
        <v>1247</v>
      </c>
      <c r="E288" s="1278"/>
      <c r="F288" s="1278"/>
      <c r="I288" s="436" t="s">
        <v>2163</v>
      </c>
    </row>
    <row r="289" spans="1:9" ht="14.25">
      <c r="A289" s="519"/>
      <c r="B289" s="519"/>
      <c r="D289" s="1278"/>
      <c r="E289" s="1278"/>
      <c r="F289" s="1278"/>
    </row>
    <row r="290" spans="1:9">
      <c r="D290" s="481"/>
      <c r="E290" s="481"/>
      <c r="F290" s="481"/>
    </row>
    <row r="291" spans="1:9" ht="14.25">
      <c r="A291" s="519"/>
      <c r="B291" s="520" t="s">
        <v>2623</v>
      </c>
      <c r="D291" s="1278" t="s">
        <v>1248</v>
      </c>
      <c r="E291" s="1278"/>
      <c r="F291" s="1278"/>
      <c r="I291" s="436" t="s">
        <v>2163</v>
      </c>
    </row>
    <row r="292" spans="1:9" ht="14.25">
      <c r="A292" s="519"/>
      <c r="B292" s="519"/>
      <c r="D292" s="1278"/>
      <c r="E292" s="1278"/>
      <c r="F292" s="1278"/>
    </row>
    <row r="293" spans="1:9" ht="14.25">
      <c r="A293" s="519"/>
      <c r="B293" s="519"/>
      <c r="D293" s="1278"/>
      <c r="E293" s="1278"/>
      <c r="F293" s="1278"/>
    </row>
    <row r="294" spans="1:9">
      <c r="D294" s="481"/>
      <c r="E294" s="481"/>
      <c r="F294" s="481"/>
    </row>
    <row r="295" spans="1:9" ht="14.25">
      <c r="A295" s="519"/>
      <c r="B295" s="520" t="s">
        <v>2623</v>
      </c>
      <c r="D295" s="1278" t="s">
        <v>1249</v>
      </c>
      <c r="E295" s="1278"/>
      <c r="F295" s="1278"/>
      <c r="I295" s="436" t="s">
        <v>2163</v>
      </c>
    </row>
    <row r="296" spans="1:9" ht="14.25">
      <c r="A296" s="519"/>
      <c r="B296" s="519"/>
      <c r="D296" s="1278"/>
      <c r="E296" s="1278"/>
      <c r="F296" s="1278"/>
    </row>
    <row r="297" spans="1:9">
      <c r="A297" s="525"/>
      <c r="B297" s="525"/>
      <c r="E297" s="481"/>
      <c r="F297" s="481"/>
    </row>
    <row r="298" spans="1:9">
      <c r="A298" s="1284" t="s">
        <v>1113</v>
      </c>
      <c r="B298" s="1284"/>
      <c r="C298" s="1284"/>
      <c r="D298" s="1284"/>
      <c r="E298" s="1284"/>
      <c r="F298" s="1284"/>
      <c r="G298" s="1284"/>
      <c r="H298" s="1071"/>
      <c r="I298" s="1072"/>
    </row>
    <row r="299" spans="1:9">
      <c r="A299" s="525"/>
      <c r="B299" s="525"/>
      <c r="D299" s="481"/>
      <c r="E299" s="481"/>
      <c r="F299" s="481"/>
    </row>
    <row r="300" spans="1:9">
      <c r="C300" s="525"/>
      <c r="D300" s="1276" t="s">
        <v>691</v>
      </c>
      <c r="E300" s="1276"/>
      <c r="F300" s="1276"/>
    </row>
    <row r="301" spans="1:9">
      <c r="C301" s="525"/>
      <c r="D301" s="1307" t="s">
        <v>1250</v>
      </c>
      <c r="E301" s="1307"/>
      <c r="F301" s="1307"/>
    </row>
    <row r="302" spans="1:9">
      <c r="C302" s="525"/>
      <c r="D302" s="528"/>
    </row>
    <row r="303" spans="1:9">
      <c r="B303" s="520" t="s">
        <v>2623</v>
      </c>
      <c r="D303" s="1307" t="s">
        <v>1251</v>
      </c>
      <c r="E303" s="1307"/>
      <c r="F303" s="1307"/>
      <c r="I303" s="436" t="s">
        <v>2164</v>
      </c>
    </row>
    <row r="304" spans="1:9" ht="14.25">
      <c r="A304" s="519"/>
      <c r="B304" s="519"/>
      <c r="D304" s="529"/>
      <c r="E304" s="530"/>
      <c r="F304" s="530"/>
    </row>
    <row r="305" spans="1:9" ht="13.7" customHeight="1">
      <c r="B305" s="520" t="s">
        <v>2623</v>
      </c>
      <c r="D305" s="1328" t="s">
        <v>1362</v>
      </c>
      <c r="E305" s="1328"/>
      <c r="F305" s="1328"/>
      <c r="I305" s="436" t="s">
        <v>2164</v>
      </c>
    </row>
    <row r="306" spans="1:9" ht="14.25">
      <c r="A306" s="519"/>
      <c r="B306" s="519"/>
      <c r="D306" s="1328"/>
      <c r="E306" s="1328"/>
      <c r="F306" s="1328"/>
    </row>
    <row r="307" spans="1:9" ht="14.25">
      <c r="A307" s="519"/>
      <c r="B307" s="519"/>
      <c r="D307" s="1328"/>
      <c r="E307" s="1328"/>
      <c r="F307" s="1328"/>
    </row>
    <row r="308" spans="1:9" ht="14.25">
      <c r="A308" s="519"/>
      <c r="B308" s="519"/>
      <c r="D308" s="1328"/>
      <c r="E308" s="1328"/>
      <c r="F308" s="1328"/>
    </row>
    <row r="309" spans="1:9" ht="14.25">
      <c r="A309" s="519"/>
      <c r="B309" s="519"/>
      <c r="D309" s="1328"/>
      <c r="E309" s="1328"/>
      <c r="F309" s="1328"/>
    </row>
    <row r="310" spans="1:9" ht="14.25">
      <c r="A310" s="519"/>
      <c r="B310" s="519"/>
      <c r="D310" s="529"/>
      <c r="E310" s="530"/>
      <c r="F310" s="530"/>
    </row>
    <row r="311" spans="1:9" ht="13.7" customHeight="1">
      <c r="B311" s="520" t="s">
        <v>2623</v>
      </c>
      <c r="D311" s="1328" t="s">
        <v>1253</v>
      </c>
      <c r="E311" s="1328"/>
      <c r="F311" s="1328"/>
      <c r="I311" s="436" t="s">
        <v>2164</v>
      </c>
    </row>
    <row r="312" spans="1:9">
      <c r="D312" s="1328"/>
      <c r="E312" s="1328"/>
      <c r="F312" s="1328"/>
    </row>
    <row r="313" spans="1:9" ht="14.25">
      <c r="A313" s="519"/>
      <c r="B313" s="519"/>
      <c r="D313" s="529"/>
      <c r="E313" s="530"/>
      <c r="F313" s="530"/>
    </row>
    <row r="314" spans="1:9">
      <c r="B314" s="520" t="s">
        <v>2623</v>
      </c>
      <c r="D314" s="1307" t="s">
        <v>1254</v>
      </c>
      <c r="E314" s="1307"/>
      <c r="F314" s="1307"/>
      <c r="I314" s="436" t="s">
        <v>2150</v>
      </c>
    </row>
    <row r="315" spans="1:9">
      <c r="E315" s="481"/>
      <c r="F315" s="481"/>
    </row>
    <row r="316" spans="1:9" ht="14.25">
      <c r="A316" s="519"/>
      <c r="B316" s="520" t="s">
        <v>2623</v>
      </c>
      <c r="D316" s="1278" t="s">
        <v>2469</v>
      </c>
      <c r="E316" s="1278"/>
      <c r="F316" s="1278"/>
      <c r="I316" s="436" t="s">
        <v>2165</v>
      </c>
    </row>
    <row r="317" spans="1:9" ht="14.25">
      <c r="A317" s="519"/>
      <c r="B317" s="519"/>
      <c r="D317" s="1278"/>
      <c r="E317" s="1278"/>
      <c r="F317" s="1278"/>
    </row>
    <row r="318" spans="1:9" ht="14.25">
      <c r="A318" s="519"/>
      <c r="B318" s="519"/>
      <c r="D318" s="1278"/>
      <c r="E318" s="1278"/>
      <c r="F318" s="1278"/>
    </row>
    <row r="319" spans="1:9" ht="14.25">
      <c r="A319" s="519"/>
      <c r="B319" s="519"/>
      <c r="D319" s="1278"/>
      <c r="E319" s="1278"/>
      <c r="F319" s="1278"/>
    </row>
    <row r="320" spans="1:9" ht="14.25">
      <c r="A320" s="519"/>
      <c r="B320" s="519"/>
      <c r="D320" s="1278"/>
      <c r="E320" s="1278"/>
      <c r="F320" s="1278"/>
    </row>
    <row r="321" spans="1:9" ht="14.25">
      <c r="A321" s="519"/>
      <c r="B321" s="519"/>
      <c r="D321" s="1278"/>
      <c r="E321" s="1278"/>
      <c r="F321" s="1278"/>
    </row>
    <row r="322" spans="1:9" ht="14.25">
      <c r="A322" s="519"/>
      <c r="B322" s="519"/>
      <c r="D322" s="1278"/>
      <c r="E322" s="1278"/>
      <c r="F322" s="1278"/>
    </row>
    <row r="323" spans="1:9" ht="14.25">
      <c r="A323" s="519"/>
      <c r="B323" s="519"/>
      <c r="D323" s="1278"/>
      <c r="E323" s="1278"/>
      <c r="F323" s="1278"/>
    </row>
    <row r="324" spans="1:9" ht="14.25">
      <c r="A324" s="519"/>
      <c r="B324" s="519"/>
      <c r="D324" s="1278"/>
      <c r="E324" s="1278"/>
      <c r="F324" s="1278"/>
    </row>
    <row r="325" spans="1:9" ht="14.25">
      <c r="A325" s="519"/>
      <c r="B325" s="519"/>
      <c r="D325" s="1278"/>
      <c r="E325" s="1278"/>
      <c r="F325" s="1278"/>
    </row>
    <row r="326" spans="1:9" ht="14.25">
      <c r="A326" s="519"/>
      <c r="B326" s="519"/>
      <c r="D326" s="1278"/>
      <c r="E326" s="1278"/>
      <c r="F326" s="1278"/>
    </row>
    <row r="327" spans="1:9" ht="14.25">
      <c r="A327" s="519"/>
      <c r="B327" s="519"/>
      <c r="D327" s="1278"/>
      <c r="E327" s="1278"/>
      <c r="F327" s="1278"/>
    </row>
    <row r="328" spans="1:9" ht="14.25">
      <c r="A328" s="519"/>
      <c r="B328" s="519"/>
      <c r="D328" s="1278"/>
      <c r="E328" s="1278"/>
      <c r="F328" s="1278"/>
    </row>
    <row r="329" spans="1:9" ht="14.25">
      <c r="A329" s="519"/>
      <c r="B329" s="519"/>
      <c r="D329" s="1278"/>
      <c r="E329" s="1278"/>
      <c r="F329" s="1278"/>
    </row>
    <row r="330" spans="1:9" ht="14.25">
      <c r="A330" s="519"/>
      <c r="B330" s="519"/>
      <c r="D330" s="1278"/>
      <c r="E330" s="1278"/>
      <c r="F330" s="1278"/>
    </row>
    <row r="331" spans="1:9">
      <c r="D331" s="481"/>
      <c r="E331" s="481"/>
      <c r="F331" s="481"/>
    </row>
    <row r="332" spans="1:9" ht="14.25">
      <c r="A332" s="519"/>
      <c r="B332" s="520" t="s">
        <v>2623</v>
      </c>
      <c r="D332" s="1278" t="s">
        <v>1256</v>
      </c>
      <c r="E332" s="1278"/>
      <c r="F332" s="1278"/>
      <c r="I332" s="436" t="s">
        <v>2165</v>
      </c>
    </row>
    <row r="333" spans="1:9">
      <c r="D333" s="1278"/>
      <c r="E333" s="1278"/>
      <c r="F333" s="1278"/>
    </row>
    <row r="334" spans="1:9">
      <c r="D334" s="1278"/>
      <c r="E334" s="1278"/>
      <c r="F334" s="1278"/>
    </row>
    <row r="335" spans="1:9">
      <c r="D335" s="1278"/>
      <c r="E335" s="1278"/>
      <c r="F335" s="1278"/>
    </row>
    <row r="336" spans="1:9">
      <c r="D336" s="1278"/>
      <c r="E336" s="1278"/>
      <c r="F336" s="1278"/>
    </row>
    <row r="337" spans="1:9">
      <c r="D337" s="1278"/>
      <c r="E337" s="1278"/>
      <c r="F337" s="1278"/>
    </row>
    <row r="338" spans="1:9">
      <c r="D338" s="1278"/>
      <c r="E338" s="1278"/>
      <c r="F338" s="1278"/>
    </row>
    <row r="339" spans="1:9">
      <c r="D339" s="1278"/>
      <c r="E339" s="1278"/>
      <c r="F339" s="1278"/>
    </row>
    <row r="340" spans="1:9">
      <c r="D340" s="1278"/>
      <c r="E340" s="1278"/>
      <c r="F340" s="1278"/>
    </row>
    <row r="341" spans="1:9">
      <c r="D341" s="481"/>
      <c r="E341" s="481"/>
      <c r="F341" s="481"/>
    </row>
    <row r="342" spans="1:9" ht="14.25" customHeight="1">
      <c r="A342" s="519"/>
      <c r="B342" s="520" t="s">
        <v>2623</v>
      </c>
      <c r="D342" s="1278" t="s">
        <v>2283</v>
      </c>
      <c r="E342" s="1278"/>
      <c r="F342" s="1278"/>
      <c r="I342" s="436" t="s">
        <v>2202</v>
      </c>
    </row>
    <row r="343" spans="1:9">
      <c r="D343" s="1278"/>
      <c r="E343" s="1278"/>
      <c r="F343" s="1278"/>
    </row>
    <row r="344" spans="1:9">
      <c r="D344" s="1278"/>
      <c r="E344" s="1278"/>
      <c r="F344" s="1278"/>
    </row>
    <row r="345" spans="1:9">
      <c r="D345" s="1278"/>
      <c r="E345" s="1278"/>
      <c r="F345" s="1278"/>
    </row>
    <row r="346" spans="1:9">
      <c r="D346" s="418" t="s">
        <v>2282</v>
      </c>
      <c r="E346" s="417"/>
      <c r="F346" s="417"/>
    </row>
    <row r="347" spans="1:9">
      <c r="D347" s="417"/>
      <c r="E347" s="96" t="s">
        <v>2279</v>
      </c>
      <c r="G347" s="96"/>
    </row>
    <row r="348" spans="1:9">
      <c r="D348" s="480"/>
      <c r="E348" s="480"/>
      <c r="F348" s="480"/>
    </row>
    <row r="349" spans="1:9" ht="13.5" thickBot="1">
      <c r="A349" s="1059"/>
      <c r="B349" s="1059"/>
      <c r="C349" s="1059"/>
      <c r="D349" s="1339" t="s">
        <v>1018</v>
      </c>
      <c r="E349" s="1339"/>
      <c r="F349" s="1339"/>
      <c r="G349" s="1069"/>
      <c r="H349" s="1069"/>
      <c r="I349" s="1070"/>
    </row>
    <row r="350" spans="1:9" ht="13.5" thickTop="1">
      <c r="D350" s="1329" t="s">
        <v>1258</v>
      </c>
      <c r="E350" s="1329"/>
      <c r="F350" s="1329"/>
    </row>
    <row r="351" spans="1:9">
      <c r="D351" s="481"/>
      <c r="E351" s="481"/>
      <c r="F351" s="481"/>
    </row>
    <row r="352" spans="1:9">
      <c r="A352" s="511"/>
      <c r="B352" s="511"/>
      <c r="C352" s="511"/>
      <c r="D352" s="482"/>
      <c r="E352" s="482"/>
      <c r="F352" s="481"/>
      <c r="I352" s="436" t="s">
        <v>2166</v>
      </c>
    </row>
    <row r="353" spans="1:9" ht="14.25">
      <c r="A353" s="519"/>
      <c r="B353" s="520" t="s">
        <v>2623</v>
      </c>
      <c r="C353" s="522"/>
      <c r="D353" s="1307" t="s">
        <v>2281</v>
      </c>
      <c r="E353" s="1307"/>
      <c r="F353" s="1307"/>
      <c r="I353" s="1325" t="s">
        <v>2216</v>
      </c>
    </row>
    <row r="354" spans="1:9" ht="12.75" customHeight="1">
      <c r="D354" s="1081"/>
      <c r="E354" s="96" t="s">
        <v>2280</v>
      </c>
      <c r="F354" s="1081"/>
      <c r="I354" s="1326"/>
    </row>
    <row r="355" spans="1:9">
      <c r="D355" s="1278" t="s">
        <v>1385</v>
      </c>
      <c r="E355" s="1278"/>
      <c r="F355" s="1278"/>
      <c r="I355" s="1326"/>
    </row>
    <row r="356" spans="1:9">
      <c r="D356" s="1278"/>
      <c r="E356" s="1278"/>
      <c r="F356" s="1278"/>
      <c r="I356" s="1326"/>
    </row>
    <row r="357" spans="1:9">
      <c r="D357" s="1278"/>
      <c r="E357" s="1278"/>
      <c r="F357" s="1278"/>
      <c r="I357" s="1327"/>
    </row>
    <row r="358" spans="1:9" ht="14.25">
      <c r="A358" s="519"/>
      <c r="B358" s="520" t="s">
        <v>2623</v>
      </c>
      <c r="C358" s="511"/>
      <c r="D358" s="1311" t="s">
        <v>2451</v>
      </c>
      <c r="E358" s="1311"/>
      <c r="F358" s="1311"/>
      <c r="I358" s="434"/>
    </row>
    <row r="359" spans="1:9">
      <c r="A359" s="511"/>
      <c r="B359" s="511"/>
      <c r="C359" s="511"/>
      <c r="D359" s="482"/>
      <c r="E359" s="482"/>
      <c r="F359" s="481"/>
    </row>
    <row r="360" spans="1:9">
      <c r="A360" s="511"/>
      <c r="B360" s="520" t="s">
        <v>2623</v>
      </c>
      <c r="C360" s="511"/>
      <c r="D360" s="1266" t="s">
        <v>2452</v>
      </c>
      <c r="E360" s="1266"/>
      <c r="F360" s="1266"/>
    </row>
    <row r="361" spans="1:9">
      <c r="A361" s="511"/>
      <c r="B361" s="511"/>
      <c r="C361" s="511"/>
      <c r="D361" s="1266"/>
      <c r="E361" s="1266"/>
      <c r="F361" s="1266"/>
    </row>
    <row r="362" spans="1:9">
      <c r="A362" s="511"/>
      <c r="B362" s="511"/>
      <c r="C362" s="511"/>
      <c r="D362" s="1266"/>
      <c r="E362" s="1266"/>
      <c r="F362" s="1266"/>
    </row>
    <row r="363" spans="1:9">
      <c r="A363" s="511"/>
      <c r="B363" s="511"/>
      <c r="C363" s="511"/>
      <c r="D363" s="1266"/>
      <c r="E363" s="1266"/>
      <c r="F363" s="1266"/>
    </row>
    <row r="364" spans="1:9">
      <c r="A364" s="511"/>
      <c r="B364" s="511"/>
      <c r="C364" s="511"/>
      <c r="D364" s="1266"/>
      <c r="E364" s="1266"/>
      <c r="F364" s="1266"/>
    </row>
    <row r="365" spans="1:9">
      <c r="A365" s="511"/>
      <c r="B365" s="511"/>
      <c r="C365" s="511"/>
      <c r="D365" s="1266"/>
      <c r="E365" s="1266"/>
      <c r="F365" s="1266"/>
    </row>
    <row r="366" spans="1:9">
      <c r="A366" s="511"/>
      <c r="B366" s="511"/>
      <c r="C366" s="511"/>
      <c r="D366" s="1266"/>
      <c r="E366" s="1266"/>
      <c r="F366" s="1266"/>
    </row>
    <row r="367" spans="1:9">
      <c r="A367" s="511"/>
      <c r="B367" s="511"/>
      <c r="C367" s="511"/>
      <c r="D367" s="1266"/>
      <c r="E367" s="1266"/>
      <c r="F367" s="1266"/>
    </row>
    <row r="368" spans="1:9">
      <c r="A368" s="511"/>
      <c r="B368" s="511"/>
      <c r="C368" s="511"/>
      <c r="D368" s="1266"/>
      <c r="E368" s="1266"/>
      <c r="F368" s="1266"/>
    </row>
    <row r="369" spans="1:6">
      <c r="A369" s="511"/>
      <c r="B369" s="511"/>
      <c r="C369" s="511"/>
      <c r="D369" s="1266"/>
      <c r="E369" s="1266"/>
      <c r="F369" s="1266"/>
    </row>
    <row r="370" spans="1:6">
      <c r="A370" s="511"/>
      <c r="B370" s="511"/>
      <c r="C370" s="511"/>
      <c r="D370" s="1266"/>
      <c r="E370" s="1266"/>
      <c r="F370" s="1266"/>
    </row>
    <row r="371" spans="1:6">
      <c r="A371" s="511"/>
      <c r="B371" s="511"/>
      <c r="C371" s="511"/>
      <c r="D371" s="1266"/>
      <c r="E371" s="1266"/>
      <c r="F371" s="1266"/>
    </row>
    <row r="372" spans="1:6">
      <c r="A372" s="511"/>
      <c r="B372" s="511"/>
      <c r="C372" s="511"/>
      <c r="D372" s="486"/>
      <c r="E372" s="486"/>
      <c r="F372" s="486"/>
    </row>
    <row r="373" spans="1:6" ht="12.6" customHeight="1">
      <c r="A373" s="511"/>
      <c r="B373" s="520" t="s">
        <v>2623</v>
      </c>
      <c r="C373" s="511"/>
      <c r="D373" s="1322" t="s">
        <v>1365</v>
      </c>
      <c r="E373" s="1322"/>
      <c r="F373" s="1322"/>
    </row>
    <row r="374" spans="1:6">
      <c r="A374" s="511"/>
      <c r="B374" s="511"/>
      <c r="C374" s="511"/>
      <c r="D374" s="1322"/>
      <c r="E374" s="1322"/>
      <c r="F374" s="1322"/>
    </row>
    <row r="375" spans="1:6">
      <c r="A375" s="511"/>
      <c r="B375" s="511"/>
      <c r="C375" s="511"/>
      <c r="D375" s="1322"/>
      <c r="E375" s="1322"/>
      <c r="F375" s="1322"/>
    </row>
    <row r="376" spans="1:6">
      <c r="A376" s="511"/>
      <c r="B376" s="511"/>
      <c r="C376" s="511"/>
      <c r="D376" s="1322"/>
      <c r="E376" s="1322"/>
      <c r="F376" s="1322"/>
    </row>
    <row r="377" spans="1:6">
      <c r="A377" s="511"/>
      <c r="B377" s="511"/>
      <c r="C377" s="511"/>
      <c r="D377" s="559"/>
      <c r="E377" s="559"/>
      <c r="F377" s="559"/>
    </row>
    <row r="378" spans="1:6">
      <c r="A378" s="511"/>
      <c r="B378" s="520" t="s">
        <v>2623</v>
      </c>
      <c r="C378" s="511"/>
      <c r="D378" s="434" t="s">
        <v>2095</v>
      </c>
      <c r="E378" s="559"/>
      <c r="F378" s="559"/>
    </row>
    <row r="379" spans="1:6">
      <c r="A379" s="511"/>
      <c r="B379" s="511"/>
      <c r="C379" s="511"/>
      <c r="D379" s="434" t="s">
        <v>2096</v>
      </c>
      <c r="E379" s="559"/>
      <c r="F379" s="559"/>
    </row>
    <row r="380" spans="1:6">
      <c r="A380" s="511"/>
      <c r="B380" s="511"/>
      <c r="C380" s="511"/>
      <c r="D380" s="434" t="s">
        <v>2097</v>
      </c>
      <c r="E380" s="559"/>
      <c r="F380" s="559"/>
    </row>
    <row r="381" spans="1:6">
      <c r="A381" s="511"/>
      <c r="B381" s="511"/>
      <c r="C381" s="511"/>
      <c r="D381" s="434" t="s">
        <v>2098</v>
      </c>
      <c r="E381" s="559"/>
      <c r="F381" s="559"/>
    </row>
    <row r="382" spans="1:6">
      <c r="A382" s="511"/>
      <c r="B382" s="511"/>
      <c r="C382" s="511"/>
      <c r="D382" s="434" t="s">
        <v>2099</v>
      </c>
      <c r="E382" s="559"/>
      <c r="F382" s="559"/>
    </row>
    <row r="383" spans="1:6">
      <c r="A383" s="511"/>
      <c r="B383" s="511"/>
      <c r="C383" s="511"/>
      <c r="D383" s="434" t="s">
        <v>2100</v>
      </c>
      <c r="E383" s="559"/>
      <c r="F383" s="559"/>
    </row>
    <row r="384" spans="1:6">
      <c r="A384" s="511"/>
      <c r="B384" s="511"/>
      <c r="C384" s="511"/>
      <c r="E384" s="482"/>
      <c r="F384" s="481"/>
    </row>
    <row r="385" spans="1:6" ht="14.25">
      <c r="A385" s="519"/>
      <c r="B385" s="520" t="s">
        <v>2623</v>
      </c>
      <c r="C385" s="511"/>
      <c r="D385" s="1266" t="s">
        <v>1261</v>
      </c>
      <c r="E385" s="1266"/>
      <c r="F385" s="1266"/>
    </row>
    <row r="386" spans="1:6">
      <c r="A386" s="511"/>
      <c r="B386" s="511"/>
      <c r="C386" s="511"/>
      <c r="D386" s="1266"/>
      <c r="E386" s="1266"/>
      <c r="F386" s="1266"/>
    </row>
    <row r="387" spans="1:6">
      <c r="A387" s="511"/>
      <c r="B387" s="511"/>
      <c r="C387" s="511"/>
      <c r="D387" s="1266"/>
      <c r="E387" s="1266"/>
      <c r="F387" s="1266"/>
    </row>
    <row r="388" spans="1:6">
      <c r="A388" s="511"/>
      <c r="B388" s="511"/>
      <c r="C388" s="511"/>
      <c r="D388" s="1266"/>
      <c r="E388" s="1266"/>
      <c r="F388" s="1266"/>
    </row>
    <row r="389" spans="1:6">
      <c r="A389" s="511"/>
      <c r="B389" s="511"/>
      <c r="C389" s="511"/>
      <c r="D389" s="482"/>
      <c r="E389" s="482"/>
      <c r="F389" s="481"/>
    </row>
    <row r="390" spans="1:6">
      <c r="A390" s="511"/>
      <c r="B390" s="511"/>
      <c r="C390" s="511"/>
      <c r="D390" s="1266" t="s">
        <v>1262</v>
      </c>
      <c r="E390" s="1266"/>
      <c r="F390" s="1266"/>
    </row>
    <row r="391" spans="1:6">
      <c r="A391" s="511"/>
      <c r="B391" s="511"/>
      <c r="C391" s="511"/>
      <c r="D391" s="1266"/>
      <c r="E391" s="1266"/>
      <c r="F391" s="1266"/>
    </row>
    <row r="392" spans="1:6">
      <c r="A392" s="511"/>
      <c r="B392" s="511"/>
      <c r="C392" s="511"/>
      <c r="D392" s="1266"/>
      <c r="E392" s="1266"/>
      <c r="F392" s="1266"/>
    </row>
    <row r="393" spans="1:6">
      <c r="A393" s="511"/>
      <c r="B393" s="511"/>
      <c r="C393" s="511"/>
      <c r="D393" s="1266"/>
      <c r="E393" s="1266"/>
      <c r="F393" s="1266"/>
    </row>
    <row r="394" spans="1:6" ht="18" customHeight="1">
      <c r="A394" s="511"/>
      <c r="B394" s="511"/>
      <c r="C394" s="511"/>
      <c r="D394" s="1266"/>
      <c r="E394" s="1266"/>
      <c r="F394" s="1266"/>
    </row>
    <row r="395" spans="1:6">
      <c r="A395" s="511"/>
      <c r="B395" s="511"/>
      <c r="C395" s="511"/>
      <c r="D395" s="1266"/>
      <c r="E395" s="1266"/>
      <c r="F395" s="1266"/>
    </row>
    <row r="396" spans="1:6">
      <c r="A396" s="511"/>
      <c r="B396" s="511"/>
      <c r="C396" s="511"/>
      <c r="D396" s="1266"/>
      <c r="E396" s="1266"/>
      <c r="F396" s="1266"/>
    </row>
    <row r="397" spans="1:6">
      <c r="A397" s="511"/>
      <c r="B397" s="511"/>
      <c r="C397" s="511"/>
      <c r="D397" s="1266"/>
      <c r="E397" s="1266"/>
      <c r="F397" s="1266"/>
    </row>
    <row r="398" spans="1:6" ht="8.25" customHeight="1">
      <c r="A398" s="511"/>
      <c r="B398" s="511"/>
      <c r="C398" s="511"/>
      <c r="D398" s="1266"/>
      <c r="E398" s="1266"/>
      <c r="F398" s="1266"/>
    </row>
    <row r="399" spans="1:6" ht="13.7" customHeight="1">
      <c r="A399" s="511"/>
      <c r="B399" s="511"/>
      <c r="C399" s="511"/>
      <c r="D399" s="1266" t="s">
        <v>1263</v>
      </c>
      <c r="E399" s="1266"/>
      <c r="F399" s="1266"/>
    </row>
    <row r="400" spans="1:6">
      <c r="A400" s="511"/>
      <c r="B400" s="511"/>
      <c r="C400" s="511"/>
      <c r="D400" s="1266"/>
      <c r="E400" s="1266"/>
      <c r="F400" s="1266"/>
    </row>
    <row r="401" spans="1:6">
      <c r="A401" s="511"/>
      <c r="B401" s="511"/>
      <c r="C401" s="511"/>
      <c r="D401" s="1266"/>
      <c r="E401" s="1266"/>
      <c r="F401" s="1266"/>
    </row>
    <row r="402" spans="1:6">
      <c r="A402" s="511"/>
      <c r="B402" s="511"/>
      <c r="C402" s="511"/>
      <c r="D402" s="1266"/>
      <c r="E402" s="1266"/>
      <c r="F402" s="1266"/>
    </row>
    <row r="403" spans="1:6">
      <c r="A403" s="511"/>
      <c r="B403" s="511"/>
      <c r="C403" s="511"/>
      <c r="D403" s="1266"/>
      <c r="E403" s="1266"/>
      <c r="F403" s="1266"/>
    </row>
    <row r="404" spans="1:6">
      <c r="A404" s="511"/>
      <c r="B404" s="511"/>
      <c r="C404" s="511"/>
      <c r="D404" s="1266"/>
      <c r="E404" s="1266"/>
      <c r="F404" s="1266"/>
    </row>
    <row r="405" spans="1:6">
      <c r="A405" s="511"/>
      <c r="B405" s="511"/>
      <c r="C405" s="511"/>
      <c r="D405" s="1266"/>
      <c r="E405" s="1266"/>
      <c r="F405" s="1266"/>
    </row>
    <row r="406" spans="1:6">
      <c r="A406" s="511"/>
      <c r="B406" s="511"/>
      <c r="C406" s="511"/>
      <c r="D406" s="1266"/>
      <c r="E406" s="1266"/>
      <c r="F406" s="1266"/>
    </row>
    <row r="407" spans="1:6">
      <c r="A407" s="511"/>
      <c r="B407" s="511"/>
      <c r="C407" s="511"/>
      <c r="D407" s="1266"/>
      <c r="E407" s="1266"/>
      <c r="F407" s="1266"/>
    </row>
    <row r="408" spans="1:6">
      <c r="A408" s="511"/>
      <c r="B408" s="511"/>
      <c r="C408" s="511"/>
      <c r="D408" s="1266"/>
      <c r="E408" s="1266"/>
      <c r="F408" s="1266"/>
    </row>
    <row r="409" spans="1:6">
      <c r="A409" s="511"/>
      <c r="B409" s="511"/>
      <c r="C409" s="511"/>
      <c r="D409" s="1266"/>
      <c r="E409" s="1266"/>
      <c r="F409" s="1266"/>
    </row>
    <row r="410" spans="1:6">
      <c r="A410" s="511"/>
      <c r="B410" s="511"/>
      <c r="C410" s="511"/>
      <c r="D410" s="1266"/>
      <c r="E410" s="1266"/>
      <c r="F410" s="1266"/>
    </row>
    <row r="411" spans="1:6">
      <c r="A411" s="511"/>
      <c r="B411" s="511"/>
      <c r="C411" s="531"/>
      <c r="D411" s="1266"/>
      <c r="E411" s="1266"/>
      <c r="F411" s="1266"/>
    </row>
    <row r="412" spans="1:6">
      <c r="A412" s="511"/>
      <c r="B412" s="511"/>
      <c r="C412" s="531"/>
      <c r="D412" s="1266"/>
      <c r="E412" s="1266"/>
      <c r="F412" s="1266"/>
    </row>
    <row r="413" spans="1:6">
      <c r="A413" s="511"/>
      <c r="B413" s="511"/>
      <c r="C413" s="511"/>
      <c r="D413" s="1266"/>
      <c r="E413" s="1266"/>
      <c r="F413" s="1266"/>
    </row>
    <row r="414" spans="1:6">
      <c r="A414" s="511"/>
      <c r="B414" s="511"/>
      <c r="C414" s="531"/>
      <c r="D414" s="1266"/>
      <c r="E414" s="1266"/>
      <c r="F414" s="1266"/>
    </row>
    <row r="415" spans="1:6">
      <c r="A415" s="511"/>
      <c r="B415" s="511"/>
      <c r="C415" s="531"/>
      <c r="D415" s="1266"/>
      <c r="E415" s="1266"/>
      <c r="F415" s="1266"/>
    </row>
    <row r="416" spans="1:6">
      <c r="A416" s="511"/>
      <c r="B416" s="511"/>
      <c r="C416" s="531"/>
      <c r="D416" s="1266"/>
      <c r="E416" s="1266"/>
      <c r="F416" s="1266"/>
    </row>
    <row r="417" spans="1:6">
      <c r="A417" s="511"/>
      <c r="B417" s="511"/>
      <c r="C417" s="511"/>
      <c r="D417" s="482"/>
      <c r="E417" s="482"/>
      <c r="F417" s="481"/>
    </row>
    <row r="418" spans="1:6">
      <c r="A418" s="511"/>
      <c r="B418" s="520" t="s">
        <v>2623</v>
      </c>
      <c r="C418" s="511"/>
      <c r="D418" s="1266" t="s">
        <v>1264</v>
      </c>
      <c r="E418" s="1266"/>
      <c r="F418" s="1266"/>
    </row>
    <row r="419" spans="1:6">
      <c r="A419" s="511"/>
      <c r="B419" s="511"/>
      <c r="C419" s="511"/>
      <c r="D419" s="1266"/>
      <c r="E419" s="1266"/>
      <c r="F419" s="1266"/>
    </row>
    <row r="420" spans="1:6">
      <c r="A420" s="511"/>
      <c r="B420" s="511"/>
      <c r="C420" s="511"/>
      <c r="D420" s="486"/>
      <c r="E420" s="486"/>
      <c r="F420" s="486"/>
    </row>
    <row r="421" spans="1:6" ht="14.45" customHeight="1">
      <c r="A421" s="519"/>
      <c r="B421" s="520" t="s">
        <v>2623</v>
      </c>
      <c r="D421" s="1266" t="s">
        <v>2203</v>
      </c>
      <c r="E421" s="1266"/>
      <c r="F421" s="1266"/>
    </row>
    <row r="422" spans="1:6" ht="14.45" customHeight="1">
      <c r="A422" s="519"/>
      <c r="D422" s="1266"/>
      <c r="E422" s="1266"/>
      <c r="F422" s="1266"/>
    </row>
    <row r="423" spans="1:6" ht="14.45" customHeight="1">
      <c r="A423" s="519"/>
      <c r="D423" s="1266"/>
      <c r="E423" s="1266"/>
      <c r="F423" s="1266"/>
    </row>
    <row r="424" spans="1:6" ht="14.45" customHeight="1">
      <c r="A424" s="519"/>
      <c r="D424" s="1266"/>
      <c r="E424" s="1266"/>
      <c r="F424" s="1266"/>
    </row>
    <row r="425" spans="1:6" ht="14.45" customHeight="1">
      <c r="A425" s="519"/>
      <c r="D425" s="1266"/>
      <c r="E425" s="1266"/>
      <c r="F425" s="1266"/>
    </row>
    <row r="426" spans="1:6" ht="14.45" customHeight="1">
      <c r="A426" s="519"/>
      <c r="D426" s="417"/>
      <c r="E426" s="417"/>
      <c r="F426" s="417"/>
    </row>
    <row r="427" spans="1:6" ht="13.7" customHeight="1">
      <c r="A427" s="519"/>
      <c r="B427" s="520" t="s">
        <v>2623</v>
      </c>
      <c r="C427" s="511"/>
      <c r="D427" s="1266" t="s">
        <v>1387</v>
      </c>
      <c r="E427" s="1266"/>
      <c r="F427" s="1266"/>
    </row>
    <row r="428" spans="1:6" ht="14.25">
      <c r="A428" s="532"/>
      <c r="B428" s="532"/>
      <c r="C428" s="511"/>
      <c r="D428" s="1266"/>
      <c r="E428" s="1266"/>
      <c r="F428" s="1266"/>
    </row>
    <row r="429" spans="1:6" ht="14.25">
      <c r="A429" s="532"/>
      <c r="B429" s="532"/>
      <c r="C429" s="511"/>
      <c r="D429" s="1266"/>
      <c r="E429" s="1266"/>
      <c r="F429" s="1266"/>
    </row>
    <row r="430" spans="1:6" ht="14.25">
      <c r="A430" s="532"/>
      <c r="B430" s="532"/>
      <c r="C430" s="511"/>
      <c r="D430" s="1266"/>
      <c r="E430" s="1266"/>
      <c r="F430" s="1266"/>
    </row>
    <row r="431" spans="1:6" ht="15.75" customHeight="1">
      <c r="A431" s="532"/>
      <c r="B431" s="532"/>
      <c r="C431" s="511"/>
      <c r="D431" s="1330" t="s">
        <v>2470</v>
      </c>
      <c r="E431" s="1266"/>
      <c r="F431" s="1266"/>
    </row>
    <row r="432" spans="1:6">
      <c r="D432" s="481"/>
      <c r="E432" s="481"/>
      <c r="F432" s="481"/>
    </row>
    <row r="433" spans="1:6" ht="14.25">
      <c r="A433" s="519"/>
      <c r="B433" s="520" t="s">
        <v>2623</v>
      </c>
      <c r="C433" s="522"/>
      <c r="D433" s="1278" t="s">
        <v>2453</v>
      </c>
      <c r="E433" s="1278"/>
      <c r="F433" s="1278"/>
    </row>
    <row r="434" spans="1:6" ht="14.25">
      <c r="A434" s="519"/>
      <c r="B434" s="519"/>
      <c r="D434" s="1278"/>
      <c r="E434" s="1278"/>
      <c r="F434" s="1278"/>
    </row>
    <row r="435" spans="1:6">
      <c r="D435" s="1278"/>
      <c r="E435" s="1278"/>
      <c r="F435" s="1278"/>
    </row>
    <row r="436" spans="1:6">
      <c r="D436" s="1278"/>
      <c r="E436" s="1278"/>
      <c r="F436" s="1278"/>
    </row>
    <row r="437" spans="1:6">
      <c r="D437" s="1278"/>
      <c r="E437" s="1278"/>
      <c r="F437" s="1278"/>
    </row>
    <row r="438" spans="1:6">
      <c r="D438" s="1278"/>
      <c r="E438" s="1278"/>
      <c r="F438" s="1278"/>
    </row>
    <row r="439" spans="1:6">
      <c r="D439" s="1278"/>
      <c r="E439" s="1278"/>
      <c r="F439" s="1278"/>
    </row>
    <row r="440" spans="1:6">
      <c r="D440" s="1278"/>
      <c r="E440" s="1278"/>
      <c r="F440" s="1278"/>
    </row>
    <row r="441" spans="1:6">
      <c r="D441" s="1278"/>
      <c r="E441" s="1278"/>
      <c r="F441" s="1278"/>
    </row>
    <row r="442" spans="1:6">
      <c r="D442" s="1278"/>
      <c r="E442" s="1278"/>
      <c r="F442" s="1278"/>
    </row>
    <row r="443" spans="1:6">
      <c r="D443" s="1278"/>
      <c r="E443" s="1278"/>
      <c r="F443" s="1278"/>
    </row>
    <row r="444" spans="1:6">
      <c r="D444" s="1278"/>
      <c r="E444" s="1278"/>
      <c r="F444" s="1278"/>
    </row>
    <row r="445" spans="1:6">
      <c r="D445" s="1278"/>
      <c r="E445" s="1278"/>
      <c r="F445" s="1278"/>
    </row>
    <row r="446" spans="1:6">
      <c r="A446" s="434"/>
      <c r="B446" s="434"/>
      <c r="C446" s="434"/>
      <c r="D446" s="1278"/>
      <c r="E446" s="1278"/>
      <c r="F446" s="1278"/>
    </row>
    <row r="447" spans="1:6">
      <c r="A447" s="434"/>
      <c r="B447" s="434"/>
      <c r="C447" s="434"/>
      <c r="D447" s="1278"/>
      <c r="E447" s="1278"/>
      <c r="F447" s="1278"/>
    </row>
    <row r="448" spans="1:6">
      <c r="A448" s="434"/>
      <c r="B448" s="434"/>
      <c r="C448" s="434"/>
      <c r="D448" s="1278"/>
      <c r="E448" s="1278"/>
      <c r="F448" s="1278"/>
    </row>
    <row r="449" spans="1:6">
      <c r="A449" s="434"/>
      <c r="B449" s="434"/>
      <c r="C449" s="434"/>
      <c r="D449" s="1278"/>
      <c r="E449" s="1278"/>
      <c r="F449" s="1278"/>
    </row>
    <row r="450" spans="1:6">
      <c r="A450" s="434"/>
      <c r="B450" s="434"/>
      <c r="C450" s="434"/>
      <c r="D450" s="1278"/>
      <c r="E450" s="1278"/>
      <c r="F450" s="1278"/>
    </row>
    <row r="451" spans="1:6">
      <c r="A451" s="434"/>
      <c r="B451" s="434"/>
      <c r="C451" s="434"/>
      <c r="D451" s="1278"/>
      <c r="E451" s="1278"/>
      <c r="F451" s="1278"/>
    </row>
    <row r="452" spans="1:6">
      <c r="A452" s="434"/>
      <c r="B452" s="434"/>
      <c r="C452" s="434"/>
      <c r="D452" s="1278"/>
      <c r="E452" s="1278"/>
      <c r="F452" s="1278"/>
    </row>
    <row r="453" spans="1:6">
      <c r="A453" s="434"/>
      <c r="B453" s="434"/>
      <c r="C453" s="434"/>
      <c r="D453" s="1278"/>
      <c r="E453" s="1278"/>
      <c r="F453" s="1278"/>
    </row>
    <row r="454" spans="1:6">
      <c r="A454" s="434"/>
      <c r="B454" s="434"/>
      <c r="C454" s="434"/>
      <c r="D454" s="1278"/>
      <c r="E454" s="1278"/>
      <c r="F454" s="1278"/>
    </row>
    <row r="455" spans="1:6">
      <c r="A455" s="434"/>
      <c r="B455" s="434"/>
      <c r="C455" s="434"/>
      <c r="D455" s="1278"/>
      <c r="E455" s="1278"/>
      <c r="F455" s="1278"/>
    </row>
    <row r="456" spans="1:6">
      <c r="A456" s="434"/>
      <c r="B456" s="434"/>
      <c r="C456" s="434"/>
      <c r="D456" s="1278"/>
      <c r="E456" s="1278"/>
      <c r="F456" s="1278"/>
    </row>
    <row r="457" spans="1:6">
      <c r="A457" s="434"/>
      <c r="B457" s="434"/>
      <c r="C457" s="434"/>
      <c r="D457" s="1278"/>
      <c r="E457" s="1278"/>
      <c r="F457" s="1278"/>
    </row>
    <row r="458" spans="1:6">
      <c r="A458" s="434"/>
      <c r="B458" s="434"/>
      <c r="C458" s="434"/>
      <c r="D458" s="1278"/>
      <c r="E458" s="1278"/>
      <c r="F458" s="1278"/>
    </row>
    <row r="459" spans="1:6">
      <c r="A459" s="434"/>
      <c r="B459" s="434"/>
      <c r="C459" s="434"/>
      <c r="D459" s="1278"/>
      <c r="E459" s="1278"/>
      <c r="F459" s="1278"/>
    </row>
    <row r="460" spans="1:6">
      <c r="A460" s="434"/>
      <c r="B460" s="434"/>
      <c r="C460" s="434"/>
      <c r="D460" s="1278"/>
      <c r="E460" s="1278"/>
      <c r="F460" s="1278"/>
    </row>
    <row r="461" spans="1:6">
      <c r="A461" s="434"/>
      <c r="B461" s="434"/>
      <c r="C461" s="434"/>
      <c r="D461" s="1278"/>
      <c r="E461" s="1278"/>
      <c r="F461" s="1278"/>
    </row>
    <row r="462" spans="1:6">
      <c r="D462" s="1278"/>
      <c r="E462" s="1278"/>
      <c r="F462" s="1278"/>
    </row>
    <row r="463" spans="1:6" ht="40.700000000000003" customHeight="1">
      <c r="D463" s="1278"/>
      <c r="E463" s="1278"/>
      <c r="F463" s="1278"/>
    </row>
    <row r="464" spans="1:6">
      <c r="D464" s="481"/>
      <c r="E464" s="481"/>
      <c r="F464" s="481"/>
    </row>
    <row r="465" spans="1:6" ht="14.25">
      <c r="A465" s="519"/>
      <c r="B465" s="520" t="s">
        <v>2623</v>
      </c>
      <c r="C465" s="522"/>
      <c r="D465" s="1278" t="s">
        <v>1269</v>
      </c>
      <c r="E465" s="1278"/>
      <c r="F465" s="1278"/>
    </row>
    <row r="466" spans="1:6">
      <c r="D466" s="1278"/>
      <c r="E466" s="1278"/>
      <c r="F466" s="1278"/>
    </row>
    <row r="467" spans="1:6">
      <c r="D467" s="1278"/>
      <c r="E467" s="1278"/>
      <c r="F467" s="1278"/>
    </row>
    <row r="468" spans="1:6">
      <c r="D468" s="480"/>
      <c r="E468" s="480"/>
      <c r="F468" s="480"/>
    </row>
    <row r="469" spans="1:6" ht="14.25">
      <c r="B469" s="520" t="s">
        <v>2623</v>
      </c>
      <c r="C469" s="519"/>
      <c r="D469" s="1278" t="s">
        <v>1339</v>
      </c>
      <c r="E469" s="1278"/>
      <c r="F469" s="1278"/>
    </row>
    <row r="470" spans="1:6">
      <c r="D470" s="1278"/>
      <c r="E470" s="1278"/>
      <c r="F470" s="1278"/>
    </row>
    <row r="471" spans="1:6">
      <c r="D471" s="481"/>
      <c r="E471" s="481"/>
      <c r="F471" s="481"/>
    </row>
    <row r="472" spans="1:6" ht="14.25">
      <c r="B472" s="520" t="s">
        <v>2623</v>
      </c>
      <c r="C472" s="519"/>
      <c r="D472" s="1278" t="s">
        <v>1271</v>
      </c>
      <c r="E472" s="1278"/>
      <c r="F472" s="1278"/>
    </row>
    <row r="473" spans="1:6">
      <c r="D473" s="1278"/>
      <c r="E473" s="1278"/>
      <c r="F473" s="1278"/>
    </row>
    <row r="474" spans="1:6">
      <c r="D474" s="1278"/>
      <c r="E474" s="1278"/>
      <c r="F474" s="1278"/>
    </row>
    <row r="475" spans="1:6">
      <c r="D475" s="1278"/>
      <c r="E475" s="1278"/>
      <c r="F475" s="1278"/>
    </row>
    <row r="476" spans="1:6">
      <c r="B476" s="520" t="s">
        <v>2623</v>
      </c>
      <c r="D476" s="1278"/>
      <c r="E476" s="1278"/>
      <c r="F476" s="1278"/>
    </row>
    <row r="477" spans="1:6">
      <c r="A477" s="434"/>
      <c r="B477" s="434"/>
      <c r="C477" s="434"/>
      <c r="D477" s="1278"/>
      <c r="E477" s="1278"/>
      <c r="F477" s="1278"/>
    </row>
    <row r="478" spans="1:6">
      <c r="A478" s="434"/>
      <c r="C478" s="434"/>
      <c r="D478" s="1278"/>
      <c r="E478" s="1278"/>
      <c r="F478" s="1278"/>
    </row>
    <row r="479" spans="1:6">
      <c r="A479" s="434"/>
      <c r="B479" s="520" t="s">
        <v>2623</v>
      </c>
      <c r="C479" s="434"/>
      <c r="D479" s="1278"/>
      <c r="E479" s="1278"/>
      <c r="F479" s="1278"/>
    </row>
    <row r="480" spans="1:6">
      <c r="A480" s="434"/>
      <c r="B480" s="434"/>
      <c r="C480" s="434"/>
      <c r="D480" s="1278"/>
      <c r="E480" s="1278"/>
      <c r="F480" s="1278"/>
    </row>
    <row r="481" spans="1:9">
      <c r="A481" s="434"/>
      <c r="C481" s="434"/>
      <c r="D481" s="1278"/>
      <c r="E481" s="1278"/>
      <c r="F481" s="1278"/>
    </row>
    <row r="482" spans="1:9">
      <c r="A482" s="434"/>
      <c r="C482" s="434"/>
      <c r="D482" s="1278"/>
      <c r="E482" s="1278"/>
      <c r="F482" s="1278"/>
    </row>
    <row r="483" spans="1:9">
      <c r="A483" s="434"/>
      <c r="C483" s="434"/>
      <c r="D483" s="1278"/>
      <c r="E483" s="1278"/>
      <c r="F483" s="1278"/>
    </row>
    <row r="484" spans="1:9">
      <c r="A484" s="434"/>
      <c r="B484" s="520" t="s">
        <v>2623</v>
      </c>
      <c r="C484" s="434"/>
      <c r="D484" s="1278"/>
      <c r="E484" s="1278"/>
      <c r="F484" s="1278"/>
    </row>
    <row r="485" spans="1:9">
      <c r="A485" s="434"/>
      <c r="C485" s="434"/>
      <c r="D485" s="1278"/>
      <c r="E485" s="1278"/>
      <c r="F485" s="1278"/>
    </row>
    <row r="486" spans="1:9">
      <c r="A486" s="434"/>
      <c r="B486" s="520" t="s">
        <v>2623</v>
      </c>
      <c r="C486" s="434"/>
      <c r="D486" s="1278" t="s">
        <v>1272</v>
      </c>
      <c r="E486" s="1278"/>
      <c r="F486" s="1278"/>
    </row>
    <row r="487" spans="1:9">
      <c r="A487" s="434"/>
      <c r="B487" s="434"/>
      <c r="C487" s="434"/>
      <c r="D487" s="1278"/>
      <c r="E487" s="1278"/>
      <c r="F487" s="1278"/>
    </row>
    <row r="488" spans="1:9">
      <c r="A488" s="434"/>
      <c r="B488" s="434"/>
      <c r="C488" s="434"/>
      <c r="D488" s="1278"/>
      <c r="E488" s="1278"/>
      <c r="F488" s="1278"/>
    </row>
    <row r="489" spans="1:9">
      <c r="A489" s="434"/>
      <c r="B489" s="434"/>
      <c r="C489" s="434"/>
      <c r="D489" s="1278"/>
      <c r="E489" s="1278"/>
      <c r="F489" s="1278"/>
    </row>
    <row r="490" spans="1:9">
      <c r="D490" s="1278"/>
      <c r="E490" s="1278"/>
      <c r="F490" s="1278"/>
    </row>
    <row r="491" spans="1:9">
      <c r="D491" s="481"/>
      <c r="E491" s="481"/>
      <c r="F491" s="481"/>
    </row>
    <row r="492" spans="1:9">
      <c r="B492" s="520" t="s">
        <v>2623</v>
      </c>
      <c r="D492" s="1307" t="s">
        <v>1273</v>
      </c>
      <c r="E492" s="1307"/>
      <c r="F492" s="1307"/>
    </row>
    <row r="493" spans="1:9">
      <c r="A493" s="481"/>
      <c r="B493" s="481"/>
    </row>
    <row r="494" spans="1:9">
      <c r="A494" s="1284" t="s">
        <v>1114</v>
      </c>
      <c r="B494" s="1284"/>
      <c r="C494" s="1284"/>
      <c r="D494" s="1284"/>
      <c r="E494" s="1284"/>
      <c r="F494" s="1284"/>
      <c r="G494" s="1284"/>
      <c r="H494" s="1071"/>
      <c r="I494" s="1072"/>
    </row>
    <row r="495" spans="1:9">
      <c r="A495" s="481"/>
      <c r="B495" s="481"/>
    </row>
    <row r="496" spans="1:9">
      <c r="D496" s="1314" t="s">
        <v>912</v>
      </c>
      <c r="E496" s="1314"/>
      <c r="F496" s="1314"/>
    </row>
    <row r="497" spans="1:9" ht="14.25">
      <c r="A497" s="519"/>
      <c r="B497" s="519"/>
      <c r="D497" s="1311" t="s">
        <v>1274</v>
      </c>
      <c r="E497" s="1311"/>
      <c r="F497" s="1311"/>
    </row>
    <row r="498" spans="1:9" ht="14.25">
      <c r="A498" s="519"/>
      <c r="B498" s="519"/>
      <c r="D498" s="482"/>
    </row>
    <row r="499" spans="1:9" ht="14.25">
      <c r="A499" s="519"/>
      <c r="B499" s="520" t="s">
        <v>2623</v>
      </c>
      <c r="D499" s="1266" t="s">
        <v>1275</v>
      </c>
      <c r="E499" s="1266"/>
      <c r="F499" s="1266"/>
      <c r="I499" s="436" t="s">
        <v>2167</v>
      </c>
    </row>
    <row r="500" spans="1:9" ht="14.25">
      <c r="A500" s="519"/>
      <c r="B500" s="519"/>
      <c r="D500" s="1266"/>
      <c r="E500" s="1266"/>
      <c r="F500" s="1266"/>
    </row>
    <row r="501" spans="1:9" ht="14.25">
      <c r="A501" s="519"/>
      <c r="B501" s="519"/>
      <c r="D501" s="481"/>
    </row>
    <row r="502" spans="1:9" ht="12.75" customHeight="1">
      <c r="B502" s="520" t="s">
        <v>2623</v>
      </c>
      <c r="D502" s="1300" t="s">
        <v>1430</v>
      </c>
      <c r="E502" s="1300"/>
      <c r="F502" s="1300"/>
      <c r="I502" s="436" t="s">
        <v>2168</v>
      </c>
    </row>
    <row r="503" spans="1:9" ht="14.25">
      <c r="A503" s="519"/>
      <c r="D503" s="1300"/>
      <c r="E503" s="1300"/>
      <c r="F503" s="1300"/>
    </row>
    <row r="504" spans="1:9" ht="14.25">
      <c r="A504" s="519"/>
      <c r="B504" s="519"/>
      <c r="D504" s="1300"/>
      <c r="E504" s="1300"/>
      <c r="F504" s="1300"/>
    </row>
    <row r="505" spans="1:9" ht="14.25">
      <c r="A505" s="519"/>
      <c r="B505" s="519"/>
      <c r="D505" s="1300"/>
      <c r="E505" s="1300"/>
      <c r="F505" s="1300"/>
    </row>
    <row r="506" spans="1:9" ht="14.25">
      <c r="A506" s="519"/>
      <c r="D506" s="555"/>
      <c r="E506" s="555"/>
      <c r="F506" s="555"/>
    </row>
    <row r="507" spans="1:9" ht="14.25">
      <c r="A507" s="519"/>
      <c r="B507" s="520" t="s">
        <v>2623</v>
      </c>
      <c r="D507" s="1307" t="s">
        <v>1278</v>
      </c>
      <c r="E507" s="1307"/>
      <c r="F507" s="1307"/>
      <c r="I507" s="436" t="s">
        <v>2169</v>
      </c>
    </row>
    <row r="508" spans="1:9" ht="14.25">
      <c r="A508" s="519"/>
      <c r="B508" s="519"/>
      <c r="D508" s="481"/>
    </row>
    <row r="509" spans="1:9" ht="14.25">
      <c r="A509" s="519"/>
      <c r="B509" s="520" t="s">
        <v>2623</v>
      </c>
      <c r="D509" s="1278" t="s">
        <v>1279</v>
      </c>
      <c r="E509" s="1278"/>
      <c r="F509" s="1278"/>
      <c r="I509" s="436" t="s">
        <v>2169</v>
      </c>
    </row>
    <row r="510" spans="1:9" ht="14.25">
      <c r="A510" s="519"/>
      <c r="D510" s="1278"/>
      <c r="E510" s="1278"/>
      <c r="F510" s="1278"/>
    </row>
    <row r="511" spans="1:9">
      <c r="A511" s="525"/>
      <c r="B511" s="525"/>
      <c r="D511" s="482"/>
    </row>
    <row r="512" spans="1:9">
      <c r="A512" s="525"/>
      <c r="B512" s="520" t="s">
        <v>2623</v>
      </c>
      <c r="D512" s="1307" t="s">
        <v>1280</v>
      </c>
      <c r="E512" s="1307"/>
      <c r="F512" s="1307"/>
      <c r="I512" s="436" t="s">
        <v>2222</v>
      </c>
    </row>
    <row r="513" spans="1:9" ht="14.25">
      <c r="A513" s="519"/>
      <c r="B513" s="519"/>
      <c r="D513" s="481"/>
    </row>
    <row r="514" spans="1:9">
      <c r="A514" s="1284" t="s">
        <v>1115</v>
      </c>
      <c r="B514" s="1284"/>
      <c r="C514" s="1284"/>
      <c r="D514" s="1284"/>
      <c r="E514" s="1284"/>
      <c r="F514" s="1284"/>
      <c r="G514" s="1284"/>
      <c r="H514" s="1071"/>
      <c r="I514" s="1072"/>
    </row>
    <row r="515" spans="1:9" ht="12" customHeight="1">
      <c r="A515" s="519"/>
      <c r="B515" s="519"/>
      <c r="D515" s="481"/>
    </row>
    <row r="516" spans="1:9">
      <c r="C516" s="517"/>
      <c r="D516" s="1276" t="s">
        <v>817</v>
      </c>
      <c r="E516" s="1276"/>
      <c r="F516" s="1276"/>
    </row>
    <row r="517" spans="1:9">
      <c r="C517" s="517"/>
      <c r="D517" s="541" t="s">
        <v>1341</v>
      </c>
      <c r="E517" s="541"/>
      <c r="F517" s="541"/>
    </row>
    <row r="518" spans="1:9">
      <c r="C518" s="517"/>
      <c r="D518" s="541" t="s">
        <v>1342</v>
      </c>
      <c r="E518" s="541"/>
      <c r="F518" s="541"/>
    </row>
    <row r="519" spans="1:9">
      <c r="C519" s="517"/>
      <c r="D519" s="516"/>
      <c r="E519" s="516"/>
      <c r="F519" s="516"/>
    </row>
    <row r="520" spans="1:9" ht="13.7" customHeight="1">
      <c r="A520" s="518"/>
      <c r="B520" s="520" t="s">
        <v>2624</v>
      </c>
      <c r="C520" s="518"/>
      <c r="D520" s="1266" t="s">
        <v>2454</v>
      </c>
      <c r="E520" s="1266"/>
      <c r="F520" s="1266"/>
      <c r="I520" s="436" t="s">
        <v>2204</v>
      </c>
    </row>
    <row r="521" spans="1:9">
      <c r="A521" s="518"/>
      <c r="B521" s="518"/>
      <c r="C521" s="518"/>
      <c r="D521" s="1266"/>
      <c r="E521" s="1266"/>
      <c r="F521" s="1266"/>
    </row>
    <row r="522" spans="1:9">
      <c r="A522" s="518"/>
      <c r="B522" s="518"/>
      <c r="C522" s="518"/>
      <c r="D522" s="486"/>
      <c r="E522" s="486"/>
      <c r="F522" s="486"/>
      <c r="I522" s="434"/>
    </row>
    <row r="523" spans="1:9" ht="12.75" customHeight="1">
      <c r="A523" s="518"/>
      <c r="B523" s="520" t="s">
        <v>2623</v>
      </c>
      <c r="D523" s="418" t="s">
        <v>2284</v>
      </c>
      <c r="E523" s="417"/>
      <c r="F523" s="417"/>
      <c r="I523" s="436" t="s">
        <v>2170</v>
      </c>
    </row>
    <row r="524" spans="1:9">
      <c r="A524" s="518"/>
      <c r="B524" s="518"/>
      <c r="C524" s="518"/>
      <c r="D524" s="417"/>
      <c r="E524" s="96" t="s">
        <v>2285</v>
      </c>
    </row>
    <row r="525" spans="1:9">
      <c r="A525" s="518"/>
      <c r="B525" s="518"/>
      <c r="D525" s="1322" t="s">
        <v>2455</v>
      </c>
      <c r="E525" s="1322"/>
      <c r="F525" s="1322"/>
    </row>
    <row r="526" spans="1:9">
      <c r="A526" s="518"/>
      <c r="B526" s="518"/>
      <c r="D526" s="1322"/>
      <c r="E526" s="1322"/>
      <c r="F526" s="1322"/>
    </row>
    <row r="527" spans="1:9">
      <c r="A527" s="518"/>
      <c r="B527" s="518"/>
      <c r="C527" s="518"/>
      <c r="D527" s="1322"/>
      <c r="E527" s="1322"/>
      <c r="F527" s="1322"/>
    </row>
    <row r="528" spans="1:9">
      <c r="A528" s="518"/>
      <c r="B528" s="518"/>
      <c r="C528" s="518"/>
      <c r="D528" s="533"/>
      <c r="F528" s="481"/>
    </row>
    <row r="529" spans="1:9" ht="13.35" customHeight="1">
      <c r="A529" s="518"/>
      <c r="B529" s="520" t="s">
        <v>2623</v>
      </c>
      <c r="C529" s="518"/>
      <c r="D529" s="1278" t="s">
        <v>2456</v>
      </c>
      <c r="E529" s="1278"/>
      <c r="F529" s="1278"/>
      <c r="I529" s="436" t="s">
        <v>2170</v>
      </c>
    </row>
    <row r="530" spans="1:9">
      <c r="A530" s="518"/>
      <c r="B530" s="518"/>
      <c r="C530" s="518"/>
      <c r="D530" s="1278"/>
      <c r="E530" s="1278"/>
      <c r="F530" s="1278"/>
    </row>
    <row r="531" spans="1:9" ht="12" customHeight="1">
      <c r="A531" s="481"/>
      <c r="B531" s="481"/>
      <c r="C531" s="522"/>
      <c r="D531" s="481"/>
      <c r="F531" s="483"/>
    </row>
    <row r="532" spans="1:9">
      <c r="A532" s="1284" t="s">
        <v>1116</v>
      </c>
      <c r="B532" s="1284"/>
      <c r="C532" s="1284"/>
      <c r="D532" s="1284"/>
      <c r="E532" s="1284"/>
      <c r="F532" s="1284"/>
      <c r="G532" s="1284"/>
      <c r="H532" s="1071"/>
      <c r="I532" s="1072"/>
    </row>
    <row r="533" spans="1:9">
      <c r="A533" s="481"/>
      <c r="B533" s="481"/>
      <c r="C533" s="522"/>
      <c r="F533" s="483"/>
    </row>
    <row r="534" spans="1:9">
      <c r="B534" s="1293" t="s">
        <v>449</v>
      </c>
      <c r="C534" s="1293"/>
      <c r="D534" s="1293"/>
      <c r="E534" s="1293"/>
      <c r="F534" s="1293"/>
    </row>
    <row r="535" spans="1:9">
      <c r="A535" s="481"/>
      <c r="B535" s="481"/>
      <c r="C535" s="522"/>
      <c r="D535" s="481"/>
      <c r="F535" s="481"/>
    </row>
    <row r="536" spans="1:9">
      <c r="A536" s="1285" t="s">
        <v>1117</v>
      </c>
      <c r="B536" s="1285"/>
      <c r="C536" s="1285"/>
      <c r="D536" s="1285"/>
      <c r="E536" s="1285"/>
      <c r="F536" s="1285"/>
      <c r="G536" s="1285"/>
      <c r="H536" s="1071"/>
      <c r="I536" s="1072"/>
    </row>
    <row r="537" spans="1:9">
      <c r="A537" s="481"/>
      <c r="B537" s="481"/>
      <c r="C537" s="522"/>
      <c r="D537" s="481"/>
      <c r="F537" s="481"/>
    </row>
    <row r="538" spans="1:9">
      <c r="C538" s="522"/>
      <c r="D538" s="1276" t="s">
        <v>692</v>
      </c>
      <c r="E538" s="1276"/>
      <c r="F538" s="1276"/>
    </row>
    <row r="539" spans="1:9">
      <c r="C539" s="522"/>
      <c r="D539" s="1307" t="s">
        <v>1174</v>
      </c>
      <c r="E539" s="1307"/>
      <c r="F539" s="1307"/>
    </row>
    <row r="540" spans="1:9">
      <c r="C540" s="522"/>
      <c r="D540" s="481"/>
      <c r="E540" s="481"/>
      <c r="F540" s="481"/>
    </row>
    <row r="541" spans="1:9" ht="13.7" customHeight="1">
      <c r="A541" s="519"/>
      <c r="B541" s="520" t="s">
        <v>2624</v>
      </c>
      <c r="C541" s="522"/>
      <c r="D541" s="1307" t="s">
        <v>913</v>
      </c>
      <c r="E541" s="1307"/>
      <c r="F541" s="1307"/>
      <c r="I541" s="436" t="s">
        <v>2220</v>
      </c>
    </row>
    <row r="542" spans="1:9" ht="13.7" customHeight="1">
      <c r="A542" s="522"/>
      <c r="B542" s="522"/>
      <c r="C542" s="522"/>
      <c r="D542" s="481"/>
    </row>
    <row r="543" spans="1:9" ht="14.25">
      <c r="A543" s="519"/>
      <c r="B543" s="520" t="s">
        <v>2624</v>
      </c>
      <c r="C543" s="522"/>
      <c r="D543" s="1278" t="s">
        <v>1175</v>
      </c>
      <c r="E543" s="1278"/>
      <c r="F543" s="1278"/>
      <c r="I543" s="436" t="s">
        <v>2220</v>
      </c>
    </row>
    <row r="544" spans="1:9">
      <c r="A544" s="522"/>
      <c r="B544" s="522"/>
      <c r="C544" s="522"/>
      <c r="D544" s="1278"/>
      <c r="E544" s="1278"/>
      <c r="F544" s="1278"/>
    </row>
    <row r="545" spans="1:9">
      <c r="A545" s="522"/>
      <c r="B545" s="522"/>
      <c r="C545" s="522"/>
      <c r="D545" s="481"/>
      <c r="E545" s="481"/>
      <c r="F545" s="481"/>
    </row>
    <row r="546" spans="1:9" ht="14.25">
      <c r="A546" s="519"/>
      <c r="B546" s="520" t="s">
        <v>2624</v>
      </c>
      <c r="C546" s="522"/>
      <c r="D546" s="1278" t="s">
        <v>1176</v>
      </c>
      <c r="E546" s="1278"/>
      <c r="F546" s="1278"/>
      <c r="I546" s="436" t="s">
        <v>2171</v>
      </c>
    </row>
    <row r="547" spans="1:9">
      <c r="A547" s="522"/>
      <c r="B547" s="522"/>
      <c r="C547" s="522"/>
      <c r="D547" s="1278"/>
      <c r="E547" s="1278"/>
      <c r="F547" s="1278"/>
    </row>
    <row r="548" spans="1:9">
      <c r="A548" s="522"/>
      <c r="B548" s="522"/>
      <c r="C548" s="522"/>
      <c r="D548" s="481"/>
      <c r="E548" s="481"/>
      <c r="F548" s="481"/>
    </row>
    <row r="549" spans="1:9" ht="14.25">
      <c r="A549" s="519"/>
      <c r="B549" s="520" t="s">
        <v>2624</v>
      </c>
      <c r="C549" s="522"/>
      <c r="D549" s="1278" t="s">
        <v>1177</v>
      </c>
      <c r="E549" s="1278"/>
      <c r="F549" s="1278"/>
      <c r="I549" s="436" t="s">
        <v>2172</v>
      </c>
    </row>
    <row r="550" spans="1:9">
      <c r="A550" s="522"/>
      <c r="B550" s="522"/>
      <c r="C550" s="522"/>
      <c r="D550" s="1278"/>
      <c r="E550" s="1278"/>
      <c r="F550" s="1278"/>
    </row>
    <row r="551" spans="1:9">
      <c r="A551" s="522"/>
      <c r="B551" s="522"/>
      <c r="C551" s="522"/>
      <c r="D551" s="481"/>
      <c r="E551" s="481"/>
      <c r="F551" s="481"/>
    </row>
    <row r="552" spans="1:9" ht="14.25">
      <c r="A552" s="519"/>
      <c r="B552" s="520" t="s">
        <v>2624</v>
      </c>
      <c r="C552" s="522"/>
      <c r="D552" s="1278" t="s">
        <v>1178</v>
      </c>
      <c r="E552" s="1278"/>
      <c r="F552" s="1278"/>
      <c r="I552" s="436" t="s">
        <v>2221</v>
      </c>
    </row>
    <row r="553" spans="1:9">
      <c r="A553" s="522"/>
      <c r="B553" s="522"/>
      <c r="C553" s="522"/>
      <c r="D553" s="1278"/>
      <c r="E553" s="1278"/>
      <c r="F553" s="1278"/>
    </row>
    <row r="554" spans="1:9">
      <c r="A554" s="522"/>
      <c r="B554" s="522"/>
      <c r="C554" s="522"/>
      <c r="D554" s="1278"/>
      <c r="E554" s="1278"/>
      <c r="F554" s="1278"/>
    </row>
    <row r="555" spans="1:9">
      <c r="A555" s="522"/>
      <c r="B555" s="522"/>
      <c r="C555" s="522"/>
      <c r="D555" s="481"/>
      <c r="E555" s="481"/>
      <c r="F555" s="481"/>
    </row>
    <row r="556" spans="1:9" ht="14.25">
      <c r="A556" s="519"/>
      <c r="B556" s="520" t="s">
        <v>2623</v>
      </c>
      <c r="C556" s="522"/>
      <c r="D556" s="1278" t="s">
        <v>1296</v>
      </c>
      <c r="E556" s="1278"/>
      <c r="F556" s="1278"/>
      <c r="I556" s="436" t="s">
        <v>2220</v>
      </c>
    </row>
    <row r="557" spans="1:9">
      <c r="A557" s="522"/>
      <c r="B557" s="522"/>
      <c r="C557" s="522"/>
      <c r="D557" s="1278"/>
      <c r="E557" s="1278"/>
      <c r="F557" s="1278"/>
    </row>
    <row r="558" spans="1:9">
      <c r="A558" s="522"/>
      <c r="B558" s="522"/>
      <c r="C558" s="522"/>
      <c r="D558" s="481"/>
      <c r="E558" s="481"/>
      <c r="F558" s="481"/>
    </row>
    <row r="559" spans="1:9" ht="14.25">
      <c r="A559" s="519"/>
      <c r="B559" s="520" t="s">
        <v>2624</v>
      </c>
      <c r="C559" s="522"/>
      <c r="D559" s="1278" t="s">
        <v>1180</v>
      </c>
      <c r="E559" s="1278"/>
      <c r="F559" s="1278"/>
      <c r="I559" s="436" t="s">
        <v>2220</v>
      </c>
    </row>
    <row r="560" spans="1:9">
      <c r="A560" s="522"/>
      <c r="B560" s="522"/>
      <c r="C560" s="522"/>
      <c r="D560" s="1278"/>
      <c r="E560" s="1278"/>
      <c r="F560" s="1278"/>
    </row>
    <row r="561" spans="1:9">
      <c r="A561" s="522"/>
      <c r="B561" s="522"/>
      <c r="C561" s="522"/>
      <c r="D561" s="481"/>
      <c r="E561" s="481"/>
      <c r="F561" s="481"/>
    </row>
    <row r="562" spans="1:9" ht="14.25">
      <c r="A562" s="519"/>
      <c r="B562" s="520" t="s">
        <v>2624</v>
      </c>
      <c r="C562" s="522"/>
      <c r="D562" s="1307" t="s">
        <v>1181</v>
      </c>
      <c r="E562" s="1307"/>
      <c r="F562" s="1307"/>
      <c r="I562" s="436" t="s">
        <v>2223</v>
      </c>
    </row>
    <row r="563" spans="1:9">
      <c r="A563" s="525"/>
      <c r="B563" s="525"/>
      <c r="C563" s="522"/>
      <c r="D563" s="1307" t="s">
        <v>2287</v>
      </c>
      <c r="E563" s="1307"/>
      <c r="F563" s="1307"/>
    </row>
    <row r="564" spans="1:9">
      <c r="A564" s="525"/>
      <c r="B564" s="525"/>
      <c r="C564" s="522"/>
      <c r="E564" s="96" t="s">
        <v>2286</v>
      </c>
      <c r="F564" s="436"/>
    </row>
    <row r="565" spans="1:9" ht="14.25">
      <c r="A565" s="519"/>
      <c r="B565" s="519"/>
      <c r="C565" s="522"/>
      <c r="E565" s="481"/>
      <c r="F565" s="481"/>
    </row>
    <row r="566" spans="1:9" ht="14.25">
      <c r="A566" s="519"/>
      <c r="B566" s="520" t="s">
        <v>2624</v>
      </c>
      <c r="C566" s="522"/>
      <c r="D566" s="1307" t="s">
        <v>1183</v>
      </c>
      <c r="E566" s="1307"/>
      <c r="F566" s="1307"/>
      <c r="I566" s="436" t="s">
        <v>2173</v>
      </c>
    </row>
    <row r="567" spans="1:9">
      <c r="C567" s="522"/>
      <c r="D567" s="1278" t="s">
        <v>1184</v>
      </c>
      <c r="E567" s="1278"/>
      <c r="F567" s="1278"/>
    </row>
    <row r="568" spans="1:9">
      <c r="A568" s="522"/>
      <c r="B568" s="522"/>
      <c r="C568" s="522"/>
      <c r="D568" s="1278"/>
      <c r="E568" s="1278"/>
      <c r="F568" s="1278"/>
    </row>
    <row r="569" spans="1:9">
      <c r="A569" s="522"/>
      <c r="B569" s="522"/>
      <c r="C569" s="522"/>
      <c r="D569" s="1278"/>
      <c r="E569" s="1278"/>
      <c r="F569" s="1278"/>
    </row>
    <row r="570" spans="1:9">
      <c r="A570" s="522"/>
      <c r="B570" s="522"/>
      <c r="C570" s="522"/>
      <c r="D570" s="481"/>
      <c r="E570" s="481"/>
      <c r="F570" s="481"/>
    </row>
    <row r="571" spans="1:9" ht="14.25">
      <c r="A571" s="519"/>
      <c r="B571" s="520" t="s">
        <v>2624</v>
      </c>
      <c r="C571" s="522"/>
      <c r="D571" s="1278" t="s">
        <v>2457</v>
      </c>
      <c r="E571" s="1278"/>
      <c r="F571" s="1278"/>
      <c r="I571" s="436" t="s">
        <v>2174</v>
      </c>
    </row>
    <row r="572" spans="1:9" ht="14.25">
      <c r="A572" s="519"/>
      <c r="B572" s="519"/>
      <c r="C572" s="522"/>
      <c r="D572" s="1278"/>
      <c r="E572" s="1278"/>
      <c r="F572" s="1278"/>
    </row>
    <row r="573" spans="1:9" ht="14.25">
      <c r="A573" s="519"/>
      <c r="B573" s="519"/>
      <c r="C573" s="522"/>
      <c r="D573" s="1278"/>
      <c r="E573" s="1278"/>
      <c r="F573" s="1278"/>
    </row>
    <row r="574" spans="1:9" ht="14.25">
      <c r="A574" s="519"/>
      <c r="B574" s="519"/>
      <c r="C574" s="522"/>
      <c r="D574" s="1278"/>
      <c r="E574" s="1278"/>
      <c r="F574" s="1278"/>
    </row>
    <row r="575" spans="1:9" ht="14.25">
      <c r="A575" s="519"/>
      <c r="B575" s="519"/>
      <c r="C575" s="522"/>
      <c r="D575" s="481"/>
      <c r="E575" s="481"/>
      <c r="F575" s="481"/>
    </row>
    <row r="576" spans="1:9">
      <c r="A576" s="1284" t="s">
        <v>1118</v>
      </c>
      <c r="B576" s="1284"/>
      <c r="C576" s="1284"/>
      <c r="D576" s="1284"/>
      <c r="E576" s="1284"/>
      <c r="F576" s="1284"/>
      <c r="G576" s="1284"/>
      <c r="H576" s="1071"/>
      <c r="I576" s="1072"/>
    </row>
    <row r="577" spans="1:9">
      <c r="A577" s="522"/>
      <c r="B577" s="522"/>
      <c r="C577" s="522"/>
      <c r="E577" s="481"/>
      <c r="F577" s="481"/>
    </row>
    <row r="578" spans="1:9" ht="12.75" customHeight="1">
      <c r="C578" s="517"/>
      <c r="D578" s="1306" t="s">
        <v>212</v>
      </c>
      <c r="E578" s="1306"/>
      <c r="F578" s="1306"/>
    </row>
    <row r="579" spans="1:9">
      <c r="A579" s="518"/>
      <c r="B579" s="518"/>
      <c r="C579" s="518"/>
      <c r="D579" s="1300" t="s">
        <v>1134</v>
      </c>
      <c r="E579" s="1300"/>
      <c r="F579" s="1300"/>
    </row>
    <row r="580" spans="1:9">
      <c r="A580" s="434"/>
      <c r="B580" s="434"/>
      <c r="C580" s="518"/>
      <c r="D580" s="534"/>
      <c r="I580" s="436" t="s">
        <v>2175</v>
      </c>
    </row>
    <row r="581" spans="1:9">
      <c r="A581" s="518"/>
      <c r="B581" s="520" t="s">
        <v>2624</v>
      </c>
      <c r="D581" s="1300" t="s">
        <v>919</v>
      </c>
      <c r="E581" s="1300"/>
      <c r="F581" s="1300"/>
    </row>
    <row r="582" spans="1:9">
      <c r="A582" s="525"/>
      <c r="B582" s="525"/>
      <c r="D582" s="511"/>
    </row>
    <row r="583" spans="1:9">
      <c r="A583" s="525"/>
      <c r="B583" s="520" t="s">
        <v>2624</v>
      </c>
      <c r="D583" s="1300" t="s">
        <v>2458</v>
      </c>
      <c r="E583" s="1300"/>
      <c r="F583" s="1300"/>
      <c r="I583" s="436" t="s">
        <v>2177</v>
      </c>
    </row>
    <row r="584" spans="1:9">
      <c r="A584" s="525"/>
      <c r="B584" s="525"/>
      <c r="D584" s="1300"/>
      <c r="E584" s="1300"/>
      <c r="F584" s="1300"/>
      <c r="I584" s="436" t="s">
        <v>2176</v>
      </c>
    </row>
    <row r="585" spans="1:9">
      <c r="A585" s="525"/>
      <c r="B585" s="525"/>
      <c r="D585" s="1300"/>
      <c r="E585" s="1300"/>
      <c r="F585" s="1300"/>
    </row>
    <row r="586" spans="1:9">
      <c r="A586" s="525"/>
      <c r="B586" s="525"/>
      <c r="D586" s="1300"/>
      <c r="E586" s="1300"/>
      <c r="F586" s="1300"/>
    </row>
    <row r="587" spans="1:9">
      <c r="A587" s="525"/>
      <c r="B587" s="520" t="s">
        <v>2624</v>
      </c>
      <c r="D587" s="1300" t="s">
        <v>1136</v>
      </c>
      <c r="E587" s="1300"/>
      <c r="F587" s="1300"/>
    </row>
    <row r="588" spans="1:9">
      <c r="A588" s="525"/>
      <c r="B588" s="525"/>
      <c r="D588" s="1300"/>
      <c r="E588" s="1300"/>
      <c r="F588" s="1300"/>
    </row>
    <row r="589" spans="1:9">
      <c r="A589" s="525"/>
      <c r="B589" s="525"/>
      <c r="D589" s="1300"/>
      <c r="E589" s="1300"/>
      <c r="F589" s="1300"/>
    </row>
    <row r="590" spans="1:9">
      <c r="A590" s="525"/>
      <c r="B590" s="525"/>
      <c r="D590" s="1300"/>
      <c r="E590" s="1300"/>
      <c r="F590" s="1300"/>
    </row>
    <row r="591" spans="1:9">
      <c r="A591" s="525"/>
      <c r="B591" s="525"/>
      <c r="D591" s="474"/>
      <c r="E591" s="474"/>
      <c r="F591" s="474"/>
    </row>
    <row r="592" spans="1:9">
      <c r="A592" s="525"/>
      <c r="B592" s="520" t="s">
        <v>2624</v>
      </c>
      <c r="D592" s="1300" t="s">
        <v>2459</v>
      </c>
      <c r="E592" s="1300"/>
      <c r="F592" s="1300"/>
    </row>
    <row r="593" spans="1:9">
      <c r="A593" s="525"/>
      <c r="B593" s="525"/>
      <c r="D593" s="1300"/>
      <c r="E593" s="1300"/>
      <c r="F593" s="1300"/>
    </row>
    <row r="594" spans="1:9">
      <c r="A594" s="525"/>
      <c r="B594" s="525"/>
      <c r="D594" s="534"/>
    </row>
    <row r="595" spans="1:9">
      <c r="A595" s="525"/>
      <c r="B595" s="520" t="s">
        <v>2623</v>
      </c>
      <c r="D595" s="1300" t="s">
        <v>1138</v>
      </c>
      <c r="E595" s="1300"/>
      <c r="F595" s="1300"/>
      <c r="I595" s="436" t="s">
        <v>2224</v>
      </c>
    </row>
    <row r="596" spans="1:9">
      <c r="A596" s="525"/>
      <c r="B596" s="525"/>
      <c r="D596" s="1300"/>
      <c r="E596" s="1300"/>
      <c r="F596" s="1300"/>
    </row>
    <row r="597" spans="1:9" ht="14.25">
      <c r="A597" s="519"/>
      <c r="B597" s="519"/>
      <c r="D597" s="534"/>
    </row>
    <row r="598" spans="1:9">
      <c r="A598" s="1284" t="s">
        <v>1119</v>
      </c>
      <c r="B598" s="1284"/>
      <c r="C598" s="1284"/>
      <c r="D598" s="1284"/>
      <c r="E598" s="1284"/>
      <c r="F598" s="1284"/>
      <c r="G598" s="1284"/>
      <c r="H598" s="1071"/>
      <c r="I598" s="1072"/>
    </row>
    <row r="599" spans="1:9"/>
    <row r="600" spans="1:9">
      <c r="D600" s="1276" t="s">
        <v>1219</v>
      </c>
      <c r="E600" s="1276"/>
      <c r="F600" s="1276"/>
    </row>
    <row r="601" spans="1:9">
      <c r="D601" s="1277" t="s">
        <v>1220</v>
      </c>
      <c r="E601" s="1277"/>
      <c r="F601" s="1277"/>
    </row>
    <row r="602" spans="1:9">
      <c r="D602" s="479"/>
    </row>
    <row r="603" spans="1:9" ht="14.25" customHeight="1">
      <c r="A603" s="519"/>
      <c r="B603" s="520" t="s">
        <v>2624</v>
      </c>
      <c r="D603" s="1340" t="s">
        <v>2288</v>
      </c>
      <c r="E603" s="1340"/>
      <c r="F603" s="1340"/>
      <c r="I603" s="436" t="s">
        <v>2205</v>
      </c>
    </row>
    <row r="604" spans="1:9">
      <c r="D604" s="1340"/>
      <c r="E604" s="1340"/>
      <c r="F604" s="1340"/>
    </row>
    <row r="605" spans="1:9">
      <c r="D605" s="417"/>
      <c r="E605" s="1080" t="s">
        <v>2289</v>
      </c>
      <c r="F605" s="417"/>
    </row>
    <row r="606" spans="1:9"/>
    <row r="607" spans="1:9">
      <c r="A607" s="1284" t="s">
        <v>1120</v>
      </c>
      <c r="B607" s="1284"/>
      <c r="C607" s="1284"/>
      <c r="D607" s="1284"/>
      <c r="E607" s="1284"/>
      <c r="F607" s="1284"/>
      <c r="G607" s="1284"/>
      <c r="H607" s="1071"/>
      <c r="I607" s="1072"/>
    </row>
    <row r="608" spans="1:9">
      <c r="A608" s="481"/>
      <c r="B608" s="481"/>
    </row>
    <row r="609" spans="1:9">
      <c r="A609" s="517"/>
      <c r="B609" s="517"/>
      <c r="C609" s="517"/>
      <c r="D609" s="1279" t="s">
        <v>1222</v>
      </c>
      <c r="E609" s="1279"/>
      <c r="F609" s="1279"/>
    </row>
    <row r="610" spans="1:9">
      <c r="A610" s="517"/>
      <c r="B610" s="517"/>
      <c r="C610" s="517"/>
      <c r="D610" s="1279"/>
      <c r="E610" s="1279"/>
      <c r="F610" s="1279"/>
    </row>
    <row r="611" spans="1:9">
      <c r="C611" s="518"/>
      <c r="D611" s="1277" t="s">
        <v>1223</v>
      </c>
      <c r="E611" s="1277"/>
      <c r="F611" s="1277"/>
    </row>
    <row r="612" spans="1:9">
      <c r="C612" s="518"/>
      <c r="D612" s="479"/>
      <c r="E612" s="479"/>
      <c r="F612" s="479"/>
    </row>
    <row r="613" spans="1:9" ht="12.75" customHeight="1">
      <c r="A613" s="525"/>
      <c r="B613" s="520" t="s">
        <v>2624</v>
      </c>
      <c r="D613" s="1280" t="s">
        <v>1224</v>
      </c>
      <c r="E613" s="1280"/>
      <c r="F613" s="1280"/>
      <c r="I613" s="436" t="s">
        <v>2225</v>
      </c>
    </row>
    <row r="614" spans="1:9">
      <c r="D614" s="1280"/>
      <c r="E614" s="1280"/>
      <c r="F614" s="1280"/>
    </row>
    <row r="615" spans="1:9"/>
    <row r="616" spans="1:9">
      <c r="B616" s="520" t="s">
        <v>2624</v>
      </c>
      <c r="D616" s="1280" t="s">
        <v>1225</v>
      </c>
      <c r="E616" s="1280"/>
      <c r="F616" s="1280"/>
      <c r="I616" s="436" t="s">
        <v>2178</v>
      </c>
    </row>
    <row r="617" spans="1:9">
      <c r="C617" s="535"/>
      <c r="D617" s="1280"/>
      <c r="E617" s="1280"/>
      <c r="F617" s="1280"/>
    </row>
    <row r="618" spans="1:9">
      <c r="C618" s="535"/>
    </row>
    <row r="619" spans="1:9">
      <c r="B619" s="520" t="s">
        <v>2623</v>
      </c>
      <c r="C619" s="535"/>
      <c r="D619" s="1280" t="s">
        <v>1226</v>
      </c>
      <c r="E619" s="1280"/>
      <c r="F619" s="1280"/>
      <c r="I619" s="436" t="s">
        <v>2226</v>
      </c>
    </row>
    <row r="620" spans="1:9">
      <c r="C620" s="535"/>
      <c r="D620" s="1280"/>
      <c r="E620" s="1280"/>
      <c r="F620" s="1280"/>
      <c r="I620" s="1068" t="s">
        <v>2227</v>
      </c>
    </row>
    <row r="621" spans="1:9">
      <c r="C621" s="535"/>
    </row>
    <row r="622" spans="1:9">
      <c r="A622" s="1284" t="s">
        <v>1121</v>
      </c>
      <c r="B622" s="1284"/>
      <c r="C622" s="1284"/>
      <c r="D622" s="1284"/>
      <c r="E622" s="1284"/>
      <c r="F622" s="1284"/>
      <c r="G622" s="1284"/>
      <c r="H622" s="1071"/>
      <c r="I622" s="1072"/>
    </row>
    <row r="623" spans="1:9">
      <c r="A623" s="517"/>
      <c r="B623" s="517"/>
      <c r="C623" s="517"/>
    </row>
    <row r="624" spans="1:9">
      <c r="C624" s="525"/>
      <c r="D624" s="1276" t="s">
        <v>1227</v>
      </c>
      <c r="E624" s="1276"/>
      <c r="F624" s="1276"/>
    </row>
    <row r="625" spans="1:9">
      <c r="A625" s="525"/>
      <c r="B625" s="525"/>
      <c r="D625" s="436"/>
    </row>
    <row r="626" spans="1:9" ht="14.25" customHeight="1">
      <c r="A626" s="519"/>
      <c r="B626" s="520" t="s">
        <v>2624</v>
      </c>
      <c r="D626" s="1340" t="s">
        <v>2460</v>
      </c>
      <c r="E626" s="1340"/>
      <c r="F626" s="1340"/>
      <c r="I626" s="436" t="s">
        <v>2206</v>
      </c>
    </row>
    <row r="627" spans="1:9">
      <c r="D627" s="1340"/>
      <c r="E627" s="1340"/>
      <c r="F627" s="1340"/>
    </row>
    <row r="628" spans="1:9">
      <c r="D628" s="417"/>
      <c r="E628" s="1080" t="s">
        <v>2291</v>
      </c>
      <c r="F628" s="417"/>
    </row>
    <row r="629" spans="1:9">
      <c r="D629" s="1278" t="s">
        <v>2290</v>
      </c>
      <c r="E629" s="1278"/>
      <c r="F629" s="1278"/>
    </row>
    <row r="630" spans="1:9">
      <c r="D630" s="1278"/>
      <c r="E630" s="1278"/>
      <c r="F630" s="1278"/>
    </row>
    <row r="631" spans="1:9">
      <c r="D631" s="1278"/>
      <c r="E631" s="1278"/>
      <c r="F631" s="1278"/>
    </row>
    <row r="632" spans="1:9">
      <c r="D632" s="480"/>
      <c r="E632" s="480"/>
      <c r="F632" s="480"/>
    </row>
    <row r="633" spans="1:9" ht="14.25">
      <c r="A633" s="519"/>
      <c r="B633" s="520" t="s">
        <v>2623</v>
      </c>
      <c r="D633" s="1278" t="s">
        <v>1229</v>
      </c>
      <c r="E633" s="1278"/>
      <c r="F633" s="1278"/>
      <c r="I633" s="436" t="s">
        <v>2228</v>
      </c>
    </row>
    <row r="634" spans="1:9">
      <c r="A634" s="522"/>
      <c r="B634" s="522"/>
      <c r="C634" s="522"/>
      <c r="D634" s="1278"/>
      <c r="E634" s="1278"/>
      <c r="F634" s="1278"/>
    </row>
    <row r="635" spans="1:9">
      <c r="A635" s="522"/>
      <c r="B635" s="522"/>
      <c r="C635" s="522"/>
      <c r="D635" s="481"/>
      <c r="E635" s="481"/>
      <c r="F635" s="481"/>
    </row>
    <row r="636" spans="1:9" ht="14.25">
      <c r="A636" s="519"/>
      <c r="B636" s="520" t="s">
        <v>2623</v>
      </c>
      <c r="C636" s="522"/>
      <c r="D636" s="1278" t="s">
        <v>1371</v>
      </c>
      <c r="E636" s="1278"/>
      <c r="F636" s="1278"/>
      <c r="I636" s="436" t="s">
        <v>2179</v>
      </c>
    </row>
    <row r="637" spans="1:9" ht="14.25">
      <c r="A637" s="519"/>
      <c r="B637" s="519"/>
      <c r="C637" s="522"/>
      <c r="D637" s="1278"/>
      <c r="E637" s="1278"/>
      <c r="F637" s="1278"/>
    </row>
    <row r="638" spans="1:9" ht="14.25">
      <c r="A638" s="519"/>
      <c r="B638" s="519"/>
      <c r="C638" s="522"/>
      <c r="D638" s="1278"/>
      <c r="E638" s="1278"/>
      <c r="F638" s="1278"/>
    </row>
    <row r="639" spans="1:9">
      <c r="A639" s="522"/>
      <c r="B639" s="520" t="s">
        <v>2623</v>
      </c>
      <c r="C639" s="522"/>
      <c r="D639" s="1307" t="s">
        <v>1231</v>
      </c>
      <c r="E639" s="1307"/>
      <c r="F639" s="1307"/>
      <c r="I639" s="436" t="s">
        <v>2179</v>
      </c>
    </row>
    <row r="640" spans="1:9">
      <c r="A640" s="522"/>
      <c r="B640" s="522"/>
      <c r="C640" s="522"/>
      <c r="D640" s="481"/>
      <c r="E640" s="481"/>
      <c r="F640" s="481"/>
    </row>
    <row r="641" spans="1:9">
      <c r="A641" s="1284" t="s">
        <v>1122</v>
      </c>
      <c r="B641" s="1284"/>
      <c r="C641" s="1284"/>
      <c r="D641" s="1284"/>
      <c r="E641" s="1284"/>
      <c r="F641" s="1284"/>
      <c r="G641" s="1284"/>
      <c r="H641" s="1071"/>
      <c r="I641" s="1072"/>
    </row>
    <row r="642" spans="1:9">
      <c r="A642" s="481"/>
      <c r="B642" s="481"/>
      <c r="C642" s="522"/>
      <c r="D642" s="481"/>
      <c r="E642" s="481"/>
      <c r="F642" s="481"/>
    </row>
    <row r="643" spans="1:9">
      <c r="C643" s="517"/>
      <c r="D643" s="1276" t="s">
        <v>1281</v>
      </c>
      <c r="E643" s="1276"/>
      <c r="F643" s="1276"/>
    </row>
    <row r="644" spans="1:9">
      <c r="A644" s="518"/>
      <c r="B644" s="518"/>
      <c r="C644" s="518"/>
      <c r="D644" s="1307" t="s">
        <v>1282</v>
      </c>
      <c r="E644" s="1307"/>
      <c r="F644" s="1307"/>
    </row>
    <row r="645" spans="1:9">
      <c r="A645" s="518"/>
      <c r="B645" s="518"/>
      <c r="C645" s="518"/>
      <c r="D645" s="481"/>
      <c r="E645" s="481"/>
      <c r="F645" s="481"/>
    </row>
    <row r="646" spans="1:9" ht="12.75" customHeight="1">
      <c r="B646" s="520" t="s">
        <v>2624</v>
      </c>
      <c r="C646" s="522"/>
      <c r="D646" s="1278" t="s">
        <v>1444</v>
      </c>
      <c r="E646" s="1278"/>
      <c r="F646" s="1278"/>
      <c r="I646" s="436" t="s">
        <v>2231</v>
      </c>
    </row>
    <row r="647" spans="1:9">
      <c r="D647" s="1278"/>
      <c r="E647" s="1278"/>
      <c r="F647" s="1278"/>
    </row>
    <row r="648" spans="1:9">
      <c r="D648" s="1278"/>
      <c r="E648" s="1278"/>
      <c r="F648" s="1278"/>
    </row>
    <row r="649" spans="1:9">
      <c r="D649" s="1278"/>
      <c r="E649" s="1278"/>
      <c r="F649" s="1278"/>
    </row>
    <row r="650" spans="1:9" ht="14.45" customHeight="1">
      <c r="A650" s="519"/>
      <c r="B650" s="519"/>
      <c r="C650" s="522"/>
      <c r="D650" s="417"/>
      <c r="E650" s="417"/>
      <c r="F650" s="417"/>
    </row>
    <row r="651" spans="1:9" ht="12.75" customHeight="1">
      <c r="A651" s="518"/>
      <c r="B651" s="520" t="s">
        <v>2624</v>
      </c>
      <c r="C651" s="522"/>
      <c r="D651" s="1278" t="s">
        <v>1446</v>
      </c>
      <c r="E651" s="1278"/>
      <c r="F651" s="1278"/>
      <c r="I651" s="436" t="s">
        <v>2231</v>
      </c>
    </row>
    <row r="652" spans="1:9" ht="14.25">
      <c r="A652" s="518"/>
      <c r="B652" s="519"/>
      <c r="C652" s="522"/>
      <c r="D652" s="1278"/>
      <c r="E652" s="1278"/>
      <c r="F652" s="1278"/>
    </row>
    <row r="653" spans="1:9" ht="14.25">
      <c r="A653" s="518"/>
      <c r="B653" s="519"/>
      <c r="C653" s="522"/>
      <c r="D653" s="1278"/>
      <c r="E653" s="1278"/>
      <c r="F653" s="1278"/>
    </row>
    <row r="654" spans="1:9" ht="14.25">
      <c r="A654" s="518"/>
      <c r="B654" s="519"/>
      <c r="C654" s="522"/>
      <c r="D654" s="1278"/>
      <c r="E654" s="1278"/>
      <c r="F654" s="1278"/>
    </row>
    <row r="655" spans="1:9" ht="14.25">
      <c r="A655" s="518"/>
      <c r="B655" s="519"/>
      <c r="C655" s="522"/>
      <c r="D655" s="1278"/>
      <c r="E655" s="1278"/>
      <c r="F655" s="1278"/>
    </row>
    <row r="656" spans="1:9" ht="14.25" customHeight="1">
      <c r="A656" s="518"/>
      <c r="B656" s="519"/>
      <c r="C656" s="522"/>
      <c r="F656" s="418"/>
    </row>
    <row r="657" spans="1:11" ht="12.75" customHeight="1">
      <c r="A657" s="518"/>
      <c r="B657" s="520" t="s">
        <v>2623</v>
      </c>
      <c r="C657" s="522"/>
      <c r="D657" s="1278" t="s">
        <v>1445</v>
      </c>
      <c r="E657" s="1278"/>
      <c r="F657" s="1278"/>
      <c r="I657" s="436" t="s">
        <v>2231</v>
      </c>
    </row>
    <row r="658" spans="1:11" ht="14.25">
      <c r="A658" s="518"/>
      <c r="B658" s="519"/>
      <c r="C658" s="522"/>
      <c r="D658" s="1278"/>
      <c r="E658" s="1278"/>
      <c r="F658" s="1278"/>
    </row>
    <row r="659" spans="1:11" ht="14.25">
      <c r="A659" s="519"/>
      <c r="B659" s="519"/>
      <c r="C659" s="522"/>
      <c r="D659" s="1278"/>
      <c r="E659" s="1278"/>
      <c r="F659" s="1278"/>
    </row>
    <row r="660" spans="1:11" ht="14.25">
      <c r="A660" s="519"/>
      <c r="B660" s="519"/>
      <c r="C660" s="522"/>
      <c r="D660" s="1278"/>
      <c r="E660" s="1278"/>
      <c r="F660" s="1278"/>
    </row>
    <row r="661" spans="1:11" ht="14.25">
      <c r="A661" s="519"/>
      <c r="B661" s="519"/>
      <c r="C661" s="522"/>
      <c r="D661" s="480"/>
      <c r="E661" s="480"/>
      <c r="F661" s="480"/>
    </row>
    <row r="662" spans="1:11" ht="12.75" customHeight="1">
      <c r="A662" s="518"/>
      <c r="B662" s="520" t="s">
        <v>2623</v>
      </c>
      <c r="C662" s="522"/>
      <c r="D662" s="1278" t="s">
        <v>2461</v>
      </c>
      <c r="E662" s="1278"/>
      <c r="F662" s="1278"/>
      <c r="I662" s="436" t="s">
        <v>2231</v>
      </c>
    </row>
    <row r="663" spans="1:11" ht="12.75" customHeight="1">
      <c r="A663" s="518"/>
      <c r="B663" s="519"/>
      <c r="C663" s="522"/>
      <c r="D663" s="1278"/>
      <c r="E663" s="1278"/>
      <c r="F663" s="1278"/>
    </row>
    <row r="664" spans="1:11" ht="12.75" customHeight="1">
      <c r="A664" s="518"/>
      <c r="B664" s="519"/>
      <c r="C664" s="522"/>
      <c r="D664" s="1278"/>
      <c r="E664" s="1278"/>
      <c r="F664" s="1278"/>
    </row>
    <row r="665" spans="1:11" ht="12.75" customHeight="1">
      <c r="A665" s="518"/>
      <c r="B665" s="519"/>
      <c r="C665" s="522"/>
      <c r="D665" s="1278"/>
      <c r="E665" s="1278"/>
      <c r="F665" s="1278"/>
    </row>
    <row r="666" spans="1:11" ht="12.75" customHeight="1">
      <c r="A666" s="518"/>
      <c r="B666" s="519"/>
      <c r="C666" s="522"/>
      <c r="D666" s="1278"/>
      <c r="E666" s="1278"/>
      <c r="F666" s="1278"/>
    </row>
    <row r="667" spans="1:11" ht="12.75" customHeight="1">
      <c r="A667" s="518"/>
      <c r="B667" s="519"/>
      <c r="C667" s="522"/>
      <c r="D667" s="1278"/>
      <c r="E667" s="1278"/>
      <c r="F667" s="1278"/>
    </row>
    <row r="668" spans="1:11" ht="12.75" customHeight="1">
      <c r="A668" s="518"/>
      <c r="B668" s="519"/>
      <c r="C668" s="522"/>
      <c r="D668" s="1278"/>
      <c r="E668" s="1278"/>
      <c r="F668" s="1278"/>
    </row>
    <row r="669" spans="1:11" ht="12.75" customHeight="1">
      <c r="A669" s="518"/>
      <c r="B669" s="519"/>
      <c r="C669" s="522"/>
      <c r="D669" s="1278"/>
      <c r="E669" s="1278"/>
      <c r="F669" s="1278"/>
    </row>
    <row r="670" spans="1:11" ht="12.75" customHeight="1">
      <c r="A670" s="518"/>
      <c r="B670" s="519"/>
      <c r="C670" s="522"/>
      <c r="D670" s="1278"/>
      <c r="E670" s="1278"/>
      <c r="F670" s="1278"/>
    </row>
    <row r="671" spans="1:11">
      <c r="A671" s="522"/>
      <c r="B671" s="522"/>
      <c r="C671" s="522"/>
      <c r="D671" s="481"/>
      <c r="E671" s="481"/>
      <c r="F671" s="481"/>
    </row>
    <row r="672" spans="1:11">
      <c r="A672" s="1284" t="s">
        <v>1123</v>
      </c>
      <c r="B672" s="1284"/>
      <c r="C672" s="1284"/>
      <c r="D672" s="1284"/>
      <c r="E672" s="1284"/>
      <c r="F672" s="1284"/>
      <c r="G672" s="1284"/>
      <c r="H672" s="1073"/>
      <c r="I672" s="1074"/>
      <c r="J672" s="536"/>
      <c r="K672" s="536"/>
    </row>
    <row r="673" spans="1:11">
      <c r="A673" s="483"/>
      <c r="B673" s="483"/>
      <c r="C673" s="483"/>
      <c r="D673" s="483"/>
      <c r="E673" s="483"/>
      <c r="F673" s="483"/>
      <c r="G673" s="483"/>
      <c r="H673" s="536"/>
      <c r="I673" s="1065"/>
      <c r="J673" s="536"/>
      <c r="K673" s="536"/>
    </row>
    <row r="674" spans="1:11">
      <c r="C674" s="517"/>
      <c r="D674" s="1276" t="s">
        <v>100</v>
      </c>
      <c r="E674" s="1276"/>
      <c r="F674" s="1276"/>
      <c r="H674" s="536"/>
      <c r="I674" s="1065"/>
      <c r="J674" s="536"/>
      <c r="K674" s="536"/>
    </row>
    <row r="675" spans="1:11">
      <c r="A675" s="517"/>
      <c r="B675" s="517"/>
      <c r="C675" s="517"/>
      <c r="D675" s="1276" t="s">
        <v>124</v>
      </c>
      <c r="E675" s="1276"/>
      <c r="F675" s="1276"/>
      <c r="H675" s="536"/>
      <c r="I675" s="1065"/>
      <c r="J675" s="536"/>
      <c r="K675" s="536"/>
    </row>
    <row r="676" spans="1:11">
      <c r="A676" s="518"/>
      <c r="B676" s="518"/>
      <c r="C676" s="518"/>
      <c r="D676" s="1307" t="s">
        <v>1159</v>
      </c>
      <c r="E676" s="1307"/>
      <c r="F676" s="1307"/>
      <c r="H676" s="536"/>
      <c r="I676" s="1065"/>
      <c r="J676" s="536"/>
      <c r="K676" s="536"/>
    </row>
    <row r="677" spans="1:11">
      <c r="A677" s="518"/>
      <c r="B677" s="518"/>
      <c r="C677" s="518"/>
      <c r="H677" s="536"/>
      <c r="I677" s="1065"/>
      <c r="J677" s="536"/>
      <c r="K677" s="536"/>
    </row>
    <row r="678" spans="1:11" ht="14.25">
      <c r="A678" s="519"/>
      <c r="B678" s="520" t="s">
        <v>2623</v>
      </c>
      <c r="C678" s="518"/>
      <c r="D678" s="1307" t="s">
        <v>915</v>
      </c>
      <c r="E678" s="1307"/>
      <c r="F678" s="1307"/>
      <c r="H678" s="536"/>
      <c r="I678" s="1065" t="s">
        <v>2207</v>
      </c>
      <c r="J678" s="536"/>
      <c r="K678" s="536"/>
    </row>
    <row r="679" spans="1:11">
      <c r="A679" s="518"/>
      <c r="B679" s="518"/>
      <c r="C679" s="518"/>
      <c r="D679" s="1307" t="s">
        <v>926</v>
      </c>
      <c r="E679" s="1307"/>
      <c r="F679" s="1307"/>
      <c r="H679" s="536"/>
      <c r="I679" s="1065"/>
      <c r="J679" s="536"/>
      <c r="K679" s="536"/>
    </row>
    <row r="680" spans="1:11" ht="12.75" customHeight="1">
      <c r="A680" s="518"/>
      <c r="B680" s="518"/>
      <c r="C680" s="518"/>
      <c r="E680" s="1080" t="s">
        <v>2293</v>
      </c>
      <c r="F680" s="452"/>
      <c r="H680" s="536"/>
      <c r="I680" s="1065"/>
      <c r="J680" s="536"/>
      <c r="K680" s="536"/>
    </row>
    <row r="681" spans="1:11">
      <c r="A681" s="518"/>
      <c r="B681" s="518"/>
      <c r="C681" s="518"/>
      <c r="E681" s="536" t="s">
        <v>2292</v>
      </c>
      <c r="F681" s="452"/>
      <c r="I681" s="1065"/>
      <c r="J681" s="536"/>
      <c r="K681" s="536"/>
    </row>
    <row r="682" spans="1:11">
      <c r="A682" s="518"/>
      <c r="B682" s="518"/>
      <c r="C682" s="518"/>
      <c r="D682" s="537"/>
      <c r="E682" s="481"/>
      <c r="H682" s="536"/>
      <c r="I682" s="1065"/>
      <c r="J682" s="536"/>
      <c r="K682" s="536"/>
    </row>
    <row r="683" spans="1:11" ht="14.25">
      <c r="A683" s="519"/>
      <c r="B683" s="520" t="s">
        <v>2623</v>
      </c>
      <c r="C683" s="518"/>
      <c r="D683" s="1278" t="s">
        <v>2462</v>
      </c>
      <c r="E683" s="1278"/>
      <c r="F683" s="1278"/>
      <c r="H683" s="536"/>
      <c r="I683" s="1065" t="s">
        <v>2229</v>
      </c>
      <c r="J683" s="536"/>
      <c r="K683" s="536"/>
    </row>
    <row r="684" spans="1:11">
      <c r="A684" s="525"/>
      <c r="B684" s="525"/>
      <c r="C684" s="518"/>
      <c r="D684" s="1278"/>
      <c r="E684" s="1278"/>
      <c r="F684" s="1278"/>
      <c r="H684" s="536"/>
      <c r="I684" s="1065"/>
      <c r="J684" s="536"/>
      <c r="K684" s="536"/>
    </row>
    <row r="685" spans="1:11">
      <c r="A685" s="518"/>
      <c r="B685" s="518"/>
      <c r="C685" s="518"/>
      <c r="D685" s="1278"/>
      <c r="E685" s="1278"/>
      <c r="F685" s="1278"/>
      <c r="H685" s="536"/>
      <c r="I685" s="1065"/>
      <c r="J685" s="536"/>
      <c r="K685" s="536"/>
    </row>
    <row r="686" spans="1:11">
      <c r="A686" s="518"/>
      <c r="B686" s="518"/>
      <c r="C686" s="518"/>
      <c r="H686" s="536"/>
      <c r="I686" s="1065" t="s">
        <v>2208</v>
      </c>
      <c r="J686" s="536"/>
      <c r="K686" s="536"/>
    </row>
    <row r="687" spans="1:11" ht="14.25">
      <c r="A687" s="519"/>
      <c r="B687" s="520" t="s">
        <v>2624</v>
      </c>
      <c r="C687" s="518"/>
      <c r="D687" s="1307" t="s">
        <v>954</v>
      </c>
      <c r="E687" s="1307"/>
      <c r="F687" s="1307"/>
      <c r="H687" s="536"/>
      <c r="I687" s="1065"/>
      <c r="J687" s="536"/>
      <c r="K687" s="536"/>
    </row>
    <row r="688" spans="1:11" ht="14.25">
      <c r="A688" s="519"/>
      <c r="B688" s="519"/>
      <c r="C688" s="518"/>
      <c r="D688" s="1307" t="s">
        <v>926</v>
      </c>
      <c r="E688" s="1307"/>
      <c r="F688" s="1307"/>
      <c r="H688" s="536"/>
      <c r="I688" s="1065"/>
      <c r="J688" s="536"/>
      <c r="K688" s="536"/>
    </row>
    <row r="689" spans="1:11">
      <c r="A689" s="518"/>
      <c r="B689" s="518"/>
      <c r="C689" s="518"/>
      <c r="E689" s="1080" t="s">
        <v>2294</v>
      </c>
      <c r="F689" s="436"/>
      <c r="H689" s="536"/>
      <c r="I689" s="1065"/>
      <c r="J689" s="536"/>
      <c r="K689" s="536"/>
    </row>
    <row r="690" spans="1:11">
      <c r="A690" s="518"/>
      <c r="B690" s="518"/>
      <c r="C690" s="518"/>
      <c r="D690" s="436"/>
      <c r="H690" s="536"/>
      <c r="I690" s="1065"/>
      <c r="J690" s="536"/>
      <c r="K690" s="536"/>
    </row>
    <row r="691" spans="1:11" ht="14.25">
      <c r="A691" s="519"/>
      <c r="B691" s="520" t="s">
        <v>2624</v>
      </c>
      <c r="C691" s="518"/>
      <c r="D691" s="1278" t="s">
        <v>1172</v>
      </c>
      <c r="E691" s="1278"/>
      <c r="F691" s="1278"/>
      <c r="H691" s="536"/>
      <c r="I691" s="1065" t="s">
        <v>2180</v>
      </c>
      <c r="J691" s="536"/>
      <c r="K691" s="536"/>
    </row>
    <row r="692" spans="1:11">
      <c r="A692" s="518"/>
      <c r="B692" s="518"/>
      <c r="C692" s="518"/>
      <c r="D692" s="1278"/>
      <c r="E692" s="1278"/>
      <c r="F692" s="1278"/>
      <c r="H692" s="536"/>
      <c r="I692" s="1065"/>
      <c r="J692" s="536"/>
      <c r="K692" s="536"/>
    </row>
    <row r="693" spans="1:11">
      <c r="A693" s="518"/>
      <c r="B693" s="518"/>
      <c r="C693" s="518"/>
      <c r="D693" s="1278"/>
      <c r="E693" s="1278"/>
      <c r="F693" s="1278"/>
      <c r="H693" s="536"/>
      <c r="I693" s="1065"/>
      <c r="J693" s="536"/>
      <c r="K693" s="536"/>
    </row>
    <row r="694" spans="1:11">
      <c r="A694" s="518"/>
      <c r="B694" s="518"/>
      <c r="C694" s="518"/>
      <c r="D694" s="1278"/>
      <c r="E694" s="1278"/>
      <c r="F694" s="1278"/>
      <c r="H694" s="536"/>
      <c r="I694" s="1065"/>
      <c r="J694" s="536"/>
      <c r="K694" s="536"/>
    </row>
    <row r="695" spans="1:11">
      <c r="A695" s="518"/>
      <c r="B695" s="518"/>
      <c r="C695" s="518"/>
      <c r="D695" s="1278"/>
      <c r="E695" s="1278"/>
      <c r="F695" s="1278"/>
      <c r="H695" s="536"/>
      <c r="I695" s="1065"/>
      <c r="J695" s="536"/>
      <c r="K695" s="536"/>
    </row>
    <row r="696" spans="1:11">
      <c r="A696" s="518"/>
      <c r="B696" s="518"/>
      <c r="C696" s="518"/>
      <c r="D696" s="1278"/>
      <c r="E696" s="1278"/>
      <c r="F696" s="1278"/>
      <c r="H696" s="536"/>
      <c r="I696" s="1065"/>
      <c r="J696" s="536"/>
      <c r="K696" s="536"/>
    </row>
    <row r="697" spans="1:11">
      <c r="A697" s="518"/>
      <c r="B697" s="518"/>
      <c r="C697" s="518"/>
      <c r="D697" s="480"/>
      <c r="E697" s="480"/>
      <c r="F697" s="480"/>
      <c r="H697" s="536"/>
      <c r="I697" s="1065"/>
      <c r="J697" s="536"/>
      <c r="K697" s="536"/>
    </row>
    <row r="698" spans="1:11">
      <c r="A698" s="518"/>
      <c r="B698" s="520" t="s">
        <v>2624</v>
      </c>
      <c r="C698" s="518"/>
      <c r="D698" s="1278" t="s">
        <v>1343</v>
      </c>
      <c r="E698" s="1278"/>
      <c r="F698" s="1278"/>
      <c r="H698" s="536"/>
      <c r="I698" s="1065" t="s">
        <v>2180</v>
      </c>
      <c r="J698" s="536"/>
      <c r="K698" s="536"/>
    </row>
    <row r="699" spans="1:11">
      <c r="A699" s="518"/>
      <c r="B699" s="518"/>
      <c r="C699" s="518"/>
      <c r="D699" s="1278"/>
      <c r="E699" s="1278"/>
      <c r="F699" s="1278"/>
      <c r="H699" s="536"/>
      <c r="I699" s="1065"/>
      <c r="J699" s="536"/>
      <c r="K699" s="536"/>
    </row>
    <row r="700" spans="1:11">
      <c r="A700" s="518"/>
      <c r="B700" s="518"/>
      <c r="C700" s="518"/>
      <c r="D700" s="480"/>
      <c r="E700" s="480"/>
      <c r="F700" s="480"/>
      <c r="H700" s="536"/>
      <c r="I700" s="1065"/>
      <c r="J700" s="536"/>
      <c r="K700" s="536"/>
    </row>
    <row r="701" spans="1:11" ht="14.25">
      <c r="A701" s="519"/>
      <c r="B701" s="520" t="s">
        <v>2624</v>
      </c>
      <c r="C701" s="518"/>
      <c r="D701" s="1278" t="s">
        <v>1163</v>
      </c>
      <c r="E701" s="1278"/>
      <c r="F701" s="1278"/>
      <c r="H701" s="536"/>
      <c r="I701" s="1065" t="s">
        <v>2180</v>
      </c>
      <c r="J701" s="536"/>
      <c r="K701" s="536"/>
    </row>
    <row r="702" spans="1:11">
      <c r="A702" s="518"/>
      <c r="B702" s="518"/>
      <c r="C702" s="518"/>
      <c r="D702" s="1278"/>
      <c r="E702" s="1278"/>
      <c r="F702" s="1278"/>
      <c r="H702" s="536"/>
      <c r="I702" s="1065"/>
      <c r="J702" s="536"/>
      <c r="K702" s="536"/>
    </row>
    <row r="703" spans="1:11">
      <c r="A703" s="518"/>
      <c r="B703" s="518"/>
      <c r="C703" s="518"/>
      <c r="D703" s="1278"/>
      <c r="E703" s="1278"/>
      <c r="F703" s="1278"/>
      <c r="H703" s="536"/>
      <c r="I703" s="1065"/>
      <c r="J703" s="536"/>
      <c r="K703" s="536"/>
    </row>
    <row r="704" spans="1:11" ht="15" customHeight="1">
      <c r="A704" s="518"/>
      <c r="B704" s="518"/>
      <c r="C704" s="518"/>
      <c r="D704" s="1278"/>
      <c r="E704" s="1278"/>
      <c r="F704" s="1278"/>
      <c r="H704" s="536"/>
      <c r="I704" s="1065"/>
      <c r="J704" s="536"/>
      <c r="K704" s="536"/>
    </row>
    <row r="705" spans="1:11" ht="15" customHeight="1">
      <c r="A705" s="518"/>
      <c r="B705" s="518"/>
      <c r="C705" s="518"/>
      <c r="D705" s="1278"/>
      <c r="E705" s="1278"/>
      <c r="F705" s="1278"/>
      <c r="H705" s="536"/>
      <c r="I705" s="1065"/>
      <c r="J705" s="536"/>
      <c r="K705" s="536"/>
    </row>
    <row r="706" spans="1:11">
      <c r="A706" s="518"/>
      <c r="B706" s="518"/>
      <c r="C706" s="518"/>
      <c r="D706" s="1278"/>
      <c r="E706" s="1278"/>
      <c r="F706" s="1278"/>
      <c r="H706" s="536"/>
      <c r="I706" s="1065"/>
      <c r="J706" s="536"/>
      <c r="K706" s="536"/>
    </row>
    <row r="707" spans="1:11">
      <c r="A707" s="518"/>
      <c r="B707" s="518"/>
      <c r="C707" s="518"/>
      <c r="D707" s="1278"/>
      <c r="E707" s="1278"/>
      <c r="F707" s="1278"/>
      <c r="H707" s="536"/>
      <c r="I707" s="1065"/>
      <c r="J707" s="536"/>
      <c r="K707" s="536"/>
    </row>
    <row r="708" spans="1:11">
      <c r="A708" s="518"/>
      <c r="B708" s="518"/>
      <c r="C708" s="518"/>
      <c r="D708" s="1278"/>
      <c r="E708" s="1278"/>
      <c r="F708" s="1278"/>
      <c r="H708" s="536"/>
      <c r="I708" s="1065"/>
      <c r="J708" s="536"/>
      <c r="K708" s="536"/>
    </row>
    <row r="709" spans="1:11" ht="15" customHeight="1">
      <c r="A709" s="518"/>
      <c r="B709" s="518"/>
      <c r="C709" s="518"/>
      <c r="D709" s="1278"/>
      <c r="E709" s="1278"/>
      <c r="F709" s="1278"/>
      <c r="H709" s="536"/>
      <c r="I709" s="1065"/>
      <c r="J709" s="536"/>
      <c r="K709" s="536"/>
    </row>
    <row r="710" spans="1:11">
      <c r="A710" s="518"/>
      <c r="B710" s="518"/>
      <c r="C710" s="518"/>
      <c r="D710" s="1278"/>
      <c r="E710" s="1278"/>
      <c r="F710" s="1278"/>
      <c r="H710" s="536"/>
      <c r="I710" s="1065"/>
      <c r="J710" s="536"/>
      <c r="K710" s="536"/>
    </row>
    <row r="711" spans="1:11">
      <c r="A711" s="518"/>
      <c r="B711" s="518"/>
      <c r="C711" s="518"/>
      <c r="D711" s="1278"/>
      <c r="E711" s="1278"/>
      <c r="F711" s="1278"/>
      <c r="H711" s="536"/>
      <c r="I711" s="1065"/>
      <c r="J711" s="536"/>
      <c r="K711" s="536"/>
    </row>
    <row r="712" spans="1:11">
      <c r="A712" s="518"/>
      <c r="B712" s="518"/>
      <c r="C712" s="518"/>
      <c r="D712" s="1278"/>
      <c r="E712" s="1278"/>
      <c r="F712" s="1278"/>
      <c r="H712" s="536"/>
      <c r="I712" s="1065"/>
      <c r="J712" s="536"/>
      <c r="K712" s="536"/>
    </row>
    <row r="713" spans="1:11">
      <c r="A713" s="518"/>
      <c r="B713" s="518"/>
      <c r="C713" s="518"/>
      <c r="D713" s="1278"/>
      <c r="E713" s="1278"/>
      <c r="F713" s="1278"/>
      <c r="H713" s="536"/>
      <c r="I713" s="1065"/>
      <c r="J713" s="536"/>
      <c r="K713" s="536"/>
    </row>
    <row r="714" spans="1:11">
      <c r="A714" s="518"/>
      <c r="B714" s="520" t="s">
        <v>2623</v>
      </c>
      <c r="C714" s="518"/>
      <c r="D714" s="1278" t="s">
        <v>1170</v>
      </c>
      <c r="E714" s="1278"/>
      <c r="F714" s="1278"/>
      <c r="H714" s="536"/>
      <c r="I714" s="1065" t="s">
        <v>2230</v>
      </c>
      <c r="J714" s="536"/>
      <c r="K714" s="536"/>
    </row>
    <row r="715" spans="1:11">
      <c r="A715" s="518"/>
      <c r="B715" s="518"/>
      <c r="C715" s="518"/>
      <c r="D715" s="1278"/>
      <c r="E715" s="1278"/>
      <c r="F715" s="1278"/>
      <c r="H715" s="536"/>
      <c r="I715" s="1065"/>
      <c r="J715" s="536"/>
      <c r="K715" s="536"/>
    </row>
    <row r="716" spans="1:11">
      <c r="A716" s="518"/>
      <c r="B716" s="518"/>
      <c r="C716" s="518"/>
      <c r="D716" s="480"/>
      <c r="E716" s="480"/>
      <c r="F716" s="480"/>
      <c r="H716" s="536"/>
      <c r="I716" s="1065"/>
      <c r="J716" s="536"/>
      <c r="K716" s="536"/>
    </row>
    <row r="717" spans="1:11">
      <c r="A717" s="518"/>
      <c r="B717" s="520" t="s">
        <v>2623</v>
      </c>
      <c r="C717" s="518"/>
      <c r="D717" s="1278" t="s">
        <v>1164</v>
      </c>
      <c r="E717" s="1278"/>
      <c r="F717" s="1278"/>
      <c r="H717" s="536"/>
      <c r="I717" s="1065" t="s">
        <v>2230</v>
      </c>
      <c r="J717" s="536"/>
      <c r="K717" s="536"/>
    </row>
    <row r="718" spans="1:11">
      <c r="A718" s="518"/>
      <c r="B718" s="518"/>
      <c r="C718" s="518"/>
      <c r="D718" s="1278"/>
      <c r="E718" s="1278"/>
      <c r="F718" s="1278"/>
      <c r="H718" s="536"/>
      <c r="I718" s="1065"/>
      <c r="J718" s="536"/>
      <c r="K718" s="536"/>
    </row>
    <row r="719" spans="1:11">
      <c r="A719" s="518"/>
      <c r="B719" s="518"/>
      <c r="C719" s="518"/>
      <c r="D719" s="1278"/>
      <c r="E719" s="1278"/>
      <c r="F719" s="1278"/>
      <c r="H719" s="536"/>
      <c r="I719" s="1065"/>
      <c r="J719" s="536"/>
      <c r="K719" s="536"/>
    </row>
    <row r="720" spans="1:11">
      <c r="A720" s="518"/>
      <c r="B720" s="518"/>
      <c r="C720" s="518"/>
      <c r="H720" s="536"/>
      <c r="I720" s="1065"/>
      <c r="J720" s="536"/>
      <c r="K720" s="536"/>
    </row>
    <row r="721" spans="1:11">
      <c r="A721" s="518"/>
      <c r="B721" s="520" t="s">
        <v>2623</v>
      </c>
      <c r="C721" s="518"/>
      <c r="D721" s="1278" t="s">
        <v>1165</v>
      </c>
      <c r="E721" s="1278"/>
      <c r="F721" s="1278"/>
      <c r="H721" s="536"/>
      <c r="I721" s="1065" t="s">
        <v>2230</v>
      </c>
      <c r="J721" s="536"/>
      <c r="K721" s="536"/>
    </row>
    <row r="722" spans="1:11">
      <c r="A722" s="518"/>
      <c r="B722" s="518"/>
      <c r="C722" s="518"/>
      <c r="D722" s="1278"/>
      <c r="E722" s="1278"/>
      <c r="F722" s="1278"/>
      <c r="H722" s="536"/>
      <c r="I722" s="1065"/>
      <c r="J722" s="536"/>
      <c r="K722" s="536"/>
    </row>
    <row r="723" spans="1:11">
      <c r="A723" s="518"/>
      <c r="B723" s="518"/>
      <c r="C723" s="518"/>
      <c r="D723" s="1278"/>
      <c r="E723" s="1278"/>
      <c r="F723" s="1278"/>
      <c r="H723" s="536"/>
      <c r="I723" s="1065"/>
      <c r="J723" s="536"/>
      <c r="K723" s="536"/>
    </row>
    <row r="724" spans="1:11">
      <c r="A724" s="518"/>
      <c r="B724" s="518"/>
      <c r="C724" s="518"/>
      <c r="H724" s="536"/>
      <c r="I724" s="1065"/>
      <c r="J724" s="536"/>
      <c r="K724" s="536"/>
    </row>
    <row r="725" spans="1:11" ht="14.25">
      <c r="A725" s="519"/>
      <c r="B725" s="520" t="s">
        <v>2623</v>
      </c>
      <c r="C725" s="518"/>
      <c r="D725" s="1278" t="s">
        <v>1166</v>
      </c>
      <c r="E725" s="1278"/>
      <c r="F725" s="1278"/>
      <c r="H725" s="536"/>
      <c r="I725" s="1065" t="s">
        <v>2181</v>
      </c>
      <c r="J725" s="536"/>
      <c r="K725" s="536"/>
    </row>
    <row r="726" spans="1:11">
      <c r="A726" s="518"/>
      <c r="B726" s="518"/>
      <c r="C726" s="518"/>
      <c r="D726" s="1278"/>
      <c r="E726" s="1278"/>
      <c r="F726" s="1278"/>
      <c r="H726" s="536"/>
      <c r="I726" s="1065"/>
      <c r="J726" s="536"/>
      <c r="K726" s="536"/>
    </row>
    <row r="727" spans="1:11">
      <c r="A727" s="518"/>
      <c r="B727" s="518"/>
      <c r="C727" s="518"/>
      <c r="D727" s="1278"/>
      <c r="E727" s="1278"/>
      <c r="F727" s="1278"/>
      <c r="H727" s="536"/>
      <c r="I727" s="1065"/>
      <c r="J727" s="536"/>
      <c r="K727" s="536"/>
    </row>
    <row r="728" spans="1:11">
      <c r="A728" s="518"/>
      <c r="B728" s="518"/>
      <c r="C728" s="518"/>
      <c r="D728" s="1278"/>
      <c r="E728" s="1278"/>
      <c r="F728" s="1278"/>
      <c r="H728" s="536"/>
      <c r="I728" s="1065"/>
      <c r="J728" s="536"/>
      <c r="K728" s="536"/>
    </row>
    <row r="729" spans="1:11">
      <c r="A729" s="518"/>
      <c r="B729" s="518"/>
      <c r="C729" s="518"/>
      <c r="D729" s="527"/>
      <c r="H729" s="536"/>
      <c r="I729" s="1065"/>
      <c r="J729" s="536"/>
      <c r="K729" s="536"/>
    </row>
    <row r="730" spans="1:11" ht="14.25">
      <c r="A730" s="519"/>
      <c r="B730" s="520" t="s">
        <v>2623</v>
      </c>
      <c r="C730" s="518"/>
      <c r="D730" s="1278" t="s">
        <v>2617</v>
      </c>
      <c r="E730" s="1278"/>
      <c r="F730" s="1278"/>
      <c r="H730" s="536"/>
      <c r="I730" s="1065" t="s">
        <v>2197</v>
      </c>
      <c r="J730" s="536"/>
      <c r="K730" s="536"/>
    </row>
    <row r="731" spans="1:11">
      <c r="A731" s="518"/>
      <c r="B731" s="518"/>
      <c r="C731" s="518"/>
      <c r="D731" s="1278"/>
      <c r="E731" s="1278"/>
      <c r="F731" s="1278"/>
      <c r="H731" s="536"/>
      <c r="I731" s="1065"/>
      <c r="J731" s="536"/>
      <c r="K731" s="536"/>
    </row>
    <row r="732" spans="1:11">
      <c r="A732" s="518"/>
      <c r="B732" s="518"/>
      <c r="C732" s="518"/>
      <c r="D732" s="1278"/>
      <c r="E732" s="1278"/>
      <c r="F732" s="1278"/>
      <c r="H732" s="536"/>
      <c r="I732" s="1065"/>
      <c r="J732" s="536"/>
      <c r="K732" s="536"/>
    </row>
    <row r="733" spans="1:11">
      <c r="A733" s="518"/>
      <c r="B733" s="518"/>
      <c r="C733" s="518"/>
      <c r="D733" s="1278"/>
      <c r="E733" s="1278"/>
      <c r="F733" s="1278"/>
      <c r="H733" s="536"/>
      <c r="I733" s="1065"/>
      <c r="J733" s="536"/>
      <c r="K733" s="536"/>
    </row>
    <row r="734" spans="1:11">
      <c r="A734" s="518"/>
      <c r="B734" s="518"/>
      <c r="C734" s="518"/>
      <c r="D734" s="1278"/>
      <c r="E734" s="1278"/>
      <c r="F734" s="1278"/>
      <c r="H734" s="536"/>
      <c r="I734" s="1065"/>
      <c r="J734" s="536"/>
      <c r="K734" s="536"/>
    </row>
    <row r="735" spans="1:11">
      <c r="A735" s="518"/>
      <c r="B735" s="518"/>
      <c r="C735" s="518"/>
      <c r="D735" s="1278"/>
      <c r="E735" s="1278"/>
      <c r="F735" s="1278"/>
      <c r="H735" s="536"/>
      <c r="I735" s="1065"/>
      <c r="J735" s="536"/>
      <c r="K735" s="536"/>
    </row>
    <row r="736" spans="1:11">
      <c r="A736" s="518"/>
      <c r="B736" s="518"/>
      <c r="C736" s="518"/>
      <c r="D736" s="1278"/>
      <c r="E736" s="1278"/>
      <c r="F736" s="1278"/>
      <c r="H736" s="536"/>
      <c r="I736" s="1065"/>
      <c r="J736" s="536"/>
      <c r="K736" s="536"/>
    </row>
    <row r="737" spans="1:11">
      <c r="A737" s="518"/>
      <c r="B737" s="518"/>
      <c r="C737" s="518"/>
      <c r="D737" s="1290" t="s">
        <v>2471</v>
      </c>
      <c r="E737" s="1290"/>
      <c r="F737" s="1290"/>
      <c r="H737" s="536"/>
      <c r="I737" s="1065"/>
      <c r="J737" s="536"/>
      <c r="K737" s="536"/>
    </row>
    <row r="738" spans="1:11">
      <c r="A738" s="518"/>
      <c r="B738" s="518"/>
      <c r="C738" s="518"/>
      <c r="D738" s="370"/>
      <c r="H738" s="536"/>
      <c r="I738" s="1065"/>
      <c r="J738" s="536"/>
      <c r="K738" s="536"/>
    </row>
    <row r="739" spans="1:11">
      <c r="A739" s="1285" t="s">
        <v>1124</v>
      </c>
      <c r="B739" s="1285"/>
      <c r="C739" s="1285"/>
      <c r="D739" s="1285"/>
      <c r="E739" s="1285"/>
      <c r="F739" s="1285"/>
      <c r="G739" s="1285"/>
      <c r="H739" s="1073"/>
      <c r="I739" s="1074"/>
      <c r="J739" s="536"/>
      <c r="K739" s="536"/>
    </row>
    <row r="740" spans="1:11">
      <c r="A740" s="518"/>
      <c r="B740" s="518"/>
      <c r="C740" s="518"/>
      <c r="D740" s="527"/>
      <c r="G740" s="536"/>
      <c r="H740" s="536"/>
      <c r="I740" s="1065"/>
      <c r="J740" s="536"/>
      <c r="K740" s="536"/>
    </row>
    <row r="741" spans="1:11" ht="13.7" customHeight="1">
      <c r="C741" s="518"/>
      <c r="D741" s="1306" t="s">
        <v>1140</v>
      </c>
      <c r="E741" s="1306"/>
      <c r="F741" s="1306"/>
      <c r="G741" s="536"/>
      <c r="H741" s="536"/>
      <c r="I741" s="1065"/>
      <c r="J741" s="536"/>
      <c r="K741" s="536"/>
    </row>
    <row r="742" spans="1:11">
      <c r="A742" s="518"/>
      <c r="B742" s="518"/>
      <c r="C742" s="518"/>
      <c r="D742" s="1293" t="s">
        <v>1141</v>
      </c>
      <c r="E742" s="1293"/>
      <c r="F742" s="1293"/>
      <c r="G742" s="536"/>
      <c r="H742" s="536"/>
      <c r="I742" s="1065"/>
      <c r="J742" s="536"/>
      <c r="K742" s="536"/>
    </row>
    <row r="743" spans="1:11">
      <c r="A743" s="518"/>
      <c r="B743" s="518"/>
      <c r="C743" s="518"/>
      <c r="G743" s="536"/>
      <c r="H743" s="536"/>
      <c r="I743" s="1065"/>
      <c r="J743" s="536"/>
      <c r="K743" s="536"/>
    </row>
    <row r="744" spans="1:11" ht="14.25">
      <c r="A744" s="519"/>
      <c r="B744" s="520" t="s">
        <v>2624</v>
      </c>
      <c r="D744" s="1278" t="s">
        <v>1142</v>
      </c>
      <c r="E744" s="1278"/>
      <c r="F744" s="1278"/>
      <c r="G744" s="536"/>
      <c r="H744" s="536"/>
      <c r="I744" s="1065" t="s">
        <v>2182</v>
      </c>
      <c r="J744" s="536"/>
      <c r="K744" s="536"/>
    </row>
    <row r="745" spans="1:11" ht="10.5" customHeight="1">
      <c r="D745" s="1278"/>
      <c r="E745" s="1278"/>
      <c r="F745" s="1278"/>
      <c r="G745" s="536"/>
      <c r="H745" s="536"/>
      <c r="I745" s="1065"/>
      <c r="J745" s="536"/>
      <c r="K745" s="536"/>
    </row>
    <row r="746" spans="1:11">
      <c r="D746" s="1278"/>
      <c r="E746" s="1278"/>
      <c r="F746" s="1278"/>
      <c r="G746" s="536"/>
      <c r="H746" s="536"/>
      <c r="I746" s="1065"/>
      <c r="J746" s="536"/>
      <c r="K746" s="536"/>
    </row>
    <row r="747" spans="1:11">
      <c r="D747" s="1278"/>
      <c r="E747" s="1278"/>
      <c r="F747" s="1278"/>
      <c r="G747" s="536"/>
      <c r="H747" s="536"/>
      <c r="I747" s="1065"/>
      <c r="J747" s="536"/>
      <c r="K747" s="536"/>
    </row>
    <row r="748" spans="1:11">
      <c r="D748" s="1278"/>
      <c r="E748" s="1278"/>
      <c r="F748" s="1278"/>
      <c r="G748" s="536"/>
      <c r="H748" s="536"/>
      <c r="I748" s="1065"/>
      <c r="J748" s="536"/>
      <c r="K748" s="536"/>
    </row>
    <row r="749" spans="1:11" ht="15.75" customHeight="1">
      <c r="D749" s="1278"/>
      <c r="E749" s="1278"/>
      <c r="F749" s="1278"/>
      <c r="G749" s="536"/>
      <c r="H749" s="536"/>
      <c r="I749" s="1065"/>
      <c r="J749" s="536"/>
      <c r="K749" s="536"/>
    </row>
    <row r="750" spans="1:11">
      <c r="D750" s="534"/>
      <c r="E750" s="481"/>
      <c r="F750" s="481"/>
      <c r="G750" s="536"/>
      <c r="H750" s="536"/>
      <c r="I750" s="1065"/>
      <c r="J750" s="536"/>
      <c r="K750" s="536"/>
    </row>
    <row r="751" spans="1:11" s="540" customFormat="1" ht="14.25">
      <c r="A751" s="538"/>
      <c r="B751" s="520" t="s">
        <v>2624</v>
      </c>
      <c r="C751" s="539"/>
      <c r="D751" s="1278" t="s">
        <v>1388</v>
      </c>
      <c r="E751" s="1278"/>
      <c r="F751" s="1278"/>
      <c r="I751" s="1066" t="s">
        <v>2182</v>
      </c>
    </row>
    <row r="752" spans="1:11" s="540" customFormat="1">
      <c r="A752" s="539"/>
      <c r="B752" s="539"/>
      <c r="C752" s="539"/>
      <c r="D752" s="1278"/>
      <c r="E752" s="1278"/>
      <c r="F752" s="1278"/>
      <c r="I752" s="1066"/>
    </row>
    <row r="753" spans="1:11" s="540" customFormat="1">
      <c r="A753" s="539"/>
      <c r="B753" s="539"/>
      <c r="C753" s="539"/>
      <c r="D753" s="1278"/>
      <c r="E753" s="1278"/>
      <c r="F753" s="1278"/>
      <c r="I753" s="1066"/>
    </row>
    <row r="754" spans="1:11" s="540" customFormat="1">
      <c r="A754" s="539"/>
      <c r="B754" s="539"/>
      <c r="C754" s="539"/>
      <c r="D754" s="1278"/>
      <c r="E754" s="1278"/>
      <c r="F754" s="1278"/>
      <c r="I754" s="1066"/>
    </row>
    <row r="755" spans="1:11" s="540" customFormat="1">
      <c r="A755" s="539"/>
      <c r="B755" s="539"/>
      <c r="C755" s="539"/>
      <c r="D755" s="534"/>
      <c r="I755" s="1066"/>
    </row>
    <row r="756" spans="1:11" s="540" customFormat="1" ht="14.25">
      <c r="A756" s="519"/>
      <c r="B756" s="520" t="s">
        <v>2623</v>
      </c>
      <c r="C756" s="539"/>
      <c r="D756" s="1280" t="s">
        <v>1389</v>
      </c>
      <c r="E756" s="1280"/>
      <c r="F756" s="1280"/>
      <c r="I756" s="1066" t="s">
        <v>2183</v>
      </c>
    </row>
    <row r="757" spans="1:11" s="540" customFormat="1">
      <c r="A757" s="539"/>
      <c r="B757" s="539"/>
      <c r="C757" s="539"/>
      <c r="D757" s="1280"/>
      <c r="E757" s="1280"/>
      <c r="F757" s="1280"/>
      <c r="I757" s="1066"/>
    </row>
    <row r="758" spans="1:11" s="540" customFormat="1">
      <c r="A758" s="539"/>
      <c r="B758" s="539"/>
      <c r="C758" s="539"/>
      <c r="D758" s="1280"/>
      <c r="E758" s="1280"/>
      <c r="F758" s="1280"/>
      <c r="I758" s="1066"/>
    </row>
    <row r="759" spans="1:11">
      <c r="D759" s="534"/>
      <c r="E759" s="481"/>
      <c r="F759" s="481"/>
      <c r="G759" s="536"/>
      <c r="H759" s="536"/>
      <c r="I759" s="1065"/>
      <c r="J759" s="536"/>
      <c r="K759" s="536"/>
    </row>
    <row r="760" spans="1:11" ht="14.25">
      <c r="A760" s="519"/>
      <c r="B760" s="520" t="s">
        <v>2623</v>
      </c>
      <c r="D760" s="1278" t="s">
        <v>1340</v>
      </c>
      <c r="E760" s="1278"/>
      <c r="F760" s="1278"/>
      <c r="G760" s="536"/>
      <c r="H760" s="536"/>
      <c r="I760" s="1065" t="s">
        <v>2182</v>
      </c>
      <c r="J760" s="536"/>
      <c r="K760" s="536"/>
    </row>
    <row r="761" spans="1:11">
      <c r="D761" s="1278"/>
      <c r="E761" s="1278"/>
      <c r="F761" s="1278"/>
      <c r="G761" s="536"/>
      <c r="H761" s="536"/>
      <c r="I761" s="1065"/>
      <c r="J761" s="536"/>
      <c r="K761" s="536"/>
    </row>
    <row r="762" spans="1:11">
      <c r="D762" s="480"/>
      <c r="E762" s="480"/>
      <c r="F762" s="480"/>
      <c r="G762" s="536"/>
      <c r="H762" s="536"/>
      <c r="I762" s="1065"/>
      <c r="J762" s="536"/>
      <c r="K762" s="536"/>
    </row>
    <row r="763" spans="1:11">
      <c r="B763" s="520" t="s">
        <v>2623</v>
      </c>
      <c r="D763" s="1278" t="s">
        <v>1357</v>
      </c>
      <c r="E763" s="1278"/>
      <c r="F763" s="1278"/>
      <c r="G763" s="536"/>
      <c r="H763" s="536"/>
      <c r="I763" s="1065" t="s">
        <v>2182</v>
      </c>
      <c r="J763" s="536"/>
      <c r="K763" s="536"/>
    </row>
    <row r="764" spans="1:11">
      <c r="D764" s="1278"/>
      <c r="E764" s="1278"/>
      <c r="F764" s="1278"/>
      <c r="G764" s="536"/>
      <c r="H764" s="536"/>
      <c r="I764" s="1065"/>
      <c r="J764" s="536"/>
      <c r="K764" s="536"/>
    </row>
    <row r="765" spans="1:11">
      <c r="D765" s="1278"/>
      <c r="E765" s="1278"/>
      <c r="F765" s="1278"/>
      <c r="G765" s="536"/>
      <c r="H765" s="536"/>
      <c r="I765" s="1065"/>
      <c r="J765" s="536"/>
      <c r="K765" s="536"/>
    </row>
    <row r="766" spans="1:11">
      <c r="D766" s="480"/>
      <c r="E766" s="480"/>
      <c r="F766" s="480"/>
      <c r="G766" s="536"/>
      <c r="H766" s="536"/>
      <c r="I766" s="1065"/>
      <c r="J766" s="536"/>
      <c r="K766" s="536"/>
    </row>
    <row r="767" spans="1:11">
      <c r="A767" s="1332" t="s">
        <v>2062</v>
      </c>
      <c r="B767" s="1332"/>
      <c r="C767" s="1332"/>
      <c r="D767" s="1332"/>
      <c r="E767" s="1332"/>
      <c r="F767" s="1332"/>
      <c r="G767" s="1332"/>
      <c r="H767" s="1071"/>
      <c r="I767" s="1072"/>
    </row>
    <row r="768" spans="1:11">
      <c r="A768" s="57"/>
      <c r="B768" s="57"/>
      <c r="C768" s="386"/>
      <c r="D768" s="3"/>
      <c r="E768" s="3"/>
      <c r="F768" s="3"/>
      <c r="G768" s="3"/>
    </row>
    <row r="769" spans="1:9">
      <c r="A769" s="57"/>
      <c r="B769" s="57"/>
      <c r="C769" s="386"/>
      <c r="D769" s="1333" t="s">
        <v>2116</v>
      </c>
      <c r="E769" s="1333"/>
      <c r="F769" s="1333"/>
      <c r="G769" s="3"/>
    </row>
    <row r="770" spans="1:9">
      <c r="A770" s="57"/>
      <c r="B770" s="57"/>
      <c r="C770" s="386"/>
      <c r="D770" s="1311" t="s">
        <v>2015</v>
      </c>
      <c r="E770" s="1311"/>
      <c r="F770" s="1311"/>
      <c r="G770" s="3"/>
    </row>
    <row r="771" spans="1:9">
      <c r="A771" s="57"/>
      <c r="B771" s="57"/>
      <c r="C771" s="386"/>
      <c r="D771" s="482"/>
      <c r="E771" s="482"/>
      <c r="F771" s="482"/>
      <c r="G771" s="3"/>
    </row>
    <row r="772" spans="1:9">
      <c r="A772" s="57"/>
      <c r="B772" s="520" t="s">
        <v>2624</v>
      </c>
      <c r="C772" s="386"/>
      <c r="D772" s="1296" t="s">
        <v>2016</v>
      </c>
      <c r="E772" s="1296"/>
      <c r="F772" s="1296"/>
      <c r="G772" s="3"/>
      <c r="I772" s="1065" t="s">
        <v>2232</v>
      </c>
    </row>
    <row r="773" spans="1:9">
      <c r="A773" s="57"/>
      <c r="B773" s="57"/>
      <c r="C773" s="386"/>
      <c r="D773" s="1296"/>
      <c r="E773" s="1296"/>
      <c r="F773" s="1296"/>
      <c r="G773" s="3"/>
    </row>
    <row r="774" spans="1:9">
      <c r="A774" s="175"/>
      <c r="B774" s="175"/>
      <c r="C774" s="175"/>
      <c r="D774" s="1296"/>
      <c r="E774" s="1296"/>
      <c r="F774" s="1296"/>
      <c r="G774" s="118"/>
    </row>
    <row r="775" spans="1:9">
      <c r="A775" s="386"/>
      <c r="B775" s="386"/>
      <c r="C775" s="386"/>
      <c r="D775" s="174"/>
      <c r="E775" s="3"/>
      <c r="F775" s="3"/>
      <c r="G775" s="3"/>
    </row>
    <row r="776" spans="1:9">
      <c r="A776" s="172"/>
      <c r="B776" s="520" t="s">
        <v>2624</v>
      </c>
      <c r="C776" s="172"/>
      <c r="D776" s="1296" t="s">
        <v>2017</v>
      </c>
      <c r="E776" s="1296"/>
      <c r="F776" s="1296"/>
      <c r="G776" s="3"/>
      <c r="I776" s="1065" t="s">
        <v>2232</v>
      </c>
    </row>
    <row r="777" spans="1:9">
      <c r="A777" s="172"/>
      <c r="B777" s="172"/>
      <c r="C777" s="172"/>
      <c r="D777" s="1296"/>
      <c r="E777" s="1296"/>
      <c r="F777" s="1296"/>
      <c r="G777" s="3"/>
    </row>
    <row r="778" spans="1:9">
      <c r="A778" s="172"/>
      <c r="B778" s="172"/>
      <c r="C778" s="172"/>
      <c r="D778" s="1296"/>
      <c r="E778" s="1296"/>
      <c r="F778" s="1296"/>
      <c r="G778" s="3"/>
    </row>
    <row r="779" spans="1:9">
      <c r="A779" s="175"/>
      <c r="B779" s="175"/>
      <c r="C779" s="175"/>
      <c r="D779" s="3"/>
      <c r="E779" s="1025"/>
      <c r="F779" s="1025"/>
      <c r="G779" s="1025"/>
    </row>
    <row r="780" spans="1:9" ht="14.25">
      <c r="A780" s="176"/>
      <c r="B780" s="520" t="s">
        <v>2623</v>
      </c>
      <c r="C780" s="1026"/>
      <c r="D780" s="1296" t="s">
        <v>2018</v>
      </c>
      <c r="E780" s="1296"/>
      <c r="F780" s="1296"/>
      <c r="G780" s="1025"/>
      <c r="I780" s="1065" t="s">
        <v>2232</v>
      </c>
    </row>
    <row r="781" spans="1:9" ht="14.25">
      <c r="A781" s="176"/>
      <c r="B781" s="176"/>
      <c r="C781" s="1026"/>
      <c r="D781" s="1296"/>
      <c r="E781" s="1296"/>
      <c r="F781" s="1296"/>
      <c r="G781" s="1025"/>
    </row>
    <row r="782" spans="1:9" ht="14.25">
      <c r="A782" s="176"/>
      <c r="B782" s="176"/>
      <c r="C782" s="1026"/>
      <c r="D782" s="1296"/>
      <c r="E782" s="1296"/>
      <c r="F782" s="1296"/>
      <c r="G782" s="1025"/>
    </row>
    <row r="783" spans="1:9" ht="14.25">
      <c r="A783" s="176"/>
      <c r="B783" s="176"/>
      <c r="C783" s="1026"/>
      <c r="D783" s="118"/>
      <c r="E783" s="3"/>
      <c r="F783" s="3"/>
      <c r="G783" s="1025"/>
    </row>
    <row r="784" spans="1:9" ht="14.25">
      <c r="A784" s="176"/>
      <c r="B784" s="520" t="s">
        <v>2623</v>
      </c>
      <c r="C784" s="1026"/>
      <c r="D784" s="1296" t="s">
        <v>2019</v>
      </c>
      <c r="E784" s="1296"/>
      <c r="F784" s="1296"/>
      <c r="G784" s="1025"/>
      <c r="I784" s="1065" t="s">
        <v>2232</v>
      </c>
    </row>
    <row r="785" spans="1:9" ht="14.25">
      <c r="A785" s="176"/>
      <c r="B785" s="176"/>
      <c r="C785" s="1026"/>
      <c r="D785" s="1296"/>
      <c r="E785" s="1296"/>
      <c r="F785" s="1296"/>
      <c r="G785" s="1025"/>
    </row>
    <row r="786" spans="1:9" ht="14.25">
      <c r="A786" s="176"/>
      <c r="B786" s="176"/>
      <c r="C786" s="1026"/>
      <c r="D786" s="1296"/>
      <c r="E786" s="1296"/>
      <c r="F786" s="1296"/>
      <c r="G786" s="1025"/>
    </row>
    <row r="787" spans="1:9" ht="14.25">
      <c r="A787" s="176"/>
      <c r="B787" s="176"/>
      <c r="C787" s="1026"/>
      <c r="D787" s="1296"/>
      <c r="E787" s="1296"/>
      <c r="F787" s="1296"/>
      <c r="G787" s="1025"/>
    </row>
    <row r="788" spans="1:9" ht="14.25">
      <c r="A788" s="176"/>
      <c r="B788" s="176"/>
      <c r="C788" s="1026"/>
      <c r="D788" s="1296"/>
      <c r="E788" s="1296"/>
      <c r="F788" s="1296"/>
      <c r="G788" s="1025"/>
    </row>
    <row r="789" spans="1:9" ht="14.25">
      <c r="A789" s="176"/>
      <c r="B789" s="176"/>
      <c r="C789" s="1026"/>
      <c r="D789" s="1296"/>
      <c r="E789" s="1296"/>
      <c r="F789" s="1296"/>
      <c r="G789" s="1025"/>
    </row>
    <row r="790" spans="1:9" ht="14.25">
      <c r="A790" s="176"/>
      <c r="B790" s="176"/>
      <c r="C790" s="1026"/>
      <c r="D790" s="1296" t="s">
        <v>2063</v>
      </c>
      <c r="E790" s="1296"/>
      <c r="F790" s="1296"/>
      <c r="G790" s="1025"/>
    </row>
    <row r="791" spans="1:9" ht="14.25">
      <c r="A791" s="176"/>
      <c r="B791" s="176"/>
      <c r="C791" s="1026"/>
      <c r="D791" s="1296"/>
      <c r="E791" s="1296"/>
      <c r="F791" s="1296"/>
      <c r="G791" s="1025"/>
    </row>
    <row r="792" spans="1:9" ht="14.25">
      <c r="A792" s="176"/>
      <c r="B792" s="176"/>
      <c r="C792" s="1026"/>
      <c r="D792" s="1296"/>
      <c r="E792" s="1296"/>
      <c r="F792" s="1296"/>
      <c r="G792" s="1025"/>
    </row>
    <row r="793" spans="1:9" ht="14.25">
      <c r="A793" s="176"/>
      <c r="B793" s="386"/>
      <c r="C793" s="1026"/>
      <c r="D793" s="1027"/>
      <c r="E793" s="1027"/>
      <c r="F793" s="1027"/>
      <c r="G793" s="1025"/>
    </row>
    <row r="794" spans="1:9" ht="14.25">
      <c r="A794" s="176"/>
      <c r="B794" s="520" t="s">
        <v>2623</v>
      </c>
      <c r="C794" s="1026"/>
      <c r="D794" s="1296" t="s">
        <v>2020</v>
      </c>
      <c r="E794" s="1296"/>
      <c r="F794" s="1296"/>
      <c r="G794" s="1025"/>
      <c r="I794" s="1065" t="s">
        <v>2232</v>
      </c>
    </row>
    <row r="795" spans="1:9" ht="14.25">
      <c r="A795" s="176"/>
      <c r="B795" s="176"/>
      <c r="C795" s="1026"/>
      <c r="D795" s="1296"/>
      <c r="E795" s="1296"/>
      <c r="F795" s="1296"/>
      <c r="G795" s="1025"/>
    </row>
    <row r="796" spans="1:9" ht="14.25">
      <c r="A796" s="176"/>
      <c r="B796" s="176"/>
      <c r="C796" s="1026"/>
      <c r="D796" s="1296"/>
      <c r="E796" s="1296"/>
      <c r="F796" s="1296"/>
      <c r="G796" s="1025"/>
    </row>
    <row r="797" spans="1:9" ht="14.25">
      <c r="A797" s="176"/>
      <c r="B797" s="176"/>
      <c r="C797" s="1026"/>
      <c r="D797" s="1296"/>
      <c r="E797" s="1296"/>
      <c r="F797" s="1296"/>
      <c r="G797" s="1025"/>
    </row>
    <row r="798" spans="1:9" ht="14.25">
      <c r="A798" s="176"/>
      <c r="B798" s="176"/>
      <c r="C798" s="1026"/>
      <c r="D798" s="1296"/>
      <c r="E798" s="1296"/>
      <c r="F798" s="1296"/>
      <c r="G798" s="1025"/>
    </row>
    <row r="799" spans="1:9" ht="14.25">
      <c r="A799" s="176"/>
      <c r="B799" s="176"/>
      <c r="C799" s="1026"/>
      <c r="D799" s="1296"/>
      <c r="E799" s="1296"/>
      <c r="F799" s="1296"/>
      <c r="G799" s="1025"/>
    </row>
    <row r="800" spans="1:9" ht="14.25">
      <c r="A800" s="176"/>
      <c r="B800" s="176"/>
      <c r="C800" s="1026"/>
      <c r="D800" s="1019"/>
      <c r="E800" s="1019"/>
      <c r="F800" s="1019"/>
      <c r="G800" s="1025"/>
    </row>
    <row r="801" spans="1:9" ht="14.25">
      <c r="A801" s="176"/>
      <c r="B801" s="520" t="s">
        <v>2623</v>
      </c>
      <c r="C801" s="1026"/>
      <c r="D801" s="1296" t="s">
        <v>2021</v>
      </c>
      <c r="E801" s="1296"/>
      <c r="F801" s="1296"/>
      <c r="G801" s="1025"/>
      <c r="I801" s="1065" t="s">
        <v>2232</v>
      </c>
    </row>
    <row r="802" spans="1:9" ht="14.25">
      <c r="A802" s="176"/>
      <c r="B802" s="176"/>
      <c r="C802" s="1026"/>
      <c r="D802" s="1296"/>
      <c r="E802" s="1296"/>
      <c r="F802" s="1296"/>
      <c r="G802" s="1025"/>
    </row>
    <row r="803" spans="1:9" ht="14.25">
      <c r="A803" s="176"/>
      <c r="B803" s="176"/>
      <c r="C803" s="1026"/>
      <c r="D803" s="1296"/>
      <c r="E803" s="1296"/>
      <c r="F803" s="1296"/>
      <c r="G803" s="1025"/>
    </row>
    <row r="804" spans="1:9" ht="14.25">
      <c r="A804" s="176"/>
      <c r="B804" s="176"/>
      <c r="C804" s="1026"/>
      <c r="D804" s="1296"/>
      <c r="E804" s="1296"/>
      <c r="F804" s="1296"/>
      <c r="G804" s="1025"/>
    </row>
    <row r="805" spans="1:9" ht="14.25">
      <c r="A805" s="176"/>
      <c r="B805" s="176"/>
      <c r="C805" s="1026"/>
      <c r="D805" s="1296"/>
      <c r="E805" s="1296"/>
      <c r="F805" s="1296"/>
      <c r="G805" s="1025"/>
    </row>
    <row r="806" spans="1:9" ht="14.25">
      <c r="A806" s="176"/>
      <c r="B806" s="176"/>
      <c r="C806" s="1026"/>
      <c r="D806" s="1296"/>
      <c r="E806" s="1296"/>
      <c r="F806" s="1296"/>
      <c r="G806" s="1025"/>
    </row>
    <row r="807" spans="1:9" ht="14.25">
      <c r="A807" s="176"/>
      <c r="B807" s="176"/>
      <c r="C807" s="1026"/>
      <c r="D807" s="1019"/>
      <c r="E807" s="1019"/>
      <c r="F807" s="1019"/>
      <c r="G807" s="1025"/>
    </row>
    <row r="808" spans="1:9" ht="14.25">
      <c r="A808" s="176"/>
      <c r="B808" s="520" t="s">
        <v>2623</v>
      </c>
      <c r="C808" s="1026"/>
      <c r="D808" s="1304" t="s">
        <v>2022</v>
      </c>
      <c r="E808" s="1304"/>
      <c r="F808" s="1304"/>
      <c r="G808" s="1025"/>
      <c r="I808" s="1065" t="s">
        <v>2232</v>
      </c>
    </row>
    <row r="809" spans="1:9" ht="14.25">
      <c r="A809" s="176"/>
      <c r="B809" s="176"/>
      <c r="C809" s="1026"/>
      <c r="D809" s="1304"/>
      <c r="E809" s="1304"/>
      <c r="F809" s="1304"/>
      <c r="G809" s="1025"/>
    </row>
    <row r="810" spans="1:9">
      <c r="A810" s="13"/>
      <c r="B810" s="13"/>
      <c r="C810" s="1026"/>
      <c r="D810" s="1304"/>
      <c r="E810" s="1304"/>
      <c r="F810" s="1304"/>
      <c r="G810" s="1025"/>
    </row>
    <row r="811" spans="1:9" ht="14.25">
      <c r="A811" s="176"/>
      <c r="B811" s="13"/>
      <c r="C811" s="1026"/>
      <c r="D811" s="1304"/>
      <c r="E811" s="1304"/>
      <c r="F811" s="1304"/>
      <c r="G811" s="1025"/>
    </row>
    <row r="812" spans="1:9" ht="12.75" customHeight="1">
      <c r="A812" s="176"/>
      <c r="B812" s="13"/>
      <c r="C812" s="1026"/>
      <c r="D812" s="1304"/>
      <c r="E812" s="1304"/>
      <c r="F812" s="1304"/>
      <c r="G812" s="1025"/>
    </row>
    <row r="813" spans="1:9" ht="12.75" customHeight="1">
      <c r="A813" s="176"/>
      <c r="B813" s="13"/>
      <c r="C813" s="1026"/>
      <c r="D813" s="1304"/>
      <c r="E813" s="1304"/>
      <c r="F813" s="1304"/>
      <c r="G813" s="1025"/>
    </row>
    <row r="814" spans="1:9" ht="12.75" customHeight="1">
      <c r="A814" s="13"/>
      <c r="B814" s="13"/>
      <c r="C814" s="1026"/>
      <c r="D814" s="1025"/>
      <c r="E814" s="3"/>
      <c r="F814" s="3"/>
      <c r="G814" s="1025"/>
    </row>
    <row r="815" spans="1:9" ht="12.75" customHeight="1">
      <c r="A815" s="1291" t="s">
        <v>2023</v>
      </c>
      <c r="B815" s="1291"/>
      <c r="C815" s="1291"/>
      <c r="D815" s="1291"/>
      <c r="E815" s="1291"/>
      <c r="F815" s="1291"/>
      <c r="G815" s="1291"/>
      <c r="H815" s="1071"/>
      <c r="I815" s="1072"/>
    </row>
    <row r="816" spans="1:9" ht="12.75" customHeight="1">
      <c r="A816" s="172"/>
      <c r="B816" s="172"/>
      <c r="C816" s="1026"/>
      <c r="D816" s="1025"/>
      <c r="E816" s="1025"/>
      <c r="F816" s="1025"/>
      <c r="G816" s="1025"/>
    </row>
    <row r="817" spans="1:9" ht="12.75" customHeight="1">
      <c r="A817" s="176"/>
      <c r="B817" s="176"/>
      <c r="C817" s="386"/>
      <c r="D817" s="1295" t="s">
        <v>2064</v>
      </c>
      <c r="E817" s="1295"/>
      <c r="F817" s="1295"/>
      <c r="G817" s="3"/>
    </row>
    <row r="818" spans="1:9" ht="14.25" customHeight="1">
      <c r="A818" s="176"/>
      <c r="B818" s="176"/>
      <c r="C818" s="386"/>
      <c r="D818" s="1263" t="s">
        <v>2024</v>
      </c>
      <c r="E818" s="1263"/>
      <c r="F818" s="1263"/>
      <c r="G818" s="3"/>
    </row>
    <row r="819" spans="1:9" ht="12.75" customHeight="1">
      <c r="A819" s="176"/>
      <c r="B819" s="176"/>
      <c r="C819" s="386"/>
      <c r="D819" s="475"/>
      <c r="E819" s="475"/>
      <c r="F819" s="475"/>
      <c r="G819" s="3"/>
    </row>
    <row r="820" spans="1:9" ht="12.75" customHeight="1">
      <c r="A820" s="386"/>
      <c r="B820" s="520" t="s">
        <v>2624</v>
      </c>
      <c r="C820" s="1026"/>
      <c r="D820" s="1263" t="s">
        <v>2025</v>
      </c>
      <c r="E820" s="1263"/>
      <c r="F820" s="1263"/>
      <c r="G820" s="3"/>
      <c r="I820" s="436" t="s">
        <v>2200</v>
      </c>
    </row>
    <row r="821" spans="1:9" ht="14.25" customHeight="1">
      <c r="A821" s="13"/>
      <c r="B821" s="13"/>
      <c r="C821" s="1026"/>
      <c r="E821" s="1080" t="s">
        <v>2276</v>
      </c>
      <c r="F821" s="1082"/>
      <c r="G821" s="3"/>
    </row>
    <row r="822" spans="1:9" ht="12.75" customHeight="1">
      <c r="A822" s="13"/>
      <c r="B822" s="13"/>
      <c r="C822" s="1026"/>
      <c r="D822" s="1028"/>
      <c r="E822" s="3"/>
      <c r="F822" s="3"/>
      <c r="G822" s="3"/>
    </row>
    <row r="823" spans="1:9" ht="14.25" hidden="1" customHeight="1">
      <c r="A823" s="13"/>
      <c r="B823" s="520" t="s">
        <v>309</v>
      </c>
      <c r="C823" s="1026"/>
      <c r="D823" s="1342" t="s">
        <v>2472</v>
      </c>
      <c r="E823" s="1342"/>
      <c r="F823" s="1342"/>
      <c r="G823" s="3"/>
    </row>
    <row r="824" spans="1:9" ht="12.75" hidden="1" customHeight="1">
      <c r="A824" s="13"/>
      <c r="B824" s="13"/>
      <c r="C824" s="1026"/>
      <c r="D824" s="1342"/>
      <c r="E824" s="1342"/>
      <c r="F824" s="1342"/>
      <c r="G824" s="3"/>
    </row>
    <row r="825" spans="1:9" ht="12.75" hidden="1" customHeight="1">
      <c r="A825" s="13"/>
      <c r="B825" s="13"/>
      <c r="C825" s="1026"/>
      <c r="D825" s="1342"/>
      <c r="E825" s="1342"/>
      <c r="F825" s="1342"/>
      <c r="G825" s="3"/>
    </row>
    <row r="826" spans="1:9" ht="12.75" hidden="1" customHeight="1">
      <c r="A826" s="13"/>
      <c r="B826" s="13"/>
      <c r="C826" s="1026"/>
      <c r="D826" s="1342"/>
      <c r="E826" s="1342"/>
      <c r="F826" s="1342"/>
      <c r="G826" s="3"/>
    </row>
    <row r="827" spans="1:9" ht="12.75" hidden="1" customHeight="1">
      <c r="A827" s="13"/>
      <c r="B827" s="13"/>
      <c r="C827" s="1026"/>
      <c r="D827" s="1342"/>
      <c r="E827" s="1342"/>
      <c r="F827" s="1342"/>
      <c r="G827" s="3"/>
    </row>
    <row r="828" spans="1:9" ht="12.75" hidden="1" customHeight="1">
      <c r="A828" s="13"/>
      <c r="B828" s="13"/>
      <c r="C828" s="1026"/>
      <c r="D828" s="1342"/>
      <c r="E828" s="1342"/>
      <c r="F828" s="1342"/>
      <c r="G828" s="3"/>
    </row>
    <row r="829" spans="1:9" ht="12.75" hidden="1" customHeight="1">
      <c r="A829" s="13"/>
      <c r="B829" s="13"/>
      <c r="C829" s="1026"/>
      <c r="D829" s="1342"/>
      <c r="E829" s="1342"/>
      <c r="F829" s="1342"/>
      <c r="G829" s="3"/>
    </row>
    <row r="830" spans="1:9" ht="12.75" hidden="1" customHeight="1">
      <c r="A830" s="13"/>
      <c r="B830" s="13"/>
      <c r="C830" s="1026"/>
      <c r="D830" s="1342"/>
      <c r="E830" s="1342"/>
      <c r="F830" s="1342"/>
      <c r="G830" s="3"/>
    </row>
    <row r="831" spans="1:9" ht="12.75" hidden="1" customHeight="1">
      <c r="A831" s="13"/>
      <c r="B831" s="13"/>
      <c r="C831" s="1026"/>
      <c r="D831" s="1342"/>
      <c r="E831" s="1342"/>
      <c r="F831" s="1342"/>
      <c r="G831" s="3"/>
    </row>
    <row r="832" spans="1:9" ht="12.75" hidden="1" customHeight="1">
      <c r="A832" s="13"/>
      <c r="B832" s="13"/>
      <c r="C832" s="1026"/>
      <c r="D832" s="1342"/>
      <c r="E832" s="1342"/>
      <c r="F832" s="1342"/>
      <c r="G832" s="3"/>
    </row>
    <row r="833" spans="1:9" ht="12.75" hidden="1" customHeight="1">
      <c r="A833" s="13"/>
      <c r="B833" s="13"/>
      <c r="C833" s="1026"/>
      <c r="D833" s="1028"/>
      <c r="E833" s="3"/>
      <c r="F833" s="3"/>
      <c r="G833" s="3"/>
    </row>
    <row r="834" spans="1:9" ht="12.75" customHeight="1">
      <c r="A834" s="176"/>
      <c r="B834" s="520" t="s">
        <v>2624</v>
      </c>
      <c r="C834" s="1026"/>
      <c r="D834" s="1263" t="s">
        <v>2026</v>
      </c>
      <c r="E834" s="1263"/>
      <c r="F834" s="1263"/>
      <c r="G834" s="3"/>
      <c r="I834" s="436" t="s">
        <v>2218</v>
      </c>
    </row>
    <row r="835" spans="1:9" ht="12.75" customHeight="1">
      <c r="A835" s="176"/>
      <c r="B835" s="176"/>
      <c r="C835" s="1026"/>
      <c r="D835" s="1263"/>
      <c r="E835" s="1263"/>
      <c r="F835" s="1263"/>
      <c r="G835" s="3"/>
    </row>
    <row r="836" spans="1:9" ht="12.75" customHeight="1">
      <c r="A836" s="176"/>
      <c r="B836" s="176"/>
      <c r="C836" s="1026"/>
      <c r="D836" s="1263"/>
      <c r="E836" s="1263"/>
      <c r="F836" s="1263"/>
      <c r="G836" s="3"/>
    </row>
    <row r="837" spans="1:9" ht="12.75" customHeight="1">
      <c r="A837" s="176"/>
      <c r="B837" s="176"/>
      <c r="C837" s="1026"/>
      <c r="D837" s="118"/>
      <c r="E837" s="3"/>
      <c r="F837" s="3"/>
      <c r="G837" s="3"/>
    </row>
    <row r="838" spans="1:9" ht="12.75" customHeight="1">
      <c r="A838" s="1029"/>
      <c r="B838" s="520" t="s">
        <v>2623</v>
      </c>
      <c r="C838" s="1026"/>
      <c r="D838" s="1295" t="s">
        <v>2027</v>
      </c>
      <c r="E838" s="1295"/>
      <c r="F838" s="1295"/>
      <c r="G838" s="3"/>
    </row>
    <row r="839" spans="1:9" ht="12.75" customHeight="1">
      <c r="A839" s="386"/>
      <c r="B839" s="1029"/>
      <c r="C839" s="1026"/>
      <c r="D839" s="1295"/>
      <c r="E839" s="1295"/>
      <c r="F839" s="1295"/>
      <c r="G839" s="3"/>
    </row>
    <row r="840" spans="1:9" ht="12.75" customHeight="1">
      <c r="A840" s="176"/>
      <c r="B840" s="386"/>
      <c r="C840" s="1026"/>
      <c r="D840" s="1263" t="s">
        <v>2463</v>
      </c>
      <c r="E840" s="1263"/>
      <c r="F840" s="1263"/>
      <c r="G840" s="3"/>
    </row>
    <row r="841" spans="1:9" ht="12.75" customHeight="1">
      <c r="A841" s="176"/>
      <c r="B841" s="176"/>
      <c r="C841" s="1026"/>
      <c r="D841" s="1263"/>
      <c r="E841" s="1263"/>
      <c r="F841" s="1263"/>
      <c r="G841" s="3"/>
    </row>
    <row r="842" spans="1:9" ht="12.75" customHeight="1">
      <c r="A842" s="176"/>
      <c r="B842" s="176"/>
      <c r="C842" s="1026"/>
      <c r="D842" s="1263"/>
      <c r="E842" s="1263"/>
      <c r="F842" s="1263"/>
      <c r="G842" s="3"/>
    </row>
    <row r="843" spans="1:9" ht="12.75" customHeight="1">
      <c r="A843" s="176"/>
      <c r="B843" s="176"/>
      <c r="C843" s="1026"/>
      <c r="D843" s="1263"/>
      <c r="E843" s="1263"/>
      <c r="F843" s="1263"/>
      <c r="G843" s="3"/>
    </row>
    <row r="844" spans="1:9" ht="12.75" customHeight="1">
      <c r="A844" s="176"/>
      <c r="B844" s="176"/>
      <c r="C844" s="1026"/>
      <c r="D844" s="1263"/>
      <c r="E844" s="1263"/>
      <c r="F844" s="1263"/>
      <c r="G844" s="3"/>
    </row>
    <row r="845" spans="1:9" ht="12.75" customHeight="1">
      <c r="A845" s="176"/>
      <c r="B845" s="176"/>
      <c r="C845" s="1026"/>
      <c r="D845" s="1263"/>
      <c r="E845" s="1263"/>
      <c r="F845" s="1263"/>
      <c r="G845" s="3"/>
    </row>
    <row r="846" spans="1:9" ht="12.75" customHeight="1">
      <c r="A846" s="176"/>
      <c r="B846" s="176"/>
      <c r="C846" s="1026"/>
      <c r="D846" s="118"/>
      <c r="E846" s="3"/>
      <c r="F846" s="3"/>
      <c r="G846" s="3"/>
    </row>
    <row r="847" spans="1:9" ht="12.75" customHeight="1">
      <c r="A847" s="176"/>
      <c r="B847" s="520" t="s">
        <v>2623</v>
      </c>
      <c r="C847" s="1026"/>
      <c r="D847" s="1263" t="s">
        <v>2028</v>
      </c>
      <c r="E847" s="1263"/>
      <c r="F847" s="1263"/>
      <c r="G847" s="3"/>
      <c r="I847" s="436" t="s">
        <v>2201</v>
      </c>
    </row>
    <row r="848" spans="1:9" ht="12.75" customHeight="1">
      <c r="A848" s="176"/>
      <c r="B848" s="176"/>
      <c r="C848" s="1026"/>
      <c r="D848" s="1263" t="s">
        <v>2029</v>
      </c>
      <c r="E848" s="1263"/>
      <c r="F848" s="1263"/>
      <c r="G848" s="3"/>
    </row>
    <row r="849" spans="1:9" ht="12.75" customHeight="1">
      <c r="A849" s="176"/>
      <c r="B849" s="176"/>
      <c r="C849" s="1026"/>
      <c r="E849" s="1080" t="s">
        <v>2278</v>
      </c>
      <c r="F849" s="1082"/>
      <c r="G849" s="3"/>
    </row>
    <row r="850" spans="1:9" ht="12.75" customHeight="1">
      <c r="A850" s="176"/>
      <c r="B850" s="176"/>
      <c r="C850" s="1026"/>
      <c r="D850" s="118"/>
      <c r="E850" s="3"/>
      <c r="F850" s="3"/>
      <c r="G850" s="3"/>
    </row>
    <row r="851" spans="1:9" ht="12.75" customHeight="1">
      <c r="A851" s="176"/>
      <c r="B851" s="520" t="s">
        <v>2623</v>
      </c>
      <c r="C851" s="1026"/>
      <c r="D851" s="1263" t="s">
        <v>2030</v>
      </c>
      <c r="E851" s="1263"/>
      <c r="F851" s="1263"/>
      <c r="G851" s="3"/>
      <c r="I851" s="436" t="s">
        <v>2219</v>
      </c>
    </row>
    <row r="852" spans="1:9" ht="12.75" customHeight="1">
      <c r="A852" s="176"/>
      <c r="B852" s="176"/>
      <c r="C852" s="1026"/>
      <c r="D852" s="1263"/>
      <c r="E852" s="1263"/>
      <c r="F852" s="1263"/>
      <c r="G852" s="3"/>
    </row>
    <row r="853" spans="1:9" ht="12.75" customHeight="1">
      <c r="A853" s="176"/>
      <c r="B853" s="176"/>
      <c r="C853" s="1026"/>
      <c r="D853" s="1263"/>
      <c r="E853" s="1263"/>
      <c r="F853" s="1263"/>
      <c r="G853" s="3"/>
    </row>
    <row r="854" spans="1:9" ht="12.75" customHeight="1">
      <c r="A854" s="176"/>
      <c r="B854" s="176"/>
      <c r="C854" s="1026"/>
      <c r="D854" s="1263"/>
      <c r="E854" s="1263"/>
      <c r="F854" s="1263"/>
      <c r="G854" s="3"/>
    </row>
    <row r="855" spans="1:9" ht="12.75" customHeight="1">
      <c r="A855" s="172"/>
      <c r="B855" s="172"/>
      <c r="C855" s="172"/>
      <c r="D855" s="118"/>
      <c r="E855" s="3"/>
      <c r="F855" s="3"/>
      <c r="G855" s="3"/>
    </row>
    <row r="856" spans="1:9" ht="12.75" customHeight="1">
      <c r="A856" s="1020" t="s">
        <v>2031</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82" t="s">
        <v>2065</v>
      </c>
      <c r="E858" s="1282"/>
      <c r="F858" s="1282"/>
      <c r="G858" s="1025"/>
    </row>
    <row r="859" spans="1:9" ht="12.75" customHeight="1">
      <c r="A859" s="386"/>
      <c r="B859" s="386"/>
      <c r="C859" s="175"/>
      <c r="D859" s="1341" t="s">
        <v>2032</v>
      </c>
      <c r="E859" s="1341"/>
      <c r="F859" s="1341"/>
      <c r="G859" s="1025"/>
    </row>
    <row r="860" spans="1:9" ht="12.75" customHeight="1">
      <c r="A860" s="386"/>
      <c r="B860" s="386"/>
      <c r="C860" s="175"/>
      <c r="D860" s="1032"/>
      <c r="E860" s="1032"/>
      <c r="F860" s="1032"/>
      <c r="G860" s="1025"/>
    </row>
    <row r="861" spans="1:9" ht="12.75" customHeight="1">
      <c r="A861" s="176"/>
      <c r="B861" s="520" t="s">
        <v>2624</v>
      </c>
      <c r="C861" s="386"/>
      <c r="D861" s="1283" t="s">
        <v>2033</v>
      </c>
      <c r="E861" s="1283"/>
      <c r="F861" s="1283"/>
      <c r="G861" s="1025"/>
      <c r="I861" s="436" t="s">
        <v>2201</v>
      </c>
    </row>
    <row r="862" spans="1:9" ht="12.75" customHeight="1">
      <c r="A862" s="386"/>
      <c r="B862" s="386"/>
      <c r="C862" s="386"/>
      <c r="D862" s="2" t="s">
        <v>2008</v>
      </c>
      <c r="E862" s="1080" t="s">
        <v>2278</v>
      </c>
      <c r="F862" s="1083"/>
      <c r="G862" s="1025"/>
    </row>
    <row r="863" spans="1:9" ht="12.75" customHeight="1">
      <c r="A863" s="386"/>
      <c r="B863" s="386"/>
      <c r="C863" s="386"/>
      <c r="D863" s="118"/>
      <c r="E863" s="1025"/>
      <c r="F863" s="1025"/>
      <c r="G863" s="1025"/>
    </row>
    <row r="864" spans="1:9" ht="12.75" customHeight="1">
      <c r="A864" s="176"/>
      <c r="B864" s="520" t="s">
        <v>2624</v>
      </c>
      <c r="C864" s="386"/>
      <c r="D864" s="1263" t="s">
        <v>2034</v>
      </c>
      <c r="E864" s="1312"/>
      <c r="F864" s="1312"/>
      <c r="G864" s="3"/>
      <c r="I864" s="436" t="s">
        <v>2219</v>
      </c>
    </row>
    <row r="865" spans="1:9" ht="12.75" customHeight="1">
      <c r="A865" s="386"/>
      <c r="B865" s="386"/>
      <c r="C865" s="386"/>
      <c r="D865" s="1312"/>
      <c r="E865" s="1312"/>
      <c r="F865" s="1312"/>
      <c r="G865" s="3"/>
    </row>
    <row r="866" spans="1:9" ht="12.75" customHeight="1">
      <c r="A866" s="386"/>
      <c r="B866" s="386"/>
      <c r="C866" s="386"/>
      <c r="D866" s="118"/>
      <c r="E866" s="3"/>
      <c r="F866" s="3"/>
      <c r="G866" s="3"/>
    </row>
    <row r="867" spans="1:9" ht="12.75" customHeight="1">
      <c r="A867" s="386"/>
      <c r="B867" s="520" t="s">
        <v>2623</v>
      </c>
      <c r="C867" s="386"/>
      <c r="D867" s="1343" t="s">
        <v>2035</v>
      </c>
      <c r="E867" s="1343"/>
      <c r="F867" s="1343"/>
      <c r="G867" s="1025"/>
    </row>
    <row r="868" spans="1:9" ht="12.75" customHeight="1">
      <c r="A868" s="386"/>
      <c r="B868" s="1033"/>
      <c r="C868" s="386"/>
      <c r="D868" s="1343"/>
      <c r="E868" s="1343"/>
      <c r="F868" s="1343"/>
      <c r="G868" s="1025"/>
    </row>
    <row r="869" spans="1:9" ht="12.75" customHeight="1">
      <c r="A869" s="176"/>
      <c r="B869"/>
      <c r="C869" s="386"/>
      <c r="D869" s="1263" t="s">
        <v>2463</v>
      </c>
      <c r="E869" s="1263"/>
      <c r="F869" s="1263"/>
      <c r="G869" s="1025"/>
    </row>
    <row r="870" spans="1:9" ht="12.75" customHeight="1">
      <c r="A870" s="176"/>
      <c r="B870" s="176"/>
      <c r="C870" s="386"/>
      <c r="D870" s="1263"/>
      <c r="E870" s="1263"/>
      <c r="F870" s="1263"/>
      <c r="G870" s="1025"/>
    </row>
    <row r="871" spans="1:9" ht="12.75" customHeight="1">
      <c r="A871" s="176"/>
      <c r="B871" s="176"/>
      <c r="C871" s="386"/>
      <c r="D871" s="1263"/>
      <c r="E871" s="1263"/>
      <c r="F871" s="1263"/>
      <c r="G871" s="1025"/>
    </row>
    <row r="872" spans="1:9" ht="12.75" customHeight="1">
      <c r="A872" s="176"/>
      <c r="B872" s="176"/>
      <c r="C872" s="386"/>
      <c r="D872" s="1263"/>
      <c r="E872" s="1263"/>
      <c r="F872" s="1263"/>
      <c r="G872" s="1025"/>
    </row>
    <row r="873" spans="1:9" ht="12.75" customHeight="1">
      <c r="A873" s="176"/>
      <c r="B873" s="176"/>
      <c r="C873" s="386"/>
      <c r="D873" s="1263"/>
      <c r="E873" s="1263"/>
      <c r="F873" s="1263"/>
      <c r="G873" s="1025"/>
    </row>
    <row r="874" spans="1:9" ht="12.75" customHeight="1">
      <c r="A874" s="176"/>
      <c r="B874" s="176"/>
      <c r="C874" s="386"/>
      <c r="D874" s="1263"/>
      <c r="E874" s="1263"/>
      <c r="F874" s="1263"/>
      <c r="G874" s="1025"/>
    </row>
    <row r="875" spans="1:9" ht="12.75" customHeight="1">
      <c r="A875" s="176"/>
      <c r="B875" s="176"/>
      <c r="C875" s="386"/>
      <c r="D875" s="118"/>
      <c r="E875" s="1025"/>
      <c r="F875" s="1025"/>
      <c r="G875" s="1025"/>
    </row>
    <row r="876" spans="1:9" ht="12.75" customHeight="1">
      <c r="A876" s="176"/>
      <c r="B876" s="520" t="s">
        <v>2623</v>
      </c>
      <c r="C876" s="386"/>
      <c r="D876" s="1287" t="s">
        <v>2028</v>
      </c>
      <c r="E876" s="1287"/>
      <c r="F876" s="1287"/>
      <c r="G876" s="1025"/>
      <c r="I876" s="436" t="s">
        <v>2201</v>
      </c>
    </row>
    <row r="877" spans="1:9" ht="12.75" customHeight="1">
      <c r="A877" s="176"/>
      <c r="B877" s="176"/>
      <c r="C877" s="386"/>
      <c r="D877" s="1287" t="s">
        <v>2029</v>
      </c>
      <c r="E877" s="1287"/>
      <c r="F877" s="1287"/>
      <c r="G877" s="1025"/>
    </row>
    <row r="878" spans="1:9" ht="12.75" customHeight="1">
      <c r="A878" s="176"/>
      <c r="B878" s="176"/>
      <c r="C878" s="386"/>
      <c r="D878" s="2" t="s">
        <v>1427</v>
      </c>
      <c r="E878" s="1080" t="s">
        <v>2278</v>
      </c>
      <c r="F878" s="1084"/>
      <c r="G878" s="1025"/>
    </row>
    <row r="879" spans="1:9" ht="12.75" customHeight="1">
      <c r="A879" s="176"/>
      <c r="B879" s="176"/>
      <c r="C879" s="386"/>
      <c r="D879" s="118"/>
      <c r="E879" s="1025"/>
      <c r="F879" s="1025"/>
      <c r="G879" s="1025"/>
    </row>
    <row r="880" spans="1:9" ht="12.75" customHeight="1">
      <c r="A880" s="176"/>
      <c r="B880" s="520" t="s">
        <v>2623</v>
      </c>
      <c r="C880" s="386"/>
      <c r="D880" s="1263" t="s">
        <v>2030</v>
      </c>
      <c r="E880" s="1263"/>
      <c r="F880" s="1263"/>
      <c r="G880" s="1025"/>
      <c r="I880" s="436" t="s">
        <v>2219</v>
      </c>
    </row>
    <row r="881" spans="1:9" ht="12.75" customHeight="1">
      <c r="A881" s="176"/>
      <c r="B881" s="176"/>
      <c r="C881" s="386"/>
      <c r="D881" s="1263"/>
      <c r="E881" s="1263"/>
      <c r="F881" s="1263"/>
      <c r="G881" s="1025"/>
    </row>
    <row r="882" spans="1:9" ht="12.75" customHeight="1">
      <c r="A882" s="176"/>
      <c r="B882" s="176"/>
      <c r="C882" s="386"/>
      <c r="D882" s="1263"/>
      <c r="E882" s="1263"/>
      <c r="F882" s="1263"/>
      <c r="G882" s="1025"/>
    </row>
    <row r="883" spans="1:9" ht="12.75" customHeight="1">
      <c r="A883" s="176"/>
      <c r="B883" s="176"/>
      <c r="C883" s="386"/>
      <c r="D883" s="1263"/>
      <c r="E883" s="1263"/>
      <c r="F883" s="1263"/>
      <c r="G883" s="1025"/>
    </row>
    <row r="884" spans="1:9" ht="12.75" customHeight="1">
      <c r="A884" s="118"/>
      <c r="B884" s="118"/>
      <c r="C884" s="1026"/>
      <c r="D884" s="1025"/>
      <c r="E884" s="1025"/>
      <c r="F884" s="1025"/>
      <c r="G884" s="1025"/>
    </row>
    <row r="885" spans="1:9" ht="12.75" customHeight="1">
      <c r="A885" s="1291" t="s">
        <v>2066</v>
      </c>
      <c r="B885" s="1291"/>
      <c r="C885" s="1291"/>
      <c r="D885" s="1291"/>
      <c r="E885" s="1291"/>
      <c r="F885" s="1291"/>
      <c r="G885" s="1291"/>
      <c r="H885" s="1071"/>
      <c r="I885" s="1072"/>
    </row>
    <row r="886" spans="1:9" ht="12.75" customHeight="1">
      <c r="A886" s="57"/>
      <c r="B886" s="57"/>
      <c r="C886" s="57"/>
      <c r="D886" s="57"/>
      <c r="E886" s="57"/>
      <c r="F886" s="57"/>
      <c r="G886" s="57"/>
    </row>
    <row r="887" spans="1:9" ht="12.75" customHeight="1">
      <c r="A887" s="57"/>
      <c r="B887" s="57"/>
      <c r="C887" s="57"/>
      <c r="D887" s="1297" t="s">
        <v>2072</v>
      </c>
      <c r="E887" s="1297"/>
      <c r="F887" s="1297"/>
      <c r="G887" s="57"/>
    </row>
    <row r="888" spans="1:9" ht="12.75" customHeight="1">
      <c r="A888" s="57"/>
      <c r="B888" s="57"/>
      <c r="C888" s="57"/>
      <c r="D888" s="1018"/>
      <c r="E888" s="1018"/>
      <c r="F888" s="1018"/>
      <c r="G888" s="57"/>
    </row>
    <row r="889" spans="1:9" ht="12.75" customHeight="1">
      <c r="A889" s="57"/>
      <c r="B889" s="520" t="s">
        <v>2624</v>
      </c>
      <c r="C889" s="57"/>
      <c r="D889" s="1021" t="s">
        <v>2073</v>
      </c>
      <c r="E889" s="1018"/>
      <c r="F889" s="1018"/>
      <c r="G889" s="57"/>
      <c r="I889" s="436" t="s">
        <v>2233</v>
      </c>
    </row>
    <row r="890" spans="1:9" ht="12.75" customHeight="1">
      <c r="A890" s="57"/>
      <c r="B890" s="57"/>
      <c r="C890" s="57"/>
      <c r="D890" s="1018"/>
      <c r="E890" s="1018"/>
      <c r="F890" s="1018"/>
      <c r="G890" s="57"/>
    </row>
    <row r="891" spans="1:9" ht="12.75" customHeight="1">
      <c r="A891" s="386"/>
      <c r="B891" s="386"/>
      <c r="C891" s="1026"/>
      <c r="D891" s="1297" t="s">
        <v>2067</v>
      </c>
      <c r="E891" s="1297"/>
      <c r="F891" s="1297"/>
      <c r="G891" s="1025"/>
    </row>
    <row r="892" spans="1:9" ht="12.75" customHeight="1">
      <c r="A892" s="172"/>
      <c r="B892" s="172"/>
      <c r="C892" s="172"/>
      <c r="D892" s="1283" t="s">
        <v>2036</v>
      </c>
      <c r="E892" s="1283"/>
      <c r="F892" s="1283"/>
      <c r="G892" s="1025"/>
    </row>
    <row r="893" spans="1:9" ht="12.75" customHeight="1">
      <c r="A893" s="1026"/>
      <c r="B893" s="1026"/>
      <c r="C893" s="1026"/>
      <c r="D893" s="2"/>
      <c r="E893" s="1025"/>
      <c r="F893" s="1025"/>
      <c r="G893" s="1025"/>
    </row>
    <row r="894" spans="1:9" ht="12.75" customHeight="1">
      <c r="A894" s="176"/>
      <c r="B894" s="520" t="s">
        <v>2624</v>
      </c>
      <c r="C894" s="386"/>
      <c r="D894" s="1263" t="s">
        <v>2040</v>
      </c>
      <c r="E894" s="1263"/>
      <c r="F894" s="1263"/>
      <c r="G894" s="3"/>
      <c r="I894" s="436" t="s">
        <v>2185</v>
      </c>
    </row>
    <row r="895" spans="1:9" ht="12.75" customHeight="1">
      <c r="A895" s="386"/>
      <c r="B895" s="386"/>
      <c r="C895" s="386"/>
      <c r="D895" s="1263"/>
      <c r="E895" s="1263"/>
      <c r="F895" s="1263"/>
      <c r="G895" s="3"/>
    </row>
    <row r="896" spans="1:9" ht="12.75" customHeight="1">
      <c r="A896" s="172"/>
      <c r="B896" s="172"/>
      <c r="C896" s="172"/>
      <c r="D896" s="1263" t="s">
        <v>2039</v>
      </c>
      <c r="E896" s="1263"/>
      <c r="F896" s="1263"/>
      <c r="G896" s="1025"/>
    </row>
    <row r="897" spans="1:9" ht="12.75" customHeight="1">
      <c r="A897" s="172"/>
      <c r="B897" s="172"/>
      <c r="C897" s="172"/>
      <c r="D897" s="1263"/>
      <c r="E897" s="1263"/>
      <c r="F897" s="1263"/>
      <c r="G897" s="1025"/>
    </row>
    <row r="898" spans="1:9" ht="12.75" customHeight="1">
      <c r="A898" s="172"/>
      <c r="B898" s="172"/>
      <c r="C898" s="172"/>
      <c r="D898" s="3"/>
      <c r="E898" s="3"/>
      <c r="F898" s="1025"/>
      <c r="G898" s="1025"/>
    </row>
    <row r="899" spans="1:9" ht="12.75" customHeight="1">
      <c r="A899" s="176"/>
      <c r="B899" s="520" t="s">
        <v>2624</v>
      </c>
      <c r="C899" s="175"/>
      <c r="D899" s="1267" t="s">
        <v>2037</v>
      </c>
      <c r="E899" s="1267"/>
      <c r="F899" s="1267"/>
      <c r="G899" s="1025"/>
      <c r="I899" s="436" t="s">
        <v>2184</v>
      </c>
    </row>
    <row r="900" spans="1:9" ht="12.75" customHeight="1">
      <c r="A900" s="176"/>
      <c r="B900" s="176"/>
      <c r="C900" s="175"/>
      <c r="D900" s="1267"/>
      <c r="E900" s="1267"/>
      <c r="F900" s="1267"/>
      <c r="G900" s="1025"/>
    </row>
    <row r="901" spans="1:9" ht="12.75" customHeight="1">
      <c r="A901" s="176"/>
      <c r="B901" s="176"/>
      <c r="C901" s="175"/>
      <c r="D901" s="1267"/>
      <c r="E901" s="1267"/>
      <c r="F901" s="1267"/>
      <c r="G901" s="1025"/>
    </row>
    <row r="902" spans="1:9" ht="12.75" customHeight="1">
      <c r="A902" s="176"/>
      <c r="B902" s="176"/>
      <c r="C902" s="175"/>
      <c r="D902" s="1267"/>
      <c r="E902" s="1267"/>
      <c r="F902" s="1267"/>
      <c r="G902" s="1025"/>
    </row>
    <row r="903" spans="1:9" ht="12.75" customHeight="1">
      <c r="A903" s="176"/>
      <c r="B903" s="176"/>
      <c r="C903" s="175"/>
      <c r="D903" s="1267"/>
      <c r="E903" s="1267"/>
      <c r="F903" s="1267"/>
      <c r="G903" s="1025"/>
    </row>
    <row r="904" spans="1:9" ht="12.75" customHeight="1">
      <c r="A904" s="175"/>
      <c r="B904" s="175"/>
      <c r="C904" s="175"/>
      <c r="D904" s="1267"/>
      <c r="E904" s="1267"/>
      <c r="F904" s="1267"/>
      <c r="G904" s="1025"/>
    </row>
    <row r="905" spans="1:9" ht="12.75" customHeight="1">
      <c r="A905" s="175"/>
      <c r="B905" s="175"/>
      <c r="C905" s="175"/>
      <c r="D905" s="1267"/>
      <c r="E905" s="1267"/>
      <c r="F905" s="1267"/>
      <c r="G905" s="1025"/>
    </row>
    <row r="906" spans="1:9" ht="12.75" customHeight="1">
      <c r="A906" s="175"/>
      <c r="B906" s="175"/>
      <c r="C906" s="175"/>
      <c r="D906" s="1267"/>
      <c r="E906" s="1267"/>
      <c r="F906" s="1267"/>
      <c r="G906" s="1025"/>
    </row>
    <row r="907" spans="1:9" ht="12.75" customHeight="1">
      <c r="A907" s="175"/>
      <c r="B907" s="175"/>
      <c r="C907" s="175"/>
      <c r="D907" s="364"/>
      <c r="E907" s="364"/>
      <c r="F907" s="364"/>
      <c r="G907" s="1025"/>
    </row>
    <row r="908" spans="1:9" ht="12.75" customHeight="1">
      <c r="A908" s="1026"/>
      <c r="B908" s="520" t="s">
        <v>2623</v>
      </c>
      <c r="C908" s="1026"/>
      <c r="D908" s="1263" t="s">
        <v>2041</v>
      </c>
      <c r="E908" s="1263"/>
      <c r="F908" s="1263"/>
      <c r="G908" s="1025"/>
    </row>
    <row r="909" spans="1:9" ht="12.75" customHeight="1">
      <c r="A909" s="1026"/>
      <c r="B909" s="1026"/>
      <c r="C909" s="1026"/>
      <c r="D909" s="1263"/>
      <c r="E909" s="1263"/>
      <c r="F909" s="1263"/>
      <c r="G909" s="1025"/>
    </row>
    <row r="910" spans="1:9" ht="12.75" customHeight="1">
      <c r="A910" s="1026"/>
      <c r="B910" s="1026"/>
      <c r="C910" s="1026"/>
      <c r="D910" s="1025"/>
      <c r="E910" s="1025"/>
      <c r="F910" s="1025"/>
      <c r="G910" s="1025"/>
    </row>
    <row r="911" spans="1:9" ht="12.75" customHeight="1">
      <c r="A911" s="1026"/>
      <c r="B911" s="520" t="s">
        <v>2623</v>
      </c>
      <c r="C911" s="1026"/>
      <c r="D911" s="1304" t="s">
        <v>2042</v>
      </c>
      <c r="E911" s="1304"/>
      <c r="F911" s="1304"/>
      <c r="G911" s="1025"/>
    </row>
    <row r="912" spans="1:9" ht="12.75" customHeight="1">
      <c r="A912" s="1026"/>
      <c r="B912" s="1026"/>
      <c r="C912" s="1026"/>
      <c r="D912" s="1304"/>
      <c r="E912" s="1304"/>
      <c r="F912" s="1304"/>
      <c r="G912" s="1025"/>
    </row>
    <row r="913" spans="1:9" ht="12.75" customHeight="1">
      <c r="A913" s="1026"/>
      <c r="B913" s="1026"/>
      <c r="C913" s="1026"/>
      <c r="D913" s="1304"/>
      <c r="E913" s="1304"/>
      <c r="F913" s="1304"/>
      <c r="G913" s="1025"/>
    </row>
    <row r="914" spans="1:9" ht="12.75" customHeight="1">
      <c r="A914" s="1026"/>
      <c r="B914" s="1026"/>
      <c r="C914" s="1026"/>
      <c r="D914" s="1304"/>
      <c r="E914" s="1304"/>
      <c r="F914" s="1304"/>
      <c r="G914" s="1025"/>
    </row>
    <row r="915" spans="1:9" ht="12.75" customHeight="1">
      <c r="A915" s="1026"/>
      <c r="B915" s="1026"/>
      <c r="C915" s="1026"/>
      <c r="D915" s="118"/>
      <c r="E915" s="1025"/>
      <c r="F915" s="1025"/>
      <c r="G915" s="1025"/>
    </row>
    <row r="916" spans="1:9" ht="12.75" customHeight="1">
      <c r="A916" s="1026"/>
      <c r="B916" s="520" t="s">
        <v>2623</v>
      </c>
      <c r="C916" s="1026"/>
      <c r="D916" s="1283" t="s">
        <v>2464</v>
      </c>
      <c r="E916" s="1283"/>
      <c r="F916" s="1283"/>
      <c r="G916" s="1025"/>
    </row>
    <row r="917" spans="1:9" ht="12.75" customHeight="1">
      <c r="A917" s="1026"/>
      <c r="B917" s="1026"/>
      <c r="C917" s="1026"/>
      <c r="D917" s="118"/>
      <c r="E917" s="1025"/>
      <c r="F917" s="1025"/>
      <c r="G917" s="1025"/>
    </row>
    <row r="918" spans="1:9" ht="12.75" customHeight="1">
      <c r="A918" s="1026"/>
      <c r="B918" s="520" t="s">
        <v>2623</v>
      </c>
      <c r="C918" s="1026"/>
      <c r="D918" s="1283" t="s">
        <v>2465</v>
      </c>
      <c r="E918" s="1283"/>
      <c r="F918" s="1283"/>
      <c r="G918" s="1025"/>
    </row>
    <row r="919" spans="1:9" ht="12.75" customHeight="1">
      <c r="A919" s="175"/>
      <c r="B919" s="175"/>
      <c r="C919" s="175"/>
      <c r="D919" s="2"/>
      <c r="E919" s="3"/>
      <c r="F919" s="1025"/>
      <c r="G919" s="1025"/>
    </row>
    <row r="920" spans="1:9" ht="12.75" customHeight="1">
      <c r="A920" s="1034"/>
      <c r="B920" s="520" t="s">
        <v>2624</v>
      </c>
      <c r="C920" s="1035"/>
      <c r="D920" s="1267" t="s">
        <v>2038</v>
      </c>
      <c r="E920" s="1267"/>
      <c r="F920" s="1267"/>
      <c r="G920" s="1036"/>
      <c r="I920" s="436" t="s">
        <v>2234</v>
      </c>
    </row>
    <row r="921" spans="1:9" ht="12.75" customHeight="1">
      <c r="A921" s="1034"/>
      <c r="B921" s="1034"/>
      <c r="C921" s="1035"/>
      <c r="D921" s="1267"/>
      <c r="E921" s="1267"/>
      <c r="F921" s="1267"/>
      <c r="G921" s="1036"/>
    </row>
    <row r="922" spans="1:9" ht="12.75" customHeight="1">
      <c r="A922" s="1034"/>
      <c r="B922" s="1034"/>
      <c r="C922" s="1035"/>
      <c r="D922" s="1267"/>
      <c r="E922" s="1267"/>
      <c r="F922" s="1267"/>
      <c r="G922" s="1036"/>
    </row>
    <row r="923" spans="1:9" ht="12.75" customHeight="1">
      <c r="A923" s="1034"/>
      <c r="B923" s="1034"/>
      <c r="C923" s="1035"/>
      <c r="D923" s="1267"/>
      <c r="E923" s="1267"/>
      <c r="F923" s="1267"/>
      <c r="G923" s="1036"/>
    </row>
    <row r="924" spans="1:9" ht="12.75" customHeight="1">
      <c r="A924" s="1034"/>
      <c r="B924" s="1034"/>
      <c r="C924" s="1035"/>
      <c r="D924" s="1267"/>
      <c r="E924" s="1267"/>
      <c r="F924" s="1267"/>
      <c r="G924" s="1036"/>
    </row>
    <row r="925" spans="1:9" ht="12.75" customHeight="1">
      <c r="A925" s="1034"/>
      <c r="B925" s="1034"/>
      <c r="C925" s="1035"/>
      <c r="D925" s="1267"/>
      <c r="E925" s="1267"/>
      <c r="F925" s="1267"/>
      <c r="G925" s="1036"/>
    </row>
    <row r="926" spans="1:9" ht="12.75" customHeight="1">
      <c r="A926" s="1034"/>
      <c r="B926" s="1034"/>
      <c r="C926" s="1035"/>
      <c r="D926" s="1267"/>
      <c r="E926" s="1267"/>
      <c r="F926" s="1267"/>
      <c r="G926" s="1036"/>
    </row>
    <row r="927" spans="1:9" ht="12.75" customHeight="1">
      <c r="A927" s="1034"/>
      <c r="B927" s="1034"/>
      <c r="C927" s="1035"/>
      <c r="D927" s="1267"/>
      <c r="E927" s="1267"/>
      <c r="F927" s="1267"/>
      <c r="G927" s="1036"/>
    </row>
    <row r="928" spans="1:9" ht="12.75" customHeight="1">
      <c r="A928" s="1034"/>
      <c r="B928" s="1034"/>
      <c r="C928" s="1035"/>
      <c r="D928" s="1267"/>
      <c r="E928" s="1267"/>
      <c r="F928" s="1267"/>
      <c r="G928" s="1036"/>
    </row>
    <row r="929" spans="1:9" ht="12.75" customHeight="1">
      <c r="A929" s="175"/>
      <c r="B929" s="175"/>
      <c r="C929" s="175"/>
      <c r="D929" s="2"/>
      <c r="E929" s="3"/>
      <c r="F929" s="1025"/>
      <c r="G929" s="1025"/>
    </row>
    <row r="930" spans="1:9" ht="12.75" customHeight="1">
      <c r="A930" s="176"/>
      <c r="B930" s="520" t="s">
        <v>2624</v>
      </c>
      <c r="C930" s="175"/>
      <c r="D930" s="1344" t="s">
        <v>2236</v>
      </c>
      <c r="E930" s="1344"/>
      <c r="F930" s="1344"/>
      <c r="G930" s="1025"/>
      <c r="I930" s="436" t="s">
        <v>2234</v>
      </c>
    </row>
    <row r="931" spans="1:9" ht="12.75" customHeight="1">
      <c r="A931" s="176"/>
      <c r="B931" s="176"/>
      <c r="C931" s="175"/>
      <c r="D931" s="1344"/>
      <c r="E931" s="1344"/>
      <c r="F931" s="1344"/>
      <c r="G931" s="1025"/>
    </row>
    <row r="932" spans="1:9" ht="12.75" customHeight="1">
      <c r="A932" s="176"/>
      <c r="B932" s="176"/>
      <c r="C932" s="175"/>
      <c r="D932" s="1344"/>
      <c r="E932" s="1344"/>
      <c r="F932" s="1344"/>
      <c r="G932" s="1025"/>
    </row>
    <row r="933" spans="1:9" ht="12.75" customHeight="1">
      <c r="A933" s="176"/>
      <c r="B933" s="176"/>
      <c r="C933" s="175"/>
      <c r="D933" s="1344"/>
      <c r="E933" s="1344"/>
      <c r="F933" s="1344"/>
      <c r="G933" s="1025"/>
    </row>
    <row r="934" spans="1:9" ht="12.75" customHeight="1">
      <c r="A934" s="176"/>
      <c r="B934" s="176"/>
      <c r="C934" s="175"/>
      <c r="D934" s="1344"/>
      <c r="E934" s="1344"/>
      <c r="F934" s="1344"/>
      <c r="G934" s="1025"/>
    </row>
    <row r="935" spans="1:9" ht="12.75" customHeight="1">
      <c r="A935" s="176"/>
      <c r="B935" s="176"/>
      <c r="C935" s="175"/>
      <c r="D935" s="1344"/>
      <c r="E935" s="1344"/>
      <c r="F935" s="1344"/>
      <c r="G935" s="1025"/>
    </row>
    <row r="936" spans="1:9" ht="12.75" customHeight="1">
      <c r="A936" s="176"/>
      <c r="B936" s="176"/>
      <c r="C936" s="175"/>
      <c r="D936" s="1344"/>
      <c r="E936" s="1344"/>
      <c r="F936" s="1344"/>
      <c r="G936" s="1025"/>
    </row>
    <row r="937" spans="1:9" ht="12.75" customHeight="1">
      <c r="A937" s="176"/>
      <c r="B937" s="176"/>
      <c r="C937" s="175"/>
      <c r="D937" s="1067"/>
      <c r="E937" s="1067"/>
      <c r="F937" s="1067"/>
      <c r="G937" s="1025"/>
    </row>
    <row r="938" spans="1:9" ht="12.75" customHeight="1">
      <c r="A938" s="176"/>
      <c r="B938" s="520" t="s">
        <v>2624</v>
      </c>
      <c r="C938" s="175"/>
      <c r="D938" s="1266" t="s">
        <v>2558</v>
      </c>
      <c r="E938" s="1266"/>
      <c r="F938" s="1266"/>
      <c r="G938" s="1025"/>
    </row>
    <row r="939" spans="1:9" ht="12.75" customHeight="1">
      <c r="A939" s="176"/>
      <c r="B939" s="176"/>
      <c r="C939" s="175"/>
      <c r="D939" s="1266"/>
      <c r="E939" s="1266"/>
      <c r="F939" s="1266"/>
      <c r="G939" s="1025"/>
    </row>
    <row r="940" spans="1:9" ht="12.75" customHeight="1">
      <c r="A940" s="176"/>
      <c r="B940" s="176"/>
      <c r="C940" s="175"/>
      <c r="D940" s="1266"/>
      <c r="E940" s="1266"/>
      <c r="F940" s="1266"/>
      <c r="G940" s="1025"/>
    </row>
    <row r="941" spans="1:9" ht="12.75" customHeight="1">
      <c r="A941" s="176"/>
      <c r="B941" s="176"/>
      <c r="C941" s="175"/>
      <c r="D941" s="1266"/>
      <c r="E941" s="1266"/>
      <c r="F941" s="1266"/>
      <c r="G941" s="1025"/>
    </row>
    <row r="942" spans="1:9" ht="12.75" customHeight="1">
      <c r="A942" s="176"/>
      <c r="B942" s="176"/>
      <c r="C942" s="175"/>
      <c r="D942" s="1266"/>
      <c r="E942" s="1266"/>
      <c r="F942" s="1266"/>
      <c r="G942" s="1025"/>
    </row>
    <row r="943" spans="1:9" ht="12.75" customHeight="1">
      <c r="A943" s="176"/>
      <c r="B943" s="176"/>
      <c r="C943" s="175"/>
      <c r="D943" s="1266"/>
      <c r="E943" s="1266"/>
      <c r="F943" s="1266"/>
      <c r="G943" s="1025"/>
    </row>
    <row r="944" spans="1:9" ht="12.75" customHeight="1">
      <c r="A944" s="176"/>
      <c r="B944" s="176"/>
      <c r="C944" s="175"/>
      <c r="D944" s="1067"/>
      <c r="E944" s="1067"/>
      <c r="F944" s="1067"/>
      <c r="G944" s="1025"/>
    </row>
    <row r="945" spans="1:9" ht="12.75" customHeight="1">
      <c r="A945" s="1026"/>
      <c r="B945" s="520" t="s">
        <v>2624</v>
      </c>
      <c r="C945" s="1026"/>
      <c r="D945" s="1304" t="s">
        <v>2043</v>
      </c>
      <c r="E945" s="1304"/>
      <c r="F945" s="1304"/>
      <c r="G945" s="1025"/>
    </row>
    <row r="946" spans="1:9" ht="12.75" customHeight="1">
      <c r="A946" s="1026"/>
      <c r="B946" s="1026"/>
      <c r="C946" s="1026"/>
      <c r="D946" s="1304"/>
      <c r="E946" s="1304"/>
      <c r="F946" s="1304"/>
      <c r="G946" s="1025"/>
    </row>
    <row r="947" spans="1:9" ht="12.75" customHeight="1">
      <c r="A947" s="1026"/>
      <c r="B947" s="1026"/>
      <c r="C947" s="1026"/>
      <c r="D947" s="1304"/>
      <c r="E947" s="1304"/>
      <c r="F947" s="1304"/>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2623</v>
      </c>
      <c r="C950" s="175"/>
      <c r="D950" s="1267" t="s">
        <v>2235</v>
      </c>
      <c r="E950" s="1267"/>
      <c r="F950" s="1267"/>
      <c r="G950" s="1025"/>
      <c r="I950" s="436" t="s">
        <v>2234</v>
      </c>
    </row>
    <row r="951" spans="1:9" ht="12.75" customHeight="1">
      <c r="A951" s="176"/>
      <c r="B951" s="176"/>
      <c r="C951" s="175"/>
      <c r="D951" s="1267"/>
      <c r="E951" s="1267"/>
      <c r="F951" s="1267"/>
      <c r="G951" s="1025"/>
    </row>
    <row r="952" spans="1:9" ht="12.75" customHeight="1">
      <c r="A952" s="176"/>
      <c r="B952" s="176"/>
      <c r="C952" s="175"/>
      <c r="D952" s="1267"/>
      <c r="E952" s="1267"/>
      <c r="F952" s="1267"/>
      <c r="G952" s="1025"/>
    </row>
    <row r="953" spans="1:9" ht="12.75" customHeight="1">
      <c r="A953" s="176"/>
      <c r="B953" s="176"/>
      <c r="C953" s="175"/>
      <c r="D953" s="1267"/>
      <c r="E953" s="1267"/>
      <c r="F953" s="1267"/>
      <c r="G953" s="1025"/>
    </row>
    <row r="954" spans="1:9" ht="12.75" customHeight="1">
      <c r="A954" s="1026"/>
      <c r="B954" s="1026"/>
      <c r="C954" s="1026"/>
      <c r="D954" s="1017"/>
      <c r="E954" s="1017"/>
      <c r="F954" s="1017"/>
      <c r="G954" s="1017"/>
    </row>
    <row r="955" spans="1:9" ht="12.75" customHeight="1">
      <c r="A955" s="386"/>
      <c r="B955" s="386"/>
      <c r="C955" s="386"/>
      <c r="D955" s="1282" t="s">
        <v>2044</v>
      </c>
      <c r="E955" s="1282"/>
      <c r="F955" s="1282"/>
      <c r="G955" s="3"/>
    </row>
    <row r="956" spans="1:9" ht="12.75" customHeight="1">
      <c r="A956" s="176"/>
      <c r="B956" s="520" t="s">
        <v>2623</v>
      </c>
      <c r="C956" s="386"/>
      <c r="D956" s="1283" t="s">
        <v>2068</v>
      </c>
      <c r="E956" s="1283"/>
      <c r="F956" s="1283"/>
      <c r="G956" s="3"/>
      <c r="I956" s="436" t="s">
        <v>2234</v>
      </c>
    </row>
    <row r="957" spans="1:9" ht="12.75" customHeight="1">
      <c r="A957" s="386"/>
      <c r="B957" s="386"/>
      <c r="C957" s="386"/>
      <c r="D957" s="3"/>
      <c r="E957" s="3"/>
      <c r="F957" s="3"/>
      <c r="G957" s="3"/>
    </row>
    <row r="958" spans="1:9" ht="12.75" customHeight="1">
      <c r="A958" s="386"/>
      <c r="B958" s="386"/>
      <c r="C958" s="386"/>
      <c r="D958" s="1282" t="s">
        <v>2045</v>
      </c>
      <c r="E958" s="1282"/>
      <c r="F958" s="1282"/>
      <c r="G958"/>
    </row>
    <row r="959" spans="1:9" ht="12.75" customHeight="1">
      <c r="A959" s="176"/>
      <c r="B959" s="520" t="s">
        <v>2623</v>
      </c>
      <c r="C959" s="386"/>
      <c r="D959" s="1263" t="s">
        <v>2466</v>
      </c>
      <c r="E959" s="1263"/>
      <c r="F959" s="1263"/>
      <c r="G959"/>
      <c r="I959" s="436" t="s">
        <v>2234</v>
      </c>
    </row>
    <row r="960" spans="1:9" ht="12.75" customHeight="1">
      <c r="A960" s="176"/>
      <c r="B960" s="176"/>
      <c r="C960" s="386"/>
      <c r="D960" s="1263"/>
      <c r="E960" s="1263"/>
      <c r="F960" s="1263"/>
      <c r="G960"/>
    </row>
    <row r="961" spans="1:9" ht="12.75" customHeight="1">
      <c r="A961" s="176"/>
      <c r="B961" s="176"/>
      <c r="C961" s="386"/>
      <c r="D961" s="1263"/>
      <c r="E961" s="1263"/>
      <c r="F961" s="1263"/>
      <c r="G961"/>
    </row>
    <row r="962" spans="1:9" ht="12.75" customHeight="1">
      <c r="A962" s="176"/>
      <c r="B962" s="176"/>
      <c r="C962" s="386"/>
      <c r="D962" s="1263"/>
      <c r="E962" s="1263"/>
      <c r="F962" s="1263"/>
      <c r="G962"/>
    </row>
    <row r="963" spans="1:9" ht="12.75" customHeight="1">
      <c r="A963" s="176"/>
      <c r="B963" s="176"/>
      <c r="C963" s="386"/>
      <c r="D963" s="1263"/>
      <c r="E963" s="1263"/>
      <c r="F963" s="1263"/>
      <c r="G963"/>
    </row>
    <row r="964" spans="1:9" ht="12.75" customHeight="1">
      <c r="A964" s="176"/>
      <c r="B964" s="176"/>
      <c r="C964" s="386"/>
      <c r="D964" s="1263"/>
      <c r="E964" s="1263"/>
      <c r="F964" s="1263"/>
      <c r="G964"/>
    </row>
    <row r="965" spans="1:9" ht="12.75" customHeight="1">
      <c r="A965" s="176"/>
      <c r="B965" s="176"/>
      <c r="C965" s="386"/>
      <c r="D965" s="1263"/>
      <c r="E965" s="1263"/>
      <c r="F965" s="1263"/>
      <c r="G965"/>
    </row>
    <row r="966" spans="1:9" ht="12.75" customHeight="1">
      <c r="A966" s="176"/>
      <c r="B966" s="176"/>
      <c r="C966" s="386"/>
      <c r="D966" s="1263"/>
      <c r="E966" s="1263"/>
      <c r="F966" s="1263"/>
      <c r="G966"/>
    </row>
    <row r="967" spans="1:9" ht="12.75" customHeight="1">
      <c r="A967" s="176"/>
      <c r="B967" s="176"/>
      <c r="C967" s="386"/>
      <c r="D967" s="1263"/>
      <c r="E967" s="1263"/>
      <c r="F967" s="1263"/>
      <c r="G967"/>
    </row>
    <row r="968" spans="1:9" ht="12.75" customHeight="1">
      <c r="A968" s="176"/>
      <c r="B968" s="176"/>
      <c r="C968" s="386"/>
      <c r="D968" s="1263"/>
      <c r="E968" s="1263"/>
      <c r="F968" s="1263"/>
      <c r="G968"/>
    </row>
    <row r="969" spans="1:9" ht="12.75" customHeight="1">
      <c r="A969" s="176"/>
      <c r="B969" s="176"/>
      <c r="C969" s="386"/>
      <c r="D969" s="1263"/>
      <c r="E969" s="1263"/>
      <c r="F969" s="1263"/>
      <c r="G969"/>
    </row>
    <row r="970" spans="1:9" ht="12.75" customHeight="1">
      <c r="A970" s="176"/>
      <c r="B970" s="176"/>
      <c r="C970" s="386"/>
      <c r="D970" s="1263"/>
      <c r="E970" s="1263"/>
      <c r="F970" s="1263"/>
      <c r="G970"/>
    </row>
    <row r="971" spans="1:9" ht="12.75" customHeight="1">
      <c r="A971" s="176"/>
      <c r="B971" s="176"/>
      <c r="C971" s="386"/>
      <c r="D971" s="1263"/>
      <c r="E971" s="1263"/>
      <c r="F971" s="1263"/>
      <c r="G971"/>
    </row>
    <row r="972" spans="1:9" ht="12.75" customHeight="1">
      <c r="A972" s="176"/>
      <c r="B972" s="176"/>
      <c r="C972" s="386"/>
      <c r="D972" s="1263"/>
      <c r="E972" s="1263"/>
      <c r="F972" s="1263"/>
      <c r="G972"/>
    </row>
    <row r="973" spans="1:9" ht="12.75" customHeight="1">
      <c r="A973" s="176"/>
      <c r="B973" s="176"/>
      <c r="C973" s="386"/>
      <c r="D973" s="1263"/>
      <c r="E973" s="1263"/>
      <c r="F973" s="1263"/>
      <c r="G973" s="3"/>
    </row>
    <row r="974" spans="1:9" ht="12.75" customHeight="1">
      <c r="A974" s="386"/>
      <c r="B974" s="386"/>
      <c r="C974" s="386"/>
      <c r="D974" s="3"/>
      <c r="E974" s="3"/>
      <c r="F974" s="3"/>
      <c r="G974" s="3"/>
    </row>
    <row r="975" spans="1:9" ht="12.75" customHeight="1">
      <c r="A975" s="1291" t="s">
        <v>2046</v>
      </c>
      <c r="B975" s="1291"/>
      <c r="C975" s="1291"/>
      <c r="D975" s="1291"/>
      <c r="E975" s="1291"/>
      <c r="F975" s="1291"/>
      <c r="G975" s="1291"/>
      <c r="H975" s="1071"/>
      <c r="I975" s="1072"/>
    </row>
    <row r="976" spans="1:9" ht="12.75" customHeight="1">
      <c r="A976" s="118"/>
      <c r="B976" s="118"/>
      <c r="C976" s="386"/>
      <c r="D976" s="3"/>
      <c r="E976" s="3"/>
      <c r="F976" s="3"/>
      <c r="G976" s="3"/>
    </row>
    <row r="977" spans="1:9" ht="12.75" customHeight="1">
      <c r="A977" s="386"/>
      <c r="B977" s="386"/>
      <c r="C977" s="1026"/>
      <c r="D977" s="1282" t="s">
        <v>2069</v>
      </c>
      <c r="E977" s="1282"/>
      <c r="F977" s="1282"/>
      <c r="G977" s="3"/>
    </row>
    <row r="978" spans="1:9" ht="12.75" customHeight="1">
      <c r="A978" s="172"/>
      <c r="B978" s="172"/>
      <c r="C978" s="172"/>
      <c r="D978" s="1283" t="s">
        <v>2047</v>
      </c>
      <c r="E978" s="1283"/>
      <c r="F978" s="1283"/>
      <c r="G978" s="3"/>
    </row>
    <row r="979" spans="1:9" ht="12.75" customHeight="1">
      <c r="A979" s="172"/>
      <c r="B979" s="172"/>
      <c r="C979" s="172"/>
      <c r="D979" s="3"/>
      <c r="E979" s="3"/>
      <c r="F979" s="1025"/>
      <c r="G979"/>
    </row>
    <row r="980" spans="1:9" ht="12.75" customHeight="1">
      <c r="A980" s="386"/>
      <c r="B980" s="520" t="s">
        <v>2624</v>
      </c>
      <c r="C980" s="386"/>
      <c r="D980" s="1346" t="s">
        <v>2296</v>
      </c>
      <c r="E980" s="1346"/>
      <c r="F980" s="1346"/>
      <c r="G980"/>
      <c r="I980" s="436" t="s">
        <v>2214</v>
      </c>
    </row>
    <row r="981" spans="1:9" ht="12.75" customHeight="1">
      <c r="A981" s="386"/>
      <c r="B981" s="386"/>
      <c r="C981" s="386"/>
      <c r="D981" s="1346"/>
      <c r="E981" s="1346"/>
      <c r="F981" s="1346"/>
      <c r="G981"/>
    </row>
    <row r="982" spans="1:9" ht="12.75" customHeight="1">
      <c r="A982" s="386"/>
      <c r="B982" s="386"/>
      <c r="C982" s="386"/>
      <c r="D982" s="1082"/>
      <c r="E982" s="1080" t="s">
        <v>2297</v>
      </c>
      <c r="F982" s="1082"/>
      <c r="G982"/>
    </row>
    <row r="983" spans="1:9" ht="12.75" customHeight="1">
      <c r="A983" s="386"/>
      <c r="B983" s="386"/>
      <c r="C983" s="386"/>
      <c r="D983" s="1269" t="s">
        <v>2295</v>
      </c>
      <c r="E983" s="1269"/>
      <c r="F983" s="1269"/>
      <c r="G983"/>
    </row>
    <row r="984" spans="1:9" ht="12.75" customHeight="1">
      <c r="A984" s="386"/>
      <c r="B984" s="386"/>
      <c r="C984" s="386"/>
      <c r="D984" s="1269"/>
      <c r="E984" s="1269"/>
      <c r="F984" s="1269"/>
      <c r="G984"/>
    </row>
    <row r="985" spans="1:9" ht="12.75" customHeight="1">
      <c r="A985" s="175"/>
      <c r="B985" s="175"/>
      <c r="C985" s="175"/>
      <c r="D985" s="1269"/>
      <c r="E985" s="1269"/>
      <c r="F985" s="1269"/>
      <c r="G985"/>
    </row>
    <row r="986" spans="1:9" ht="12.75" customHeight="1">
      <c r="A986" s="175"/>
      <c r="B986" s="175"/>
      <c r="C986" s="175"/>
      <c r="D986" s="1269"/>
      <c r="E986" s="1269"/>
      <c r="F986" s="1269"/>
      <c r="G986"/>
    </row>
    <row r="987" spans="1:9" ht="12.75" customHeight="1">
      <c r="A987" s="175"/>
      <c r="B987" s="175"/>
      <c r="C987" s="175"/>
      <c r="D987" s="364"/>
      <c r="E987" s="364"/>
      <c r="F987" s="364"/>
      <c r="G987"/>
    </row>
    <row r="988" spans="1:9" ht="12.75" customHeight="1">
      <c r="A988" s="175"/>
      <c r="B988" s="520" t="s">
        <v>2623</v>
      </c>
      <c r="C988" s="175"/>
      <c r="D988" s="1263" t="s">
        <v>2048</v>
      </c>
      <c r="E988" s="1263"/>
      <c r="F988" s="1263"/>
      <c r="G988"/>
    </row>
    <row r="989" spans="1:9" ht="12.75" customHeight="1">
      <c r="A989" s="175"/>
      <c r="B989" s="175"/>
      <c r="C989" s="175"/>
      <c r="D989" s="1263"/>
      <c r="E989" s="1263"/>
      <c r="F989" s="1263"/>
      <c r="G989"/>
    </row>
    <row r="990" spans="1:9" ht="12.75" customHeight="1">
      <c r="A990" s="175"/>
      <c r="B990" s="175"/>
      <c r="C990" s="175"/>
      <c r="D990" s="1263"/>
      <c r="E990" s="1263"/>
      <c r="F990" s="1263"/>
      <c r="G990"/>
    </row>
    <row r="991" spans="1:9" ht="12.75" customHeight="1">
      <c r="A991" s="175"/>
      <c r="B991" s="175"/>
      <c r="C991" s="175"/>
      <c r="D991" s="1263"/>
      <c r="E991" s="1263"/>
      <c r="F991" s="1263"/>
      <c r="G991"/>
    </row>
    <row r="992" spans="1:9" ht="12.75" customHeight="1">
      <c r="A992" s="175"/>
      <c r="B992" s="175"/>
      <c r="C992" s="175"/>
      <c r="D992" s="475"/>
      <c r="E992" s="475"/>
      <c r="F992" s="475"/>
      <c r="G992"/>
    </row>
    <row r="993" spans="1:7" ht="12.75" customHeight="1">
      <c r="A993" s="175"/>
      <c r="B993" s="520" t="s">
        <v>2623</v>
      </c>
      <c r="C993" s="175"/>
      <c r="D993" s="1263" t="s">
        <v>2049</v>
      </c>
      <c r="E993" s="1263"/>
      <c r="F993" s="1263"/>
      <c r="G993"/>
    </row>
    <row r="994" spans="1:7" ht="12.75" customHeight="1">
      <c r="A994" s="175"/>
      <c r="B994" s="175"/>
      <c r="C994" s="175"/>
      <c r="D994" s="1263"/>
      <c r="E994" s="1263"/>
      <c r="F994" s="1263"/>
      <c r="G994"/>
    </row>
    <row r="995" spans="1:7" ht="12.75" customHeight="1">
      <c r="A995" s="175"/>
      <c r="B995" s="175"/>
      <c r="C995" s="175"/>
      <c r="D995" s="475"/>
      <c r="E995" s="475"/>
      <c r="F995" s="475"/>
      <c r="G995"/>
    </row>
    <row r="996" spans="1:7" ht="12.75" customHeight="1">
      <c r="A996" s="176"/>
      <c r="B996" s="520" t="s">
        <v>2624</v>
      </c>
      <c r="C996" s="386"/>
      <c r="D996" s="1283" t="s">
        <v>2050</v>
      </c>
      <c r="E996" s="1283"/>
      <c r="F996" s="1283"/>
      <c r="G996"/>
    </row>
    <row r="997" spans="1:7" ht="12.75" customHeight="1">
      <c r="A997" s="386"/>
      <c r="B997" s="386"/>
      <c r="C997" s="386"/>
      <c r="D997" s="3"/>
      <c r="E997" s="3"/>
      <c r="F997" s="3"/>
      <c r="G997"/>
    </row>
    <row r="998" spans="1:7" ht="12.75" customHeight="1">
      <c r="A998" s="176"/>
      <c r="B998" s="520" t="s">
        <v>2623</v>
      </c>
      <c r="C998" s="386"/>
      <c r="D998" s="1283" t="s">
        <v>2051</v>
      </c>
      <c r="E998" s="1283"/>
      <c r="F998" s="1283"/>
      <c r="G998"/>
    </row>
    <row r="999" spans="1:7" ht="12.75" customHeight="1">
      <c r="A999" s="386"/>
      <c r="B999" s="386"/>
      <c r="C999" s="386"/>
      <c r="D999" s="118"/>
      <c r="E999" s="3"/>
      <c r="F999" s="3"/>
      <c r="G999"/>
    </row>
    <row r="1000" spans="1:7" ht="12.75" customHeight="1">
      <c r="A1000" s="176"/>
      <c r="B1000" s="520" t="s">
        <v>2624</v>
      </c>
      <c r="C1000" s="386"/>
      <c r="D1000" s="1283" t="s">
        <v>2052</v>
      </c>
      <c r="E1000" s="1283"/>
      <c r="F1000" s="1283"/>
      <c r="G1000"/>
    </row>
    <row r="1001" spans="1:7" ht="12.75" customHeight="1">
      <c r="A1001" s="386"/>
      <c r="B1001" s="386"/>
      <c r="C1001" s="386"/>
      <c r="D1001" s="118"/>
      <c r="E1001" s="3"/>
      <c r="F1001" s="3"/>
      <c r="G1001"/>
    </row>
    <row r="1002" spans="1:7" ht="12.75" customHeight="1">
      <c r="A1002" s="176"/>
      <c r="B1002" s="520" t="s">
        <v>2623</v>
      </c>
      <c r="C1002" s="386"/>
      <c r="D1002" s="1263" t="s">
        <v>2053</v>
      </c>
      <c r="E1002" s="1263"/>
      <c r="F1002" s="1263"/>
      <c r="G1002"/>
    </row>
    <row r="1003" spans="1:7" ht="12.75" customHeight="1">
      <c r="A1003" s="176"/>
      <c r="B1003" s="176"/>
      <c r="C1003" s="386"/>
      <c r="D1003" s="1263"/>
      <c r="E1003" s="1263"/>
      <c r="F1003" s="1263"/>
      <c r="G1003"/>
    </row>
    <row r="1004" spans="1:7" ht="12.75" customHeight="1">
      <c r="A1004" s="176"/>
      <c r="B1004" s="176"/>
      <c r="C1004" s="386"/>
      <c r="D1004" s="118"/>
      <c r="E1004" s="3"/>
      <c r="F1004" s="3"/>
      <c r="G1004" s="3"/>
    </row>
    <row r="1005" spans="1:7" ht="12.75" customHeight="1">
      <c r="A1005" s="272"/>
      <c r="B1005" s="520" t="s">
        <v>2623</v>
      </c>
      <c r="C1005" s="1037"/>
      <c r="D1005" s="1296" t="s">
        <v>2054</v>
      </c>
      <c r="E1005" s="1296"/>
      <c r="F1005" s="1296"/>
      <c r="G1005" s="1038"/>
    </row>
    <row r="1006" spans="1:7" ht="12.75" customHeight="1">
      <c r="A1006" s="1037"/>
      <c r="B1006" s="1037"/>
      <c r="C1006" s="1037"/>
      <c r="D1006" s="1296"/>
      <c r="E1006" s="1296"/>
      <c r="F1006" s="1296"/>
      <c r="G1006" s="1038"/>
    </row>
    <row r="1007" spans="1:7" ht="12.75" customHeight="1">
      <c r="A1007" s="1037"/>
      <c r="B1007" s="1037"/>
      <c r="C1007" s="1037"/>
      <c r="D1007" s="1021"/>
      <c r="E1007" s="1038"/>
      <c r="F1007" s="1038"/>
      <c r="G1007" s="1038"/>
    </row>
    <row r="1008" spans="1:7" ht="12.75" customHeight="1">
      <c r="A1008" s="272"/>
      <c r="B1008" s="520" t="s">
        <v>2623</v>
      </c>
      <c r="C1008" s="1037"/>
      <c r="D1008" s="1345" t="s">
        <v>2055</v>
      </c>
      <c r="E1008" s="1345"/>
      <c r="F1008" s="1345"/>
      <c r="G1008" s="1038"/>
    </row>
    <row r="1009" spans="1:9" ht="12.75" customHeight="1">
      <c r="A1009" s="1037"/>
      <c r="B1009" s="1037"/>
      <c r="C1009" s="1037"/>
      <c r="D1009" s="1021"/>
      <c r="E1009" s="1038"/>
      <c r="F1009" s="1038"/>
      <c r="G1009" s="1038"/>
    </row>
    <row r="1010" spans="1:9" ht="12.75" customHeight="1">
      <c r="A1010" s="176"/>
      <c r="B1010" s="520" t="s">
        <v>2624</v>
      </c>
      <c r="C1010" s="386"/>
      <c r="D1010" s="1283" t="s">
        <v>2056</v>
      </c>
      <c r="E1010" s="1283"/>
      <c r="F1010" s="1283"/>
      <c r="G1010" s="3"/>
    </row>
    <row r="1011" spans="1:9" ht="12.75" customHeight="1">
      <c r="A1011" s="176"/>
      <c r="B1011" s="176"/>
      <c r="C1011" s="386"/>
      <c r="D1011" s="118"/>
      <c r="E1011" s="3"/>
      <c r="F1011" s="3"/>
      <c r="G1011" s="3"/>
    </row>
    <row r="1012" spans="1:9" ht="12.75" customHeight="1">
      <c r="A1012" s="176"/>
      <c r="B1012" s="520" t="s">
        <v>2624</v>
      </c>
      <c r="C1012" s="386"/>
      <c r="D1012" s="1263" t="s">
        <v>2057</v>
      </c>
      <c r="E1012" s="1263"/>
      <c r="F1012" s="1263"/>
      <c r="G1012" s="3"/>
    </row>
    <row r="1013" spans="1:9" ht="12.75" customHeight="1">
      <c r="A1013" s="176"/>
      <c r="B1013" s="176"/>
      <c r="C1013" s="386"/>
      <c r="D1013" s="1263"/>
      <c r="E1013" s="1263"/>
      <c r="F1013" s="1263"/>
      <c r="G1013" s="3"/>
    </row>
    <row r="1014" spans="1:9" ht="12.75" customHeight="1">
      <c r="A1014" s="386"/>
      <c r="B1014" s="386"/>
      <c r="C1014" s="386"/>
      <c r="D1014" s="3"/>
      <c r="E1014" s="3"/>
      <c r="F1014" s="3"/>
      <c r="G1014" s="3"/>
    </row>
    <row r="1015" spans="1:9" ht="12.75" customHeight="1">
      <c r="A1015" s="1291" t="s">
        <v>2058</v>
      </c>
      <c r="B1015" s="1291"/>
      <c r="C1015" s="1291"/>
      <c r="D1015" s="1291"/>
      <c r="E1015" s="1291"/>
      <c r="F1015" s="1291"/>
      <c r="G1015" s="1291"/>
      <c r="H1015" s="1071"/>
      <c r="I1015" s="1072"/>
    </row>
    <row r="1016" spans="1:9" ht="12.75" customHeight="1">
      <c r="A1016" s="386"/>
      <c r="B1016" s="386"/>
      <c r="C1016" s="386"/>
      <c r="D1016" s="3"/>
      <c r="E1016" s="3"/>
      <c r="F1016" s="3"/>
      <c r="G1016" s="3"/>
    </row>
    <row r="1017" spans="1:9" ht="12.75" customHeight="1">
      <c r="A1017" s="386"/>
      <c r="B1017" s="386"/>
      <c r="C1017" s="386"/>
      <c r="D1017" s="1297" t="s">
        <v>2059</v>
      </c>
      <c r="E1017" s="1297"/>
      <c r="F1017" s="1297"/>
      <c r="G1017" s="3"/>
    </row>
    <row r="1018" spans="1:9" ht="12.75" customHeight="1">
      <c r="A1018" s="386"/>
      <c r="B1018" s="386"/>
      <c r="C1018" s="386"/>
      <c r="D1018" s="1345" t="s">
        <v>2060</v>
      </c>
      <c r="E1018" s="1345"/>
      <c r="F1018" s="1345"/>
      <c r="G1018" s="3"/>
    </row>
    <row r="1019" spans="1:9" ht="12.75" customHeight="1">
      <c r="A1019" s="172"/>
      <c r="B1019" s="172"/>
      <c r="C1019" s="172"/>
      <c r="D1019" s="3"/>
      <c r="E1019" s="3"/>
      <c r="F1019" s="3"/>
      <c r="G1019" s="3"/>
    </row>
    <row r="1020" spans="1:9" ht="12.75" customHeight="1">
      <c r="A1020" s="176"/>
      <c r="B1020" s="176"/>
      <c r="C1020" s="175"/>
      <c r="D1020" s="1297" t="s">
        <v>2074</v>
      </c>
      <c r="E1020" s="1297"/>
      <c r="F1020" s="1297"/>
      <c r="G1020" s="3"/>
      <c r="I1020" s="436" t="s">
        <v>2186</v>
      </c>
    </row>
    <row r="1021" spans="1:9" ht="12.75" customHeight="1">
      <c r="A1021" s="386"/>
      <c r="B1021" s="520" t="s">
        <v>2624</v>
      </c>
      <c r="C1021" s="386"/>
      <c r="D1021" s="1345" t="s">
        <v>1428</v>
      </c>
      <c r="E1021" s="1345"/>
      <c r="F1021" s="1345"/>
      <c r="G1021" s="3"/>
    </row>
    <row r="1022" spans="1:9" ht="12.75" customHeight="1">
      <c r="A1022" s="386"/>
      <c r="B1022" s="176"/>
      <c r="C1022" s="386"/>
      <c r="D1022" s="1345" t="s">
        <v>2061</v>
      </c>
      <c r="E1022" s="1345"/>
      <c r="F1022" s="1345"/>
      <c r="G1022" s="3"/>
    </row>
    <row r="1023" spans="1:9" ht="12.75" customHeight="1">
      <c r="A1023" s="386"/>
      <c r="B1023" s="386"/>
      <c r="C1023" s="386"/>
      <c r="D1023" s="1345"/>
      <c r="E1023" s="1345"/>
      <c r="F1023" s="1345"/>
      <c r="G1023" s="3"/>
    </row>
    <row r="1024" spans="1:9" ht="12.75" customHeight="1">
      <c r="A1024" s="1291" t="s">
        <v>2070</v>
      </c>
      <c r="B1024" s="1291"/>
      <c r="C1024" s="1291"/>
      <c r="D1024" s="1291"/>
      <c r="E1024" s="1291"/>
      <c r="F1024" s="1291"/>
      <c r="G1024" s="1291"/>
      <c r="H1024" s="1071"/>
      <c r="I1024" s="1072"/>
    </row>
    <row r="1025" spans="1:9" ht="12.75" customHeight="1">
      <c r="A1025" s="118"/>
      <c r="B1025" s="118"/>
      <c r="C1025" s="386"/>
      <c r="D1025" s="3"/>
      <c r="E1025" s="3"/>
      <c r="F1025" s="3"/>
      <c r="G1025" s="3"/>
    </row>
    <row r="1026" spans="1:9" ht="12.75" hidden="1" customHeight="1">
      <c r="A1026" s="118"/>
      <c r="B1026" s="434"/>
      <c r="D1026" s="1292" t="s">
        <v>1429</v>
      </c>
      <c r="E1026" s="1292"/>
      <c r="F1026" s="1292"/>
      <c r="G1026" s="3"/>
    </row>
    <row r="1027" spans="1:9" ht="12.75" hidden="1" customHeight="1">
      <c r="A1027" s="118"/>
      <c r="B1027" s="520" t="s">
        <v>309</v>
      </c>
      <c r="D1027" s="1277" t="s">
        <v>1428</v>
      </c>
      <c r="E1027" s="1277"/>
      <c r="F1027" s="1277"/>
      <c r="G1027" s="3"/>
    </row>
    <row r="1028" spans="1:9" ht="12.75" hidden="1" customHeight="1">
      <c r="A1028" s="118"/>
      <c r="B1028" s="434"/>
      <c r="D1028" s="1277" t="s">
        <v>2071</v>
      </c>
      <c r="E1028" s="1277"/>
      <c r="F1028" s="1277"/>
      <c r="G1028" s="3"/>
    </row>
    <row r="1029" spans="1:9" ht="12.75" hidden="1" customHeight="1">
      <c r="A1029" s="118"/>
      <c r="B1029" s="434"/>
      <c r="D1029" s="479"/>
      <c r="E1029" s="479"/>
      <c r="F1029" s="479"/>
      <c r="G1029" s="3"/>
    </row>
    <row r="1030" spans="1:9" ht="12.75" customHeight="1">
      <c r="A1030" s="118"/>
      <c r="B1030" s="118"/>
      <c r="C1030" s="386"/>
      <c r="D1030" s="1351" t="s">
        <v>1131</v>
      </c>
      <c r="E1030" s="1351"/>
      <c r="F1030" s="1351"/>
      <c r="G1030" s="3"/>
      <c r="I1030" s="436" t="s">
        <v>2215</v>
      </c>
    </row>
    <row r="1031" spans="1:9" ht="12.75" customHeight="1">
      <c r="A1031" s="346"/>
      <c r="B1031" s="346"/>
      <c r="C1031" s="346"/>
      <c r="D1031" s="1287" t="s">
        <v>1148</v>
      </c>
      <c r="E1031" s="1287"/>
      <c r="F1031" s="1287"/>
      <c r="G1031" s="98"/>
    </row>
    <row r="1032" spans="1:9" ht="12.75" customHeight="1">
      <c r="A1032" s="176"/>
      <c r="B1032" s="520" t="s">
        <v>2623</v>
      </c>
      <c r="C1032" s="386"/>
      <c r="D1032" s="1287" t="s">
        <v>1025</v>
      </c>
      <c r="E1032" s="1287"/>
      <c r="F1032" s="1287"/>
      <c r="G1032" s="3"/>
    </row>
    <row r="1033" spans="1:9" ht="12.75" customHeight="1">
      <c r="A1033" s="386"/>
      <c r="B1033" s="386"/>
      <c r="C1033" s="386"/>
      <c r="D1033" s="1080" t="s">
        <v>2298</v>
      </c>
      <c r="E1033" s="96"/>
      <c r="F1033" s="96"/>
      <c r="G1033" s="3"/>
    </row>
    <row r="1034" spans="1:9">
      <c r="A1034" s="434"/>
      <c r="B1034" s="434"/>
      <c r="C1034" s="434"/>
    </row>
    <row r="1035" spans="1:9">
      <c r="A1035" s="1291" t="s">
        <v>2091</v>
      </c>
      <c r="B1035" s="1291"/>
      <c r="C1035" s="1291"/>
      <c r="D1035" s="1291"/>
      <c r="E1035" s="1291"/>
      <c r="F1035" s="1291"/>
      <c r="G1035" s="1291"/>
      <c r="H1035" s="1071"/>
      <c r="I1035" s="1072"/>
    </row>
    <row r="1036" spans="1:9">
      <c r="A1036" s="434"/>
      <c r="B1036" s="434"/>
      <c r="C1036" s="434"/>
    </row>
    <row r="1037" spans="1:9">
      <c r="A1037" s="434"/>
      <c r="B1037" s="434"/>
      <c r="C1037" s="434"/>
      <c r="D1037" s="436" t="s">
        <v>2077</v>
      </c>
    </row>
    <row r="1038" spans="1:9">
      <c r="A1038" s="434"/>
      <c r="B1038" s="434"/>
      <c r="C1038" s="434"/>
      <c r="D1038" s="434" t="s">
        <v>2076</v>
      </c>
    </row>
    <row r="1039" spans="1:9">
      <c r="A1039" s="434"/>
      <c r="B1039" s="434"/>
      <c r="C1039" s="434"/>
      <c r="D1039" s="436"/>
    </row>
    <row r="1040" spans="1:9">
      <c r="A1040" s="434"/>
      <c r="B1040" s="520" t="s">
        <v>2623</v>
      </c>
      <c r="C1040" s="434"/>
      <c r="D1040" s="1348" t="s">
        <v>2075</v>
      </c>
      <c r="E1040" s="1348"/>
      <c r="F1040" s="1348"/>
      <c r="I1040" s="436" t="s">
        <v>2187</v>
      </c>
    </row>
    <row r="1041" spans="1:9">
      <c r="A1041" s="434"/>
      <c r="B1041" s="434"/>
      <c r="C1041" s="434"/>
      <c r="D1041" s="1348"/>
      <c r="E1041" s="1348"/>
      <c r="F1041" s="1348"/>
    </row>
    <row r="1042" spans="1:9">
      <c r="A1042" s="434"/>
      <c r="B1042" s="434"/>
      <c r="C1042" s="434"/>
      <c r="D1042" s="1348"/>
      <c r="E1042" s="1348"/>
      <c r="F1042" s="1348"/>
    </row>
    <row r="1043" spans="1:9">
      <c r="A1043" s="434"/>
      <c r="B1043" s="434"/>
      <c r="C1043" s="434"/>
      <c r="D1043" s="1348"/>
      <c r="E1043" s="1348"/>
      <c r="F1043" s="1348"/>
    </row>
    <row r="1044" spans="1:9">
      <c r="A1044" s="434"/>
      <c r="B1044" s="434"/>
      <c r="C1044" s="434"/>
    </row>
    <row r="1045" spans="1:9">
      <c r="A1045" s="434"/>
      <c r="B1045" s="434"/>
      <c r="C1045" s="434"/>
      <c r="D1045" s="436" t="s">
        <v>1484</v>
      </c>
    </row>
    <row r="1046" spans="1:9">
      <c r="A1046" s="434"/>
      <c r="B1046" s="434"/>
      <c r="C1046" s="434"/>
      <c r="D1046" s="434" t="s">
        <v>2078</v>
      </c>
    </row>
    <row r="1047" spans="1:9">
      <c r="A1047" s="434"/>
      <c r="B1047" s="434"/>
      <c r="C1047" s="434"/>
    </row>
    <row r="1048" spans="1:9">
      <c r="A1048" s="434"/>
      <c r="B1048" s="520" t="s">
        <v>2624</v>
      </c>
      <c r="C1048" s="434"/>
      <c r="D1048" s="434" t="s">
        <v>2073</v>
      </c>
      <c r="I1048" s="436" t="s">
        <v>2188</v>
      </c>
    </row>
    <row r="1049" spans="1:9">
      <c r="A1049" s="434"/>
      <c r="B1049" s="434"/>
      <c r="C1049" s="434"/>
    </row>
    <row r="1050" spans="1:9">
      <c r="A1050" s="434"/>
      <c r="B1050" s="520" t="s">
        <v>2624</v>
      </c>
      <c r="C1050" s="434"/>
      <c r="D1050" s="1348" t="s">
        <v>2079</v>
      </c>
      <c r="E1050" s="1348"/>
      <c r="F1050" s="1348"/>
      <c r="I1050" s="436" t="s">
        <v>2189</v>
      </c>
    </row>
    <row r="1051" spans="1:9">
      <c r="A1051" s="434"/>
      <c r="B1051" s="434"/>
      <c r="C1051" s="434"/>
      <c r="D1051" s="1348"/>
      <c r="E1051" s="1348"/>
      <c r="F1051" s="1348"/>
    </row>
    <row r="1052" spans="1:9">
      <c r="A1052" s="434"/>
      <c r="B1052" s="434"/>
      <c r="C1052" s="434"/>
      <c r="D1052" s="1348"/>
      <c r="E1052" s="1348"/>
      <c r="F1052" s="1348"/>
    </row>
    <row r="1053" spans="1:9">
      <c r="A1053" s="434"/>
      <c r="B1053" s="434"/>
      <c r="C1053" s="434"/>
      <c r="D1053" s="1348"/>
      <c r="E1053" s="1348"/>
      <c r="F1053" s="1348"/>
    </row>
    <row r="1054" spans="1:9">
      <c r="A1054" s="434"/>
      <c r="B1054" s="434"/>
      <c r="C1054" s="434"/>
      <c r="D1054" s="1348"/>
      <c r="E1054" s="1348"/>
      <c r="F1054" s="1348"/>
    </row>
    <row r="1055" spans="1:9">
      <c r="A1055" s="434"/>
      <c r="B1055" s="434"/>
      <c r="C1055" s="434"/>
    </row>
    <row r="1056" spans="1:9">
      <c r="A1056" s="1291" t="s">
        <v>2080</v>
      </c>
      <c r="B1056" s="1291"/>
      <c r="C1056" s="1291"/>
      <c r="D1056" s="1291"/>
      <c r="E1056" s="1291"/>
      <c r="F1056" s="1291"/>
      <c r="G1056" s="1291"/>
      <c r="H1056" s="1071"/>
      <c r="I1056" s="1072"/>
    </row>
    <row r="1057" spans="1:9">
      <c r="A1057" s="434"/>
      <c r="B1057" s="434"/>
      <c r="C1057" s="434"/>
    </row>
    <row r="1058" spans="1:9">
      <c r="A1058" s="434"/>
      <c r="B1058" s="434"/>
      <c r="C1058" s="434"/>
    </row>
    <row r="1059" spans="1:9">
      <c r="A1059" s="434"/>
      <c r="B1059" s="520" t="s">
        <v>2624</v>
      </c>
      <c r="C1059" s="434"/>
      <c r="D1059" s="562" t="s">
        <v>2083</v>
      </c>
      <c r="I1059" s="436" t="s">
        <v>2190</v>
      </c>
    </row>
    <row r="1060" spans="1:9">
      <c r="A1060" s="434"/>
      <c r="B1060" s="434"/>
      <c r="C1060" s="434"/>
      <c r="D1060" s="562" t="s">
        <v>2085</v>
      </c>
    </row>
    <row r="1061" spans="1:9">
      <c r="A1061" s="434"/>
      <c r="B1061" s="434"/>
      <c r="C1061" s="434"/>
      <c r="D1061" s="562"/>
    </row>
    <row r="1062" spans="1:9">
      <c r="A1062" s="434"/>
      <c r="B1062" s="520" t="s">
        <v>2623</v>
      </c>
      <c r="C1062" s="434"/>
      <c r="D1062" s="562" t="s">
        <v>2086</v>
      </c>
      <c r="I1062" s="436" t="s">
        <v>2191</v>
      </c>
    </row>
    <row r="1063" spans="1:9">
      <c r="A1063" s="434"/>
      <c r="B1063" s="434"/>
      <c r="C1063" s="434"/>
      <c r="D1063" s="562" t="s">
        <v>2084</v>
      </c>
    </row>
    <row r="1064" spans="1:9">
      <c r="A1064" s="434"/>
      <c r="B1064" s="434"/>
      <c r="C1064" s="434"/>
      <c r="D1064" s="562"/>
    </row>
    <row r="1065" spans="1:9">
      <c r="A1065" s="434"/>
      <c r="B1065" s="520" t="s">
        <v>2624</v>
      </c>
      <c r="C1065" s="434"/>
      <c r="D1065" s="119" t="s">
        <v>2089</v>
      </c>
      <c r="I1065" s="436" t="s">
        <v>2192</v>
      </c>
    </row>
    <row r="1066" spans="1:9">
      <c r="A1066" s="434"/>
      <c r="B1066" s="434"/>
      <c r="C1066" s="434"/>
      <c r="D1066" s="1263" t="s">
        <v>2090</v>
      </c>
      <c r="E1066" s="1263"/>
      <c r="F1066" s="1263"/>
    </row>
    <row r="1067" spans="1:9">
      <c r="A1067" s="434"/>
      <c r="B1067" s="434"/>
      <c r="C1067" s="434"/>
      <c r="D1067" s="1263"/>
      <c r="E1067" s="1263"/>
      <c r="F1067" s="1263"/>
    </row>
    <row r="1068" spans="1:9">
      <c r="A1068" s="434"/>
      <c r="B1068" s="434"/>
      <c r="C1068" s="434"/>
      <c r="D1068" s="1263"/>
      <c r="E1068" s="1263"/>
      <c r="F1068" s="1263"/>
    </row>
    <row r="1069" spans="1:9">
      <c r="A1069" s="434"/>
      <c r="B1069" s="434"/>
      <c r="C1069" s="434"/>
      <c r="D1069" s="1263"/>
      <c r="E1069" s="1263"/>
      <c r="F1069" s="1263"/>
    </row>
    <row r="1070" spans="1:9">
      <c r="A1070" s="434"/>
      <c r="B1070" s="434"/>
      <c r="C1070" s="434"/>
      <c r="D1070" s="119" t="s">
        <v>2088</v>
      </c>
    </row>
    <row r="1071" spans="1:9">
      <c r="A1071" s="434"/>
      <c r="B1071" s="434"/>
      <c r="C1071" s="434"/>
      <c r="D1071" s="119"/>
    </row>
    <row r="1072" spans="1:9">
      <c r="A1072" s="434"/>
      <c r="B1072" s="434"/>
      <c r="C1072" s="434"/>
      <c r="D1072" s="562" t="s">
        <v>2081</v>
      </c>
      <c r="I1072" s="436" t="s">
        <v>2193</v>
      </c>
    </row>
    <row r="1073" spans="1:9">
      <c r="A1073" s="434"/>
      <c r="B1073" s="520" t="s">
        <v>2623</v>
      </c>
      <c r="C1073" s="434"/>
      <c r="D1073" s="1347" t="s">
        <v>2082</v>
      </c>
      <c r="E1073" s="1347"/>
      <c r="F1073" s="1347"/>
    </row>
    <row r="1074" spans="1:9">
      <c r="A1074" s="434"/>
      <c r="B1074" s="434"/>
      <c r="C1074" s="434"/>
      <c r="D1074" s="1347"/>
      <c r="E1074" s="1347"/>
      <c r="F1074" s="1347"/>
    </row>
    <row r="1075" spans="1:9">
      <c r="A1075" s="434"/>
      <c r="B1075" s="434"/>
      <c r="C1075" s="434"/>
      <c r="D1075" s="1347"/>
      <c r="E1075" s="1347"/>
      <c r="F1075" s="1347"/>
    </row>
    <row r="1076" spans="1:9">
      <c r="A1076" s="434"/>
      <c r="B1076" s="434"/>
      <c r="C1076" s="434"/>
      <c r="D1076" s="1347"/>
      <c r="E1076" s="1347"/>
      <c r="F1076" s="1347"/>
    </row>
    <row r="1077" spans="1:9">
      <c r="A1077" s="434"/>
      <c r="B1077" s="434"/>
      <c r="C1077" s="434"/>
      <c r="D1077" s="1347"/>
      <c r="E1077" s="1347"/>
      <c r="F1077" s="1347"/>
    </row>
    <row r="1078" spans="1:9">
      <c r="A1078" s="434"/>
      <c r="B1078" s="434"/>
      <c r="C1078" s="434"/>
      <c r="D1078" s="562" t="s">
        <v>2087</v>
      </c>
    </row>
    <row r="1079" spans="1:9">
      <c r="A1079" s="434"/>
      <c r="B1079" s="434"/>
      <c r="C1079" s="434"/>
    </row>
    <row r="1080" spans="1:9">
      <c r="A1080" s="1291" t="s">
        <v>2092</v>
      </c>
      <c r="B1080" s="1291"/>
      <c r="C1080" s="1291"/>
      <c r="D1080" s="1291"/>
      <c r="E1080" s="1291"/>
      <c r="F1080" s="1291"/>
      <c r="G1080" s="1291"/>
      <c r="H1080" s="1071"/>
      <c r="I1080" s="1072"/>
    </row>
    <row r="1081" spans="1:9">
      <c r="A1081" s="434"/>
      <c r="B1081" s="434"/>
      <c r="C1081" s="434"/>
    </row>
    <row r="1082" spans="1:9">
      <c r="A1082" s="434"/>
      <c r="B1082" s="434"/>
      <c r="C1082" s="434"/>
    </row>
    <row r="1083" spans="1:9" ht="12.75" customHeight="1">
      <c r="A1083" s="434"/>
      <c r="B1083" s="520" t="s">
        <v>2623</v>
      </c>
      <c r="C1083" s="434"/>
      <c r="D1083" s="1349" t="s">
        <v>2310</v>
      </c>
      <c r="E1083" s="1349"/>
      <c r="F1083" s="1349"/>
      <c r="I1083" s="436" t="s">
        <v>2194</v>
      </c>
    </row>
    <row r="1084" spans="1:9">
      <c r="A1084" s="434"/>
      <c r="B1084" s="434"/>
      <c r="C1084" s="434"/>
      <c r="D1084" s="1349"/>
      <c r="E1084" s="1349"/>
      <c r="F1084" s="1349"/>
    </row>
    <row r="1085" spans="1:9">
      <c r="A1085" s="434"/>
      <c r="B1085" s="434"/>
      <c r="C1085" s="434"/>
      <c r="D1085" s="1350" t="s">
        <v>2615</v>
      </c>
      <c r="E1085" s="1263"/>
      <c r="F1085" s="1263"/>
    </row>
    <row r="1086" spans="1:9">
      <c r="A1086" s="434"/>
      <c r="B1086" s="434"/>
      <c r="C1086" s="434"/>
      <c r="D1086" s="562"/>
    </row>
    <row r="1087" spans="1:9">
      <c r="A1087" s="434"/>
      <c r="B1087" s="520" t="s">
        <v>2623</v>
      </c>
      <c r="C1087" s="434"/>
      <c r="D1087" s="1347" t="s">
        <v>2093</v>
      </c>
      <c r="E1087" s="1347"/>
      <c r="F1087" s="1347"/>
      <c r="I1087" s="436" t="s">
        <v>2195</v>
      </c>
    </row>
    <row r="1088" spans="1:9">
      <c r="A1088" s="434"/>
      <c r="B1088" s="434"/>
      <c r="C1088" s="434"/>
      <c r="D1088" s="1347"/>
      <c r="E1088" s="1347"/>
      <c r="F1088" s="1347"/>
    </row>
    <row r="1089" spans="1:9">
      <c r="A1089" s="434"/>
      <c r="B1089" s="434"/>
      <c r="C1089" s="434"/>
      <c r="D1089" s="562"/>
    </row>
    <row r="1090" spans="1:9">
      <c r="A1090" s="434"/>
      <c r="B1090" s="520" t="s">
        <v>2623</v>
      </c>
      <c r="C1090" s="434"/>
      <c r="D1090" s="1347" t="s">
        <v>2239</v>
      </c>
      <c r="E1090" s="1347"/>
      <c r="F1090" s="1347"/>
      <c r="I1090" s="436" t="s">
        <v>2237</v>
      </c>
    </row>
    <row r="1091" spans="1:9">
      <c r="A1091" s="434"/>
      <c r="B1091" s="434"/>
      <c r="C1091" s="434"/>
      <c r="D1091" s="1347"/>
      <c r="E1091" s="1347"/>
      <c r="F1091" s="1347"/>
    </row>
    <row r="1092" spans="1:9">
      <c r="A1092" s="434"/>
      <c r="B1092" s="434"/>
      <c r="C1092" s="434"/>
      <c r="D1092" s="1347"/>
      <c r="E1092" s="1347"/>
      <c r="F1092" s="1347"/>
    </row>
    <row r="1093" spans="1:9">
      <c r="A1093" s="434"/>
      <c r="B1093" s="434"/>
      <c r="C1093" s="434"/>
      <c r="D1093" s="1347"/>
      <c r="E1093" s="1347"/>
      <c r="F1093" s="1347"/>
    </row>
    <row r="1094" spans="1:9">
      <c r="A1094" s="434"/>
      <c r="B1094" s="434"/>
      <c r="C1094" s="434"/>
      <c r="D1094" s="1347"/>
      <c r="E1094" s="1347"/>
      <c r="F1094" s="1347"/>
    </row>
    <row r="1095" spans="1:9">
      <c r="A1095" s="434"/>
      <c r="B1095" s="434"/>
      <c r="C1095" s="434"/>
      <c r="D1095" s="1347"/>
      <c r="E1095" s="1347"/>
      <c r="F1095" s="1347"/>
    </row>
    <row r="1096" spans="1:9">
      <c r="A1096" s="434"/>
      <c r="B1096" s="434"/>
      <c r="C1096" s="434"/>
      <c r="D1096" s="562" t="s">
        <v>2238</v>
      </c>
      <c r="I1096" s="434"/>
    </row>
    <row r="1097" spans="1:9">
      <c r="A1097" s="434"/>
      <c r="B1097" s="520" t="s">
        <v>2623</v>
      </c>
      <c r="C1097" s="434"/>
      <c r="D1097" s="1347" t="s">
        <v>2094</v>
      </c>
      <c r="E1097" s="1347"/>
      <c r="F1097" s="1347"/>
      <c r="I1097" s="436" t="s">
        <v>2196</v>
      </c>
    </row>
    <row r="1098" spans="1:9">
      <c r="A1098" s="434"/>
      <c r="B1098" s="434"/>
      <c r="C1098" s="434"/>
      <c r="D1098" s="1347"/>
      <c r="E1098" s="1347"/>
      <c r="F1098" s="1347"/>
    </row>
    <row r="1099" spans="1:9">
      <c r="A1099" s="434"/>
      <c r="B1099" s="434"/>
      <c r="C1099" s="434"/>
      <c r="D1099" s="1347"/>
      <c r="E1099" s="1347"/>
      <c r="F1099" s="1347"/>
    </row>
    <row r="1100" spans="1:9">
      <c r="A1100" s="434"/>
      <c r="B1100" s="434"/>
      <c r="C1100" s="434"/>
      <c r="D1100" s="562"/>
    </row>
    <row r="1101" spans="1:9">
      <c r="A1101" s="434"/>
      <c r="B1101" s="520" t="s">
        <v>2624</v>
      </c>
      <c r="C1101" s="434"/>
      <c r="D1101" s="1269" t="s">
        <v>2240</v>
      </c>
      <c r="E1101" s="1269"/>
      <c r="F1101" s="1269"/>
      <c r="I1101" s="436" t="s">
        <v>2197</v>
      </c>
    </row>
    <row r="1102" spans="1:9">
      <c r="A1102" s="434"/>
      <c r="B1102" s="434"/>
      <c r="C1102" s="434"/>
      <c r="D1102" s="1269"/>
      <c r="E1102" s="1269"/>
      <c r="F1102" s="1269"/>
    </row>
    <row r="1103" spans="1:9">
      <c r="A1103" s="434"/>
      <c r="B1103" s="434"/>
      <c r="C1103" s="434"/>
      <c r="D1103" s="1269"/>
      <c r="E1103" s="1269"/>
      <c r="F1103" s="1269"/>
    </row>
    <row r="1104" spans="1:9">
      <c r="A1104" s="434"/>
      <c r="B1104" s="434"/>
      <c r="C1104" s="434"/>
      <c r="D1104" s="1017"/>
      <c r="E1104" s="1017"/>
      <c r="F1104" s="1017"/>
    </row>
    <row r="1105" spans="1:9" ht="15.75" customHeight="1">
      <c r="A1105" s="434"/>
      <c r="B1105" s="520" t="s">
        <v>2624</v>
      </c>
      <c r="C1105" s="434"/>
      <c r="D1105" s="1263" t="s">
        <v>2242</v>
      </c>
      <c r="E1105" s="1263"/>
      <c r="F1105" s="1263"/>
      <c r="I1105" s="436" t="s">
        <v>2241</v>
      </c>
    </row>
    <row r="1106" spans="1:9">
      <c r="A1106" s="434"/>
      <c r="B1106" s="434"/>
      <c r="C1106" s="434"/>
      <c r="D1106" s="1263"/>
      <c r="E1106" s="1263"/>
      <c r="F1106" s="1263"/>
    </row>
    <row r="1107" spans="1:9">
      <c r="A1107" s="434"/>
      <c r="B1107" s="434"/>
      <c r="C1107" s="434"/>
      <c r="D1107" s="1263"/>
      <c r="E1107" s="1263"/>
      <c r="F1107" s="1263"/>
    </row>
    <row r="1108" spans="1:9">
      <c r="A1108" s="434"/>
      <c r="B1108" s="434"/>
      <c r="C1108" s="434"/>
      <c r="D1108" s="1263"/>
      <c r="E1108" s="1263"/>
      <c r="F1108" s="1263"/>
    </row>
    <row r="1109" spans="1:9">
      <c r="A1109" s="434"/>
      <c r="B1109" s="434"/>
      <c r="C1109" s="434"/>
      <c r="D1109" s="1017"/>
      <c r="E1109" s="1017"/>
      <c r="F1109" s="1017"/>
    </row>
    <row r="1110" spans="1:9" ht="38.25">
      <c r="A1110" s="434"/>
      <c r="B1110" s="434"/>
      <c r="C1110" s="434"/>
      <c r="I1110" s="448" t="s">
        <v>2467</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76"/>
      <c r="H1523" s="1276"/>
      <c r="I1523" s="1276"/>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v822xLzq98URK7LiINSwHxE9tDEew6JMitrhDJFLyUoaEd6e+51CFTiYlvcQXndozp+kolGq5oOckMXDWOKXCw==" saltValue="3JhTAKFTp6e2KAt/SuKYww=="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abSelected="1" topLeftCell="A619" zoomScaleNormal="100" zoomScaleSheetLayoutView="80" workbookViewId="0">
      <selection activeCell="G640" sqref="G640:R641"/>
    </sheetView>
  </sheetViews>
  <sheetFormatPr defaultColWidth="0" defaultRowHeight="12.95" customHeight="1" zeroHeight="1"/>
  <cols>
    <col min="1" max="36" width="2.42578125" customWidth="1"/>
    <col min="37" max="37" width="2.85546875" customWidth="1"/>
    <col min="38" max="45" width="2.42578125" customWidth="1"/>
    <col min="46" max="46" width="3.5703125" customWidth="1"/>
    <col min="16384" max="16384" width="3.5703125" hidden="1"/>
  </cols>
  <sheetData>
    <row r="1" spans="1:51" ht="12.95" customHeight="1">
      <c r="J1" s="100"/>
      <c r="AS1" s="1075">
        <v>4</v>
      </c>
    </row>
    <row r="2" spans="1:51" ht="12.95" customHeight="1"/>
    <row r="3" spans="1:51" ht="12.95" customHeight="1"/>
    <row r="4" spans="1:51" ht="12.95" customHeight="1"/>
    <row r="5" spans="1:51" ht="12.95" customHeight="1"/>
    <row r="6" spans="1:51" ht="12.95" customHeight="1"/>
    <row r="7" spans="1:51" ht="12.95" customHeight="1"/>
    <row r="8" spans="1:51" ht="26.25" customHeight="1">
      <c r="A8" s="1731" t="s">
        <v>101</v>
      </c>
      <c r="B8" s="1731"/>
      <c r="C8" s="1731"/>
      <c r="D8" s="1731"/>
      <c r="E8" s="1731"/>
      <c r="F8" s="1731"/>
      <c r="G8" s="1731"/>
      <c r="H8" s="1731"/>
      <c r="I8" s="1731"/>
      <c r="J8" s="1731"/>
      <c r="K8" s="1731"/>
      <c r="L8" s="1731"/>
      <c r="M8" s="1731"/>
      <c r="N8" s="1731"/>
      <c r="O8" s="1731"/>
      <c r="P8" s="1731"/>
      <c r="Q8" s="1731"/>
      <c r="R8" s="1731"/>
      <c r="S8" s="1731"/>
      <c r="T8" s="1731"/>
      <c r="U8" s="1731"/>
      <c r="V8" s="1731"/>
      <c r="W8" s="1731"/>
      <c r="X8" s="1731"/>
      <c r="Y8" s="1731"/>
      <c r="Z8" s="1731"/>
      <c r="AA8" s="1731"/>
      <c r="AB8" s="1731"/>
      <c r="AC8" s="1731"/>
      <c r="AD8" s="1731"/>
      <c r="AE8" s="1731"/>
      <c r="AF8" s="1731"/>
      <c r="AG8" s="1731"/>
      <c r="AH8" s="1731"/>
      <c r="AI8" s="1731"/>
      <c r="AJ8" s="1731"/>
      <c r="AK8" s="1731"/>
      <c r="AL8" s="1731"/>
      <c r="AM8" s="935"/>
      <c r="AN8" s="935"/>
      <c r="AO8" s="935"/>
      <c r="AP8" s="935"/>
      <c r="AQ8" s="935"/>
      <c r="AR8" s="935"/>
      <c r="AS8" s="935"/>
      <c r="AT8" s="935"/>
      <c r="AU8" s="935"/>
      <c r="AV8" s="935"/>
      <c r="AW8" s="935"/>
      <c r="AX8" s="935"/>
      <c r="AY8" s="935"/>
    </row>
    <row r="9" spans="1:51" ht="12.95" customHeight="1">
      <c r="A9" s="1303" t="s">
        <v>2473</v>
      </c>
      <c r="B9" s="1303"/>
      <c r="C9" s="1303"/>
      <c r="D9" s="1303"/>
      <c r="E9" s="1303"/>
      <c r="F9" s="1303"/>
      <c r="G9" s="1303"/>
      <c r="H9" s="1303"/>
      <c r="I9" s="1303"/>
      <c r="J9" s="1303"/>
      <c r="K9" s="1303"/>
      <c r="L9" s="1303"/>
      <c r="M9" s="1303"/>
      <c r="N9" s="1303"/>
      <c r="O9" s="1303"/>
      <c r="P9" s="1303"/>
      <c r="Q9" s="1303"/>
      <c r="R9" s="1303"/>
      <c r="S9" s="1303"/>
      <c r="T9" s="1303"/>
      <c r="U9" s="1303"/>
      <c r="V9" s="1303"/>
      <c r="W9" s="1303"/>
      <c r="X9" s="1303"/>
      <c r="Y9" s="1303"/>
      <c r="Z9" s="1303"/>
      <c r="AA9" s="1303"/>
      <c r="AB9" s="1303"/>
      <c r="AC9" s="1303"/>
      <c r="AD9" s="1303"/>
      <c r="AE9" s="1303"/>
      <c r="AF9" s="1303"/>
      <c r="AG9" s="1303"/>
      <c r="AH9" s="1303"/>
      <c r="AI9" s="1303"/>
      <c r="AJ9" s="1303"/>
      <c r="AK9" s="1303"/>
      <c r="AL9" s="1303"/>
      <c r="AM9" s="13"/>
      <c r="AN9" s="13"/>
      <c r="AO9" s="13"/>
      <c r="AP9" s="13"/>
      <c r="AQ9" s="13"/>
      <c r="AR9" s="13"/>
      <c r="AS9" s="13"/>
      <c r="AT9" s="13"/>
      <c r="AU9" s="13"/>
      <c r="AV9" s="13"/>
      <c r="AW9" s="13"/>
      <c r="AX9" s="13"/>
      <c r="AY9" s="13"/>
    </row>
    <row r="10" spans="1:51" ht="12.95" customHeight="1">
      <c r="A10" s="1303" t="s">
        <v>2606</v>
      </c>
      <c r="B10" s="1303"/>
      <c r="C10" s="1303"/>
      <c r="D10" s="1303"/>
      <c r="E10" s="1303"/>
      <c r="F10" s="1303"/>
      <c r="G10" s="1303"/>
      <c r="H10" s="1303"/>
      <c r="I10" s="1303"/>
      <c r="J10" s="1303"/>
      <c r="K10" s="1303"/>
      <c r="L10" s="1303"/>
      <c r="M10" s="1303"/>
      <c r="N10" s="1303"/>
      <c r="O10" s="1303"/>
      <c r="P10" s="1303"/>
      <c r="Q10" s="1303"/>
      <c r="R10" s="1303"/>
      <c r="S10" s="1303"/>
      <c r="T10" s="1303"/>
      <c r="U10" s="1303"/>
      <c r="V10" s="1303"/>
      <c r="W10" s="1303"/>
      <c r="X10" s="1303"/>
      <c r="Y10" s="1303"/>
      <c r="Z10" s="1303"/>
      <c r="AA10" s="1303"/>
      <c r="AB10" s="1303"/>
      <c r="AC10" s="1303"/>
      <c r="AD10" s="1303"/>
      <c r="AE10" s="1303"/>
      <c r="AF10" s="1303"/>
      <c r="AG10" s="1303"/>
      <c r="AH10" s="1303"/>
      <c r="AI10" s="1303"/>
      <c r="AJ10" s="1303"/>
      <c r="AK10" s="1303"/>
      <c r="AL10" s="1303"/>
      <c r="AM10" s="13"/>
      <c r="AN10" s="13"/>
      <c r="AO10" s="13"/>
      <c r="AP10" s="13"/>
      <c r="AQ10" s="13"/>
      <c r="AR10" s="13"/>
      <c r="AS10" s="13"/>
      <c r="AT10" s="13"/>
      <c r="AU10" s="13"/>
      <c r="AV10" s="13"/>
      <c r="AW10" s="13"/>
      <c r="AX10" s="13"/>
      <c r="AY10" s="13"/>
    </row>
    <row r="11" spans="1:51" ht="12.95" customHeight="1">
      <c r="A11" s="1303" t="s">
        <v>1837</v>
      </c>
      <c r="B11" s="1303"/>
      <c r="C11" s="1303"/>
      <c r="D11" s="1303"/>
      <c r="E11" s="1303"/>
      <c r="F11" s="1303"/>
      <c r="G11" s="1303"/>
      <c r="H11" s="1303"/>
      <c r="I11" s="1303"/>
      <c r="J11" s="1303"/>
      <c r="K11" s="1303"/>
      <c r="L11" s="1303"/>
      <c r="M11" s="1303"/>
      <c r="N11" s="1303"/>
      <c r="O11" s="1303"/>
      <c r="P11" s="1303"/>
      <c r="Q11" s="1303"/>
      <c r="R11" s="1303"/>
      <c r="S11" s="1303"/>
      <c r="T11" s="1303"/>
      <c r="U11" s="1303"/>
      <c r="V11" s="1303"/>
      <c r="W11" s="1303"/>
      <c r="X11" s="1303"/>
      <c r="Y11" s="1303"/>
      <c r="Z11" s="1303"/>
      <c r="AA11" s="1303"/>
      <c r="AB11" s="1303"/>
      <c r="AC11" s="1303"/>
      <c r="AD11" s="1303"/>
      <c r="AE11" s="1303"/>
      <c r="AF11" s="1303"/>
      <c r="AG11" s="1303"/>
      <c r="AH11" s="1303"/>
      <c r="AI11" s="1303"/>
      <c r="AJ11" s="1303"/>
      <c r="AK11" s="1303"/>
      <c r="AL11" s="1303"/>
      <c r="AM11" s="13"/>
      <c r="AN11" s="13"/>
      <c r="AO11" s="13"/>
      <c r="AP11" s="13"/>
      <c r="AQ11" s="13"/>
      <c r="AR11" s="13"/>
      <c r="AS11" s="13"/>
      <c r="AT11" s="13"/>
      <c r="AU11" s="13"/>
      <c r="AV11" s="13"/>
      <c r="AW11" s="13"/>
      <c r="AX11" s="13"/>
      <c r="AY11" s="13"/>
    </row>
    <row r="12" spans="1:51" ht="12.95" customHeight="1">
      <c r="A12" s="1556" t="s">
        <v>2622</v>
      </c>
      <c r="B12" s="1557"/>
      <c r="C12" s="1557"/>
      <c r="D12" s="1557"/>
      <c r="E12" s="1557"/>
      <c r="F12" s="1557"/>
      <c r="G12" s="1557"/>
      <c r="H12" s="1557"/>
      <c r="I12" s="1557"/>
      <c r="J12" s="1557"/>
      <c r="K12" s="1557"/>
      <c r="L12" s="1557"/>
      <c r="M12" s="1557"/>
      <c r="N12" s="1557"/>
      <c r="O12" s="1557"/>
      <c r="P12" s="1557"/>
      <c r="Q12" s="1557"/>
      <c r="R12" s="1557"/>
      <c r="S12" s="1557"/>
      <c r="T12" s="1557"/>
      <c r="U12" s="1557"/>
      <c r="V12" s="1557"/>
      <c r="W12" s="1557"/>
      <c r="X12" s="1557"/>
      <c r="Y12" s="1557"/>
      <c r="Z12" s="1557"/>
      <c r="AA12" s="1557"/>
      <c r="AB12" s="1557"/>
      <c r="AC12" s="1557"/>
      <c r="AD12" s="1557"/>
      <c r="AE12" s="1557"/>
      <c r="AF12" s="1557"/>
      <c r="AG12" s="1557"/>
      <c r="AH12" s="1557"/>
      <c r="AI12" s="1557"/>
      <c r="AJ12" s="1557"/>
      <c r="AK12" s="1557"/>
      <c r="AL12" s="1557"/>
      <c r="AM12" s="6"/>
      <c r="AN12" s="6"/>
      <c r="AO12" s="6"/>
      <c r="AP12" s="6"/>
      <c r="AQ12" s="6"/>
      <c r="AR12" s="6"/>
      <c r="AS12" s="6"/>
      <c r="AT12" s="6"/>
      <c r="AU12" s="6"/>
      <c r="AV12" s="6"/>
      <c r="AW12" s="6"/>
      <c r="AX12" s="6"/>
      <c r="AY12" s="6"/>
    </row>
    <row r="13" spans="1:51" ht="12.95" customHeight="1">
      <c r="A13" s="1273" t="s">
        <v>2474</v>
      </c>
      <c r="B13" s="1273"/>
      <c r="C13" s="1273"/>
      <c r="D13" s="1273"/>
      <c r="E13" s="1273"/>
      <c r="F13" s="1273"/>
      <c r="G13" s="1273"/>
      <c r="H13" s="1273"/>
      <c r="I13" s="1273"/>
      <c r="J13" s="1273"/>
      <c r="K13" s="1273"/>
      <c r="L13" s="1273"/>
      <c r="M13" s="1273"/>
      <c r="N13" s="1273"/>
      <c r="O13" s="1273"/>
      <c r="P13" s="1273"/>
      <c r="Q13" s="1273"/>
      <c r="R13" s="1273"/>
      <c r="S13" s="1273"/>
      <c r="T13" s="1273"/>
      <c r="U13" s="1273"/>
      <c r="V13" s="1273"/>
      <c r="W13" s="1273"/>
      <c r="X13" s="1273"/>
      <c r="Y13" s="1273"/>
      <c r="Z13" s="1273"/>
      <c r="AA13" s="1273"/>
      <c r="AB13" s="1273"/>
      <c r="AC13" s="1273"/>
      <c r="AD13" s="1273"/>
      <c r="AE13" s="1273"/>
      <c r="AF13" s="1273"/>
      <c r="AG13" s="1273"/>
      <c r="AH13" s="1273"/>
      <c r="AI13" s="1273"/>
      <c r="AJ13" s="1273"/>
      <c r="AK13" s="1273"/>
      <c r="AL13" s="1273"/>
      <c r="AM13" s="936"/>
      <c r="AN13" s="936"/>
      <c r="AO13" s="936"/>
      <c r="AP13" s="936"/>
      <c r="AQ13" s="936"/>
      <c r="AR13" s="936"/>
      <c r="AS13" s="936"/>
      <c r="AT13" s="936"/>
      <c r="AU13" s="936"/>
      <c r="AV13" s="936"/>
      <c r="AW13" s="936"/>
      <c r="AX13" s="936"/>
      <c r="AY13" s="936"/>
    </row>
    <row r="14" spans="1:51" ht="12.95" customHeight="1" thickBot="1">
      <c r="A14" s="1274"/>
      <c r="B14" s="1274"/>
      <c r="C14" s="1274"/>
      <c r="D14" s="1274"/>
      <c r="E14" s="1274"/>
      <c r="F14" s="1274"/>
      <c r="G14" s="1274"/>
      <c r="H14" s="1274"/>
      <c r="I14" s="1274"/>
      <c r="J14" s="1274"/>
      <c r="K14" s="1274"/>
      <c r="L14" s="1274"/>
      <c r="M14" s="1274"/>
      <c r="N14" s="1274"/>
      <c r="O14" s="1274"/>
      <c r="P14" s="1274"/>
      <c r="Q14" s="1274"/>
      <c r="R14" s="1274"/>
      <c r="S14" s="1274"/>
      <c r="T14" s="1274"/>
      <c r="U14" s="1274"/>
      <c r="V14" s="1274"/>
      <c r="W14" s="1274"/>
      <c r="X14" s="1274"/>
      <c r="Y14" s="1274"/>
      <c r="Z14" s="1274"/>
      <c r="AA14" s="1274"/>
      <c r="AB14" s="1274"/>
      <c r="AC14" s="1274"/>
      <c r="AD14" s="1274"/>
      <c r="AE14" s="1274"/>
      <c r="AF14" s="1274"/>
      <c r="AG14" s="1274"/>
      <c r="AH14" s="1274"/>
      <c r="AI14" s="1274"/>
      <c r="AJ14" s="1274"/>
      <c r="AK14" s="1274"/>
      <c r="AL14" s="1274"/>
      <c r="AM14" s="936"/>
      <c r="AN14" s="936"/>
      <c r="AO14" s="936"/>
      <c r="AP14" s="936"/>
      <c r="AQ14" s="936"/>
      <c r="AR14" s="936"/>
      <c r="AS14" s="936"/>
      <c r="AT14" s="936"/>
      <c r="AU14" s="936"/>
      <c r="AV14" s="936"/>
      <c r="AW14" s="936"/>
      <c r="AX14" s="936"/>
      <c r="AY14" s="936"/>
    </row>
    <row r="15" spans="1:51" ht="12.9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2475</v>
      </c>
      <c r="C16" s="4"/>
      <c r="D16" s="4"/>
      <c r="E16" s="4"/>
      <c r="F16" s="4"/>
      <c r="G16" s="4"/>
      <c r="H16" s="1542" t="s">
        <v>2626</v>
      </c>
      <c r="I16" s="1543"/>
      <c r="J16" s="1543"/>
      <c r="K16" s="1543"/>
      <c r="L16" s="1543"/>
      <c r="M16" s="1543"/>
      <c r="N16" s="1543"/>
      <c r="O16" s="1543"/>
      <c r="P16" s="1543"/>
      <c r="Q16" s="1543"/>
      <c r="R16" s="1543"/>
      <c r="S16" s="1543"/>
      <c r="T16" s="1543"/>
      <c r="U16" s="1543"/>
      <c r="V16" s="1543"/>
      <c r="W16" s="1543"/>
      <c r="X16" s="1543"/>
      <c r="Y16" s="1543"/>
      <c r="Z16" s="1543"/>
      <c r="AA16" s="1543"/>
      <c r="AB16" s="1543"/>
      <c r="AC16" s="1543"/>
      <c r="AD16" s="1543"/>
      <c r="AE16" s="1543"/>
      <c r="AF16" s="1543"/>
      <c r="AG16" s="1543"/>
      <c r="AH16" s="1543"/>
      <c r="AI16" s="1543"/>
      <c r="AJ16" s="1543"/>
    </row>
    <row r="17" spans="1:52" ht="12.95" customHeight="1"/>
    <row r="18" spans="1:52" ht="12.95" customHeight="1">
      <c r="A18" s="57" t="s">
        <v>102</v>
      </c>
      <c r="C18" s="4"/>
      <c r="D18" s="4"/>
      <c r="E18" s="4"/>
      <c r="F18" s="4"/>
      <c r="G18" s="4"/>
      <c r="H18" s="1476" t="s">
        <v>2625</v>
      </c>
      <c r="I18" s="1538"/>
      <c r="J18" s="1538"/>
      <c r="K18" s="1538"/>
      <c r="L18" s="1538"/>
      <c r="M18" s="1538"/>
      <c r="N18" s="1538"/>
      <c r="O18" s="1538"/>
      <c r="P18" s="1538"/>
      <c r="Q18" s="1538"/>
      <c r="R18" s="1538"/>
      <c r="S18" s="1538"/>
      <c r="T18" s="1538"/>
      <c r="U18" s="1538"/>
      <c r="V18" s="1538"/>
      <c r="W18" s="1538"/>
      <c r="X18" s="1538"/>
      <c r="Y18" s="1538"/>
      <c r="Z18" s="1538"/>
      <c r="AA18" s="1538"/>
      <c r="AB18" s="1538"/>
      <c r="AC18" s="1538"/>
      <c r="AD18" s="1538"/>
      <c r="AE18" s="1538"/>
      <c r="AF18" s="1538"/>
      <c r="AG18" s="1538"/>
      <c r="AH18" s="1538"/>
      <c r="AI18" s="1538"/>
      <c r="AJ18" s="1538"/>
    </row>
    <row r="19" spans="1:52" ht="12.95" customHeight="1"/>
    <row r="20" spans="1:52" ht="12.95" customHeight="1">
      <c r="A20" s="1550" t="s">
        <v>901</v>
      </c>
      <c r="B20" s="1550"/>
      <c r="C20" s="1550"/>
      <c r="D20" s="1550"/>
      <c r="E20" s="1550"/>
      <c r="F20" s="1550"/>
      <c r="G20" s="1550"/>
      <c r="H20" s="1550"/>
      <c r="I20" s="1550"/>
      <c r="J20" s="1550"/>
      <c r="K20" s="1550"/>
      <c r="L20" s="1550"/>
      <c r="M20" s="1550"/>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c r="AL20" s="1550"/>
      <c r="AM20" s="937"/>
      <c r="AN20" s="937"/>
      <c r="AO20" s="937"/>
      <c r="AP20" s="937"/>
      <c r="AQ20" s="937"/>
      <c r="AR20" s="937"/>
      <c r="AS20" s="937"/>
      <c r="AT20" s="937"/>
      <c r="AU20" s="937"/>
      <c r="AV20" s="937"/>
      <c r="AW20" s="937"/>
      <c r="AX20" s="937"/>
      <c r="AY20" s="937"/>
    </row>
    <row r="21" spans="1:52" ht="12.95" customHeight="1">
      <c r="A21" s="1560" t="s">
        <v>1065</v>
      </c>
      <c r="B21" s="1560"/>
      <c r="C21" s="1560"/>
      <c r="D21" s="1560"/>
      <c r="E21" s="1560"/>
      <c r="F21" s="1560"/>
      <c r="G21" s="1560"/>
      <c r="H21" s="1560"/>
      <c r="I21" s="1560"/>
      <c r="J21" s="1560"/>
      <c r="K21" s="1560"/>
      <c r="L21" s="1560"/>
      <c r="M21" s="1560"/>
      <c r="N21" s="1560"/>
      <c r="O21" s="1560"/>
      <c r="P21" s="1560"/>
      <c r="Q21" s="1560"/>
      <c r="R21" s="1560"/>
      <c r="S21" s="1560"/>
      <c r="T21" s="1560"/>
      <c r="U21" s="1560"/>
      <c r="V21" s="1560"/>
      <c r="W21" s="1560"/>
      <c r="X21" s="1560"/>
      <c r="Y21" s="1560"/>
      <c r="Z21" s="1560"/>
      <c r="AA21" s="1560"/>
      <c r="AB21" s="1560"/>
      <c r="AC21" s="1560"/>
      <c r="AD21" s="1560"/>
      <c r="AE21" s="1560"/>
      <c r="AF21" s="1560"/>
      <c r="AG21" s="1560"/>
      <c r="AH21" s="1560"/>
      <c r="AI21" s="1560"/>
      <c r="AJ21" s="1560"/>
      <c r="AK21" s="1560"/>
      <c r="AL21" s="1560"/>
      <c r="AM21" s="938"/>
      <c r="AN21" s="938"/>
      <c r="AO21" s="938"/>
      <c r="AP21" s="938"/>
      <c r="AQ21" s="938"/>
      <c r="AR21" s="938"/>
      <c r="AS21" s="938"/>
      <c r="AT21" s="938"/>
      <c r="AU21" s="938"/>
      <c r="AV21" s="938"/>
      <c r="AW21" s="938"/>
      <c r="AX21" s="938"/>
      <c r="AY21" s="938"/>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19" t="s">
        <v>2476</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95" customHeight="1">
      <c r="A24" s="116" t="s">
        <v>1026</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559">
        <f>'Basis &amp; Credits'!AB56</f>
        <v>9063696</v>
      </c>
      <c r="N26" s="1559"/>
      <c r="O26" s="1559"/>
      <c r="P26" s="1559"/>
      <c r="Q26" s="1559"/>
      <c r="R26" s="4" t="s">
        <v>783</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498">
        <f>'Basis &amp; Credits'!AB77</f>
        <v>0</v>
      </c>
      <c r="N27" s="1498"/>
      <c r="O27" s="1498"/>
      <c r="P27" s="1498"/>
      <c r="Q27" s="1498"/>
      <c r="R27" s="3" t="s">
        <v>1424</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4" t="s">
        <v>770</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95" customHeight="1">
      <c r="A30" s="4" t="s">
        <v>771</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95" customHeight="1">
      <c r="A31" s="91" t="s">
        <v>2477</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4" t="s">
        <v>1435</v>
      </c>
      <c r="C33" s="554"/>
      <c r="D33" s="554"/>
      <c r="E33" s="554"/>
      <c r="F33" s="554"/>
      <c r="G33" s="554"/>
      <c r="H33" s="554"/>
      <c r="I33" s="554"/>
      <c r="J33" s="554"/>
      <c r="K33" s="554"/>
      <c r="L33" s="554"/>
      <c r="M33" s="554"/>
      <c r="N33" s="554"/>
      <c r="O33" s="1376" t="s">
        <v>678</v>
      </c>
      <c r="P33" s="1376"/>
      <c r="Q33" s="554" t="s">
        <v>1436</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95" customHeight="1">
      <c r="A34" s="3" t="s">
        <v>1438</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95" customHeight="1">
      <c r="A35" s="3" t="s">
        <v>1437</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95" customHeight="1">
      <c r="A36" s="3" t="s">
        <v>1439</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95" customHeight="1">
      <c r="A37" s="3" t="s">
        <v>1440</v>
      </c>
      <c r="AZ37" s="20"/>
    </row>
    <row r="38" spans="1:52" ht="12.95" customHeight="1">
      <c r="A38" s="3" t="s">
        <v>1441</v>
      </c>
      <c r="AZ38" s="20"/>
    </row>
    <row r="39" spans="1:52" ht="12.95" customHeight="1">
      <c r="AZ39" s="20"/>
    </row>
    <row r="40" spans="1:52" ht="12.95" customHeight="1">
      <c r="A40" s="554" t="s">
        <v>2478</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95" customHeight="1">
      <c r="A41" s="554" t="s">
        <v>2479</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95" customHeight="1">
      <c r="A42" s="554" t="s">
        <v>1464</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95" customHeight="1">
      <c r="A43" s="554" t="s">
        <v>2480</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95" customHeight="1">
      <c r="A44" s="554" t="s">
        <v>1465</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95" customHeight="1">
      <c r="A45" s="554" t="s">
        <v>2481</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554" t="s">
        <v>1466</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9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95" customHeight="1">
      <c r="A48" s="562" t="s">
        <v>1467</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95" customHeight="1">
      <c r="A49" s="554" t="s">
        <v>1468</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95" customHeight="1">
      <c r="A50" s="554" t="s">
        <v>2482</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95" customHeight="1">
      <c r="A51" s="554" t="s">
        <v>1469</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95" customHeight="1">
      <c r="A52" s="554" t="s">
        <v>1470</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95" customHeight="1">
      <c r="A55" s="91" t="s">
        <v>955</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95" customHeight="1">
      <c r="A56" s="91" t="s">
        <v>839</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95"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95" customHeight="1">
      <c r="A58" s="91" t="s">
        <v>1029</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95" customHeight="1">
      <c r="A59" s="91" t="s">
        <v>1030</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91" t="s">
        <v>1031</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95" customHeight="1">
      <c r="A61" s="91" t="s">
        <v>1032</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95" customHeight="1">
      <c r="A62" s="91" t="s">
        <v>2483</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1033</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91" t="s">
        <v>992</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95" customHeight="1">
      <c r="A66" s="91" t="s">
        <v>956</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9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95" customHeight="1">
      <c r="A68" s="35" t="s">
        <v>2484</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35" t="s">
        <v>772</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9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95" customHeight="1">
      <c r="A71" s="91" t="s">
        <v>2485</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4" t="s">
        <v>2486</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95" customHeight="1">
      <c r="A73" s="4" t="s">
        <v>773</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95" customHeight="1">
      <c r="A74" s="91" t="s">
        <v>774</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2.95" customHeight="1">
      <c r="A76" s="91" t="s">
        <v>775</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95" customHeight="1">
      <c r="A77" s="91" t="s">
        <v>776</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91" t="s">
        <v>714</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95" customHeight="1">
      <c r="A80" s="91" t="s">
        <v>715</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95"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95" customHeight="1">
      <c r="A82" s="91" t="s">
        <v>1069</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91" t="s">
        <v>2487</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95" customHeight="1">
      <c r="A84" s="91" t="s">
        <v>1034</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91" t="s">
        <v>1028</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95" customHeight="1">
      <c r="A87" s="91" t="s">
        <v>1027</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95" customHeight="1">
      <c r="A88" s="91" t="s">
        <v>777</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95" customHeight="1">
      <c r="A90" s="91" t="s">
        <v>2488</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95" customHeight="1">
      <c r="A91" s="91" t="s">
        <v>2489</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95" customHeight="1">
      <c r="A93" s="116" t="s">
        <v>1037</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95" customHeight="1">
      <c r="A94" s="116" t="s">
        <v>1036</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95" customHeight="1">
      <c r="A95" s="91" t="s">
        <v>1035</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95"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95" customHeight="1">
      <c r="A97" s="91" t="s">
        <v>778</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95" customHeight="1">
      <c r="A98" s="91" t="s">
        <v>920</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552" t="s">
        <v>2490</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95" customHeight="1">
      <c r="A101" t="s">
        <v>2491</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95" customHeight="1">
      <c r="A102" t="s">
        <v>1393</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95" customHeight="1">
      <c r="A103" s="552" t="s">
        <v>1394</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95" customHeight="1">
      <c r="A104" t="s">
        <v>1395</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552" t="s">
        <v>1396</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95" customHeight="1">
      <c r="A106" s="552" t="s">
        <v>1397</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95" customHeight="1">
      <c r="A107" s="552" t="s">
        <v>1398</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2" t="s">
        <v>1399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311" t="s">
        <v>1077</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311" t="s">
        <v>2492</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311" t="s">
        <v>1079</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t="s">
        <v>1078</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t="s">
        <v>779</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t="s">
        <v>2493</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t="s">
        <v>780</v>
      </c>
      <c r="B117" s="22"/>
      <c r="C117" s="22"/>
    </row>
    <row r="118" spans="1:51" ht="12.95" customHeight="1"/>
    <row r="119" spans="1:51" ht="12.95" customHeight="1">
      <c r="A119" s="91" t="s">
        <v>2494</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5" customHeight="1">
      <c r="A120" s="91" t="s">
        <v>781</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5" customHeight="1">
      <c r="A122" s="3"/>
      <c r="B122" s="3"/>
      <c r="C122" s="3" t="s">
        <v>182</v>
      </c>
      <c r="G122" s="1552"/>
      <c r="H122" s="1552"/>
      <c r="I122" s="3" t="s">
        <v>183</v>
      </c>
      <c r="L122" s="1552" t="s">
        <v>2639</v>
      </c>
      <c r="M122" s="1552"/>
      <c r="N122" s="1552"/>
      <c r="O122" s="1566" t="s">
        <v>2638</v>
      </c>
      <c r="P122" s="1566"/>
      <c r="Q122" s="1566"/>
      <c r="R122" s="1566"/>
      <c r="S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5" customHeight="1">
      <c r="A124" s="3"/>
      <c r="B124" s="3"/>
      <c r="C124" s="1469" t="s">
        <v>742</v>
      </c>
      <c r="D124" s="1469"/>
      <c r="E124" s="1469"/>
      <c r="F124" s="1469"/>
      <c r="G124" s="1469"/>
      <c r="H124" s="1469"/>
      <c r="I124" s="1469"/>
      <c r="J124" s="1469"/>
      <c r="K124" s="1469"/>
      <c r="L124" s="216" t="s">
        <v>636</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c r="X126" s="3" t="s">
        <v>637</v>
      </c>
      <c r="Y126" s="1552"/>
      <c r="Z126" s="1552"/>
      <c r="AA126" s="1552"/>
      <c r="AB126" s="1552"/>
      <c r="AC126" s="1552"/>
      <c r="AD126" s="1552"/>
      <c r="AE126" s="1552"/>
      <c r="AF126" s="1552"/>
      <c r="AG126" s="1552"/>
      <c r="AH126" s="1552"/>
      <c r="AI126" s="1552"/>
      <c r="AJ126" s="1552"/>
      <c r="AK126" s="1552"/>
    </row>
    <row r="127" spans="1:51" ht="12.95" customHeight="1">
      <c r="A127" s="3"/>
      <c r="B127" s="3"/>
      <c r="R127" s="3"/>
      <c r="S127" s="3"/>
      <c r="T127" s="3"/>
      <c r="U127" s="3"/>
      <c r="V127" s="3"/>
      <c r="W127" s="3"/>
      <c r="X127" s="3"/>
      <c r="Y127" s="3"/>
      <c r="Z127" s="3" t="s">
        <v>638</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5" customHeight="1">
      <c r="A128" s="386"/>
      <c r="X128" s="3"/>
      <c r="AL128" s="386"/>
      <c r="AM128" s="386"/>
      <c r="AN128" s="386"/>
      <c r="AO128" s="386"/>
      <c r="AP128" s="386"/>
      <c r="AQ128" s="386"/>
      <c r="AR128" s="386"/>
      <c r="AS128" s="386"/>
      <c r="AT128" s="386"/>
      <c r="AU128" s="386"/>
      <c r="AV128" s="386"/>
      <c r="AW128" s="386"/>
      <c r="AX128" s="386"/>
      <c r="AY128" s="386"/>
    </row>
    <row r="129" spans="1:51" ht="12.95" customHeight="1">
      <c r="A129" s="386"/>
      <c r="B129" s="4"/>
      <c r="R129" s="6"/>
      <c r="S129" s="6"/>
      <c r="T129" s="6"/>
      <c r="U129" s="6"/>
      <c r="V129" s="6"/>
      <c r="W129" s="6"/>
      <c r="X129" s="3"/>
      <c r="Y129" s="1552" t="s">
        <v>2636</v>
      </c>
      <c r="Z129" s="1552"/>
      <c r="AA129" s="1552"/>
      <c r="AB129" s="1552"/>
      <c r="AC129" s="1552"/>
      <c r="AD129" s="1552"/>
      <c r="AE129" s="1552"/>
      <c r="AF129" s="1552"/>
      <c r="AG129" s="1552"/>
      <c r="AH129" s="1552"/>
      <c r="AI129" s="1552"/>
      <c r="AJ129" s="1552"/>
      <c r="AK129" s="1552"/>
      <c r="AL129" s="386"/>
      <c r="AM129" s="386"/>
      <c r="AN129" s="386"/>
      <c r="AO129" s="386"/>
      <c r="AP129" s="386"/>
      <c r="AQ129" s="386"/>
      <c r="AR129" s="386"/>
      <c r="AS129" s="386"/>
      <c r="AT129" s="386"/>
      <c r="AU129" s="386"/>
      <c r="AV129" s="386"/>
      <c r="AW129" s="386"/>
      <c r="AX129" s="386"/>
      <c r="AY129" s="386"/>
    </row>
    <row r="130" spans="1:51" ht="12.95" customHeight="1">
      <c r="A130" s="3"/>
      <c r="B130" s="35"/>
      <c r="C130" s="6"/>
      <c r="R130" s="6"/>
      <c r="S130" s="6"/>
      <c r="T130" s="6"/>
      <c r="U130" s="6"/>
      <c r="V130" s="6"/>
      <c r="W130" s="6"/>
      <c r="X130" s="3"/>
      <c r="Y130" s="3"/>
      <c r="Z130" s="3" t="s">
        <v>639</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16"/>
      <c r="G132" s="216"/>
      <c r="H132" s="216"/>
      <c r="I132" s="216"/>
      <c r="J132" s="216"/>
      <c r="K132" s="216"/>
      <c r="L132" s="216"/>
      <c r="M132" s="216"/>
      <c r="N132" s="3"/>
      <c r="P132" s="3"/>
      <c r="Q132" s="3"/>
      <c r="U132" s="3"/>
      <c r="V132" s="3"/>
      <c r="W132" s="3"/>
      <c r="X132" s="3"/>
      <c r="Y132" s="1552" t="s">
        <v>2637</v>
      </c>
      <c r="Z132" s="1552"/>
      <c r="AA132" s="1552"/>
      <c r="AB132" s="1552"/>
      <c r="AC132" s="1552"/>
      <c r="AD132" s="1552"/>
      <c r="AE132" s="1552"/>
      <c r="AF132" s="1552"/>
      <c r="AG132" s="1552"/>
      <c r="AH132" s="1552"/>
      <c r="AI132" s="1552"/>
      <c r="AJ132" s="1552"/>
      <c r="AK132" s="1552"/>
      <c r="AL132" s="3"/>
      <c r="AM132" s="3"/>
      <c r="AN132" s="3"/>
      <c r="AO132" s="3"/>
      <c r="AP132" s="3"/>
      <c r="AQ132" s="3"/>
      <c r="AR132" s="3"/>
      <c r="AS132" s="3"/>
      <c r="AT132" s="3"/>
      <c r="AU132" s="3"/>
      <c r="AV132" s="3"/>
      <c r="AW132" s="3"/>
      <c r="AX132" s="3"/>
      <c r="AY132" s="3"/>
    </row>
    <row r="133" spans="1:51" ht="12.95" customHeight="1">
      <c r="A133" s="3"/>
      <c r="W133" s="3"/>
      <c r="X133" s="3"/>
      <c r="Y133" s="3"/>
      <c r="Z133" s="3" t="s">
        <v>640</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2.95"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2.95"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2.95"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2.95"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2.95"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2.95"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2.95"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2.95"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2"/>
      <c r="G150" s="1302"/>
      <c r="H150" s="1302"/>
      <c r="I150" s="1302"/>
      <c r="J150" s="1302"/>
      <c r="K150" s="1302"/>
      <c r="L150" s="1302"/>
      <c r="M150" s="1302"/>
      <c r="N150" s="1302"/>
      <c r="O150" s="1302"/>
      <c r="P150" s="1302"/>
      <c r="Q150" s="1302"/>
      <c r="R150" s="1302"/>
      <c r="S150" s="1302"/>
      <c r="T150" s="1302"/>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654</v>
      </c>
      <c r="O153" s="1476" t="s">
        <v>2735</v>
      </c>
      <c r="P153" s="1476"/>
      <c r="Q153" s="1476"/>
      <c r="R153" s="1476"/>
      <c r="S153" s="1476"/>
      <c r="T153" s="1476"/>
      <c r="U153" s="1476"/>
      <c r="V153" s="1476"/>
      <c r="W153" s="1476"/>
      <c r="X153" s="1476"/>
      <c r="Y153" s="1476"/>
      <c r="Z153" s="1476"/>
      <c r="AA153" s="1476"/>
      <c r="AB153" s="1476"/>
      <c r="AC153" s="1476"/>
      <c r="AD153" s="1476"/>
      <c r="AE153" s="1476"/>
      <c r="AF153" s="1476"/>
      <c r="AG153" s="1476"/>
      <c r="AH153" s="1476"/>
    </row>
    <row r="154" spans="1:72" ht="12.95" customHeight="1">
      <c r="D154" s="325" t="s">
        <v>443</v>
      </c>
      <c r="O154" s="1467" t="s">
        <v>2736</v>
      </c>
      <c r="P154" s="1467"/>
      <c r="Q154" s="1467"/>
      <c r="R154" s="1467"/>
      <c r="S154" s="1467"/>
      <c r="T154" s="1467"/>
      <c r="U154" s="1467"/>
      <c r="V154" s="1467"/>
      <c r="W154" s="1467"/>
      <c r="X154" s="1467"/>
      <c r="Y154" s="1467"/>
      <c r="Z154" s="1467"/>
      <c r="AA154" s="1467"/>
      <c r="AB154" s="1467"/>
      <c r="AC154" s="1467"/>
      <c r="AD154" s="1467"/>
      <c r="AE154" s="1467"/>
      <c r="AF154" s="1467"/>
      <c r="AG154" s="1467"/>
      <c r="AH154" s="1467"/>
    </row>
    <row r="155" spans="1:72" ht="12.95" customHeight="1">
      <c r="D155" s="8" t="s">
        <v>444</v>
      </c>
      <c r="F155" s="8"/>
      <c r="G155" s="8"/>
      <c r="H155" s="8"/>
      <c r="I155" s="8"/>
      <c r="J155" s="8"/>
      <c r="K155" s="8"/>
      <c r="L155" s="8"/>
      <c r="M155" s="8"/>
      <c r="N155" s="8"/>
      <c r="O155" s="1562" t="s">
        <v>2737</v>
      </c>
      <c r="P155" s="1563"/>
      <c r="Q155" s="1563"/>
      <c r="R155" s="1563"/>
      <c r="S155" s="1563"/>
      <c r="T155" s="1563"/>
      <c r="U155" s="1563"/>
      <c r="V155" s="1563"/>
      <c r="W155" s="1563"/>
      <c r="X155" s="1563"/>
      <c r="Y155" s="1563"/>
      <c r="Z155" s="1563"/>
      <c r="AA155" s="1563"/>
      <c r="AB155" s="1563"/>
      <c r="AC155" s="1563"/>
      <c r="AD155" s="1563"/>
      <c r="AE155" s="1563"/>
      <c r="AF155" s="1563"/>
      <c r="AG155" s="1563"/>
      <c r="AH155" s="1563"/>
    </row>
    <row r="156" spans="1:72" ht="12.95" customHeight="1">
      <c r="D156" t="s">
        <v>315</v>
      </c>
      <c r="O156" s="1398" t="s">
        <v>2709</v>
      </c>
      <c r="P156" s="1398"/>
      <c r="Q156" s="1398"/>
      <c r="R156" s="1398"/>
      <c r="S156" s="1398"/>
      <c r="T156" s="1398"/>
      <c r="U156" s="1398"/>
      <c r="V156" s="1398"/>
      <c r="W156" s="1398"/>
      <c r="X156" s="1398"/>
      <c r="Y156" s="1398"/>
      <c r="Z156" s="1398"/>
      <c r="AA156" s="1398"/>
      <c r="AB156" s="1398"/>
      <c r="AC156" s="1398"/>
      <c r="AD156" s="1398"/>
      <c r="AE156" s="1398"/>
      <c r="AF156" s="1398"/>
      <c r="AG156" s="1398"/>
      <c r="AH156" s="1398"/>
      <c r="BT156" t="s">
        <v>309</v>
      </c>
    </row>
    <row r="157" spans="1:72" ht="12.95" customHeight="1">
      <c r="D157" t="s">
        <v>316</v>
      </c>
      <c r="O157" s="1538" t="s">
        <v>742</v>
      </c>
      <c r="P157" s="1538"/>
      <c r="Q157" s="1538"/>
      <c r="R157" s="1538"/>
      <c r="S157" s="1538"/>
      <c r="T157" s="1538"/>
      <c r="U157" s="1538"/>
      <c r="V157" s="1538"/>
      <c r="W157" s="1538"/>
      <c r="X157" s="1538"/>
      <c r="Y157" s="8"/>
      <c r="Z157" s="8"/>
      <c r="AA157" s="8"/>
      <c r="AB157" s="8"/>
      <c r="AC157" s="8"/>
      <c r="AD157" s="8"/>
      <c r="AE157" s="8"/>
      <c r="AF157" s="8"/>
      <c r="BN157" s="23" t="s">
        <v>645</v>
      </c>
      <c r="BT157" t="s">
        <v>485</v>
      </c>
    </row>
    <row r="158" spans="1:72" ht="12.95" customHeight="1">
      <c r="D158" t="s">
        <v>317</v>
      </c>
      <c r="O158" s="1564">
        <v>94103</v>
      </c>
      <c r="P158" s="1564"/>
      <c r="Q158" s="1564"/>
      <c r="R158" s="1564"/>
      <c r="S158" s="9"/>
      <c r="T158" s="9"/>
      <c r="U158" s="9"/>
      <c r="V158" s="9"/>
      <c r="W158" s="9"/>
      <c r="X158" s="9"/>
      <c r="Y158" s="9"/>
      <c r="Z158" s="9"/>
      <c r="AA158" s="9"/>
      <c r="AB158" s="9"/>
      <c r="AC158" s="9"/>
      <c r="AD158" s="9"/>
      <c r="AE158" s="9"/>
      <c r="AF158" s="9"/>
      <c r="BN158" s="23" t="s">
        <v>646</v>
      </c>
      <c r="BT158" t="s">
        <v>486</v>
      </c>
    </row>
    <row r="159" spans="1:72" ht="12.95" customHeight="1">
      <c r="D159" t="s">
        <v>318</v>
      </c>
      <c r="O159" s="1470" t="s">
        <v>2738</v>
      </c>
      <c r="P159" s="1470"/>
      <c r="Q159" s="1470"/>
      <c r="R159" s="1470"/>
      <c r="S159" s="1470"/>
      <c r="T159" s="1470"/>
      <c r="V159" s="97" t="s">
        <v>273</v>
      </c>
      <c r="W159" s="1565"/>
      <c r="X159" s="1565"/>
      <c r="Y159" s="10"/>
      <c r="Z159" s="10"/>
      <c r="AA159" s="10"/>
      <c r="AB159" s="10"/>
      <c r="AC159" s="10"/>
      <c r="AD159" s="10"/>
      <c r="AE159" s="10"/>
      <c r="AF159" s="10"/>
      <c r="BN159" s="23" t="s">
        <v>341</v>
      </c>
      <c r="BT159" t="s">
        <v>487</v>
      </c>
    </row>
    <row r="160" spans="1:72" ht="12.95" customHeight="1">
      <c r="D160" t="s">
        <v>319</v>
      </c>
      <c r="O160" s="1470" t="s">
        <v>2739</v>
      </c>
      <c r="P160" s="1470"/>
      <c r="Q160" s="1470"/>
      <c r="R160" s="1470"/>
      <c r="S160" s="1470"/>
      <c r="T160" s="1470"/>
      <c r="U160" s="10"/>
      <c r="V160" s="10"/>
      <c r="W160" s="10"/>
      <c r="X160" s="10"/>
      <c r="Y160" s="10"/>
      <c r="Z160" s="10"/>
      <c r="AA160" s="10"/>
      <c r="AB160" s="10"/>
      <c r="AC160" s="10"/>
      <c r="AD160" s="10"/>
      <c r="AE160" s="10"/>
      <c r="AF160" s="10"/>
      <c r="BN160" s="23" t="s">
        <v>669</v>
      </c>
      <c r="BT160" t="s">
        <v>488</v>
      </c>
    </row>
    <row r="161" spans="1:72" ht="12.95" customHeight="1">
      <c r="D161" t="s">
        <v>320</v>
      </c>
      <c r="O161" s="1471" t="s">
        <v>2740</v>
      </c>
      <c r="P161" s="1471"/>
      <c r="Q161" s="1471"/>
      <c r="R161" s="1471"/>
      <c r="S161" s="1471"/>
      <c r="T161" s="1471"/>
      <c r="U161" s="1471"/>
      <c r="V161" s="1471"/>
      <c r="W161" s="1471"/>
      <c r="X161" s="1471"/>
      <c r="Y161" s="1471"/>
      <c r="Z161" s="1471"/>
      <c r="AA161" s="1471"/>
      <c r="AB161" s="1471"/>
      <c r="AC161" s="1471"/>
      <c r="AD161" s="1471"/>
      <c r="AE161" s="1471"/>
      <c r="AF161" s="1471"/>
      <c r="AG161" s="1471"/>
      <c r="AH161" s="1471"/>
      <c r="BJ161" t="s">
        <v>678</v>
      </c>
      <c r="BN161" s="23" t="s">
        <v>670</v>
      </c>
      <c r="BT161" t="s">
        <v>489</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5" customHeight="1">
      <c r="C163" s="27" t="s">
        <v>83</v>
      </c>
      <c r="D163" s="3" t="s">
        <v>2516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5" customHeight="1">
      <c r="C164" s="27"/>
      <c r="D164" s="1472" t="s">
        <v>1386</v>
      </c>
      <c r="E164" s="1472"/>
      <c r="F164" s="1472"/>
      <c r="G164" s="1472"/>
      <c r="H164" s="1472"/>
      <c r="I164" s="1472"/>
      <c r="J164" s="1472"/>
      <c r="K164" s="1472"/>
      <c r="L164" s="1472"/>
      <c r="M164" s="1472"/>
      <c r="N164" s="1472"/>
      <c r="O164" s="1472"/>
      <c r="P164" s="1472"/>
      <c r="Q164" s="1472"/>
      <c r="R164" s="1472"/>
      <c r="S164" s="1472"/>
      <c r="T164" s="1472"/>
      <c r="U164" s="1472"/>
      <c r="V164" s="1472"/>
      <c r="W164" s="1472"/>
      <c r="X164" s="1472"/>
      <c r="Y164" s="1472"/>
      <c r="Z164" s="1472"/>
      <c r="AA164" s="1472"/>
      <c r="AB164" s="1472"/>
      <c r="AC164" s="1472"/>
      <c r="AD164" s="1472"/>
      <c r="AE164" s="1472"/>
      <c r="AF164" s="1472"/>
      <c r="AG164" s="1472"/>
      <c r="AH164" s="1472"/>
      <c r="BN164" s="23" t="s">
        <v>673</v>
      </c>
      <c r="BT164" t="s">
        <v>492</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5" customHeight="1">
      <c r="A169" s="1445" t="s">
        <v>548</v>
      </c>
      <c r="B169" s="1445"/>
      <c r="C169" s="1445"/>
      <c r="D169" s="1445"/>
      <c r="E169" s="1445"/>
      <c r="F169" s="1445"/>
      <c r="G169" s="1445"/>
      <c r="H169" s="1445"/>
      <c r="I169" s="1445"/>
      <c r="J169" s="1445"/>
      <c r="K169" s="1445"/>
      <c r="L169" s="1445"/>
      <c r="M169" s="1445"/>
      <c r="N169" s="1445"/>
      <c r="O169" s="1445"/>
      <c r="P169" s="1445"/>
      <c r="Q169" s="1445"/>
      <c r="R169" s="1445"/>
      <c r="S169" s="1445"/>
      <c r="T169" s="1445"/>
      <c r="U169" s="1445"/>
      <c r="V169" s="1445"/>
      <c r="W169" s="1445"/>
      <c r="X169" s="1445"/>
      <c r="Y169" s="1445"/>
      <c r="Z169" s="1445"/>
      <c r="AA169" s="1445"/>
      <c r="AB169" s="1445"/>
      <c r="AC169" s="1445"/>
      <c r="AD169" s="1445"/>
      <c r="AE169" s="1445"/>
      <c r="AF169" s="1445"/>
      <c r="AG169" s="1445"/>
      <c r="AH169" s="1445"/>
      <c r="AI169" s="1445"/>
      <c r="AJ169" s="1445"/>
      <c r="AK169" s="1445"/>
      <c r="AL169" s="1445"/>
      <c r="AM169" s="95"/>
      <c r="AN169" s="95"/>
      <c r="AO169" s="95"/>
      <c r="AP169" s="95"/>
      <c r="AQ169" s="95"/>
      <c r="AR169" s="95"/>
      <c r="AS169" s="95"/>
      <c r="AT169" s="95"/>
      <c r="AU169" s="95"/>
      <c r="AV169" s="95"/>
      <c r="AW169" s="95"/>
      <c r="AX169" s="95"/>
      <c r="AY169" s="95"/>
      <c r="BN169" s="23" t="s">
        <v>682</v>
      </c>
      <c r="BT169" t="s">
        <v>497</v>
      </c>
    </row>
    <row r="170" spans="1:72" ht="12.95" customHeight="1" thickBot="1">
      <c r="A170" s="1446"/>
      <c r="B170" s="1446"/>
      <c r="C170" s="1446"/>
      <c r="D170" s="1446"/>
      <c r="E170" s="1446"/>
      <c r="F170" s="1446"/>
      <c r="G170" s="1446"/>
      <c r="H170" s="1446"/>
      <c r="I170" s="1446"/>
      <c r="J170" s="1446"/>
      <c r="K170" s="1446"/>
      <c r="L170" s="1446"/>
      <c r="M170" s="1446"/>
      <c r="N170" s="1446"/>
      <c r="O170" s="1446"/>
      <c r="P170" s="1446"/>
      <c r="Q170" s="1446"/>
      <c r="R170" s="1446"/>
      <c r="S170" s="1446"/>
      <c r="T170" s="1446"/>
      <c r="U170" s="1446"/>
      <c r="V170" s="1446"/>
      <c r="W170" s="1446"/>
      <c r="X170" s="1446"/>
      <c r="Y170" s="1446"/>
      <c r="Z170" s="1446"/>
      <c r="AA170" s="1446"/>
      <c r="AB170" s="1446"/>
      <c r="AC170" s="1446"/>
      <c r="AD170" s="1446"/>
      <c r="AE170" s="1446"/>
      <c r="AF170" s="1446"/>
      <c r="AG170" s="1446"/>
      <c r="AH170" s="1446"/>
      <c r="AI170" s="1446"/>
      <c r="AJ170" s="1446"/>
      <c r="AK170" s="1446"/>
      <c r="AL170" s="1446"/>
      <c r="AM170" s="95"/>
      <c r="AN170" s="95"/>
      <c r="AO170" s="95"/>
      <c r="AP170" s="95"/>
      <c r="AQ170" s="95"/>
      <c r="AR170" s="95"/>
      <c r="AS170" s="95"/>
      <c r="AT170" s="95"/>
      <c r="AU170" s="95"/>
      <c r="AV170" s="95"/>
      <c r="AW170" s="95"/>
      <c r="AX170" s="95"/>
      <c r="AY170" s="95"/>
      <c r="BN170" s="23" t="s">
        <v>683</v>
      </c>
      <c r="BT170" t="s">
        <v>498</v>
      </c>
    </row>
    <row r="171" spans="1:72" ht="12.95" customHeight="1" thickTop="1">
      <c r="BN171" s="23" t="s">
        <v>213</v>
      </c>
      <c r="BT171" t="s">
        <v>499</v>
      </c>
    </row>
    <row r="172" spans="1:72" ht="12.95" customHeight="1">
      <c r="A172" s="2" t="s">
        <v>321</v>
      </c>
      <c r="C172" s="2" t="s">
        <v>322</v>
      </c>
      <c r="BN172" s="23" t="s">
        <v>215</v>
      </c>
      <c r="BT172" t="s">
        <v>500</v>
      </c>
    </row>
    <row r="173" spans="1:72" ht="12.95" customHeight="1">
      <c r="C173" s="24"/>
      <c r="D173" t="s">
        <v>323</v>
      </c>
      <c r="J173" s="1561" t="s">
        <v>373</v>
      </c>
      <c r="K173" s="1561"/>
      <c r="L173" s="1561"/>
      <c r="M173" s="1561"/>
      <c r="N173" s="1561"/>
      <c r="O173" s="1561"/>
      <c r="P173" s="1561"/>
      <c r="Q173" s="1561"/>
      <c r="R173" s="1561"/>
      <c r="S173" s="1561"/>
      <c r="U173" s="25"/>
      <c r="X173" s="25"/>
      <c r="BN173" s="23" t="s">
        <v>216</v>
      </c>
      <c r="BT173" t="s">
        <v>501</v>
      </c>
    </row>
    <row r="174" spans="1:72" ht="12.95" customHeight="1">
      <c r="C174" s="24"/>
      <c r="D174" s="3" t="s">
        <v>1344</v>
      </c>
      <c r="J174" s="1398" t="s">
        <v>2522</v>
      </c>
      <c r="K174" s="1398"/>
      <c r="L174" s="1398"/>
      <c r="M174" s="1398"/>
      <c r="N174" s="1398"/>
      <c r="O174" s="1398"/>
      <c r="P174" s="1398"/>
      <c r="Q174" s="1398"/>
      <c r="R174" s="1398"/>
      <c r="S174" s="1398"/>
      <c r="T174" s="1398"/>
      <c r="U174" s="1398"/>
      <c r="V174" s="1398"/>
      <c r="W174" s="1398"/>
      <c r="X174" s="1398"/>
      <c r="Y174" s="1398"/>
      <c r="Z174" s="1398"/>
      <c r="AA174" s="1398"/>
      <c r="AB174" s="1398"/>
      <c r="BN174" s="23" t="s">
        <v>218</v>
      </c>
      <c r="BT174" t="s">
        <v>502</v>
      </c>
    </row>
    <row r="175" spans="1:72" ht="12.95" customHeight="1">
      <c r="C175" s="8"/>
      <c r="D175" s="3" t="s">
        <v>324</v>
      </c>
      <c r="O175" s="27"/>
      <c r="U175" s="1376" t="s">
        <v>678</v>
      </c>
      <c r="V175" s="1376"/>
      <c r="BN175" s="23" t="s">
        <v>219</v>
      </c>
      <c r="BT175" t="s">
        <v>503</v>
      </c>
    </row>
    <row r="176" spans="1:72" ht="12.95" customHeight="1">
      <c r="C176" s="8"/>
      <c r="D176" s="26"/>
      <c r="E176" t="s">
        <v>306</v>
      </c>
      <c r="O176" s="27"/>
      <c r="P176" t="s">
        <v>2495</v>
      </c>
      <c r="T176" s="27" t="s">
        <v>307</v>
      </c>
      <c r="U176" s="1551" t="s">
        <v>600</v>
      </c>
      <c r="V176" s="1551"/>
      <c r="W176" s="1" t="s">
        <v>308</v>
      </c>
      <c r="X176" s="1558" t="s">
        <v>600</v>
      </c>
      <c r="Y176" s="1558"/>
      <c r="BN176" s="23" t="s">
        <v>221</v>
      </c>
      <c r="BT176" t="s">
        <v>504</v>
      </c>
    </row>
    <row r="177" spans="1:72" ht="12.95" customHeight="1">
      <c r="C177" s="24"/>
      <c r="D177" t="s">
        <v>251</v>
      </c>
      <c r="R177" s="1376" t="s">
        <v>678</v>
      </c>
      <c r="S177" s="1376"/>
      <c r="BN177" s="23" t="s">
        <v>222</v>
      </c>
      <c r="BT177" t="s">
        <v>505</v>
      </c>
    </row>
    <row r="178" spans="1:72" ht="12.95" customHeight="1">
      <c r="C178" s="24"/>
      <c r="D178" s="3" t="s">
        <v>1345</v>
      </c>
      <c r="AA178" t="s">
        <v>2495</v>
      </c>
      <c r="AE178" s="27" t="s">
        <v>307</v>
      </c>
      <c r="AF178" s="1737" t="s">
        <v>600</v>
      </c>
      <c r="AG178" s="1737"/>
      <c r="AH178" s="1" t="s">
        <v>308</v>
      </c>
      <c r="AI178" s="1473" t="s">
        <v>600</v>
      </c>
      <c r="AJ178" s="1473"/>
      <c r="AK178" s="1473"/>
      <c r="BN178" s="23" t="s">
        <v>223</v>
      </c>
      <c r="BT178" t="s">
        <v>53</v>
      </c>
    </row>
    <row r="179" spans="1:72" ht="12.95" customHeight="1">
      <c r="C179" s="24"/>
      <c r="BN179" s="23" t="s">
        <v>224</v>
      </c>
      <c r="BT179" t="s">
        <v>54</v>
      </c>
    </row>
    <row r="180" spans="1:72" ht="12.95" customHeight="1">
      <c r="C180" s="24"/>
      <c r="D180" t="s">
        <v>2496</v>
      </c>
      <c r="X180" s="1376" t="s">
        <v>678</v>
      </c>
      <c r="Y180" s="1376"/>
      <c r="BN180" s="23" t="s">
        <v>226</v>
      </c>
      <c r="BT180" t="s">
        <v>55</v>
      </c>
    </row>
    <row r="181" spans="1:72" ht="12.95" customHeight="1">
      <c r="C181" s="8"/>
      <c r="E181" s="4" t="s">
        <v>1015</v>
      </c>
      <c r="BN181" s="23" t="s">
        <v>227</v>
      </c>
      <c r="BT181" t="s">
        <v>56</v>
      </c>
    </row>
    <row r="182" spans="1:72" ht="12.95" customHeight="1">
      <c r="C182" s="565"/>
      <c r="BN182" s="23" t="s">
        <v>228</v>
      </c>
      <c r="BT182" t="s">
        <v>60</v>
      </c>
    </row>
    <row r="183" spans="1:72" ht="12.95" customHeight="1">
      <c r="A183" s="2" t="s">
        <v>585</v>
      </c>
      <c r="C183" s="2" t="s">
        <v>586</v>
      </c>
      <c r="BN183" s="23" t="s">
        <v>230</v>
      </c>
      <c r="BT183" t="s">
        <v>61</v>
      </c>
    </row>
    <row r="184" spans="1:72" ht="12.95" customHeight="1">
      <c r="C184" s="21"/>
      <c r="D184" t="s">
        <v>587</v>
      </c>
      <c r="I184" s="1517" t="str">
        <f>H18</f>
        <v>Transbay Block 2 Family</v>
      </c>
      <c r="J184" s="1517"/>
      <c r="K184" s="1517"/>
      <c r="L184" s="1517"/>
      <c r="M184" s="1517"/>
      <c r="N184" s="1517"/>
      <c r="O184" s="1517"/>
      <c r="P184" s="1517"/>
      <c r="Q184" s="1517"/>
      <c r="R184" s="1517"/>
      <c r="S184" s="1517"/>
      <c r="T184" s="1517"/>
      <c r="U184" s="1517"/>
      <c r="V184" s="1517"/>
      <c r="W184" s="1517"/>
      <c r="X184" s="1517"/>
      <c r="Y184" s="1517"/>
      <c r="Z184" s="1517"/>
      <c r="AA184" s="1517"/>
      <c r="AB184" s="1517"/>
      <c r="AC184" s="1517"/>
      <c r="AD184" s="1517"/>
      <c r="AE184" s="1517"/>
      <c r="BC184" t="s">
        <v>596</v>
      </c>
      <c r="BN184" s="23" t="s">
        <v>232</v>
      </c>
      <c r="BT184" t="s">
        <v>62</v>
      </c>
    </row>
    <row r="185" spans="1:72" ht="12.95" customHeight="1">
      <c r="C185" s="21"/>
      <c r="D185" t="s">
        <v>588</v>
      </c>
      <c r="I185" s="1467" t="s">
        <v>2640</v>
      </c>
      <c r="J185" s="1369"/>
      <c r="K185" s="1369"/>
      <c r="L185" s="1369"/>
      <c r="M185" s="1369"/>
      <c r="N185" s="1369"/>
      <c r="O185" s="1369"/>
      <c r="P185" s="1369"/>
      <c r="Q185" s="1369"/>
      <c r="R185" s="1369"/>
      <c r="S185" s="1369"/>
      <c r="T185" s="1369"/>
      <c r="U185" s="1369"/>
      <c r="V185" s="1369"/>
      <c r="W185" s="1369"/>
      <c r="X185" s="1369"/>
      <c r="Y185" s="1369"/>
      <c r="Z185" s="1369"/>
      <c r="AA185" s="1369"/>
      <c r="AB185" s="1369"/>
      <c r="AC185" s="1369"/>
      <c r="AD185" s="1369"/>
      <c r="AE185" s="1369"/>
      <c r="BC185" t="s">
        <v>597</v>
      </c>
      <c r="BN185" s="23" t="s">
        <v>233</v>
      </c>
      <c r="BT185" t="s">
        <v>63</v>
      </c>
    </row>
    <row r="186" spans="1:72" ht="12.95" customHeight="1">
      <c r="C186" s="21"/>
      <c r="E186" t="s">
        <v>169</v>
      </c>
      <c r="BN186" s="23" t="s">
        <v>234</v>
      </c>
      <c r="BT186" t="s">
        <v>64</v>
      </c>
    </row>
    <row r="187" spans="1:72" ht="12.95" customHeight="1">
      <c r="C187" s="21"/>
      <c r="E187" s="1448" t="s">
        <v>2741</v>
      </c>
      <c r="F187" s="1448"/>
      <c r="G187" s="1448"/>
      <c r="H187" s="1448"/>
      <c r="I187" s="1448"/>
      <c r="J187" s="1448"/>
      <c r="K187" s="1448"/>
      <c r="L187" s="1448"/>
      <c r="M187" s="1448"/>
      <c r="N187" s="1448"/>
      <c r="O187" s="1448"/>
      <c r="P187" s="1448"/>
      <c r="Q187" s="1448"/>
      <c r="R187" s="1448"/>
      <c r="S187" s="1448"/>
      <c r="T187" s="1448"/>
      <c r="U187" s="1448"/>
      <c r="V187" s="1448"/>
      <c r="W187" s="1448"/>
      <c r="X187" s="1448"/>
      <c r="Y187" s="1448"/>
      <c r="Z187" s="1448"/>
      <c r="AA187" s="1448"/>
      <c r="AB187" s="1448"/>
      <c r="AC187" s="1448"/>
      <c r="AD187" s="1448"/>
      <c r="AE187" s="1448"/>
      <c r="BN187" s="23" t="s">
        <v>235</v>
      </c>
      <c r="BT187" t="s">
        <v>65</v>
      </c>
    </row>
    <row r="188" spans="1:72" ht="12.95" customHeight="1">
      <c r="C188" s="21"/>
      <c r="E188" s="1449"/>
      <c r="F188" s="1449"/>
      <c r="G188" s="1449"/>
      <c r="H188" s="1449"/>
      <c r="I188" s="1449"/>
      <c r="J188" s="1449"/>
      <c r="K188" s="1449"/>
      <c r="L188" s="1449"/>
      <c r="M188" s="1449"/>
      <c r="N188" s="1449"/>
      <c r="O188" s="1449"/>
      <c r="P188" s="1449"/>
      <c r="Q188" s="1449"/>
      <c r="R188" s="1449"/>
      <c r="S188" s="1449"/>
      <c r="T188" s="1449"/>
      <c r="U188" s="1449"/>
      <c r="V188" s="1449"/>
      <c r="W188" s="1449"/>
      <c r="X188" s="1449"/>
      <c r="Y188" s="1449"/>
      <c r="Z188" s="1449"/>
      <c r="AA188" s="1449"/>
      <c r="AB188" s="1449"/>
      <c r="AC188" s="1449"/>
      <c r="AD188" s="1449"/>
      <c r="AE188" s="1449"/>
      <c r="BN188" s="23" t="s">
        <v>237</v>
      </c>
      <c r="BT188" t="s">
        <v>66</v>
      </c>
    </row>
    <row r="189" spans="1:72" ht="12.95" customHeight="1">
      <c r="C189" s="21"/>
      <c r="D189" t="s">
        <v>589</v>
      </c>
      <c r="I189" s="1476" t="s">
        <v>742</v>
      </c>
      <c r="J189" s="1398"/>
      <c r="K189" s="1398"/>
      <c r="L189" s="1398"/>
      <c r="M189" s="1398"/>
      <c r="N189" s="1398"/>
      <c r="O189" s="1398"/>
      <c r="P189" s="1398"/>
      <c r="Q189" t="s">
        <v>591</v>
      </c>
      <c r="T189" s="1398" t="s">
        <v>742</v>
      </c>
      <c r="U189" s="1398"/>
      <c r="V189" s="1398"/>
      <c r="W189" s="1398"/>
      <c r="X189" s="1398"/>
      <c r="Y189" s="1398"/>
      <c r="Z189" s="1398"/>
      <c r="AA189" s="1398"/>
      <c r="AB189" s="1398"/>
      <c r="AC189" s="1398"/>
      <c r="AD189" s="1398"/>
      <c r="AE189" s="1398"/>
      <c r="BC189" t="s">
        <v>309</v>
      </c>
      <c r="BH189" s="3" t="s">
        <v>600</v>
      </c>
      <c r="BN189" s="23" t="s">
        <v>238</v>
      </c>
      <c r="BT189" t="s">
        <v>67</v>
      </c>
    </row>
    <row r="190" spans="1:72" ht="12.95" customHeight="1">
      <c r="C190" s="21"/>
      <c r="D190" t="s">
        <v>592</v>
      </c>
      <c r="I190" s="1369">
        <v>94105</v>
      </c>
      <c r="J190" s="1369"/>
      <c r="K190" s="1369"/>
      <c r="L190" s="1369"/>
      <c r="M190" s="1369"/>
      <c r="N190" s="1369"/>
      <c r="O190" t="s">
        <v>594</v>
      </c>
      <c r="T190" s="1553">
        <v>615.07000000000005</v>
      </c>
      <c r="U190" s="1553"/>
      <c r="V190" s="1553"/>
      <c r="W190" s="1553"/>
      <c r="X190" s="1553"/>
      <c r="Y190" s="1553"/>
      <c r="Z190" s="1553"/>
      <c r="AA190" s="1553"/>
      <c r="AB190" s="1553"/>
      <c r="AC190" s="1553"/>
      <c r="AD190" s="1553"/>
      <c r="AE190" s="1553"/>
      <c r="BC190" t="s">
        <v>1101</v>
      </c>
      <c r="BH190" t="s">
        <v>1101</v>
      </c>
      <c r="BN190" s="23" t="s">
        <v>644</v>
      </c>
      <c r="BT190" t="s">
        <v>68</v>
      </c>
    </row>
    <row r="191" spans="1:72" ht="12.95" customHeight="1">
      <c r="C191" s="21"/>
      <c r="D191" t="s">
        <v>471</v>
      </c>
      <c r="N191" s="1555" t="s">
        <v>2742</v>
      </c>
      <c r="O191" s="1448"/>
      <c r="P191" s="1448"/>
      <c r="Q191" s="1448"/>
      <c r="R191" s="1448"/>
      <c r="S191" s="1448"/>
      <c r="T191" s="1448"/>
      <c r="U191" s="1448"/>
      <c r="V191" s="1448"/>
      <c r="W191" s="1448"/>
      <c r="X191" s="1448"/>
      <c r="Y191" s="1448"/>
      <c r="Z191" s="1448"/>
      <c r="AA191" s="1448"/>
      <c r="AB191" s="1448"/>
      <c r="AC191" s="1448"/>
      <c r="AD191" s="1448"/>
      <c r="AE191" s="1448"/>
      <c r="BC191" t="s">
        <v>1100</v>
      </c>
      <c r="BH191" t="s">
        <v>1100</v>
      </c>
      <c r="BN191" s="23" t="s">
        <v>698</v>
      </c>
      <c r="BT191" t="s">
        <v>739</v>
      </c>
    </row>
    <row r="192" spans="1:72" ht="12.95" customHeight="1">
      <c r="C192" s="21"/>
      <c r="M192" s="40"/>
      <c r="N192" s="1449"/>
      <c r="O192" s="1449"/>
      <c r="P192" s="1449"/>
      <c r="Q192" s="1449"/>
      <c r="R192" s="1449"/>
      <c r="S192" s="1449"/>
      <c r="T192" s="1449"/>
      <c r="U192" s="1449"/>
      <c r="V192" s="1449"/>
      <c r="W192" s="1449"/>
      <c r="X192" s="1449"/>
      <c r="Y192" s="1449"/>
      <c r="Z192" s="1449"/>
      <c r="AA192" s="1449"/>
      <c r="AB192" s="1449"/>
      <c r="AC192" s="1449"/>
      <c r="AD192" s="1449"/>
      <c r="AE192" s="1449"/>
      <c r="BC192" t="s">
        <v>1103</v>
      </c>
      <c r="BH192" s="3" t="s">
        <v>1806</v>
      </c>
      <c r="BN192" s="23" t="s">
        <v>699</v>
      </c>
      <c r="BT192" t="s">
        <v>740</v>
      </c>
    </row>
    <row r="193" spans="1:74" ht="12.95" customHeight="1">
      <c r="C193" s="21"/>
      <c r="D193" t="s">
        <v>2497</v>
      </c>
      <c r="M193" s="40"/>
      <c r="N193" s="930"/>
      <c r="O193" s="930"/>
      <c r="P193" s="930"/>
      <c r="Q193" s="930"/>
      <c r="R193" s="930"/>
      <c r="S193" s="930"/>
      <c r="T193" s="1569" t="s">
        <v>2355</v>
      </c>
      <c r="U193" s="1569"/>
      <c r="V193" s="1569"/>
      <c r="W193" s="1569"/>
      <c r="X193" s="1569"/>
      <c r="Y193" s="1569"/>
      <c r="Z193" s="1569"/>
      <c r="AA193" s="1569"/>
      <c r="AB193" s="1569"/>
      <c r="AC193" s="1569"/>
      <c r="AD193" s="1569"/>
      <c r="AE193" s="1569"/>
      <c r="AF193" s="1569"/>
      <c r="AG193" s="1569"/>
      <c r="AH193" s="1569"/>
      <c r="AI193" s="1569"/>
      <c r="BC193" t="s">
        <v>1102</v>
      </c>
      <c r="BH193" s="3" t="s">
        <v>1807</v>
      </c>
      <c r="BN193" s="23" t="s">
        <v>700</v>
      </c>
      <c r="BT193" t="s">
        <v>741</v>
      </c>
    </row>
    <row r="194" spans="1:74" ht="12.95" customHeight="1">
      <c r="C194" s="21"/>
      <c r="D194" t="s">
        <v>333</v>
      </c>
      <c r="T194" s="1376" t="s">
        <v>554</v>
      </c>
      <c r="U194" s="1376"/>
      <c r="W194" t="s">
        <v>694</v>
      </c>
      <c r="AH194" s="1376">
        <v>11</v>
      </c>
      <c r="AI194" s="1376"/>
      <c r="BC194" t="s">
        <v>1535</v>
      </c>
      <c r="BN194" s="23" t="s">
        <v>701</v>
      </c>
      <c r="BT194" t="s">
        <v>742</v>
      </c>
    </row>
    <row r="195" spans="1:74" ht="12.95" customHeight="1">
      <c r="C195" s="21"/>
      <c r="D195" t="s">
        <v>388</v>
      </c>
      <c r="T195" s="1358" t="s">
        <v>678</v>
      </c>
      <c r="U195" s="1358"/>
      <c r="W195" t="s">
        <v>695</v>
      </c>
      <c r="AH195" s="1376">
        <v>17</v>
      </c>
      <c r="AI195" s="1376"/>
      <c r="BC195" t="s">
        <v>2118</v>
      </c>
      <c r="BN195" s="23" t="s">
        <v>244</v>
      </c>
      <c r="BT195" t="s">
        <v>743</v>
      </c>
    </row>
    <row r="196" spans="1:74" ht="12.95" customHeight="1">
      <c r="C196" s="21"/>
      <c r="D196" s="3" t="s">
        <v>170</v>
      </c>
      <c r="T196" s="1358" t="s">
        <v>678</v>
      </c>
      <c r="U196" s="1358"/>
      <c r="W196" t="s">
        <v>696</v>
      </c>
      <c r="AH196" s="1376">
        <v>11</v>
      </c>
      <c r="AI196" s="1376"/>
      <c r="BN196" s="23" t="s">
        <v>245</v>
      </c>
      <c r="BT196" t="s">
        <v>69</v>
      </c>
    </row>
    <row r="197" spans="1:74" ht="12.95" customHeight="1">
      <c r="C197" s="21"/>
      <c r="D197" s="3" t="s">
        <v>1831</v>
      </c>
      <c r="T197" s="1358" t="s">
        <v>600</v>
      </c>
      <c r="U197" s="1358"/>
      <c r="AH197" s="14"/>
      <c r="AI197" s="14"/>
      <c r="BC197" t="s">
        <v>309</v>
      </c>
      <c r="BN197" s="23" t="s">
        <v>246</v>
      </c>
      <c r="BT197" t="s">
        <v>70</v>
      </c>
    </row>
    <row r="198" spans="1:74" s="14" customFormat="1" ht="12.95" customHeight="1">
      <c r="A198"/>
      <c r="B198"/>
      <c r="C198" s="21"/>
      <c r="E198"/>
      <c r="F198"/>
      <c r="G198"/>
      <c r="H198"/>
      <c r="I198"/>
      <c r="J198"/>
      <c r="K198"/>
      <c r="L198"/>
      <c r="M198"/>
      <c r="N198"/>
      <c r="O198"/>
      <c r="P198"/>
      <c r="Q198"/>
      <c r="R198"/>
      <c r="S198"/>
      <c r="T198"/>
      <c r="U198"/>
      <c r="V198"/>
      <c r="W198"/>
      <c r="X198" s="1076" t="s">
        <v>2498</v>
      </c>
      <c r="Y198" s="1376" t="s">
        <v>678</v>
      </c>
      <c r="Z198" s="1376"/>
      <c r="AA198"/>
      <c r="AB198"/>
      <c r="AC198"/>
      <c r="AD198"/>
      <c r="AE198"/>
      <c r="AF198"/>
      <c r="AG198"/>
      <c r="AJ198"/>
      <c r="AK198"/>
      <c r="AL198"/>
      <c r="AM198"/>
      <c r="AN198"/>
      <c r="AO198"/>
      <c r="AP198"/>
      <c r="AQ198"/>
      <c r="AR198"/>
      <c r="AS198"/>
      <c r="AT198"/>
      <c r="AU198"/>
      <c r="AV198"/>
      <c r="AW198"/>
      <c r="AX198"/>
      <c r="AY198"/>
      <c r="AZ198" s="30"/>
      <c r="BA198" s="30"/>
      <c r="BC198" t="s">
        <v>904</v>
      </c>
      <c r="BD198"/>
      <c r="BN198" s="23" t="s">
        <v>707</v>
      </c>
      <c r="BO198"/>
      <c r="BP198"/>
      <c r="BQ198"/>
      <c r="BR198"/>
      <c r="BS198"/>
      <c r="BT198" t="s">
        <v>193</v>
      </c>
      <c r="BU198"/>
      <c r="BV198" s="31"/>
    </row>
    <row r="199" spans="1:74" s="14" customFormat="1" ht="12.95" customHeight="1">
      <c r="A199"/>
      <c r="B199"/>
      <c r="C199" s="21"/>
      <c r="D199" t="s">
        <v>693</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903</v>
      </c>
      <c r="BD199"/>
      <c r="BN199" s="23" t="s">
        <v>708</v>
      </c>
      <c r="BO199"/>
      <c r="BP199"/>
      <c r="BQ199"/>
      <c r="BR199"/>
      <c r="BS199"/>
      <c r="BT199" s="32" t="s">
        <v>194</v>
      </c>
      <c r="BU199"/>
      <c r="BV199" s="31"/>
    </row>
    <row r="200" spans="1:74" s="14" customFormat="1" ht="12.95" customHeight="1">
      <c r="A200"/>
      <c r="B200"/>
      <c r="C200" s="21"/>
      <c r="D200" s="221" t="s">
        <v>958</v>
      </c>
      <c r="E200"/>
      <c r="F200"/>
      <c r="G200"/>
      <c r="H200"/>
      <c r="I200"/>
      <c r="J200"/>
      <c r="K200"/>
      <c r="L200"/>
      <c r="M200"/>
      <c r="N200"/>
      <c r="O200"/>
      <c r="P200"/>
      <c r="Q200"/>
      <c r="R200"/>
      <c r="S200"/>
      <c r="T200" s="1"/>
      <c r="U200" s="1"/>
      <c r="V200"/>
      <c r="W200" s="221" t="s">
        <v>957</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1126</v>
      </c>
      <c r="BD200" s="470"/>
      <c r="BN200" s="23" t="s">
        <v>709</v>
      </c>
      <c r="BO200"/>
      <c r="BP200"/>
      <c r="BQ200"/>
      <c r="BR200"/>
      <c r="BS200"/>
      <c r="BT200" s="32" t="s">
        <v>195</v>
      </c>
      <c r="BU200"/>
    </row>
    <row r="201" spans="1:74" s="14" customFormat="1" ht="12.95"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620</v>
      </c>
      <c r="BD201" s="470"/>
      <c r="BN201" s="23" t="s">
        <v>710</v>
      </c>
      <c r="BO201" s="31"/>
      <c r="BP201" s="32"/>
      <c r="BQ201" s="32"/>
      <c r="BR201" s="32"/>
      <c r="BS201" s="32"/>
      <c r="BT201" s="32" t="s">
        <v>196</v>
      </c>
      <c r="BU201"/>
    </row>
    <row r="202" spans="1:74" ht="12.95" customHeight="1">
      <c r="A202" s="2" t="s">
        <v>595</v>
      </c>
      <c r="C202" s="2" t="s">
        <v>137</v>
      </c>
      <c r="BC202" t="s">
        <v>1127</v>
      </c>
      <c r="BD202" s="470"/>
      <c r="BN202" s="23" t="s">
        <v>711</v>
      </c>
      <c r="BO202" s="14"/>
      <c r="BP202" s="32"/>
      <c r="BQ202" s="32"/>
      <c r="BR202" s="32"/>
      <c r="BS202" s="32"/>
      <c r="BT202" s="32" t="s">
        <v>197</v>
      </c>
    </row>
    <row r="203" spans="1:74" ht="12.95" customHeight="1">
      <c r="D203" s="1517" t="s">
        <v>387</v>
      </c>
      <c r="E203" s="1517"/>
      <c r="F203" s="1517"/>
      <c r="G203" s="1517"/>
      <c r="H203" s="1517"/>
      <c r="I203" s="1517"/>
      <c r="J203" s="1517"/>
      <c r="K203" s="1517"/>
      <c r="L203" s="1517"/>
      <c r="M203" s="1517"/>
      <c r="P203" s="1548">
        <f>M26</f>
        <v>9063696</v>
      </c>
      <c r="Q203" s="1549"/>
      <c r="R203" s="1549"/>
      <c r="S203" s="1549"/>
      <c r="T203" s="1549"/>
      <c r="U203" s="1549"/>
      <c r="Z203" s="1571" t="s">
        <v>1326</v>
      </c>
      <c r="AA203" s="1571"/>
      <c r="AB203" s="1571"/>
      <c r="AC203" s="1571"/>
      <c r="AD203" s="1571"/>
      <c r="AE203" s="1571"/>
      <c r="AF203" s="1571"/>
      <c r="BC203" t="s">
        <v>1128</v>
      </c>
      <c r="BN203" s="23" t="s">
        <v>712</v>
      </c>
      <c r="BO203" s="14"/>
      <c r="BP203" s="32"/>
      <c r="BQ203" s="32"/>
      <c r="BR203" s="32"/>
      <c r="BS203" s="32"/>
      <c r="BT203" s="32" t="s">
        <v>198</v>
      </c>
    </row>
    <row r="204" spans="1:74" ht="12.95" customHeight="1">
      <c r="C204" s="21"/>
      <c r="D204" s="1570" t="s">
        <v>1402</v>
      </c>
      <c r="E204" s="1517"/>
      <c r="F204" s="1517"/>
      <c r="G204" s="1517"/>
      <c r="H204" s="1517"/>
      <c r="I204" s="1517"/>
      <c r="J204" s="1517"/>
      <c r="K204" s="1517"/>
      <c r="L204" s="1517"/>
      <c r="M204" s="1517"/>
      <c r="P204" s="1549">
        <f>M27</f>
        <v>0</v>
      </c>
      <c r="Q204" s="1549"/>
      <c r="R204" s="1549"/>
      <c r="S204" s="1549"/>
      <c r="T204" s="1549"/>
      <c r="U204" s="1549"/>
      <c r="V204" s="28"/>
      <c r="W204" s="3" t="s">
        <v>1979</v>
      </c>
      <c r="Z204" s="1571"/>
      <c r="AA204" s="1571"/>
      <c r="AB204" s="1571"/>
      <c r="AC204" s="1571"/>
      <c r="AD204" s="1571"/>
      <c r="AE204" s="1571"/>
      <c r="AF204" s="1571"/>
      <c r="AG204" t="s">
        <v>1403</v>
      </c>
      <c r="AP204" s="1376" t="s">
        <v>678</v>
      </c>
      <c r="AQ204" s="1376"/>
      <c r="BC204" t="s">
        <v>619</v>
      </c>
      <c r="BN204" s="23" t="s">
        <v>713</v>
      </c>
      <c r="BT204" s="32" t="s">
        <v>199</v>
      </c>
      <c r="BU204" s="14"/>
    </row>
    <row r="205" spans="1:74" ht="12.95" customHeight="1">
      <c r="D205" s="29"/>
      <c r="E205" s="29"/>
      <c r="F205" s="29"/>
      <c r="G205" s="29"/>
      <c r="H205" s="29"/>
      <c r="I205" s="29"/>
      <c r="J205" s="29"/>
      <c r="K205" s="29"/>
      <c r="L205" s="29"/>
      <c r="M205" s="29"/>
      <c r="N205" s="29"/>
      <c r="O205" s="29"/>
      <c r="P205" s="29"/>
      <c r="Z205" s="1572"/>
      <c r="AA205" s="1572"/>
      <c r="AB205" s="1572"/>
      <c r="AC205" s="1572"/>
      <c r="AD205" s="1572"/>
      <c r="AE205" s="1572"/>
      <c r="AF205" s="1572"/>
      <c r="BC205" t="s">
        <v>1086</v>
      </c>
      <c r="BN205" s="23" t="s">
        <v>110</v>
      </c>
      <c r="BT205" s="32" t="s">
        <v>175</v>
      </c>
      <c r="BU205" s="14"/>
    </row>
    <row r="206" spans="1:74" ht="12.95" customHeight="1">
      <c r="A206" s="2" t="s">
        <v>598</v>
      </c>
      <c r="C206" s="2" t="s">
        <v>560</v>
      </c>
      <c r="BC206" s="471" t="s">
        <v>1129</v>
      </c>
      <c r="BN206" s="23" t="s">
        <v>111</v>
      </c>
      <c r="BT206" s="32" t="s">
        <v>200</v>
      </c>
      <c r="BU206" s="14"/>
    </row>
    <row r="207" spans="1:74" ht="12.95" customHeight="1">
      <c r="C207" s="21"/>
      <c r="D207" s="1538" t="s">
        <v>2714</v>
      </c>
      <c r="E207" s="1538"/>
      <c r="F207" s="1538"/>
      <c r="G207" s="1538"/>
      <c r="H207" s="1538"/>
      <c r="I207" s="1538"/>
      <c r="J207" s="1538"/>
      <c r="K207" s="1538"/>
      <c r="L207" s="1538"/>
      <c r="M207" s="1538"/>
      <c r="BC207" s="3" t="s">
        <v>1359</v>
      </c>
      <c r="BN207" s="23" t="s">
        <v>45</v>
      </c>
      <c r="BT207" s="32" t="s">
        <v>201</v>
      </c>
    </row>
    <row r="208" spans="1:74" ht="12.95" customHeight="1">
      <c r="BC208" t="s">
        <v>1130</v>
      </c>
      <c r="BN208" s="23" t="s">
        <v>46</v>
      </c>
      <c r="BT208" s="32" t="s">
        <v>202</v>
      </c>
    </row>
    <row r="209" spans="1:72" ht="12.95" customHeight="1">
      <c r="A209" s="2" t="s">
        <v>599</v>
      </c>
      <c r="C209" s="2" t="s">
        <v>390</v>
      </c>
      <c r="BC209" t="s">
        <v>668</v>
      </c>
      <c r="BN209" s="23" t="s">
        <v>47</v>
      </c>
      <c r="BT209" s="32" t="s">
        <v>203</v>
      </c>
    </row>
    <row r="210" spans="1:72" ht="12.95" customHeight="1">
      <c r="C210" s="21"/>
      <c r="D210" s="1538" t="s">
        <v>2118</v>
      </c>
      <c r="E210" s="1538"/>
      <c r="F210" s="1538"/>
      <c r="G210" s="1538"/>
      <c r="H210" s="1538"/>
      <c r="I210" s="1538"/>
      <c r="J210" s="1538"/>
      <c r="K210" s="1538"/>
      <c r="L210" s="1538"/>
      <c r="M210" s="1538"/>
      <c r="BN210" s="23" t="s">
        <v>48</v>
      </c>
      <c r="BT210" s="32" t="s">
        <v>204</v>
      </c>
    </row>
    <row r="211" spans="1:72" ht="12.95" customHeight="1">
      <c r="C211" s="21"/>
      <c r="D211" t="s">
        <v>1392</v>
      </c>
      <c r="Y211" s="1376"/>
      <c r="Z211" s="1376"/>
      <c r="AB211" s="1567">
        <f>IFERROR(Y211/AG439,"")</f>
        <v>0</v>
      </c>
      <c r="AC211" s="1568"/>
      <c r="BN211" s="23" t="s">
        <v>130</v>
      </c>
      <c r="BT211" s="32" t="s">
        <v>131</v>
      </c>
    </row>
    <row r="212" spans="1:72" ht="12.95" customHeight="1">
      <c r="D212" s="1198" t="s">
        <v>1805</v>
      </c>
      <c r="BC212" t="s">
        <v>309</v>
      </c>
      <c r="BN212" s="23" t="s">
        <v>49</v>
      </c>
      <c r="BT212" s="32" t="s">
        <v>205</v>
      </c>
    </row>
    <row r="213" spans="1:72" ht="12.95" customHeight="1">
      <c r="D213" s="1462" t="s">
        <v>600</v>
      </c>
      <c r="E213" s="1462"/>
      <c r="F213" s="1462"/>
      <c r="G213" s="1462"/>
      <c r="H213" s="1462"/>
      <c r="I213" s="1462"/>
      <c r="J213" s="1462"/>
      <c r="K213" s="1462"/>
      <c r="L213" s="1462"/>
      <c r="M213" s="1462"/>
      <c r="N213" s="1462"/>
      <c r="O213" s="1462"/>
      <c r="P213" s="1462"/>
      <c r="Q213" s="1462"/>
      <c r="R213" s="1462"/>
      <c r="S213" s="1462"/>
      <c r="T213" s="1462"/>
      <c r="U213" s="1462"/>
      <c r="V213" s="1462"/>
      <c r="W213" s="1462"/>
      <c r="X213" s="1462"/>
      <c r="Y213" s="1462"/>
      <c r="Z213" s="1462"/>
      <c r="BC213" t="s">
        <v>535</v>
      </c>
      <c r="BN213" s="23" t="s">
        <v>50</v>
      </c>
      <c r="BT213" s="32" t="s">
        <v>206</v>
      </c>
    </row>
    <row r="214" spans="1:72" ht="12.95" customHeight="1">
      <c r="D214" s="3" t="s">
        <v>1832</v>
      </c>
      <c r="Z214" s="40"/>
      <c r="AB214" s="1460"/>
      <c r="AC214" s="1460"/>
      <c r="AD214" s="1460"/>
      <c r="AE214" s="1460"/>
      <c r="AF214" s="1460"/>
      <c r="AG214" s="1460"/>
      <c r="AH214" s="1460"/>
      <c r="AI214" s="1460"/>
      <c r="AJ214" s="1460"/>
      <c r="AK214" s="1460"/>
      <c r="AL214" s="1460"/>
      <c r="AM214" s="21"/>
      <c r="AN214" s="21"/>
      <c r="AO214" s="21"/>
      <c r="AP214" s="21"/>
      <c r="AQ214" s="21"/>
      <c r="AR214" s="21"/>
      <c r="AS214" s="21"/>
      <c r="AT214" s="21"/>
      <c r="AU214" s="21"/>
      <c r="AV214" s="21"/>
      <c r="AW214" s="21"/>
      <c r="AX214" s="21"/>
      <c r="AY214" s="21"/>
      <c r="BC214" t="s">
        <v>539</v>
      </c>
      <c r="BN214" s="23" t="s">
        <v>328</v>
      </c>
      <c r="BT214" s="32" t="s">
        <v>207</v>
      </c>
    </row>
    <row r="215" spans="1:72" ht="12.95" customHeight="1">
      <c r="D215" s="3" t="s">
        <v>1830</v>
      </c>
      <c r="Z215" s="40"/>
      <c r="AB215" s="1460"/>
      <c r="AC215" s="1460"/>
      <c r="AD215" s="1460"/>
      <c r="AE215" s="1460"/>
      <c r="AF215" s="1460"/>
      <c r="AG215" s="1460"/>
      <c r="AH215" s="1460"/>
      <c r="AI215" s="1460"/>
      <c r="AJ215" s="1460"/>
      <c r="AK215" s="1460"/>
      <c r="AL215" s="1460"/>
      <c r="AM215" s="21"/>
      <c r="AN215" s="21"/>
      <c r="AO215" s="21"/>
      <c r="AP215" s="21"/>
      <c r="AQ215" s="21"/>
      <c r="AR215" s="21"/>
      <c r="AS215" s="21"/>
      <c r="AT215" s="21"/>
      <c r="AU215" s="21"/>
      <c r="AV215" s="21"/>
      <c r="AW215" s="21"/>
      <c r="AX215" s="21"/>
      <c r="AY215" s="21"/>
      <c r="BC215" t="s">
        <v>536</v>
      </c>
    </row>
    <row r="216" spans="1:72" ht="12.9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575</v>
      </c>
    </row>
    <row r="217" spans="1:72" ht="12.95" customHeight="1">
      <c r="A217" s="2" t="s">
        <v>601</v>
      </c>
      <c r="C217" s="2" t="s">
        <v>1367</v>
      </c>
      <c r="D217" s="28"/>
      <c r="BC217" t="s">
        <v>537</v>
      </c>
    </row>
    <row r="218" spans="1:72" ht="12.95" customHeight="1">
      <c r="A218" s="2"/>
      <c r="C218" s="2"/>
      <c r="D218" s="4" t="s">
        <v>1040</v>
      </c>
      <c r="BC218" t="s">
        <v>538</v>
      </c>
    </row>
    <row r="219" spans="1:72" ht="12.95" customHeight="1">
      <c r="A219" s="2"/>
      <c r="C219" s="2"/>
      <c r="D219" s="1538" t="s">
        <v>668</v>
      </c>
      <c r="E219" s="1538"/>
      <c r="F219" s="1538"/>
      <c r="G219" s="1538"/>
      <c r="H219" s="1538"/>
      <c r="I219" s="1538"/>
      <c r="J219" s="1538"/>
      <c r="K219" s="1538"/>
      <c r="L219" s="1538"/>
      <c r="M219" s="1538"/>
      <c r="N219" s="1538"/>
      <c r="O219" s="1538"/>
      <c r="P219" s="1538"/>
      <c r="Q219" s="1538"/>
      <c r="R219" s="1538"/>
      <c r="S219" s="1538"/>
      <c r="T219" s="1538"/>
      <c r="U219" s="1538"/>
      <c r="V219" s="1538"/>
      <c r="W219" s="1538"/>
      <c r="X219" s="1538"/>
      <c r="Y219" s="1538"/>
      <c r="Z219" s="1538"/>
      <c r="AZ219" s="3"/>
      <c r="BA219" s="3"/>
      <c r="BC219" t="s">
        <v>379</v>
      </c>
    </row>
    <row r="220" spans="1:72" ht="12.95" customHeight="1">
      <c r="A220" s="2"/>
      <c r="B220" s="14"/>
      <c r="C220" s="2"/>
      <c r="BA220" s="3"/>
      <c r="BC220" t="s">
        <v>302</v>
      </c>
    </row>
    <row r="221" spans="1:72" ht="12.95" customHeight="1">
      <c r="A221" s="1445" t="s">
        <v>549</v>
      </c>
      <c r="B221" s="1445"/>
      <c r="C221" s="1445"/>
      <c r="D221" s="1445"/>
      <c r="E221" s="1445"/>
      <c r="F221" s="1445"/>
      <c r="G221" s="1445"/>
      <c r="H221" s="1445"/>
      <c r="I221" s="1445"/>
      <c r="J221" s="1445"/>
      <c r="K221" s="1445"/>
      <c r="L221" s="1445"/>
      <c r="M221" s="1445"/>
      <c r="N221" s="1445"/>
      <c r="O221" s="1445"/>
      <c r="P221" s="1445"/>
      <c r="Q221" s="1445"/>
      <c r="R221" s="1445"/>
      <c r="S221" s="1445"/>
      <c r="T221" s="1445"/>
      <c r="U221" s="1445"/>
      <c r="V221" s="1445"/>
      <c r="W221" s="1445"/>
      <c r="X221" s="1445"/>
      <c r="Y221" s="1445"/>
      <c r="Z221" s="1445"/>
      <c r="AA221" s="1445"/>
      <c r="AB221" s="1445"/>
      <c r="AC221" s="1445"/>
      <c r="AD221" s="1445"/>
      <c r="AE221" s="1445"/>
      <c r="AF221" s="1445"/>
      <c r="AG221" s="1445"/>
      <c r="AH221" s="1445"/>
      <c r="AI221" s="1445"/>
      <c r="AJ221" s="1445"/>
      <c r="AK221" s="1445"/>
      <c r="AL221" s="1445"/>
      <c r="AM221" s="95"/>
      <c r="AN221" s="95"/>
      <c r="AO221" s="95"/>
      <c r="AP221" s="95"/>
      <c r="AQ221" s="95"/>
      <c r="AR221" s="95"/>
      <c r="AS221" s="95"/>
      <c r="AT221" s="95"/>
      <c r="AU221" s="95"/>
      <c r="AV221" s="95"/>
      <c r="AW221" s="95"/>
      <c r="AX221" s="95"/>
      <c r="AY221" s="95"/>
      <c r="BA221" s="3"/>
    </row>
    <row r="222" spans="1:72" ht="12.95" customHeight="1" thickBot="1">
      <c r="A222" s="1446"/>
      <c r="B222" s="1446"/>
      <c r="C222" s="1446"/>
      <c r="D222" s="1446"/>
      <c r="E222" s="1446"/>
      <c r="F222" s="1446"/>
      <c r="G222" s="1446"/>
      <c r="H222" s="1446"/>
      <c r="I222" s="1446"/>
      <c r="J222" s="1446"/>
      <c r="K222" s="1446"/>
      <c r="L222" s="1446"/>
      <c r="M222" s="1446"/>
      <c r="N222" s="1446"/>
      <c r="O222" s="1446"/>
      <c r="P222" s="1446"/>
      <c r="Q222" s="1446"/>
      <c r="R222" s="1446"/>
      <c r="S222" s="1446"/>
      <c r="T222" s="1446"/>
      <c r="U222" s="1446"/>
      <c r="V222" s="1446"/>
      <c r="W222" s="1446"/>
      <c r="X222" s="1446"/>
      <c r="Y222" s="1446"/>
      <c r="Z222" s="1446"/>
      <c r="AA222" s="1446"/>
      <c r="AB222" s="1446"/>
      <c r="AC222" s="1446"/>
      <c r="AD222" s="1446"/>
      <c r="AE222" s="1446"/>
      <c r="AF222" s="1446"/>
      <c r="AG222" s="1446"/>
      <c r="AH222" s="1446"/>
      <c r="AI222" s="1446"/>
      <c r="AJ222" s="1446"/>
      <c r="AK222" s="1446"/>
      <c r="AL222" s="1446"/>
      <c r="AM222" s="95"/>
      <c r="AN222" s="95"/>
      <c r="AO222" s="95"/>
      <c r="AP222" s="95"/>
      <c r="AQ222" s="95"/>
      <c r="AR222" s="95"/>
      <c r="AS222" s="95"/>
      <c r="AT222" s="95"/>
      <c r="AU222" s="95"/>
      <c r="AV222" s="95"/>
      <c r="AW222" s="95"/>
      <c r="AX222" s="95"/>
      <c r="AY222" s="95"/>
      <c r="AZ222" s="3"/>
      <c r="BA222" s="3"/>
      <c r="BP222" s="34"/>
    </row>
    <row r="223" spans="1:72" ht="12.95" customHeight="1" thickTop="1">
      <c r="BA223" s="3"/>
      <c r="BB223" s="3"/>
      <c r="BQ223" s="34"/>
    </row>
    <row r="224" spans="1:72" ht="12.95" customHeight="1">
      <c r="A224" s="2" t="s">
        <v>321</v>
      </c>
      <c r="B224" s="2"/>
      <c r="C224" s="2" t="s">
        <v>2499</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95" customHeight="1">
      <c r="B225" s="4"/>
      <c r="D225" s="4" t="s">
        <v>616</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76" t="s">
        <v>600</v>
      </c>
      <c r="AJ225" s="1376"/>
      <c r="AL225" s="3"/>
      <c r="AM225" s="3"/>
      <c r="AN225" s="3"/>
      <c r="AO225" s="3"/>
      <c r="AP225" s="3"/>
      <c r="AQ225" s="3"/>
      <c r="AR225" s="3"/>
      <c r="AS225" s="3"/>
      <c r="AT225" s="3"/>
      <c r="AU225" s="3"/>
      <c r="AV225" s="3"/>
      <c r="AW225" s="3"/>
      <c r="AX225" s="3"/>
      <c r="AY225" s="3"/>
      <c r="BO225" s="34"/>
    </row>
    <row r="226" spans="1:69" ht="12.95" customHeight="1">
      <c r="B226" s="4"/>
      <c r="D226" s="4" t="s">
        <v>563</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6" t="s">
        <v>554</v>
      </c>
      <c r="AJ226" s="1376"/>
      <c r="AL226" s="3"/>
      <c r="AM226" s="3"/>
      <c r="AN226" s="3"/>
      <c r="AO226" s="3"/>
      <c r="AP226" s="3"/>
      <c r="AQ226" s="3"/>
      <c r="AR226" s="3"/>
      <c r="AS226" s="3"/>
      <c r="AT226" s="3"/>
      <c r="AU226" s="3"/>
      <c r="AV226" s="3"/>
      <c r="AW226" s="3"/>
      <c r="AX226" s="3"/>
      <c r="AY226" s="3"/>
      <c r="AZ226" s="4"/>
      <c r="BB226" s="218" t="s">
        <v>547</v>
      </c>
      <c r="BG226" s="259">
        <f>IF(AND(AND($M$248="for profit",$M$256="for profit",$M$264="nonprofit")),2,0)</f>
        <v>0</v>
      </c>
      <c r="BO226" s="34"/>
    </row>
    <row r="227" spans="1:69" ht="12.95"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6" t="s">
        <v>600</v>
      </c>
      <c r="AJ227" s="1376"/>
      <c r="AL227" s="3"/>
      <c r="AM227" s="3"/>
      <c r="AN227" s="3"/>
      <c r="AO227" s="3"/>
      <c r="AP227" s="3"/>
      <c r="AQ227" s="3"/>
      <c r="AR227" s="3"/>
      <c r="AS227" s="3"/>
      <c r="AT227" s="3"/>
      <c r="AU227" s="3"/>
      <c r="AV227" s="3"/>
      <c r="AW227" s="3"/>
      <c r="AX227" s="3"/>
      <c r="AY227" s="3"/>
      <c r="BA227" s="3"/>
      <c r="BB227" s="218" t="s">
        <v>547</v>
      </c>
      <c r="BG227" s="259">
        <f>IF(AND(AND($M$248="for profit",$M$256="nonprofit",$M$264="for profit")),2,0)</f>
        <v>0</v>
      </c>
      <c r="BQ227" s="34"/>
    </row>
    <row r="228" spans="1:69" ht="12.95"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6" t="s">
        <v>600</v>
      </c>
      <c r="AJ228" s="1376"/>
      <c r="AL228" s="3"/>
      <c r="AM228" s="3"/>
      <c r="AN228" s="3"/>
      <c r="AO228" s="3"/>
      <c r="AP228" s="3"/>
      <c r="AQ228" s="3"/>
      <c r="AR228" s="3"/>
      <c r="AS228" s="3"/>
      <c r="AT228" s="3"/>
      <c r="AU228" s="3"/>
      <c r="AV228" s="3"/>
      <c r="AW228" s="3"/>
      <c r="AX228" s="3"/>
      <c r="AY228" s="3"/>
      <c r="AZ228" s="4"/>
      <c r="BA228" s="3"/>
      <c r="BB228" s="218" t="s">
        <v>547</v>
      </c>
      <c r="BG228" s="259">
        <f>IF(AND(AND($M$248="nonprofit",$M$256="for profit",$M$264="for profit")),2,0)</f>
        <v>0</v>
      </c>
      <c r="BQ228" s="34"/>
    </row>
    <row r="229" spans="1:69" ht="12.95"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547</v>
      </c>
      <c r="BG229" s="259">
        <f>IF(AND(AND($M$248="for profit",$M$256="nonprofit",$M$264="(select one)")),2,0)</f>
        <v>0</v>
      </c>
      <c r="BO229" s="34"/>
    </row>
    <row r="230" spans="1:69" ht="12.95" customHeight="1">
      <c r="A230" s="2" t="s">
        <v>585</v>
      </c>
      <c r="B230" s="4"/>
      <c r="C230" s="2" t="s">
        <v>2500</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IF(AND(AND($M$248="nonprofit",$M$256="for profit",$M$264="(select one)")),2,0)</f>
        <v>0</v>
      </c>
      <c r="BO230" s="34"/>
    </row>
    <row r="231" spans="1:69" ht="12.95" customHeight="1">
      <c r="D231" s="4" t="s">
        <v>479</v>
      </c>
      <c r="E231" s="4"/>
      <c r="F231" s="4"/>
      <c r="G231" s="4"/>
      <c r="H231" s="4"/>
      <c r="I231" s="4"/>
      <c r="J231" s="4"/>
      <c r="K231" s="4"/>
      <c r="M231" s="1554" t="str">
        <f>H16</f>
        <v>Transbay 2 Family, L.P.</v>
      </c>
      <c r="N231" s="1554"/>
      <c r="O231" s="1554"/>
      <c r="P231" s="1554"/>
      <c r="Q231" s="1554"/>
      <c r="R231" s="1554"/>
      <c r="S231" s="1554"/>
      <c r="T231" s="1554"/>
      <c r="U231" s="1554"/>
      <c r="V231" s="1554"/>
      <c r="W231" s="1554"/>
      <c r="X231" s="1554"/>
      <c r="Y231" s="1554"/>
      <c r="Z231" s="1554"/>
      <c r="AA231" s="1554"/>
      <c r="AB231" s="1554"/>
      <c r="AC231" s="1554"/>
      <c r="AD231" s="1554"/>
      <c r="AE231" s="1554"/>
      <c r="AF231" s="1554"/>
      <c r="AG231" s="1554"/>
      <c r="AH231" s="1554"/>
      <c r="AI231" s="1554"/>
      <c r="AJ231" s="1554"/>
      <c r="AK231" s="1554"/>
      <c r="BA231" s="3"/>
      <c r="BB231" s="218"/>
      <c r="BG231" s="218"/>
      <c r="BQ231" s="34"/>
    </row>
    <row r="232" spans="1:69" ht="12.95" customHeight="1">
      <c r="D232" s="4" t="s">
        <v>86</v>
      </c>
      <c r="E232" s="4"/>
      <c r="F232" s="4"/>
      <c r="G232" s="4"/>
      <c r="H232" s="4"/>
      <c r="I232" s="4"/>
      <c r="J232" s="4"/>
      <c r="K232" s="4"/>
      <c r="M232" s="1476" t="s">
        <v>2627</v>
      </c>
      <c r="N232" s="1538"/>
      <c r="O232" s="1538"/>
      <c r="P232" s="1538"/>
      <c r="Q232" s="1538"/>
      <c r="R232" s="1538"/>
      <c r="S232" s="1538"/>
      <c r="T232" s="1538"/>
      <c r="U232" s="1538"/>
      <c r="V232" s="1538"/>
      <c r="W232" s="1538"/>
      <c r="X232" s="1538"/>
      <c r="Y232" s="1538"/>
      <c r="Z232" s="1538"/>
      <c r="AA232" s="1538"/>
      <c r="AB232" s="1538"/>
      <c r="AC232" s="1538"/>
      <c r="AD232" s="1538"/>
      <c r="AE232" s="1538"/>
      <c r="AZ232" s="4"/>
      <c r="BA232" s="3"/>
      <c r="BB232" s="219" t="s">
        <v>547</v>
      </c>
      <c r="BG232" s="259">
        <f>IF(AND(AND($M$248="nonprofit",$M$256="nonprofit",$M$264="for profit")),2,0)</f>
        <v>0</v>
      </c>
      <c r="BQ232" s="34"/>
    </row>
    <row r="233" spans="1:69" ht="12.95" customHeight="1">
      <c r="D233" s="4" t="s">
        <v>589</v>
      </c>
      <c r="E233" s="4"/>
      <c r="M233" s="1476" t="s">
        <v>742</v>
      </c>
      <c r="N233" s="1538"/>
      <c r="O233" s="1538"/>
      <c r="P233" s="1538"/>
      <c r="Q233" s="1538"/>
      <c r="R233" s="1538"/>
      <c r="S233" s="1538"/>
      <c r="T233" s="1538"/>
      <c r="V233" s="33" t="s">
        <v>87</v>
      </c>
      <c r="W233" s="1467" t="s">
        <v>2628</v>
      </c>
      <c r="X233" s="1468"/>
      <c r="Y233" s="4" t="s">
        <v>592</v>
      </c>
      <c r="AC233" s="1538">
        <v>94102</v>
      </c>
      <c r="AD233" s="1538"/>
      <c r="AE233" s="1538"/>
      <c r="BB233" s="219" t="s">
        <v>547</v>
      </c>
      <c r="BG233" s="259">
        <f>IF(AND(AND($M$248="nonprofit",$M$256="for profit",$M$264="nonprofit")),2,0)</f>
        <v>0</v>
      </c>
    </row>
    <row r="234" spans="1:69" ht="12.95" customHeight="1">
      <c r="D234" s="4" t="s">
        <v>88</v>
      </c>
      <c r="E234" s="4"/>
      <c r="F234" s="4"/>
      <c r="G234" s="4"/>
      <c r="H234" s="4"/>
      <c r="I234" s="4"/>
      <c r="J234" s="4"/>
      <c r="K234" s="19"/>
      <c r="M234" s="1476" t="s">
        <v>2636</v>
      </c>
      <c r="N234" s="1538"/>
      <c r="O234" s="1538"/>
      <c r="P234" s="1538"/>
      <c r="Q234" s="1538"/>
      <c r="R234" s="1538"/>
      <c r="S234" s="1538"/>
      <c r="T234" s="1538"/>
      <c r="U234" s="1538"/>
      <c r="V234" s="1538"/>
      <c r="W234" s="1538"/>
      <c r="X234" s="1538"/>
      <c r="Y234" s="1538"/>
      <c r="Z234" s="1538"/>
      <c r="AA234" s="1538"/>
      <c r="AB234" s="1538"/>
      <c r="AC234" s="1538"/>
      <c r="AD234" s="1538"/>
      <c r="AE234" s="1538"/>
      <c r="AI234" s="4"/>
      <c r="AJ234" s="4"/>
      <c r="AK234" s="4"/>
      <c r="AL234" s="4"/>
      <c r="AM234" s="4"/>
      <c r="AN234" s="4"/>
      <c r="AO234" s="4"/>
      <c r="AP234" s="4"/>
      <c r="AQ234" s="4"/>
      <c r="AR234" s="4"/>
      <c r="AS234" s="4"/>
      <c r="AT234" s="4"/>
      <c r="AU234" s="4"/>
      <c r="AV234" s="4"/>
      <c r="AW234" s="4"/>
      <c r="AX234" s="4"/>
      <c r="AY234" s="4"/>
      <c r="AZ234" s="4"/>
      <c r="BB234" s="219" t="s">
        <v>547</v>
      </c>
      <c r="BG234" s="258">
        <f>IF(AND(AND($M$248="for profit",$M$256="nonprofit",$M$264="nonprofit")),2,0)</f>
        <v>0</v>
      </c>
      <c r="BO234" s="34"/>
    </row>
    <row r="235" spans="1:69" ht="12.95" customHeight="1">
      <c r="D235" s="4" t="s">
        <v>89</v>
      </c>
      <c r="E235" s="4"/>
      <c r="F235" s="4"/>
      <c r="M235" s="1441">
        <v>4153557118</v>
      </c>
      <c r="N235" s="1441"/>
      <c r="O235" s="1441"/>
      <c r="P235" s="1441"/>
      <c r="Q235" s="1441"/>
      <c r="R235" s="1441"/>
      <c r="S235" s="4" t="s">
        <v>208</v>
      </c>
      <c r="T235" s="4"/>
      <c r="U235" s="1468"/>
      <c r="V235" s="1468"/>
      <c r="W235" s="1468"/>
      <c r="X235" s="4" t="s">
        <v>90</v>
      </c>
      <c r="Z235" s="1441"/>
      <c r="AA235" s="1441"/>
      <c r="AB235" s="1441"/>
      <c r="AC235" s="1441"/>
      <c r="AD235" s="1441"/>
      <c r="AE235" s="1441"/>
      <c r="BB235" s="219"/>
      <c r="BG235" s="218"/>
    </row>
    <row r="236" spans="1:69" ht="12.95" customHeight="1">
      <c r="D236" s="4" t="s">
        <v>91</v>
      </c>
      <c r="E236" s="4"/>
      <c r="F236" s="4"/>
      <c r="M236" s="1471" t="s">
        <v>2770</v>
      </c>
      <c r="N236" s="1471"/>
      <c r="O236" s="1471"/>
      <c r="P236" s="1471"/>
      <c r="Q236" s="1471"/>
      <c r="R236" s="1471"/>
      <c r="S236" s="1471"/>
      <c r="T236" s="1471"/>
      <c r="U236" s="1471"/>
      <c r="V236" s="1471"/>
      <c r="W236" s="1471"/>
      <c r="X236" s="1471"/>
      <c r="Y236" s="1471"/>
      <c r="Z236" s="1471"/>
      <c r="AA236" s="1471"/>
      <c r="AB236" s="1471"/>
      <c r="AC236" s="1471"/>
      <c r="AD236" s="1471"/>
      <c r="AE236" s="1471"/>
      <c r="AF236" s="4"/>
      <c r="AG236" s="4"/>
      <c r="AH236" s="4"/>
      <c r="AI236" s="4"/>
      <c r="AJ236" s="4"/>
      <c r="AK236" s="4"/>
      <c r="AL236" s="4"/>
      <c r="AM236" s="4"/>
      <c r="AN236" s="4"/>
      <c r="AO236" s="4"/>
      <c r="AP236" s="4"/>
      <c r="AQ236" s="4"/>
      <c r="AR236" s="4"/>
      <c r="AS236" s="4"/>
      <c r="AT236" s="4"/>
      <c r="AU236" s="4"/>
      <c r="AV236" s="4"/>
      <c r="AW236" s="4"/>
      <c r="AX236" s="4"/>
      <c r="AY236" s="4"/>
      <c r="AZ236" s="4"/>
      <c r="BB236" s="218" t="s">
        <v>546</v>
      </c>
      <c r="BG236" s="259">
        <f>IF(AND(AND($M$248="nonprofit",$M$256="nonprofit",$M$264="(select one)")),1,0)</f>
        <v>0</v>
      </c>
    </row>
    <row r="237" spans="1:69" ht="12.95" customHeight="1">
      <c r="A237" s="2" t="s">
        <v>595</v>
      </c>
      <c r="C237" s="2" t="s">
        <v>534</v>
      </c>
      <c r="M237" s="1369" t="s">
        <v>379</v>
      </c>
      <c r="N237" s="1369"/>
      <c r="O237" s="1369"/>
      <c r="P237" s="1369"/>
      <c r="Q237" s="1369"/>
      <c r="R237" s="1369"/>
      <c r="S237" s="1369"/>
      <c r="T237" s="1369"/>
      <c r="U237" s="218" t="s">
        <v>939</v>
      </c>
      <c r="V237" s="218"/>
      <c r="W237" s="218"/>
      <c r="X237" s="218"/>
      <c r="Y237" s="218"/>
      <c r="Z237" s="218"/>
      <c r="AA237" s="1545" t="s">
        <v>2631</v>
      </c>
      <c r="AB237" s="1537"/>
      <c r="AC237" s="1537"/>
      <c r="AD237" s="1537"/>
      <c r="AE237" s="1537"/>
      <c r="AF237" s="1537"/>
      <c r="AG237" s="1537"/>
      <c r="AH237" s="1537"/>
      <c r="AI237" s="1537"/>
      <c r="AJ237" s="1537"/>
      <c r="AK237" s="1537"/>
      <c r="AL237" s="3"/>
      <c r="AM237" s="3"/>
      <c r="AN237" s="3"/>
      <c r="AO237" s="3"/>
      <c r="AP237" s="3"/>
      <c r="AQ237" s="3"/>
      <c r="AR237" s="3"/>
      <c r="AS237" s="3"/>
      <c r="AT237" s="3"/>
      <c r="AU237" s="3"/>
      <c r="AV237" s="3"/>
      <c r="AW237" s="3"/>
      <c r="AX237" s="3"/>
      <c r="AY237" s="3"/>
      <c r="BB237" s="218" t="s">
        <v>546</v>
      </c>
      <c r="BG237" s="259">
        <f>IF(AND(AND($M$248="nonprofit",$M$256="nonprofit",$M$264="nonprofit")),1,0)</f>
        <v>0</v>
      </c>
    </row>
    <row r="238" spans="1:69" ht="12.95" customHeight="1">
      <c r="D238" t="s">
        <v>540</v>
      </c>
      <c r="M238" s="1398"/>
      <c r="N238" s="1398"/>
      <c r="O238" s="1398"/>
      <c r="P238" s="1398"/>
      <c r="Q238" s="1398"/>
      <c r="R238" s="1398"/>
      <c r="S238" s="1398"/>
      <c r="T238" s="1398"/>
      <c r="U238" s="1398"/>
      <c r="V238" s="1398"/>
      <c r="W238" s="1398"/>
      <c r="X238" s="1398"/>
      <c r="Y238" s="1398"/>
      <c r="Z238" s="1398"/>
      <c r="AA238" s="1398"/>
      <c r="AB238" s="1398"/>
      <c r="AC238" s="1398"/>
      <c r="AD238" s="1398"/>
      <c r="AE238" s="1398"/>
      <c r="AF238" s="4"/>
      <c r="AG238" s="4"/>
      <c r="AH238" s="4"/>
      <c r="AI238" s="4"/>
      <c r="AJ238" s="4"/>
      <c r="AK238" s="3"/>
      <c r="AL238" s="3"/>
      <c r="AM238" s="3"/>
      <c r="AN238" s="3"/>
      <c r="AO238" s="3"/>
      <c r="AP238" s="3"/>
      <c r="AQ238" s="3"/>
      <c r="AR238" s="3"/>
      <c r="AS238" s="3"/>
      <c r="AT238" s="3"/>
      <c r="AU238" s="3"/>
      <c r="AV238" s="3"/>
      <c r="AW238" s="3"/>
      <c r="AX238" s="3"/>
      <c r="AY238" s="3"/>
      <c r="BB238" s="218" t="s">
        <v>546</v>
      </c>
      <c r="BG238" s="259">
        <f>IF(AND(AND($M$248="nonprofit",$M$256="(select one)",$M$264="(select one)")),1,0)</f>
        <v>1</v>
      </c>
      <c r="BN238" s="34"/>
    </row>
    <row r="239" spans="1:69" ht="12.95" customHeight="1">
      <c r="D239" s="4"/>
      <c r="BB239" s="218" t="s">
        <v>906</v>
      </c>
      <c r="BG239" s="259">
        <f>IF(AND(AND($M$248="for profit",$M$256="for profit",$M$264="(select one)")),3,0)</f>
        <v>0</v>
      </c>
    </row>
    <row r="240" spans="1:69" ht="12.95" customHeight="1">
      <c r="A240" s="2" t="s">
        <v>598</v>
      </c>
      <c r="C240" s="2" t="s">
        <v>1325</v>
      </c>
      <c r="D240" s="4"/>
      <c r="L240" s="8"/>
      <c r="M240" s="8"/>
      <c r="N240" s="8"/>
      <c r="BB240" s="218" t="s">
        <v>906</v>
      </c>
      <c r="BG240" s="259">
        <f>IF(AND(AND($M$248="for profit",$M$256="for profit",$M$264="for profit")),3,0)</f>
        <v>0</v>
      </c>
    </row>
    <row r="241" spans="1:71" ht="12.95"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906</v>
      </c>
      <c r="BG241" s="259">
        <f>IF(AND(AND($M$248="for profit",$M$256="(select one)",$M$264="(select one)")),3,0)</f>
        <v>0</v>
      </c>
    </row>
    <row r="242" spans="1:71" ht="12.95" customHeight="1">
      <c r="A242" s="19"/>
      <c r="B242" s="4"/>
      <c r="C242" s="56" t="s">
        <v>482</v>
      </c>
      <c r="D242" s="4" t="s">
        <v>541</v>
      </c>
      <c r="E242" s="4"/>
      <c r="F242" s="4"/>
      <c r="G242" s="4"/>
      <c r="H242" s="4"/>
      <c r="I242" s="4"/>
      <c r="J242" s="4"/>
      <c r="K242" s="4"/>
      <c r="L242" s="4"/>
      <c r="M242" s="1542" t="s">
        <v>2632</v>
      </c>
      <c r="N242" s="1543"/>
      <c r="O242" s="1543"/>
      <c r="P242" s="1543"/>
      <c r="Q242" s="1543"/>
      <c r="R242" s="1543"/>
      <c r="S242" s="1543"/>
      <c r="T242" s="1543"/>
      <c r="U242" s="1543"/>
      <c r="V242" s="1543"/>
      <c r="W242" s="1543"/>
      <c r="X242" s="1543"/>
      <c r="Y242" s="1543"/>
      <c r="Z242" s="1543"/>
      <c r="AA242" s="1543"/>
      <c r="AB242" s="1543"/>
      <c r="AC242" s="1543"/>
      <c r="AD242" s="1543"/>
      <c r="AE242" s="1543"/>
      <c r="AF242" s="1543" t="s">
        <v>2633</v>
      </c>
      <c r="AG242" s="1543"/>
      <c r="AH242" s="1543"/>
      <c r="AI242" s="1543"/>
      <c r="AJ242" s="1543"/>
      <c r="AK242" s="1543"/>
      <c r="BO242" s="34"/>
      <c r="BP242" s="4"/>
      <c r="BQ242" s="4"/>
      <c r="BR242" s="4"/>
      <c r="BS242" s="4"/>
    </row>
    <row r="243" spans="1:71" ht="12.95" customHeight="1">
      <c r="A243" s="19"/>
      <c r="B243" s="4"/>
      <c r="C243" s="4"/>
      <c r="D243" s="4" t="s">
        <v>86</v>
      </c>
      <c r="E243" s="4"/>
      <c r="F243" s="4"/>
      <c r="G243" s="4"/>
      <c r="H243" s="4"/>
      <c r="I243" s="4"/>
      <c r="J243" s="4"/>
      <c r="K243" s="4"/>
      <c r="L243" s="4"/>
      <c r="M243" s="1476" t="s">
        <v>2627</v>
      </c>
      <c r="N243" s="1538"/>
      <c r="O243" s="1538"/>
      <c r="P243" s="1538"/>
      <c r="Q243" s="1538"/>
      <c r="R243" s="1538"/>
      <c r="S243" s="1538"/>
      <c r="T243" s="1538"/>
      <c r="U243" s="1538"/>
      <c r="V243" s="1538"/>
      <c r="W243" s="1538"/>
      <c r="X243" s="1538"/>
      <c r="Y243" s="1538"/>
      <c r="Z243" s="1538"/>
      <c r="AA243" s="1538"/>
      <c r="AB243" s="1538"/>
      <c r="AC243" s="1538"/>
      <c r="AD243" s="1538"/>
      <c r="AE243" s="1538"/>
      <c r="AF243" s="3" t="s">
        <v>1321</v>
      </c>
      <c r="AL243" s="4"/>
      <c r="AM243" s="4"/>
      <c r="AN243" s="4"/>
      <c r="AO243" s="4"/>
      <c r="AP243" s="4"/>
      <c r="AQ243" s="4"/>
      <c r="AR243" s="4"/>
      <c r="AS243" s="4"/>
      <c r="AT243" s="4"/>
      <c r="AU243" s="4"/>
      <c r="AV243" s="4"/>
      <c r="AW243" s="4"/>
      <c r="AX243" s="4"/>
      <c r="AY243" s="4"/>
      <c r="BG243">
        <f>SUM(BG226:BG241)</f>
        <v>1</v>
      </c>
    </row>
    <row r="244" spans="1:71" ht="12.95" customHeight="1">
      <c r="A244" s="19"/>
      <c r="B244" s="4"/>
      <c r="C244" s="4"/>
      <c r="D244" s="4" t="s">
        <v>589</v>
      </c>
      <c r="E244" s="4"/>
      <c r="M244" s="1476" t="s">
        <v>742</v>
      </c>
      <c r="N244" s="1538"/>
      <c r="O244" s="1538"/>
      <c r="P244" s="1538"/>
      <c r="Q244" s="1538"/>
      <c r="R244" s="1538"/>
      <c r="S244" s="1538"/>
      <c r="T244" s="1538"/>
      <c r="V244" s="33" t="s">
        <v>87</v>
      </c>
      <c r="W244" s="1467" t="s">
        <v>2628</v>
      </c>
      <c r="X244" s="1468"/>
      <c r="Y244" s="4" t="s">
        <v>592</v>
      </c>
      <c r="AC244" s="1538">
        <v>94102</v>
      </c>
      <c r="AD244" s="1538"/>
      <c r="AE244" s="1538"/>
      <c r="AF244" s="3" t="s">
        <v>1322</v>
      </c>
      <c r="BB244" t="s">
        <v>309</v>
      </c>
      <c r="BG244">
        <v>1</v>
      </c>
      <c r="BH244" t="s">
        <v>543</v>
      </c>
    </row>
    <row r="245" spans="1:71" ht="12.95" customHeight="1">
      <c r="A245" s="19"/>
      <c r="B245" s="4"/>
      <c r="C245" s="4"/>
      <c r="D245" s="4" t="s">
        <v>88</v>
      </c>
      <c r="E245" s="4"/>
      <c r="F245" s="4"/>
      <c r="G245" s="4"/>
      <c r="H245" s="4"/>
      <c r="I245" s="4"/>
      <c r="J245" s="4"/>
      <c r="K245" s="4"/>
      <c r="L245" s="19"/>
      <c r="M245" s="1476" t="s">
        <v>2629</v>
      </c>
      <c r="N245" s="1538"/>
      <c r="O245" s="1538"/>
      <c r="P245" s="1538"/>
      <c r="Q245" s="1538"/>
      <c r="R245" s="1538"/>
      <c r="S245" s="1538"/>
      <c r="T245" s="1538"/>
      <c r="U245" s="1538"/>
      <c r="V245" s="1538"/>
      <c r="W245" s="1538"/>
      <c r="X245" s="1538"/>
      <c r="Y245" s="1538"/>
      <c r="Z245" s="1538"/>
      <c r="AA245" s="1538"/>
      <c r="AB245" s="1538"/>
      <c r="AC245" s="1538"/>
      <c r="AD245" s="1538"/>
      <c r="AE245" s="1538"/>
      <c r="AH245" s="1439">
        <v>0.01</v>
      </c>
      <c r="AI245" s="1439"/>
      <c r="AJ245" s="1439"/>
      <c r="AK245" s="1439"/>
      <c r="AL245" s="4"/>
      <c r="AM245" s="4"/>
      <c r="AN245" s="4"/>
      <c r="AO245" s="4"/>
      <c r="AP245" s="4"/>
      <c r="AQ245" s="4"/>
      <c r="AR245" s="4"/>
      <c r="AS245" s="4"/>
      <c r="AT245" s="4"/>
      <c r="AU245" s="4"/>
      <c r="AV245" s="4"/>
      <c r="AW245" s="4"/>
      <c r="AX245" s="4"/>
      <c r="AY245" s="4"/>
      <c r="BB245" s="4" t="s">
        <v>282</v>
      </c>
      <c r="BG245">
        <v>2</v>
      </c>
      <c r="BH245" t="s">
        <v>575</v>
      </c>
      <c r="BO245" s="257" t="str">
        <f>VLOOKUP(BG243,BG244:BH246,2,FALSE)</f>
        <v>Nonprofit</v>
      </c>
    </row>
    <row r="246" spans="1:71" ht="12.95" customHeight="1">
      <c r="A246" s="19"/>
      <c r="B246" s="4"/>
      <c r="C246" s="4"/>
      <c r="D246" s="4" t="s">
        <v>89</v>
      </c>
      <c r="E246" s="4"/>
      <c r="F246" s="4"/>
      <c r="M246" s="1441">
        <v>4153557152</v>
      </c>
      <c r="N246" s="1441"/>
      <c r="O246" s="1441"/>
      <c r="P246" s="1441"/>
      <c r="Q246" s="1441"/>
      <c r="R246" s="1441"/>
      <c r="S246" s="4" t="s">
        <v>208</v>
      </c>
      <c r="T246" s="4"/>
      <c r="U246" s="1468"/>
      <c r="V246" s="1468"/>
      <c r="W246" s="1468"/>
      <c r="X246" s="4" t="s">
        <v>90</v>
      </c>
      <c r="Z246" s="1441"/>
      <c r="AA246" s="1441"/>
      <c r="AB246" s="1441"/>
      <c r="AC246" s="1441"/>
      <c r="AD246" s="1441"/>
      <c r="AE246" s="1441"/>
      <c r="BB246" s="4" t="s">
        <v>174</v>
      </c>
      <c r="BG246">
        <v>3</v>
      </c>
      <c r="BH246" t="s">
        <v>545</v>
      </c>
      <c r="BN246" s="34"/>
    </row>
    <row r="247" spans="1:71" ht="12.95" customHeight="1">
      <c r="A247" s="19"/>
      <c r="B247" s="4"/>
      <c r="C247" s="4"/>
      <c r="D247" s="4" t="s">
        <v>91</v>
      </c>
      <c r="E247" s="4"/>
      <c r="F247" s="4"/>
      <c r="M247" s="1471" t="s">
        <v>2630</v>
      </c>
      <c r="N247" s="1471"/>
      <c r="O247" s="1471"/>
      <c r="P247" s="1471"/>
      <c r="Q247" s="1471"/>
      <c r="R247" s="1471"/>
      <c r="S247" s="1471"/>
      <c r="T247" s="1471"/>
      <c r="U247" s="1471"/>
      <c r="V247" s="1471"/>
      <c r="W247" s="1471"/>
      <c r="X247" s="1471"/>
      <c r="Y247" s="1471"/>
      <c r="Z247" s="1471"/>
      <c r="AA247" s="1471"/>
      <c r="AB247" s="1471"/>
      <c r="AC247" s="1471"/>
      <c r="AD247" s="1471"/>
      <c r="AE247" s="1471"/>
      <c r="AG247" s="4"/>
      <c r="AH247" s="4"/>
      <c r="AI247" s="4"/>
      <c r="AJ247" s="4"/>
      <c r="AK247" s="4"/>
      <c r="AL247" s="4"/>
      <c r="AM247" s="4"/>
      <c r="AN247" s="4"/>
      <c r="AO247" s="4"/>
      <c r="AP247" s="4"/>
      <c r="AQ247" s="4"/>
      <c r="AR247" s="4"/>
      <c r="AS247" s="4"/>
      <c r="AT247" s="4"/>
      <c r="AU247" s="4"/>
      <c r="AV247" s="4"/>
      <c r="AW247" s="4"/>
      <c r="AX247" s="4"/>
      <c r="AY247" s="4"/>
      <c r="BN247" s="34"/>
    </row>
    <row r="248" spans="1:71" ht="12.95" customHeight="1">
      <c r="A248" s="13"/>
      <c r="B248" s="4"/>
      <c r="C248" s="56"/>
      <c r="D248" s="4" t="s">
        <v>544</v>
      </c>
      <c r="E248" s="4"/>
      <c r="F248" s="4"/>
      <c r="G248" s="4"/>
      <c r="H248" s="4"/>
      <c r="I248" s="4"/>
      <c r="J248" s="4"/>
      <c r="K248" s="4"/>
      <c r="L248" s="4"/>
      <c r="M248" s="1369" t="s">
        <v>543</v>
      </c>
      <c r="N248" s="1369"/>
      <c r="O248" s="1369"/>
      <c r="P248" s="1369"/>
      <c r="Q248" s="1369"/>
      <c r="R248" s="1369"/>
      <c r="S248" s="1369"/>
      <c r="T248" s="1369"/>
      <c r="U248" s="218" t="s">
        <v>939</v>
      </c>
      <c r="V248" s="218"/>
      <c r="W248" s="218"/>
      <c r="X248" s="218"/>
      <c r="Y248" s="218"/>
      <c r="Z248" s="218"/>
      <c r="AA248" s="1545" t="s">
        <v>2631</v>
      </c>
      <c r="AB248" s="1537"/>
      <c r="AC248" s="1537"/>
      <c r="AD248" s="1537"/>
      <c r="AE248" s="1537"/>
      <c r="AF248" s="1537"/>
      <c r="AG248" s="1537"/>
      <c r="AH248" s="1537"/>
      <c r="AI248" s="1537"/>
      <c r="AJ248" s="1537"/>
      <c r="AK248" s="1537"/>
      <c r="BN248" s="34"/>
    </row>
    <row r="249" spans="1:71" ht="12.95" customHeight="1">
      <c r="A249" s="19"/>
      <c r="B249" s="4"/>
      <c r="C249" s="4"/>
      <c r="D249" s="4"/>
      <c r="E249" s="4"/>
      <c r="F249" s="4"/>
      <c r="G249" s="4"/>
      <c r="H249" s="4"/>
      <c r="I249" s="4"/>
      <c r="J249" s="4"/>
      <c r="K249" s="4"/>
      <c r="L249" s="4"/>
      <c r="AG249" s="4"/>
      <c r="AH249" s="4"/>
      <c r="AI249" s="4"/>
      <c r="AJ249" s="4"/>
      <c r="BN249" s="34"/>
    </row>
    <row r="250" spans="1:71" ht="12.95" customHeight="1">
      <c r="A250" s="2"/>
      <c r="B250" s="4"/>
      <c r="C250" s="56" t="s">
        <v>99</v>
      </c>
      <c r="D250" s="4" t="s">
        <v>995</v>
      </c>
      <c r="E250" s="4"/>
      <c r="F250" s="4"/>
      <c r="G250" s="4"/>
      <c r="H250" s="4"/>
      <c r="I250" s="4"/>
      <c r="J250" s="4"/>
      <c r="K250" s="4"/>
      <c r="L250" s="4"/>
      <c r="M250" s="1543"/>
      <c r="N250" s="1543"/>
      <c r="O250" s="1543"/>
      <c r="P250" s="1543"/>
      <c r="Q250" s="1543"/>
      <c r="R250" s="1543"/>
      <c r="S250" s="1543"/>
      <c r="T250" s="1543"/>
      <c r="U250" s="1543"/>
      <c r="V250" s="1543"/>
      <c r="W250" s="1543"/>
      <c r="X250" s="1543"/>
      <c r="Y250" s="1543"/>
      <c r="Z250" s="1543"/>
      <c r="AA250" s="1543"/>
      <c r="AB250" s="1543"/>
      <c r="AC250" s="1543"/>
      <c r="AD250" s="1543"/>
      <c r="AE250" s="1543"/>
      <c r="AF250" s="1543" t="s">
        <v>309</v>
      </c>
      <c r="AG250" s="1543"/>
      <c r="AH250" s="1543"/>
      <c r="AI250" s="1543"/>
      <c r="AJ250" s="1543"/>
      <c r="AK250" s="1543"/>
      <c r="BN250" s="34"/>
    </row>
    <row r="251" spans="1:71" ht="12.95" customHeight="1">
      <c r="A251" s="19"/>
      <c r="B251" s="4"/>
      <c r="C251" s="4"/>
      <c r="D251" s="4" t="s">
        <v>86</v>
      </c>
      <c r="E251" s="4"/>
      <c r="F251" s="4"/>
      <c r="G251" s="4"/>
      <c r="H251" s="4"/>
      <c r="I251" s="4"/>
      <c r="J251" s="4"/>
      <c r="K251" s="4"/>
      <c r="L251" s="4"/>
      <c r="M251" s="1538"/>
      <c r="N251" s="1538"/>
      <c r="O251" s="1538"/>
      <c r="P251" s="1538"/>
      <c r="Q251" s="1538"/>
      <c r="R251" s="1538"/>
      <c r="S251" s="1538"/>
      <c r="T251" s="1538"/>
      <c r="U251" s="1538"/>
      <c r="V251" s="1538"/>
      <c r="W251" s="1538"/>
      <c r="X251" s="1538"/>
      <c r="Y251" s="1538"/>
      <c r="Z251" s="1538"/>
      <c r="AA251" s="1538"/>
      <c r="AB251" s="1538"/>
      <c r="AC251" s="1538"/>
      <c r="AD251" s="1538"/>
      <c r="AE251" s="1538"/>
      <c r="AF251" s="3" t="s">
        <v>1321</v>
      </c>
      <c r="AL251" s="4"/>
      <c r="AM251" s="4"/>
      <c r="AN251" s="4"/>
      <c r="AO251" s="4"/>
      <c r="AP251" s="4"/>
      <c r="AQ251" s="4"/>
      <c r="AR251" s="4"/>
      <c r="AS251" s="4"/>
      <c r="AT251" s="4"/>
      <c r="AU251" s="4"/>
      <c r="AV251" s="4"/>
      <c r="AW251" s="4"/>
      <c r="AX251" s="4"/>
      <c r="AY251" s="4"/>
      <c r="BN251" s="34"/>
    </row>
    <row r="252" spans="1:71" ht="12.95" customHeight="1">
      <c r="A252" s="19"/>
      <c r="B252" s="4"/>
      <c r="C252" s="4"/>
      <c r="D252" s="4" t="s">
        <v>589</v>
      </c>
      <c r="E252" s="4"/>
      <c r="M252" s="1538"/>
      <c r="N252" s="1538"/>
      <c r="O252" s="1538"/>
      <c r="P252" s="1538"/>
      <c r="Q252" s="1538"/>
      <c r="R252" s="1538"/>
      <c r="S252" s="1538"/>
      <c r="T252" s="1538"/>
      <c r="V252" s="33" t="s">
        <v>87</v>
      </c>
      <c r="W252" s="1468"/>
      <c r="X252" s="1468"/>
      <c r="Y252" s="4" t="s">
        <v>592</v>
      </c>
      <c r="AC252" s="1538"/>
      <c r="AD252" s="1538"/>
      <c r="AE252" s="1538"/>
      <c r="AF252" s="3" t="s">
        <v>1322</v>
      </c>
      <c r="BN252" s="34"/>
    </row>
    <row r="253" spans="1:71" ht="12.95" customHeight="1">
      <c r="A253" s="19"/>
      <c r="B253" s="4"/>
      <c r="C253" s="4"/>
      <c r="D253" s="4" t="s">
        <v>88</v>
      </c>
      <c r="E253" s="4"/>
      <c r="F253" s="4"/>
      <c r="G253" s="4"/>
      <c r="H253" s="4"/>
      <c r="I253" s="4"/>
      <c r="J253" s="4"/>
      <c r="K253" s="4"/>
      <c r="L253" s="19"/>
      <c r="M253" s="1538"/>
      <c r="N253" s="1538"/>
      <c r="O253" s="1538"/>
      <c r="P253" s="1538"/>
      <c r="Q253" s="1538"/>
      <c r="R253" s="1538"/>
      <c r="S253" s="1538"/>
      <c r="T253" s="1538"/>
      <c r="U253" s="1538"/>
      <c r="V253" s="1538"/>
      <c r="W253" s="1538"/>
      <c r="X253" s="1538"/>
      <c r="Y253" s="1538"/>
      <c r="Z253" s="1538"/>
      <c r="AA253" s="1538"/>
      <c r="AB253" s="1538"/>
      <c r="AC253" s="1538"/>
      <c r="AD253" s="1538"/>
      <c r="AE253" s="1538"/>
      <c r="AH253" s="1439"/>
      <c r="AI253" s="1439"/>
      <c r="AJ253" s="1439"/>
      <c r="AK253" s="1439"/>
      <c r="AL253" s="4"/>
      <c r="AM253" s="4"/>
      <c r="AN253" s="4"/>
      <c r="AO253" s="4"/>
      <c r="AP253" s="4"/>
      <c r="AQ253" s="4"/>
      <c r="AR253" s="4"/>
      <c r="AS253" s="4"/>
      <c r="AT253" s="4"/>
      <c r="AU253" s="4"/>
      <c r="AV253" s="4"/>
      <c r="AW253" s="4"/>
      <c r="AX253" s="4"/>
      <c r="AY253" s="4"/>
      <c r="BN253" s="34"/>
    </row>
    <row r="254" spans="1:71" ht="12.95" customHeight="1">
      <c r="A254" s="19"/>
      <c r="B254" s="4"/>
      <c r="C254" s="4"/>
      <c r="D254" s="4" t="s">
        <v>89</v>
      </c>
      <c r="E254" s="4"/>
      <c r="F254" s="4"/>
      <c r="M254" s="1441"/>
      <c r="N254" s="1441"/>
      <c r="O254" s="1441"/>
      <c r="P254" s="1441"/>
      <c r="Q254" s="1441"/>
      <c r="R254" s="1441"/>
      <c r="S254" s="4" t="s">
        <v>208</v>
      </c>
      <c r="T254" s="4"/>
      <c r="U254" s="1468"/>
      <c r="V254" s="1468"/>
      <c r="W254" s="1468"/>
      <c r="X254" s="4" t="s">
        <v>90</v>
      </c>
      <c r="Z254" s="1441"/>
      <c r="AA254" s="1441"/>
      <c r="AB254" s="1441"/>
      <c r="AC254" s="1441"/>
      <c r="AD254" s="1441"/>
      <c r="AE254" s="1441"/>
    </row>
    <row r="255" spans="1:71" ht="12.95" customHeight="1">
      <c r="A255" s="19"/>
      <c r="B255" s="4"/>
      <c r="C255" s="4"/>
      <c r="D255" s="4" t="s">
        <v>91</v>
      </c>
      <c r="E255" s="4"/>
      <c r="F255" s="4"/>
      <c r="M255" s="1471"/>
      <c r="N255" s="1471"/>
      <c r="O255" s="1471"/>
      <c r="P255" s="1471"/>
      <c r="Q255" s="1471"/>
      <c r="R255" s="1471"/>
      <c r="S255" s="1471"/>
      <c r="T255" s="1471"/>
      <c r="U255" s="1471"/>
      <c r="V255" s="1471"/>
      <c r="W255" s="1471"/>
      <c r="X255" s="1471"/>
      <c r="Y255" s="1471"/>
      <c r="Z255" s="1471"/>
      <c r="AA255" s="1471"/>
      <c r="AB255" s="1471"/>
      <c r="AC255" s="1471"/>
      <c r="AD255" s="1471"/>
      <c r="AE255" s="1471"/>
      <c r="AG255" s="4"/>
      <c r="AH255" s="4"/>
      <c r="AI255" s="4"/>
      <c r="AJ255" s="4"/>
      <c r="AK255" s="4"/>
      <c r="AL255" s="4"/>
      <c r="AM255" s="4"/>
      <c r="AN255" s="4"/>
      <c r="AO255" s="4"/>
      <c r="AP255" s="4"/>
      <c r="AQ255" s="4"/>
      <c r="AR255" s="4"/>
      <c r="AS255" s="4"/>
      <c r="AT255" s="4"/>
      <c r="AU255" s="4"/>
      <c r="AV255" s="4"/>
      <c r="AW255" s="4"/>
      <c r="AX255" s="4"/>
      <c r="AY255" s="4"/>
      <c r="BN255" s="34"/>
    </row>
    <row r="256" spans="1:71" ht="12.95" customHeight="1">
      <c r="A256" s="13"/>
      <c r="B256" s="4"/>
      <c r="C256" s="56"/>
      <c r="D256" s="4" t="s">
        <v>544</v>
      </c>
      <c r="E256" s="4"/>
      <c r="F256" s="4"/>
      <c r="G256" s="4"/>
      <c r="H256" s="4"/>
      <c r="I256" s="4"/>
      <c r="J256" s="4"/>
      <c r="K256" s="4"/>
      <c r="L256" s="4"/>
      <c r="M256" s="1369" t="s">
        <v>309</v>
      </c>
      <c r="N256" s="1369"/>
      <c r="O256" s="1369"/>
      <c r="P256" s="1369"/>
      <c r="Q256" s="1369"/>
      <c r="R256" s="1369"/>
      <c r="S256" s="1369"/>
      <c r="T256" s="1369"/>
      <c r="U256" s="218" t="s">
        <v>939</v>
      </c>
      <c r="V256" s="218"/>
      <c r="W256" s="218"/>
      <c r="X256" s="218"/>
      <c r="Y256" s="218"/>
      <c r="Z256" s="218"/>
      <c r="AA256" s="1537"/>
      <c r="AB256" s="1537"/>
      <c r="AC256" s="1537"/>
      <c r="AD256" s="1537"/>
      <c r="AE256" s="1537"/>
      <c r="AF256" s="1537"/>
      <c r="AG256" s="1537"/>
      <c r="AH256" s="1537"/>
      <c r="AI256" s="1537"/>
      <c r="AJ256" s="1537"/>
      <c r="AK256" s="1537"/>
      <c r="AL256" s="3"/>
      <c r="AM256" s="3"/>
      <c r="AN256" s="3"/>
      <c r="AO256" s="3"/>
      <c r="AP256" s="3"/>
      <c r="AQ256" s="3"/>
      <c r="AR256" s="3"/>
      <c r="AS256" s="3"/>
      <c r="AT256" s="3"/>
      <c r="AU256" s="3"/>
      <c r="AV256" s="3"/>
      <c r="AW256" s="3"/>
      <c r="AX256" s="3"/>
      <c r="AY256" s="3"/>
      <c r="BN256" s="34"/>
    </row>
    <row r="257" spans="1:66" ht="12.9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95" customHeight="1">
      <c r="A258" s="13"/>
      <c r="B258" s="4"/>
      <c r="C258" s="56" t="s">
        <v>905</v>
      </c>
      <c r="D258" s="4" t="s">
        <v>541</v>
      </c>
      <c r="E258" s="4"/>
      <c r="F258" s="4"/>
      <c r="G258" s="4"/>
      <c r="H258" s="4"/>
      <c r="I258" s="4"/>
      <c r="J258" s="4"/>
      <c r="K258" s="4"/>
      <c r="L258" s="4"/>
      <c r="M258" s="1543"/>
      <c r="N258" s="1543"/>
      <c r="O258" s="1543"/>
      <c r="P258" s="1543"/>
      <c r="Q258" s="1543"/>
      <c r="R258" s="1543"/>
      <c r="S258" s="1543"/>
      <c r="T258" s="1543"/>
      <c r="U258" s="1543"/>
      <c r="V258" s="1543"/>
      <c r="W258" s="1543"/>
      <c r="X258" s="1543"/>
      <c r="Y258" s="1543"/>
      <c r="Z258" s="1543"/>
      <c r="AA258" s="1543"/>
      <c r="AB258" s="1543"/>
      <c r="AC258" s="1543"/>
      <c r="AD258" s="1543"/>
      <c r="AE258" s="1543"/>
      <c r="AF258" s="1543" t="s">
        <v>309</v>
      </c>
      <c r="AG258" s="1543"/>
      <c r="AH258" s="1543"/>
      <c r="AI258" s="1543"/>
      <c r="AJ258" s="1543"/>
      <c r="AK258" s="1543"/>
      <c r="AL258" s="3"/>
      <c r="AM258" s="3"/>
      <c r="AN258" s="3"/>
      <c r="AO258" s="3"/>
      <c r="AP258" s="3"/>
      <c r="AQ258" s="3"/>
      <c r="AR258" s="3"/>
      <c r="AS258" s="3"/>
      <c r="AT258" s="3"/>
      <c r="AU258" s="3"/>
      <c r="AV258" s="3"/>
      <c r="AW258" s="3"/>
      <c r="AX258" s="3"/>
      <c r="AY258" s="3"/>
      <c r="BN258" s="34"/>
    </row>
    <row r="259" spans="1:66" ht="12.95" customHeight="1">
      <c r="A259" s="13"/>
      <c r="B259" s="4"/>
      <c r="C259" s="4"/>
      <c r="D259" s="4" t="s">
        <v>86</v>
      </c>
      <c r="E259" s="4"/>
      <c r="F259" s="4"/>
      <c r="G259" s="4"/>
      <c r="H259" s="4"/>
      <c r="I259" s="4"/>
      <c r="J259" s="4"/>
      <c r="K259" s="4"/>
      <c r="L259" s="4"/>
      <c r="M259" s="1538"/>
      <c r="N259" s="1538"/>
      <c r="O259" s="1538"/>
      <c r="P259" s="1538"/>
      <c r="Q259" s="1538"/>
      <c r="R259" s="1538"/>
      <c r="S259" s="1538"/>
      <c r="T259" s="1538"/>
      <c r="U259" s="1538"/>
      <c r="V259" s="1538"/>
      <c r="W259" s="1538"/>
      <c r="X259" s="1538"/>
      <c r="Y259" s="1538"/>
      <c r="Z259" s="1538"/>
      <c r="AA259" s="1538"/>
      <c r="AB259" s="1538"/>
      <c r="AC259" s="1538"/>
      <c r="AD259" s="1538"/>
      <c r="AE259" s="1538"/>
      <c r="AF259" s="3" t="s">
        <v>1321</v>
      </c>
      <c r="AL259" s="3"/>
      <c r="AM259" s="3"/>
      <c r="AN259" s="3"/>
      <c r="AO259" s="3"/>
      <c r="AP259" s="3"/>
      <c r="AQ259" s="3"/>
      <c r="AR259" s="3"/>
      <c r="AS259" s="3"/>
      <c r="AT259" s="3"/>
      <c r="AU259" s="3"/>
      <c r="AV259" s="3"/>
      <c r="AW259" s="3"/>
      <c r="AX259" s="3"/>
      <c r="AY259" s="3"/>
      <c r="BN259" s="34"/>
    </row>
    <row r="260" spans="1:66" ht="12.95" customHeight="1">
      <c r="A260" s="13"/>
      <c r="B260" s="4"/>
      <c r="C260" s="4"/>
      <c r="D260" s="4" t="s">
        <v>589</v>
      </c>
      <c r="E260" s="4"/>
      <c r="M260" s="1538"/>
      <c r="N260" s="1538"/>
      <c r="O260" s="1538"/>
      <c r="P260" s="1538"/>
      <c r="Q260" s="1538"/>
      <c r="R260" s="1538"/>
      <c r="S260" s="1538"/>
      <c r="T260" s="1538"/>
      <c r="V260" s="33" t="s">
        <v>87</v>
      </c>
      <c r="W260" s="1468"/>
      <c r="X260" s="1468"/>
      <c r="Y260" s="4" t="s">
        <v>592</v>
      </c>
      <c r="AC260" s="1538"/>
      <c r="AD260" s="1538"/>
      <c r="AE260" s="1538"/>
      <c r="AF260" s="3" t="s">
        <v>1322</v>
      </c>
      <c r="AL260" s="3"/>
      <c r="AM260" s="3"/>
      <c r="AN260" s="3"/>
      <c r="AO260" s="3"/>
      <c r="AP260" s="3"/>
      <c r="AQ260" s="3"/>
      <c r="AR260" s="3"/>
      <c r="AS260" s="3"/>
      <c r="AT260" s="3"/>
      <c r="AU260" s="3"/>
      <c r="AV260" s="3"/>
      <c r="AW260" s="3"/>
      <c r="AX260" s="3"/>
      <c r="AY260" s="3"/>
      <c r="BN260" s="34"/>
    </row>
    <row r="261" spans="1:66" ht="12.95" customHeight="1">
      <c r="A261" s="13"/>
      <c r="B261" s="4"/>
      <c r="C261" s="4"/>
      <c r="D261" s="4" t="s">
        <v>88</v>
      </c>
      <c r="E261" s="4"/>
      <c r="F261" s="4"/>
      <c r="G261" s="4"/>
      <c r="H261" s="4"/>
      <c r="I261" s="4"/>
      <c r="J261" s="4"/>
      <c r="K261" s="4"/>
      <c r="L261" s="19"/>
      <c r="M261" s="1538"/>
      <c r="N261" s="1538"/>
      <c r="O261" s="1538"/>
      <c r="P261" s="1538"/>
      <c r="Q261" s="1538"/>
      <c r="R261" s="1538"/>
      <c r="S261" s="1538"/>
      <c r="T261" s="1538"/>
      <c r="U261" s="1538"/>
      <c r="V261" s="1538"/>
      <c r="W261" s="1538"/>
      <c r="X261" s="1538"/>
      <c r="Y261" s="1538"/>
      <c r="Z261" s="1538"/>
      <c r="AA261" s="1538"/>
      <c r="AB261" s="1538"/>
      <c r="AC261" s="1538"/>
      <c r="AD261" s="1538"/>
      <c r="AE261" s="1538"/>
      <c r="AH261" s="1439"/>
      <c r="AI261" s="1439"/>
      <c r="AJ261" s="1439"/>
      <c r="AK261" s="1439"/>
      <c r="AL261" s="3"/>
      <c r="AM261" s="3"/>
      <c r="AN261" s="3"/>
      <c r="AO261" s="3"/>
      <c r="AP261" s="3"/>
      <c r="AQ261" s="3"/>
      <c r="AR261" s="3"/>
      <c r="AS261" s="3"/>
      <c r="AT261" s="3"/>
      <c r="AU261" s="3"/>
      <c r="AV261" s="3"/>
      <c r="AW261" s="3"/>
      <c r="AX261" s="3"/>
      <c r="AY261" s="3"/>
      <c r="BN261" s="34"/>
    </row>
    <row r="262" spans="1:66" ht="12.95" customHeight="1">
      <c r="A262" s="13"/>
      <c r="B262" s="4"/>
      <c r="C262" s="4"/>
      <c r="D262" s="4" t="s">
        <v>89</v>
      </c>
      <c r="E262" s="4"/>
      <c r="F262" s="4"/>
      <c r="M262" s="1441"/>
      <c r="N262" s="1441"/>
      <c r="O262" s="1441"/>
      <c r="P262" s="1441"/>
      <c r="Q262" s="1441"/>
      <c r="R262" s="1441"/>
      <c r="S262" s="4" t="s">
        <v>208</v>
      </c>
      <c r="T262" s="4"/>
      <c r="U262" s="1468"/>
      <c r="V262" s="1468"/>
      <c r="W262" s="1468"/>
      <c r="X262" s="4" t="s">
        <v>90</v>
      </c>
      <c r="Z262" s="1441"/>
      <c r="AA262" s="1441"/>
      <c r="AB262" s="1441"/>
      <c r="AC262" s="1441"/>
      <c r="AD262" s="1441"/>
      <c r="AE262" s="1441"/>
      <c r="AL262" s="3"/>
      <c r="AM262" s="3"/>
      <c r="AN262" s="3"/>
      <c r="AO262" s="3"/>
      <c r="AP262" s="3"/>
      <c r="AQ262" s="3"/>
      <c r="AR262" s="3"/>
      <c r="AS262" s="3"/>
      <c r="AT262" s="3"/>
      <c r="AU262" s="3"/>
      <c r="AV262" s="3"/>
      <c r="AW262" s="3"/>
      <c r="AX262" s="3"/>
      <c r="AY262" s="3"/>
      <c r="BN262" s="34"/>
    </row>
    <row r="263" spans="1:66" ht="12.95" customHeight="1">
      <c r="A263" s="13"/>
      <c r="B263" s="4"/>
      <c r="C263" s="4"/>
      <c r="D263" s="4" t="s">
        <v>91</v>
      </c>
      <c r="E263" s="4"/>
      <c r="F263" s="4"/>
      <c r="M263" s="1471"/>
      <c r="N263" s="1471"/>
      <c r="O263" s="1471"/>
      <c r="P263" s="1471"/>
      <c r="Q263" s="1471"/>
      <c r="R263" s="1471"/>
      <c r="S263" s="1471"/>
      <c r="T263" s="1471"/>
      <c r="U263" s="1471"/>
      <c r="V263" s="1471"/>
      <c r="W263" s="1471"/>
      <c r="X263" s="1471"/>
      <c r="Y263" s="1471"/>
      <c r="Z263" s="1471"/>
      <c r="AA263" s="1547"/>
      <c r="AB263" s="1547"/>
      <c r="AC263" s="1547"/>
      <c r="AD263" s="1547"/>
      <c r="AE263" s="1547"/>
      <c r="AG263" s="4"/>
      <c r="AH263" s="4"/>
      <c r="AI263" s="4"/>
      <c r="AJ263" s="4"/>
      <c r="AK263" s="4"/>
      <c r="AL263" s="3"/>
      <c r="AM263" s="3"/>
      <c r="AN263" s="3"/>
      <c r="AO263" s="3"/>
      <c r="AP263" s="3"/>
      <c r="AQ263" s="3"/>
      <c r="AR263" s="3"/>
      <c r="AS263" s="3"/>
      <c r="AT263" s="3"/>
      <c r="AU263" s="3"/>
      <c r="AV263" s="3"/>
      <c r="AW263" s="3"/>
      <c r="AX263" s="3"/>
      <c r="AY263" s="3"/>
      <c r="BN263" s="34"/>
    </row>
    <row r="264" spans="1:66" ht="12.95" customHeight="1">
      <c r="A264" s="13"/>
      <c r="B264" s="4"/>
      <c r="C264" s="56"/>
      <c r="D264" s="4" t="s">
        <v>544</v>
      </c>
      <c r="E264" s="4"/>
      <c r="F264" s="4"/>
      <c r="G264" s="4"/>
      <c r="H264" s="4"/>
      <c r="I264" s="4"/>
      <c r="J264" s="4"/>
      <c r="K264" s="4"/>
      <c r="L264" s="4"/>
      <c r="M264" s="1369" t="s">
        <v>309</v>
      </c>
      <c r="N264" s="1369"/>
      <c r="O264" s="1369"/>
      <c r="P264" s="1369"/>
      <c r="Q264" s="1369"/>
      <c r="R264" s="1369"/>
      <c r="S264" s="1369"/>
      <c r="T264" s="1369"/>
      <c r="U264" s="218" t="s">
        <v>939</v>
      </c>
      <c r="V264" s="218"/>
      <c r="W264" s="218"/>
      <c r="X264" s="218"/>
      <c r="Y264" s="218"/>
      <c r="Z264" s="218"/>
      <c r="AA264" s="1573"/>
      <c r="AB264" s="1573"/>
      <c r="AC264" s="1573"/>
      <c r="AD264" s="1573"/>
      <c r="AE264" s="1573"/>
      <c r="AF264" s="1573"/>
      <c r="AG264" s="1573"/>
      <c r="AH264" s="1573"/>
      <c r="AI264" s="1573"/>
      <c r="AJ264" s="1573"/>
      <c r="AK264" s="1573"/>
      <c r="AL264" s="3"/>
      <c r="AM264" s="3"/>
      <c r="AN264" s="3"/>
      <c r="AO264" s="3"/>
      <c r="AP264" s="3"/>
      <c r="AQ264" s="3"/>
      <c r="AR264" s="3"/>
      <c r="AS264" s="3"/>
      <c r="AT264" s="3"/>
      <c r="AU264" s="3"/>
      <c r="AV264" s="3"/>
      <c r="AW264" s="3"/>
      <c r="AX264" s="3"/>
      <c r="AY264" s="3"/>
      <c r="BN264" s="34"/>
    </row>
    <row r="265" spans="1:66" ht="12.95"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2.95" customHeight="1">
      <c r="A266" s="57" t="s">
        <v>599</v>
      </c>
      <c r="B266" s="4"/>
      <c r="C266" s="2" t="s">
        <v>297</v>
      </c>
      <c r="D266" s="4"/>
      <c r="E266" s="4"/>
      <c r="F266" s="4"/>
      <c r="G266" s="4"/>
      <c r="H266" s="4"/>
      <c r="I266" s="4"/>
      <c r="J266" s="4"/>
      <c r="K266" s="4"/>
      <c r="L266" s="4"/>
      <c r="M266" s="35"/>
      <c r="N266" s="35"/>
      <c r="O266" s="35"/>
      <c r="P266" s="35"/>
      <c r="Q266" s="35"/>
      <c r="T266" s="1546" t="str">
        <f>BO245</f>
        <v>Nonprofit</v>
      </c>
      <c r="U266" s="1546"/>
      <c r="V266" s="1546"/>
      <c r="W266" s="1546"/>
      <c r="X266" s="1546"/>
      <c r="Z266" s="331" t="s">
        <v>994</v>
      </c>
      <c r="AA266" s="332"/>
      <c r="AB266" s="332"/>
      <c r="AC266" s="332"/>
      <c r="AD266" s="105"/>
      <c r="AE266" s="105"/>
      <c r="AF266" s="105"/>
      <c r="AG266" s="105"/>
      <c r="AH266" s="105"/>
      <c r="AI266" s="105"/>
      <c r="AJ266" s="105"/>
      <c r="AK266" s="333"/>
      <c r="AL266" s="58"/>
      <c r="BN266" s="34"/>
    </row>
    <row r="267" spans="1:66" ht="12.95" customHeight="1">
      <c r="A267" s="2"/>
      <c r="B267" s="4"/>
      <c r="C267" s="2"/>
      <c r="I267" s="4"/>
      <c r="J267" s="4"/>
      <c r="K267" s="4"/>
      <c r="L267" s="4"/>
      <c r="M267" s="35"/>
      <c r="N267" s="35"/>
      <c r="O267" s="35"/>
      <c r="P267" s="35"/>
      <c r="Q267" s="35"/>
      <c r="T267" s="4"/>
      <c r="U267" s="4"/>
      <c r="V267" s="4"/>
      <c r="W267" s="35"/>
      <c r="Z267" s="334" t="s">
        <v>832</v>
      </c>
      <c r="AF267" s="4"/>
      <c r="AG267" s="4"/>
      <c r="AH267" s="4"/>
      <c r="AI267" s="4"/>
      <c r="AJ267" s="4"/>
      <c r="AL267" s="65"/>
      <c r="BN267" s="34"/>
    </row>
    <row r="268" spans="1:66" ht="12.95" customHeight="1">
      <c r="A268" s="2" t="s">
        <v>601</v>
      </c>
      <c r="B268" s="4"/>
      <c r="C268" s="2" t="s">
        <v>173</v>
      </c>
      <c r="D268" s="4"/>
      <c r="E268" s="4"/>
      <c r="F268" s="4"/>
      <c r="G268" s="4"/>
      <c r="H268" s="4"/>
      <c r="I268" s="4"/>
      <c r="J268" s="4"/>
      <c r="K268" s="4"/>
      <c r="L268" s="4"/>
      <c r="M268" s="4"/>
      <c r="N268" s="4"/>
      <c r="O268" s="4"/>
      <c r="P268" s="4"/>
      <c r="Q268" s="4"/>
      <c r="R268" s="4"/>
      <c r="S268" s="4"/>
      <c r="T268" s="4"/>
      <c r="U268" s="4"/>
      <c r="V268" s="4"/>
      <c r="W268" s="4"/>
      <c r="Z268" s="335" t="s">
        <v>993</v>
      </c>
      <c r="AA268" s="48"/>
      <c r="AB268" s="48"/>
      <c r="AC268" s="48"/>
      <c r="AD268" s="48"/>
      <c r="AE268" s="48"/>
      <c r="AF268" s="104"/>
      <c r="AG268" s="104"/>
      <c r="AH268" s="104"/>
      <c r="AI268" s="104"/>
      <c r="AJ268" s="104"/>
      <c r="AK268" s="48"/>
      <c r="AL268" s="49"/>
      <c r="BN268" s="34"/>
    </row>
    <row r="269" spans="1:66" ht="12.95" customHeight="1">
      <c r="A269" s="4"/>
      <c r="B269" s="36">
        <v>0</v>
      </c>
      <c r="D269" s="1538" t="s">
        <v>282</v>
      </c>
      <c r="E269" s="1538"/>
      <c r="F269" s="1538"/>
      <c r="G269" s="1538"/>
      <c r="H269" s="1538"/>
      <c r="J269" t="s">
        <v>281</v>
      </c>
      <c r="X269" s="1544"/>
      <c r="Y269" s="1544"/>
      <c r="Z269" s="1544"/>
      <c r="AA269" s="1544"/>
      <c r="AB269" s="1544"/>
      <c r="AC269" s="1544"/>
      <c r="BN269" s="34"/>
    </row>
    <row r="270" spans="1:66" ht="12.95"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95"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95" customHeight="1">
      <c r="A272" s="2" t="s">
        <v>476</v>
      </c>
      <c r="B272" s="2"/>
      <c r="C272" s="2" t="s">
        <v>631</v>
      </c>
      <c r="D272" s="4"/>
      <c r="E272" s="4"/>
      <c r="F272" s="4"/>
      <c r="G272" s="4"/>
      <c r="H272" s="4"/>
      <c r="I272" s="4"/>
      <c r="J272" s="4"/>
      <c r="K272" s="4"/>
      <c r="L272" s="4"/>
      <c r="M272" s="4"/>
      <c r="N272" s="4"/>
      <c r="O272" s="4"/>
      <c r="P272" s="4"/>
      <c r="Q272" s="4"/>
      <c r="R272" s="4"/>
      <c r="S272" s="4"/>
      <c r="T272" s="4"/>
      <c r="BN272" s="34"/>
    </row>
    <row r="273" spans="1:66" ht="12.95" customHeight="1">
      <c r="D273" s="4" t="s">
        <v>298</v>
      </c>
      <c r="E273" s="4"/>
      <c r="F273" s="4"/>
      <c r="G273" s="4"/>
      <c r="H273" s="4"/>
      <c r="I273" s="4"/>
      <c r="J273" s="4"/>
      <c r="K273" s="4"/>
      <c r="L273" s="1542" t="s">
        <v>2631</v>
      </c>
      <c r="M273" s="1543"/>
      <c r="N273" s="1543"/>
      <c r="O273" s="1543"/>
      <c r="P273" s="1543"/>
      <c r="Q273" s="1543"/>
      <c r="R273" s="1543"/>
      <c r="S273" s="1543"/>
      <c r="T273" s="1543"/>
      <c r="U273" s="1543"/>
      <c r="V273" s="1543"/>
      <c r="W273" s="1543"/>
      <c r="X273" s="1543"/>
      <c r="Y273" s="1543"/>
      <c r="Z273" s="1543"/>
      <c r="AA273" s="1543"/>
      <c r="AB273" s="1543"/>
      <c r="AC273" s="1543"/>
      <c r="AD273" s="1543"/>
      <c r="AE273" s="1543"/>
      <c r="AF273" s="1543"/>
      <c r="AG273" s="1543"/>
      <c r="AH273" s="1543"/>
      <c r="AI273" s="1543"/>
      <c r="AJ273" s="1543"/>
      <c r="AK273" s="3"/>
      <c r="AL273" s="3"/>
      <c r="AM273" s="3"/>
      <c r="AN273" s="3"/>
      <c r="AO273" s="3"/>
      <c r="AP273" s="3"/>
      <c r="AQ273" s="3"/>
      <c r="AR273" s="3"/>
      <c r="AS273" s="3"/>
      <c r="AT273" s="3"/>
      <c r="AU273" s="3"/>
      <c r="AV273" s="3"/>
      <c r="AW273" s="3"/>
      <c r="AX273" s="3"/>
      <c r="AY273" s="3"/>
      <c r="BN273" s="34"/>
    </row>
    <row r="274" spans="1:66" ht="12.95" customHeight="1">
      <c r="D274" s="4" t="s">
        <v>86</v>
      </c>
      <c r="E274" s="4"/>
      <c r="F274" s="4"/>
      <c r="G274" s="4"/>
      <c r="H274" s="4"/>
      <c r="I274" s="4"/>
      <c r="J274" s="4"/>
      <c r="K274" s="4"/>
      <c r="L274" s="1476" t="s">
        <v>2627</v>
      </c>
      <c r="M274" s="1538"/>
      <c r="N274" s="1538"/>
      <c r="O274" s="1538"/>
      <c r="P274" s="1538"/>
      <c r="Q274" s="1538"/>
      <c r="R274" s="1538"/>
      <c r="S274" s="1538"/>
      <c r="T274" s="1538"/>
      <c r="U274" s="1538"/>
      <c r="V274" s="1538"/>
      <c r="W274" s="1538"/>
      <c r="X274" s="1538"/>
      <c r="Y274" s="1538"/>
      <c r="Z274" s="1538"/>
      <c r="AA274" s="1538"/>
      <c r="AB274" s="1538"/>
      <c r="AC274" s="1538"/>
      <c r="AD274" s="1538"/>
      <c r="AK274" s="3"/>
      <c r="AL274" s="3"/>
      <c r="AM274" s="3"/>
      <c r="AN274" s="3"/>
      <c r="AO274" s="3"/>
      <c r="AP274" s="3"/>
      <c r="AQ274" s="3"/>
      <c r="AR274" s="3"/>
      <c r="AS274" s="3"/>
      <c r="AT274" s="3"/>
      <c r="AU274" s="3"/>
      <c r="AV274" s="3"/>
      <c r="AW274" s="3"/>
      <c r="AX274" s="3"/>
      <c r="AY274" s="3"/>
      <c r="BN274" s="34"/>
    </row>
    <row r="275" spans="1:66" ht="12.95" customHeight="1">
      <c r="D275" s="4" t="s">
        <v>589</v>
      </c>
      <c r="E275" s="4"/>
      <c r="L275" s="1476" t="s">
        <v>742</v>
      </c>
      <c r="M275" s="1538"/>
      <c r="N275" s="1538"/>
      <c r="O275" s="1538"/>
      <c r="P275" s="1538"/>
      <c r="Q275" s="1538"/>
      <c r="R275" s="1538"/>
      <c r="S275" s="1538"/>
      <c r="U275" s="33" t="s">
        <v>87</v>
      </c>
      <c r="V275" s="1467" t="s">
        <v>2628</v>
      </c>
      <c r="W275" s="1468"/>
      <c r="X275" s="4" t="s">
        <v>592</v>
      </c>
      <c r="AB275" s="1538">
        <v>94102</v>
      </c>
      <c r="AC275" s="1538"/>
      <c r="AD275" s="1538"/>
      <c r="AK275" s="3"/>
      <c r="AL275" s="3"/>
      <c r="AM275" s="3"/>
      <c r="AN275" s="3"/>
      <c r="AO275" s="3"/>
      <c r="AP275" s="3"/>
      <c r="AQ275" s="3"/>
      <c r="AR275" s="3"/>
      <c r="AS275" s="3"/>
      <c r="AT275" s="3"/>
      <c r="AU275" s="3"/>
      <c r="AV275" s="3"/>
      <c r="AW275" s="3"/>
      <c r="AX275" s="3"/>
      <c r="AY275" s="3"/>
      <c r="BN275" s="34"/>
    </row>
    <row r="276" spans="1:66" ht="12.95" customHeight="1">
      <c r="D276" s="4" t="s">
        <v>88</v>
      </c>
      <c r="E276" s="4"/>
      <c r="F276" s="4"/>
      <c r="G276" s="4"/>
      <c r="H276" s="4"/>
      <c r="I276" s="4"/>
      <c r="J276" s="4"/>
      <c r="K276" s="19"/>
      <c r="L276" s="1476" t="s">
        <v>2629</v>
      </c>
      <c r="M276" s="1538"/>
      <c r="N276" s="1538"/>
      <c r="O276" s="1538"/>
      <c r="P276" s="1538"/>
      <c r="Q276" s="1538"/>
      <c r="R276" s="1538"/>
      <c r="S276" s="1538"/>
      <c r="T276" s="1538"/>
      <c r="U276" s="1538"/>
      <c r="V276" s="1538"/>
      <c r="W276" s="1538"/>
      <c r="X276" s="1538"/>
      <c r="Y276" s="1538"/>
      <c r="Z276" s="1538"/>
      <c r="AA276" s="1538"/>
      <c r="AB276" s="1538"/>
      <c r="AC276" s="1538"/>
      <c r="AD276" s="1538"/>
      <c r="AI276" s="4"/>
      <c r="AJ276" s="4"/>
      <c r="AK276" s="3"/>
      <c r="AL276" s="3"/>
      <c r="AM276" s="3"/>
      <c r="AN276" s="3"/>
      <c r="AO276" s="3"/>
      <c r="AP276" s="3"/>
      <c r="AQ276" s="3"/>
      <c r="AR276" s="3"/>
      <c r="AS276" s="3"/>
      <c r="AT276" s="3"/>
      <c r="AU276" s="3"/>
      <c r="AV276" s="3"/>
      <c r="AW276" s="3"/>
      <c r="AX276" s="3"/>
      <c r="AY276" s="3"/>
      <c r="BN276" s="34"/>
    </row>
    <row r="277" spans="1:66" ht="12.95" customHeight="1">
      <c r="D277" s="4" t="s">
        <v>89</v>
      </c>
      <c r="E277" s="4"/>
      <c r="F277" s="4"/>
      <c r="L277" s="1441">
        <v>4153557152</v>
      </c>
      <c r="M277" s="1441"/>
      <c r="N277" s="1441"/>
      <c r="O277" s="1441"/>
      <c r="P277" s="1441"/>
      <c r="Q277" s="1441"/>
      <c r="R277" s="4" t="s">
        <v>208</v>
      </c>
      <c r="S277" s="4"/>
      <c r="T277" s="1468"/>
      <c r="U277" s="1468"/>
      <c r="V277" s="1468"/>
      <c r="W277" s="4" t="s">
        <v>90</v>
      </c>
      <c r="Y277" s="1441"/>
      <c r="Z277" s="1441"/>
      <c r="AA277" s="1441"/>
      <c r="AB277" s="1441"/>
      <c r="AC277" s="1441"/>
      <c r="AD277" s="1441"/>
      <c r="BN277" s="34"/>
    </row>
    <row r="278" spans="1:66" ht="12.95" customHeight="1">
      <c r="D278" s="4" t="s">
        <v>91</v>
      </c>
      <c r="E278" s="4"/>
      <c r="F278" s="4"/>
      <c r="L278" s="1471" t="s">
        <v>2634</v>
      </c>
      <c r="M278" s="1471"/>
      <c r="N278" s="1471"/>
      <c r="O278" s="1471"/>
      <c r="P278" s="1471"/>
      <c r="Q278" s="1471"/>
      <c r="R278" s="1471"/>
      <c r="S278" s="1471"/>
      <c r="T278" s="1471"/>
      <c r="U278" s="1471"/>
      <c r="V278" s="1471"/>
      <c r="W278" s="1471"/>
      <c r="X278" s="1471"/>
      <c r="Y278" s="1471"/>
      <c r="Z278" s="1471"/>
      <c r="AA278" s="1471"/>
      <c r="AB278" s="1471"/>
      <c r="AC278" s="1471"/>
      <c r="AD278" s="1471"/>
      <c r="AF278" s="4"/>
      <c r="AG278" s="4"/>
      <c r="AH278" s="4"/>
      <c r="AI278" s="4"/>
      <c r="AJ278" s="4"/>
      <c r="BN278" s="34"/>
    </row>
    <row r="279" spans="1:66" ht="12.95" customHeight="1">
      <c r="D279" s="3" t="s">
        <v>632</v>
      </c>
      <c r="E279" s="3"/>
      <c r="F279" s="3"/>
      <c r="G279" s="3"/>
      <c r="H279" s="3"/>
      <c r="I279" s="3"/>
      <c r="L279" s="1467" t="s">
        <v>2635</v>
      </c>
      <c r="M279" s="1467"/>
      <c r="N279" s="1467"/>
      <c r="O279" s="1467"/>
      <c r="P279" s="1467"/>
      <c r="Q279" s="1467"/>
      <c r="R279" s="1467"/>
      <c r="S279" s="1467"/>
      <c r="T279" s="1467"/>
      <c r="U279" s="1467"/>
      <c r="V279" s="1467"/>
      <c r="W279" s="1467"/>
      <c r="X279" s="1467"/>
      <c r="Y279" s="1467"/>
      <c r="Z279" s="1467"/>
      <c r="AA279" s="1467"/>
      <c r="AB279" s="1467"/>
      <c r="AC279" s="1467"/>
      <c r="AD279" s="1467"/>
      <c r="AK279" s="3"/>
      <c r="AL279" s="3"/>
      <c r="AM279" s="3"/>
      <c r="AN279" s="3"/>
      <c r="AO279" s="3"/>
      <c r="AP279" s="3"/>
      <c r="AQ279" s="3"/>
      <c r="AR279" s="3"/>
      <c r="AS279" s="3"/>
      <c r="AT279" s="3"/>
      <c r="AU279" s="3"/>
      <c r="AV279" s="3"/>
      <c r="AW279" s="3"/>
      <c r="AX279" s="3"/>
      <c r="AY279" s="3"/>
      <c r="BN279" s="34"/>
    </row>
    <row r="280" spans="1:66" ht="12.95" customHeight="1">
      <c r="L280" s="22" t="s">
        <v>633</v>
      </c>
      <c r="BN280" s="34"/>
    </row>
    <row r="281" spans="1:66" ht="12.95" customHeight="1">
      <c r="A281" s="1445" t="s">
        <v>550</v>
      </c>
      <c r="B281" s="1445"/>
      <c r="C281" s="1445"/>
      <c r="D281" s="1445"/>
      <c r="E281" s="1445"/>
      <c r="F281" s="1445"/>
      <c r="G281" s="1445"/>
      <c r="H281" s="1445"/>
      <c r="I281" s="1445"/>
      <c r="J281" s="1445"/>
      <c r="K281" s="1445"/>
      <c r="L281" s="1445"/>
      <c r="M281" s="1445"/>
      <c r="N281" s="1445"/>
      <c r="O281" s="1445"/>
      <c r="P281" s="1445"/>
      <c r="Q281" s="1445"/>
      <c r="R281" s="1445"/>
      <c r="S281" s="1445"/>
      <c r="T281" s="1445"/>
      <c r="U281" s="1445"/>
      <c r="V281" s="1445"/>
      <c r="W281" s="1445"/>
      <c r="X281" s="1445"/>
      <c r="Y281" s="1445"/>
      <c r="Z281" s="1445"/>
      <c r="AA281" s="1445"/>
      <c r="AB281" s="1445"/>
      <c r="AC281" s="1445"/>
      <c r="AD281" s="1445"/>
      <c r="AE281" s="1445"/>
      <c r="AF281" s="1445"/>
      <c r="AG281" s="1445"/>
      <c r="AH281" s="1445"/>
      <c r="AI281" s="1445"/>
      <c r="AJ281" s="1445"/>
      <c r="AK281" s="1445"/>
      <c r="AL281" s="1445"/>
      <c r="AM281" s="95"/>
      <c r="AN281" s="95"/>
      <c r="AO281" s="95"/>
      <c r="AP281" s="95"/>
      <c r="AQ281" s="95"/>
      <c r="AR281" s="95"/>
      <c r="AS281" s="95"/>
      <c r="AT281" s="95"/>
      <c r="AU281" s="95"/>
      <c r="AV281" s="95"/>
      <c r="AW281" s="95"/>
      <c r="AX281" s="95"/>
      <c r="AY281" s="95"/>
      <c r="BN281" s="34"/>
    </row>
    <row r="282" spans="1:66" ht="12.95" customHeight="1" thickBot="1">
      <c r="A282" s="1446"/>
      <c r="B282" s="1446"/>
      <c r="C282" s="1446"/>
      <c r="D282" s="1446"/>
      <c r="E282" s="1446"/>
      <c r="F282" s="1446"/>
      <c r="G282" s="1446"/>
      <c r="H282" s="1446"/>
      <c r="I282" s="1446"/>
      <c r="J282" s="1446"/>
      <c r="K282" s="1446"/>
      <c r="L282" s="1446"/>
      <c r="M282" s="1446"/>
      <c r="N282" s="1446"/>
      <c r="O282" s="1446"/>
      <c r="P282" s="1446"/>
      <c r="Q282" s="1446"/>
      <c r="R282" s="1446"/>
      <c r="S282" s="1446"/>
      <c r="T282" s="1446"/>
      <c r="U282" s="1446"/>
      <c r="V282" s="1446"/>
      <c r="W282" s="1446"/>
      <c r="X282" s="1446"/>
      <c r="Y282" s="1446"/>
      <c r="Z282" s="1446"/>
      <c r="AA282" s="1446"/>
      <c r="AB282" s="1446"/>
      <c r="AC282" s="1446"/>
      <c r="AD282" s="1446"/>
      <c r="AE282" s="1446"/>
      <c r="AF282" s="1446"/>
      <c r="AG282" s="1446"/>
      <c r="AH282" s="1446"/>
      <c r="AI282" s="1446"/>
      <c r="AJ282" s="1446"/>
      <c r="AK282" s="1446"/>
      <c r="AL282" s="1446"/>
      <c r="AM282" s="95"/>
      <c r="AN282" s="95"/>
      <c r="AO282" s="95"/>
      <c r="AP282" s="95"/>
      <c r="AQ282" s="95"/>
      <c r="AR282" s="95"/>
      <c r="AS282" s="95"/>
      <c r="AT282" s="95"/>
      <c r="AU282" s="95"/>
      <c r="AV282" s="95"/>
      <c r="AW282" s="95"/>
      <c r="AX282" s="95"/>
      <c r="AY282" s="95"/>
      <c r="BN282" s="34"/>
    </row>
    <row r="283" spans="1:66" ht="12.95"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95" customHeight="1">
      <c r="A284" s="2" t="s">
        <v>321</v>
      </c>
      <c r="C284" s="2" t="s">
        <v>634</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9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t="s">
        <v>635</v>
      </c>
      <c r="C286" s="3"/>
      <c r="D286" s="3"/>
      <c r="E286" s="3"/>
      <c r="F286" s="3"/>
      <c r="H286" s="1476" t="s">
        <v>2631</v>
      </c>
      <c r="I286" s="1398"/>
      <c r="J286" s="1398"/>
      <c r="K286" s="1398"/>
      <c r="L286" s="1398"/>
      <c r="M286" s="1398"/>
      <c r="N286" s="1398"/>
      <c r="O286" s="1398"/>
      <c r="P286" s="1398"/>
      <c r="Q286" s="1398"/>
      <c r="R286" s="1398"/>
      <c r="T286" s="3" t="s">
        <v>576</v>
      </c>
      <c r="V286" s="3"/>
      <c r="W286" s="3"/>
      <c r="X286" s="3"/>
      <c r="Y286" s="3"/>
      <c r="AA286" s="1476" t="s">
        <v>2671</v>
      </c>
      <c r="AB286" s="1398"/>
      <c r="AC286" s="1398"/>
      <c r="AD286" s="1398"/>
      <c r="AE286" s="1398"/>
      <c r="AF286" s="1398"/>
      <c r="AG286" s="1398"/>
      <c r="AH286" s="1398"/>
      <c r="AI286" s="1398"/>
      <c r="AJ286" s="1398"/>
      <c r="AK286" s="1398"/>
      <c r="BN286" s="34"/>
    </row>
    <row r="287" spans="1:66" ht="12.95" customHeight="1">
      <c r="B287" s="3" t="s">
        <v>480</v>
      </c>
      <c r="C287" s="3"/>
      <c r="D287" s="3"/>
      <c r="E287" s="3"/>
      <c r="F287" s="3"/>
      <c r="H287" s="1467" t="s">
        <v>2643</v>
      </c>
      <c r="I287" s="1369"/>
      <c r="J287" s="1369"/>
      <c r="K287" s="1369"/>
      <c r="L287" s="1369"/>
      <c r="M287" s="1369"/>
      <c r="N287" s="1369"/>
      <c r="O287" s="1369"/>
      <c r="P287" s="1369"/>
      <c r="Q287" s="1369"/>
      <c r="R287" s="1369"/>
      <c r="T287" s="3" t="s">
        <v>480</v>
      </c>
      <c r="V287" s="3"/>
      <c r="W287" s="3"/>
      <c r="X287" s="3"/>
      <c r="Y287" s="3"/>
      <c r="AA287" s="1467" t="s">
        <v>2672</v>
      </c>
      <c r="AB287" s="1369"/>
      <c r="AC287" s="1369"/>
      <c r="AD287" s="1369"/>
      <c r="AE287" s="1369"/>
      <c r="AF287" s="1369"/>
      <c r="AG287" s="1369"/>
      <c r="AH287" s="1369"/>
      <c r="AI287" s="1369"/>
      <c r="AJ287" s="1369"/>
      <c r="AK287" s="1369"/>
      <c r="BN287" s="34"/>
    </row>
    <row r="288" spans="1:66" ht="12.95" customHeight="1">
      <c r="B288" s="3" t="s">
        <v>481</v>
      </c>
      <c r="C288" s="3"/>
      <c r="D288" s="3"/>
      <c r="E288" s="3"/>
      <c r="F288" s="3"/>
      <c r="H288" s="1467" t="s">
        <v>2644</v>
      </c>
      <c r="I288" s="1369"/>
      <c r="J288" s="1369"/>
      <c r="K288" s="1369"/>
      <c r="L288" s="1369"/>
      <c r="M288" s="1369"/>
      <c r="N288" s="1369"/>
      <c r="O288" s="1369"/>
      <c r="P288" s="1369"/>
      <c r="Q288" s="1369"/>
      <c r="R288" s="1369"/>
      <c r="T288" s="3" t="s">
        <v>76</v>
      </c>
      <c r="V288" s="3"/>
      <c r="W288" s="3"/>
      <c r="X288" s="3"/>
      <c r="Y288" s="3"/>
      <c r="AA288" s="1467" t="s">
        <v>2673</v>
      </c>
      <c r="AB288" s="1369"/>
      <c r="AC288" s="1369"/>
      <c r="AD288" s="1369"/>
      <c r="AE288" s="1369"/>
      <c r="AF288" s="1369"/>
      <c r="AG288" s="1369"/>
      <c r="AH288" s="1369"/>
      <c r="AI288" s="1369"/>
      <c r="AJ288" s="1369"/>
      <c r="AK288" s="1369"/>
      <c r="BN288" s="34"/>
    </row>
    <row r="289" spans="2:66" ht="12.95" customHeight="1">
      <c r="B289" s="3" t="s">
        <v>88</v>
      </c>
      <c r="C289" s="3"/>
      <c r="D289" s="3"/>
      <c r="E289" s="3"/>
      <c r="F289" s="3"/>
      <c r="H289" s="1467" t="s">
        <v>2629</v>
      </c>
      <c r="I289" s="1369"/>
      <c r="J289" s="1369"/>
      <c r="K289" s="1369"/>
      <c r="L289" s="1369"/>
      <c r="M289" s="1369"/>
      <c r="N289" s="1369"/>
      <c r="O289" s="1369"/>
      <c r="P289" s="1369"/>
      <c r="Q289" s="1369"/>
      <c r="R289" s="1369"/>
      <c r="T289" s="3" t="s">
        <v>88</v>
      </c>
      <c r="V289" s="3"/>
      <c r="W289" s="3"/>
      <c r="X289" s="3"/>
      <c r="Y289" s="3"/>
      <c r="AA289" s="1467" t="s">
        <v>2674</v>
      </c>
      <c r="AB289" s="1369"/>
      <c r="AC289" s="1369"/>
      <c r="AD289" s="1369"/>
      <c r="AE289" s="1369"/>
      <c r="AF289" s="1369"/>
      <c r="AG289" s="1369"/>
      <c r="AH289" s="1369"/>
      <c r="AI289" s="1369"/>
      <c r="AJ289" s="1369"/>
      <c r="AK289" s="1369"/>
      <c r="BN289" s="34"/>
    </row>
    <row r="290" spans="2:66" ht="12.95" customHeight="1">
      <c r="B290" s="3" t="s">
        <v>89</v>
      </c>
      <c r="C290" s="3"/>
      <c r="D290" s="3"/>
      <c r="E290" s="3"/>
      <c r="F290" s="3"/>
      <c r="G290" s="3"/>
      <c r="H290" s="1540" t="s">
        <v>2645</v>
      </c>
      <c r="I290" s="1541"/>
      <c r="J290" s="1541"/>
      <c r="K290" s="1541"/>
      <c r="L290" s="1541"/>
      <c r="M290" s="1541"/>
      <c r="N290" s="4" t="s">
        <v>208</v>
      </c>
      <c r="O290" s="4"/>
      <c r="P290" s="1538"/>
      <c r="Q290" s="1538"/>
      <c r="R290" s="1538"/>
      <c r="S290" s="3"/>
      <c r="T290" s="3" t="s">
        <v>89</v>
      </c>
      <c r="V290" s="3"/>
      <c r="W290" s="3"/>
      <c r="X290" s="3"/>
      <c r="Y290" s="3"/>
      <c r="AA290" s="1540" t="s">
        <v>2675</v>
      </c>
      <c r="AB290" s="1541"/>
      <c r="AC290" s="1541"/>
      <c r="AD290" s="1541"/>
      <c r="AE290" s="1541"/>
      <c r="AF290" s="1541"/>
      <c r="AG290" s="4" t="s">
        <v>208</v>
      </c>
      <c r="AH290" s="4"/>
      <c r="AI290" s="1538"/>
      <c r="AJ290" s="1538"/>
      <c r="AK290" s="1538"/>
      <c r="BN290" s="34"/>
    </row>
    <row r="291" spans="2:66" ht="12.95" customHeight="1">
      <c r="B291" s="3" t="s">
        <v>90</v>
      </c>
      <c r="C291" s="3"/>
      <c r="D291" s="3"/>
      <c r="E291" s="3"/>
      <c r="F291" s="3"/>
      <c r="G291" s="3"/>
      <c r="H291" s="1441"/>
      <c r="I291" s="1441"/>
      <c r="J291" s="1441"/>
      <c r="K291" s="1441"/>
      <c r="L291" s="1441"/>
      <c r="M291" s="1441"/>
      <c r="N291" s="4"/>
      <c r="O291" s="4"/>
      <c r="P291" s="35"/>
      <c r="Q291" s="35"/>
      <c r="R291" s="35"/>
      <c r="S291" s="3"/>
      <c r="T291" s="3" t="s">
        <v>90</v>
      </c>
      <c r="V291" s="3"/>
      <c r="W291" s="3"/>
      <c r="X291" s="3"/>
      <c r="Y291" s="3"/>
      <c r="AA291" s="1441"/>
      <c r="AB291" s="1441"/>
      <c r="AC291" s="1441"/>
      <c r="AD291" s="1441"/>
      <c r="AE291" s="1441"/>
      <c r="AF291" s="1441"/>
      <c r="AG291" s="4"/>
      <c r="AH291" s="4"/>
      <c r="AI291" s="35"/>
      <c r="AJ291" s="35"/>
      <c r="AK291" s="35"/>
      <c r="BN291" s="34"/>
    </row>
    <row r="292" spans="2:66" ht="12.95" customHeight="1">
      <c r="B292" s="3" t="s">
        <v>77</v>
      </c>
      <c r="C292" s="3"/>
      <c r="D292" s="3"/>
      <c r="E292" s="3"/>
      <c r="F292" s="3"/>
      <c r="G292" s="3"/>
      <c r="H292" s="1467" t="s">
        <v>2630</v>
      </c>
      <c r="I292" s="1369"/>
      <c r="J292" s="1369"/>
      <c r="K292" s="1369"/>
      <c r="L292" s="1369"/>
      <c r="M292" s="1369"/>
      <c r="N292" s="1398"/>
      <c r="O292" s="1398"/>
      <c r="P292" s="1398"/>
      <c r="Q292" s="1398"/>
      <c r="R292" s="1398"/>
      <c r="S292" s="3"/>
      <c r="T292" s="3" t="s">
        <v>77</v>
      </c>
      <c r="V292" s="3"/>
      <c r="W292" s="3"/>
      <c r="X292" s="3"/>
      <c r="Y292" s="3"/>
      <c r="AA292" s="1467" t="s">
        <v>2676</v>
      </c>
      <c r="AB292" s="1369"/>
      <c r="AC292" s="1369"/>
      <c r="AD292" s="1369"/>
      <c r="AE292" s="1369"/>
      <c r="AF292" s="1369"/>
      <c r="AG292" s="1398"/>
      <c r="AH292" s="1398"/>
      <c r="AI292" s="1398"/>
      <c r="AJ292" s="1398"/>
      <c r="AK292" s="1398"/>
      <c r="BN292" s="34"/>
    </row>
    <row r="293" spans="2:66" ht="12.9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95" customHeight="1">
      <c r="B294" s="3" t="s">
        <v>325</v>
      </c>
      <c r="C294" s="3"/>
      <c r="D294" s="3"/>
      <c r="E294" s="3"/>
      <c r="F294" s="3"/>
      <c r="H294" s="1476" t="s">
        <v>2646</v>
      </c>
      <c r="I294" s="1398"/>
      <c r="J294" s="1398"/>
      <c r="K294" s="1398"/>
      <c r="L294" s="1398"/>
      <c r="M294" s="1398"/>
      <c r="N294" s="1398"/>
      <c r="O294" s="1398"/>
      <c r="P294" s="1398"/>
      <c r="Q294" s="1398"/>
      <c r="R294" s="1398"/>
      <c r="T294" s="3" t="s">
        <v>366</v>
      </c>
      <c r="V294" s="3"/>
      <c r="W294" s="3"/>
      <c r="X294" s="3"/>
      <c r="Y294" s="3"/>
      <c r="AA294" s="1476" t="s">
        <v>2677</v>
      </c>
      <c r="AB294" s="1398"/>
      <c r="AC294" s="1398"/>
      <c r="AD294" s="1398"/>
      <c r="AE294" s="1398"/>
      <c r="AF294" s="1398"/>
      <c r="AG294" s="1398"/>
      <c r="AH294" s="1398"/>
      <c r="AI294" s="1398"/>
      <c r="AJ294" s="1398"/>
      <c r="AK294" s="1398"/>
      <c r="BN294" s="34"/>
    </row>
    <row r="295" spans="2:66" ht="12.95" customHeight="1">
      <c r="B295" s="3" t="s">
        <v>480</v>
      </c>
      <c r="C295" s="3"/>
      <c r="D295" s="3"/>
      <c r="E295" s="3"/>
      <c r="F295" s="3"/>
      <c r="H295" s="1467" t="s">
        <v>2647</v>
      </c>
      <c r="I295" s="1369"/>
      <c r="J295" s="1369"/>
      <c r="K295" s="1369"/>
      <c r="L295" s="1369"/>
      <c r="M295" s="1369"/>
      <c r="N295" s="1369"/>
      <c r="O295" s="1369"/>
      <c r="P295" s="1369"/>
      <c r="Q295" s="1369"/>
      <c r="R295" s="1369"/>
      <c r="T295" s="3" t="s">
        <v>480</v>
      </c>
      <c r="V295" s="3"/>
      <c r="W295" s="3"/>
      <c r="X295" s="3"/>
      <c r="Y295" s="3"/>
      <c r="AA295" s="1467" t="s">
        <v>2678</v>
      </c>
      <c r="AB295" s="1369"/>
      <c r="AC295" s="1369"/>
      <c r="AD295" s="1369"/>
      <c r="AE295" s="1369"/>
      <c r="AF295" s="1369"/>
      <c r="AG295" s="1369"/>
      <c r="AH295" s="1369"/>
      <c r="AI295" s="1369"/>
      <c r="AJ295" s="1369"/>
      <c r="AK295" s="1369"/>
      <c r="BN295" s="34"/>
    </row>
    <row r="296" spans="2:66" ht="12.95" customHeight="1">
      <c r="B296" s="3" t="s">
        <v>481</v>
      </c>
      <c r="C296" s="3"/>
      <c r="D296" s="3"/>
      <c r="E296" s="3"/>
      <c r="F296" s="3"/>
      <c r="H296" s="1467" t="s">
        <v>2648</v>
      </c>
      <c r="I296" s="1369"/>
      <c r="J296" s="1369"/>
      <c r="K296" s="1369"/>
      <c r="L296" s="1369"/>
      <c r="M296" s="1369"/>
      <c r="N296" s="1369"/>
      <c r="O296" s="1369"/>
      <c r="P296" s="1369"/>
      <c r="Q296" s="1369"/>
      <c r="R296" s="1369"/>
      <c r="T296" s="3" t="s">
        <v>76</v>
      </c>
      <c r="V296" s="3"/>
      <c r="W296" s="3"/>
      <c r="X296" s="3"/>
      <c r="Y296" s="3"/>
      <c r="AA296" s="1467" t="s">
        <v>2679</v>
      </c>
      <c r="AB296" s="1369"/>
      <c r="AC296" s="1369"/>
      <c r="AD296" s="1369"/>
      <c r="AE296" s="1369"/>
      <c r="AF296" s="1369"/>
      <c r="AG296" s="1369"/>
      <c r="AH296" s="1369"/>
      <c r="AI296" s="1369"/>
      <c r="AJ296" s="1369"/>
      <c r="AK296" s="1369"/>
      <c r="BN296" s="34"/>
    </row>
    <row r="297" spans="2:66" ht="12.95" customHeight="1">
      <c r="B297" s="3" t="s">
        <v>88</v>
      </c>
      <c r="C297" s="3"/>
      <c r="D297" s="3"/>
      <c r="E297" s="3"/>
      <c r="F297" s="3"/>
      <c r="H297" s="1467" t="s">
        <v>2649</v>
      </c>
      <c r="I297" s="1369"/>
      <c r="J297" s="1369"/>
      <c r="K297" s="1369"/>
      <c r="L297" s="1369"/>
      <c r="M297" s="1369"/>
      <c r="N297" s="1369"/>
      <c r="O297" s="1369"/>
      <c r="P297" s="1369"/>
      <c r="Q297" s="1369"/>
      <c r="R297" s="1369"/>
      <c r="T297" s="3" t="s">
        <v>88</v>
      </c>
      <c r="V297" s="3"/>
      <c r="W297" s="3"/>
      <c r="X297" s="3"/>
      <c r="Y297" s="3"/>
      <c r="AA297" s="1467" t="s">
        <v>2680</v>
      </c>
      <c r="AB297" s="1369"/>
      <c r="AC297" s="1369"/>
      <c r="AD297" s="1369"/>
      <c r="AE297" s="1369"/>
      <c r="AF297" s="1369"/>
      <c r="AG297" s="1369"/>
      <c r="AH297" s="1369"/>
      <c r="AI297" s="1369"/>
      <c r="AJ297" s="1369"/>
      <c r="AK297" s="1369"/>
      <c r="BN297" s="34"/>
    </row>
    <row r="298" spans="2:66" ht="12.95" customHeight="1">
      <c r="B298" s="3" t="s">
        <v>89</v>
      </c>
      <c r="C298" s="3"/>
      <c r="D298" s="3"/>
      <c r="E298" s="3"/>
      <c r="F298" s="3"/>
      <c r="G298" s="3"/>
      <c r="H298" s="1540" t="s">
        <v>2650</v>
      </c>
      <c r="I298" s="1541"/>
      <c r="J298" s="1541"/>
      <c r="K298" s="1541"/>
      <c r="L298" s="1541"/>
      <c r="M298" s="1541"/>
      <c r="N298" s="4" t="s">
        <v>208</v>
      </c>
      <c r="O298" s="4"/>
      <c r="P298" s="1538">
        <v>6</v>
      </c>
      <c r="Q298" s="1538"/>
      <c r="R298" s="1538"/>
      <c r="S298" s="3"/>
      <c r="T298" s="3" t="s">
        <v>89</v>
      </c>
      <c r="V298" s="3"/>
      <c r="W298" s="3"/>
      <c r="X298" s="3"/>
      <c r="Y298" s="3"/>
      <c r="AA298" s="1540" t="s">
        <v>2681</v>
      </c>
      <c r="AB298" s="1541"/>
      <c r="AC298" s="1541"/>
      <c r="AD298" s="1541"/>
      <c r="AE298" s="1541"/>
      <c r="AF298" s="1541"/>
      <c r="AG298" s="4" t="s">
        <v>208</v>
      </c>
      <c r="AH298" s="4"/>
      <c r="AI298" s="1538"/>
      <c r="AJ298" s="1538"/>
      <c r="AK298" s="1538"/>
      <c r="BN298" s="34"/>
    </row>
    <row r="299" spans="2:66" ht="12.95" customHeight="1">
      <c r="B299" s="3" t="s">
        <v>90</v>
      </c>
      <c r="C299" s="3"/>
      <c r="D299" s="3"/>
      <c r="E299" s="3"/>
      <c r="F299" s="3"/>
      <c r="G299" s="3"/>
      <c r="H299" s="1441"/>
      <c r="I299" s="1441"/>
      <c r="J299" s="1441"/>
      <c r="K299" s="1441"/>
      <c r="L299" s="1441"/>
      <c r="M299" s="1441"/>
      <c r="N299" s="4"/>
      <c r="O299" s="4"/>
      <c r="P299" s="35"/>
      <c r="Q299" s="35"/>
      <c r="R299" s="35"/>
      <c r="S299" s="3"/>
      <c r="T299" s="3" t="s">
        <v>90</v>
      </c>
      <c r="V299" s="3"/>
      <c r="W299" s="3"/>
      <c r="X299" s="3"/>
      <c r="Y299" s="3"/>
      <c r="AA299" s="1441"/>
      <c r="AB299" s="1441"/>
      <c r="AC299" s="1441"/>
      <c r="AD299" s="1441"/>
      <c r="AE299" s="1441"/>
      <c r="AF299" s="1441"/>
      <c r="AG299" s="4"/>
      <c r="AH299" s="4"/>
      <c r="AI299" s="35"/>
      <c r="AJ299" s="35"/>
      <c r="AK299" s="35"/>
      <c r="BN299" s="34"/>
    </row>
    <row r="300" spans="2:66" ht="12.95" customHeight="1">
      <c r="B300" s="3" t="s">
        <v>77</v>
      </c>
      <c r="C300" s="3"/>
      <c r="D300" s="3"/>
      <c r="E300" s="3"/>
      <c r="F300" s="3"/>
      <c r="G300" s="3"/>
      <c r="H300" s="1467" t="s">
        <v>2651</v>
      </c>
      <c r="I300" s="1369"/>
      <c r="J300" s="1369"/>
      <c r="K300" s="1369"/>
      <c r="L300" s="1369"/>
      <c r="M300" s="1369"/>
      <c r="N300" s="1398"/>
      <c r="O300" s="1398"/>
      <c r="P300" s="1398"/>
      <c r="Q300" s="1398"/>
      <c r="R300" s="1398"/>
      <c r="S300" s="3"/>
      <c r="T300" s="3" t="s">
        <v>77</v>
      </c>
      <c r="V300" s="3"/>
      <c r="W300" s="3"/>
      <c r="X300" s="3"/>
      <c r="Y300" s="3"/>
      <c r="AA300" s="1467" t="s">
        <v>2682</v>
      </c>
      <c r="AB300" s="1369"/>
      <c r="AC300" s="1369"/>
      <c r="AD300" s="1369"/>
      <c r="AE300" s="1369"/>
      <c r="AF300" s="1369"/>
      <c r="AG300" s="1398"/>
      <c r="AH300" s="1398"/>
      <c r="AI300" s="1398"/>
      <c r="AJ300" s="1398"/>
      <c r="AK300" s="1398"/>
      <c r="BN300" s="34"/>
    </row>
    <row r="301" spans="2:66" ht="12.95" customHeight="1">
      <c r="BN301" s="34"/>
    </row>
    <row r="302" spans="2:66" ht="12.95" customHeight="1">
      <c r="B302" s="3" t="s">
        <v>78</v>
      </c>
      <c r="C302" s="3"/>
      <c r="D302" s="3"/>
      <c r="E302" s="3"/>
      <c r="F302" s="3"/>
      <c r="H302" s="1476" t="s">
        <v>2646</v>
      </c>
      <c r="I302" s="1398"/>
      <c r="J302" s="1398"/>
      <c r="K302" s="1398"/>
      <c r="L302" s="1398"/>
      <c r="M302" s="1398"/>
      <c r="N302" s="1398"/>
      <c r="O302" s="1398"/>
      <c r="P302" s="1398"/>
      <c r="Q302" s="1398"/>
      <c r="R302" s="1398"/>
      <c r="T302" s="4" t="s">
        <v>907</v>
      </c>
      <c r="V302" s="3"/>
      <c r="W302" s="3"/>
      <c r="X302" s="3"/>
      <c r="Y302" s="3"/>
      <c r="AA302" s="1476" t="s">
        <v>2686</v>
      </c>
      <c r="AB302" s="1398"/>
      <c r="AC302" s="1398"/>
      <c r="AD302" s="1398"/>
      <c r="AE302" s="1398"/>
      <c r="AF302" s="1398"/>
      <c r="AG302" s="1398"/>
      <c r="AH302" s="1398"/>
      <c r="AI302" s="1398"/>
      <c r="AJ302" s="1398"/>
      <c r="AK302" s="1398"/>
      <c r="BN302" s="34"/>
    </row>
    <row r="303" spans="2:66" ht="12.95" customHeight="1">
      <c r="B303" s="3" t="s">
        <v>480</v>
      </c>
      <c r="C303" s="3"/>
      <c r="D303" s="3"/>
      <c r="E303" s="3"/>
      <c r="F303" s="3"/>
      <c r="H303" s="1369" t="s">
        <v>2647</v>
      </c>
      <c r="I303" s="1369"/>
      <c r="J303" s="1369"/>
      <c r="K303" s="1369"/>
      <c r="L303" s="1369"/>
      <c r="M303" s="1369"/>
      <c r="N303" s="1369"/>
      <c r="O303" s="1369"/>
      <c r="P303" s="1369"/>
      <c r="Q303" s="1369"/>
      <c r="R303" s="1369"/>
      <c r="T303" s="3" t="s">
        <v>480</v>
      </c>
      <c r="V303" s="3"/>
      <c r="W303" s="3"/>
      <c r="X303" s="3"/>
      <c r="Y303" s="3"/>
      <c r="AA303" s="1467" t="s">
        <v>2684</v>
      </c>
      <c r="AB303" s="1369"/>
      <c r="AC303" s="1369"/>
      <c r="AD303" s="1369"/>
      <c r="AE303" s="1369"/>
      <c r="AF303" s="1369"/>
      <c r="AG303" s="1369"/>
      <c r="AH303" s="1369"/>
      <c r="AI303" s="1369"/>
      <c r="AJ303" s="1369"/>
      <c r="AK303" s="1369"/>
      <c r="BN303" s="34"/>
    </row>
    <row r="304" spans="2:66" ht="12.95" customHeight="1">
      <c r="B304" s="3" t="s">
        <v>481</v>
      </c>
      <c r="C304" s="3"/>
      <c r="D304" s="3"/>
      <c r="E304" s="3"/>
      <c r="F304" s="3"/>
      <c r="H304" s="1369" t="s">
        <v>2648</v>
      </c>
      <c r="I304" s="1369"/>
      <c r="J304" s="1369"/>
      <c r="K304" s="1369"/>
      <c r="L304" s="1369"/>
      <c r="M304" s="1369"/>
      <c r="N304" s="1369"/>
      <c r="O304" s="1369"/>
      <c r="P304" s="1369"/>
      <c r="Q304" s="1369"/>
      <c r="R304" s="1369"/>
      <c r="T304" s="3" t="s">
        <v>76</v>
      </c>
      <c r="V304" s="3"/>
      <c r="W304" s="3"/>
      <c r="X304" s="3"/>
      <c r="Y304" s="3"/>
      <c r="AA304" s="1369" t="s">
        <v>2685</v>
      </c>
      <c r="AB304" s="1369"/>
      <c r="AC304" s="1369"/>
      <c r="AD304" s="1369"/>
      <c r="AE304" s="1369"/>
      <c r="AF304" s="1369"/>
      <c r="AG304" s="1369"/>
      <c r="AH304" s="1369"/>
      <c r="AI304" s="1369"/>
      <c r="AJ304" s="1369"/>
      <c r="AK304" s="1369"/>
      <c r="BN304" s="34"/>
    </row>
    <row r="305" spans="2:66" ht="12.95" customHeight="1">
      <c r="B305" s="3" t="s">
        <v>88</v>
      </c>
      <c r="C305" s="3"/>
      <c r="D305" s="3"/>
      <c r="E305" s="3"/>
      <c r="F305" s="3"/>
      <c r="H305" s="1369" t="s">
        <v>2649</v>
      </c>
      <c r="I305" s="1369"/>
      <c r="J305" s="1369"/>
      <c r="K305" s="1369"/>
      <c r="L305" s="1369"/>
      <c r="M305" s="1369"/>
      <c r="N305" s="1369"/>
      <c r="O305" s="1369"/>
      <c r="P305" s="1369"/>
      <c r="Q305" s="1369"/>
      <c r="R305" s="1369"/>
      <c r="T305" s="3" t="s">
        <v>88</v>
      </c>
      <c r="V305" s="3"/>
      <c r="W305" s="3"/>
      <c r="X305" s="3"/>
      <c r="Y305" s="3"/>
      <c r="AA305" s="1369" t="s">
        <v>2683</v>
      </c>
      <c r="AB305" s="1369"/>
      <c r="AC305" s="1369"/>
      <c r="AD305" s="1369"/>
      <c r="AE305" s="1369"/>
      <c r="AF305" s="1369"/>
      <c r="AG305" s="1369"/>
      <c r="AH305" s="1369"/>
      <c r="AI305" s="1369"/>
      <c r="AJ305" s="1369"/>
      <c r="AK305" s="1369"/>
      <c r="BN305" s="34"/>
    </row>
    <row r="306" spans="2:66" ht="12.95" customHeight="1">
      <c r="B306" s="3" t="s">
        <v>89</v>
      </c>
      <c r="C306" s="3"/>
      <c r="D306" s="3"/>
      <c r="E306" s="3"/>
      <c r="F306" s="3"/>
      <c r="G306" s="3"/>
      <c r="H306" s="1540" t="s">
        <v>2650</v>
      </c>
      <c r="I306" s="1541"/>
      <c r="J306" s="1541"/>
      <c r="K306" s="1541"/>
      <c r="L306" s="1541"/>
      <c r="M306" s="1541"/>
      <c r="N306" s="4" t="s">
        <v>208</v>
      </c>
      <c r="O306" s="4"/>
      <c r="P306" s="1538">
        <v>6</v>
      </c>
      <c r="Q306" s="1538"/>
      <c r="R306" s="1538"/>
      <c r="S306" s="3"/>
      <c r="T306" s="3" t="s">
        <v>89</v>
      </c>
      <c r="V306" s="3"/>
      <c r="W306" s="3"/>
      <c r="X306" s="3"/>
      <c r="Y306" s="3"/>
      <c r="AA306" s="1540" t="s">
        <v>2687</v>
      </c>
      <c r="AB306" s="1541"/>
      <c r="AC306" s="1541"/>
      <c r="AD306" s="1541"/>
      <c r="AE306" s="1541"/>
      <c r="AF306" s="1541"/>
      <c r="AG306" s="4" t="s">
        <v>208</v>
      </c>
      <c r="AH306" s="4"/>
      <c r="AI306" s="1538"/>
      <c r="AJ306" s="1538"/>
      <c r="AK306" s="1538"/>
      <c r="BN306" s="34"/>
    </row>
    <row r="307" spans="2:66" ht="12.95" customHeight="1">
      <c r="B307" s="3" t="s">
        <v>90</v>
      </c>
      <c r="C307" s="3"/>
      <c r="D307" s="3"/>
      <c r="E307" s="3"/>
      <c r="F307" s="3"/>
      <c r="G307" s="3"/>
      <c r="H307" s="1441"/>
      <c r="I307" s="1441"/>
      <c r="J307" s="1441"/>
      <c r="K307" s="1441"/>
      <c r="L307" s="1441"/>
      <c r="M307" s="1441"/>
      <c r="N307" s="4"/>
      <c r="O307" s="4"/>
      <c r="P307" s="35"/>
      <c r="Q307" s="35"/>
      <c r="R307" s="35"/>
      <c r="S307" s="3"/>
      <c r="T307" s="3" t="s">
        <v>90</v>
      </c>
      <c r="V307" s="3"/>
      <c r="W307" s="3"/>
      <c r="X307" s="3"/>
      <c r="Y307" s="3"/>
      <c r="AA307" s="1441"/>
      <c r="AB307" s="1441"/>
      <c r="AC307" s="1441"/>
      <c r="AD307" s="1441"/>
      <c r="AE307" s="1441"/>
      <c r="AF307" s="1441"/>
      <c r="AG307" s="4"/>
      <c r="AH307" s="4"/>
      <c r="AI307" s="35"/>
      <c r="AJ307" s="35"/>
      <c r="AK307" s="35"/>
      <c r="BN307" s="34"/>
    </row>
    <row r="308" spans="2:66" ht="12.95" customHeight="1">
      <c r="B308" s="3" t="s">
        <v>77</v>
      </c>
      <c r="C308" s="3"/>
      <c r="D308" s="3"/>
      <c r="E308" s="3"/>
      <c r="F308" s="3"/>
      <c r="G308" s="3"/>
      <c r="H308" s="1369" t="s">
        <v>2651</v>
      </c>
      <c r="I308" s="1369"/>
      <c r="J308" s="1369"/>
      <c r="K308" s="1369"/>
      <c r="L308" s="1369"/>
      <c r="M308" s="1369"/>
      <c r="N308" s="1398"/>
      <c r="O308" s="1398"/>
      <c r="P308" s="1398"/>
      <c r="Q308" s="1398"/>
      <c r="R308" s="1398"/>
      <c r="S308" s="3"/>
      <c r="T308" s="3" t="s">
        <v>77</v>
      </c>
      <c r="V308" s="3"/>
      <c r="W308" s="3"/>
      <c r="X308" s="3"/>
      <c r="Y308" s="3"/>
      <c r="AA308" s="1467" t="s">
        <v>2688</v>
      </c>
      <c r="AB308" s="1369"/>
      <c r="AC308" s="1369"/>
      <c r="AD308" s="1369"/>
      <c r="AE308" s="1369"/>
      <c r="AF308" s="1369"/>
      <c r="AG308" s="1398"/>
      <c r="AH308" s="1398"/>
      <c r="AI308" s="1398"/>
      <c r="AJ308" s="1398"/>
      <c r="AK308" s="1398"/>
      <c r="BN308" s="34"/>
    </row>
    <row r="309" spans="2:66" ht="12.9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95" customHeight="1">
      <c r="B310" s="4" t="s">
        <v>940</v>
      </c>
      <c r="C310" s="3"/>
      <c r="D310" s="3"/>
      <c r="E310" s="3"/>
      <c r="F310" s="3"/>
      <c r="H310" s="1398" t="s">
        <v>2652</v>
      </c>
      <c r="I310" s="1398"/>
      <c r="J310" s="1398"/>
      <c r="K310" s="1398"/>
      <c r="L310" s="1398"/>
      <c r="M310" s="1398"/>
      <c r="N310" s="1398"/>
      <c r="O310" s="1398"/>
      <c r="P310" s="1398"/>
      <c r="Q310" s="1398"/>
      <c r="R310" s="1398"/>
      <c r="S310" s="3"/>
      <c r="T310" s="3" t="s">
        <v>367</v>
      </c>
      <c r="V310" s="3"/>
      <c r="W310" s="3"/>
      <c r="X310" s="3"/>
      <c r="Y310" s="3"/>
      <c r="AA310" s="1476" t="s">
        <v>2689</v>
      </c>
      <c r="AB310" s="1398"/>
      <c r="AC310" s="1398"/>
      <c r="AD310" s="1398"/>
      <c r="AE310" s="1398"/>
      <c r="AF310" s="1398"/>
      <c r="AG310" s="1398"/>
      <c r="AH310" s="1398"/>
      <c r="AI310" s="1398"/>
      <c r="AJ310" s="1398"/>
      <c r="AK310" s="1398"/>
      <c r="BN310" s="34"/>
    </row>
    <row r="311" spans="2:66" ht="12.95" customHeight="1">
      <c r="B311" s="3" t="s">
        <v>480</v>
      </c>
      <c r="C311" s="3"/>
      <c r="D311" s="3"/>
      <c r="E311" s="3"/>
      <c r="F311" s="3"/>
      <c r="H311" s="1369" t="s">
        <v>2653</v>
      </c>
      <c r="I311" s="1369"/>
      <c r="J311" s="1369"/>
      <c r="K311" s="1369"/>
      <c r="L311" s="1369"/>
      <c r="M311" s="1369"/>
      <c r="N311" s="1369"/>
      <c r="O311" s="1369"/>
      <c r="P311" s="1369"/>
      <c r="Q311" s="1369"/>
      <c r="R311" s="1369"/>
      <c r="S311" s="3"/>
      <c r="T311" s="3" t="s">
        <v>480</v>
      </c>
      <c r="V311" s="3"/>
      <c r="W311" s="3"/>
      <c r="X311" s="3"/>
      <c r="Y311" s="3"/>
      <c r="AA311" s="1369"/>
      <c r="AB311" s="1369"/>
      <c r="AC311" s="1369"/>
      <c r="AD311" s="1369"/>
      <c r="AE311" s="1369"/>
      <c r="AF311" s="1369"/>
      <c r="AG311" s="1369"/>
      <c r="AH311" s="1369"/>
      <c r="AI311" s="1369"/>
      <c r="AJ311" s="1369"/>
      <c r="AK311" s="1369"/>
      <c r="BN311" s="34"/>
    </row>
    <row r="312" spans="2:66" ht="12.95" customHeight="1">
      <c r="B312" s="3" t="s">
        <v>481</v>
      </c>
      <c r="C312" s="3"/>
      <c r="D312" s="3"/>
      <c r="E312" s="3"/>
      <c r="F312" s="3"/>
      <c r="H312" s="1369" t="s">
        <v>2654</v>
      </c>
      <c r="I312" s="1369"/>
      <c r="J312" s="1369"/>
      <c r="K312" s="1369"/>
      <c r="L312" s="1369"/>
      <c r="M312" s="1369"/>
      <c r="N312" s="1369"/>
      <c r="O312" s="1369"/>
      <c r="P312" s="1369"/>
      <c r="Q312" s="1369"/>
      <c r="R312" s="1369"/>
      <c r="S312" s="3"/>
      <c r="T312" s="3" t="s">
        <v>76</v>
      </c>
      <c r="V312" s="3"/>
      <c r="W312" s="3"/>
      <c r="X312" s="3"/>
      <c r="Y312" s="3"/>
      <c r="AA312" s="1369"/>
      <c r="AB312" s="1369"/>
      <c r="AC312" s="1369"/>
      <c r="AD312" s="1369"/>
      <c r="AE312" s="1369"/>
      <c r="AF312" s="1369"/>
      <c r="AG312" s="1369"/>
      <c r="AH312" s="1369"/>
      <c r="AI312" s="1369"/>
      <c r="AJ312" s="1369"/>
      <c r="AK312" s="1369"/>
      <c r="BN312" s="34"/>
    </row>
    <row r="313" spans="2:66" ht="12.95" customHeight="1">
      <c r="B313" s="3" t="s">
        <v>88</v>
      </c>
      <c r="C313" s="3"/>
      <c r="D313" s="3"/>
      <c r="E313" s="3"/>
      <c r="F313" s="3"/>
      <c r="H313" s="1369" t="s">
        <v>2655</v>
      </c>
      <c r="I313" s="1369"/>
      <c r="J313" s="1369"/>
      <c r="K313" s="1369"/>
      <c r="L313" s="1369"/>
      <c r="M313" s="1369"/>
      <c r="N313" s="1369"/>
      <c r="O313" s="1369"/>
      <c r="P313" s="1369"/>
      <c r="Q313" s="1369"/>
      <c r="R313" s="1369"/>
      <c r="S313" s="3"/>
      <c r="T313" s="3" t="s">
        <v>88</v>
      </c>
      <c r="V313" s="3"/>
      <c r="W313" s="3"/>
      <c r="X313" s="3"/>
      <c r="Y313" s="3"/>
      <c r="AA313" s="1369"/>
      <c r="AB313" s="1369"/>
      <c r="AC313" s="1369"/>
      <c r="AD313" s="1369"/>
      <c r="AE313" s="1369"/>
      <c r="AF313" s="1369"/>
      <c r="AG313" s="1369"/>
      <c r="AH313" s="1369"/>
      <c r="AI313" s="1369"/>
      <c r="AJ313" s="1369"/>
      <c r="AK313" s="1369"/>
      <c r="BN313" s="34"/>
    </row>
    <row r="314" spans="2:66" ht="12.95" customHeight="1">
      <c r="B314" s="3" t="s">
        <v>89</v>
      </c>
      <c r="C314" s="3"/>
      <c r="D314" s="3"/>
      <c r="E314" s="3"/>
      <c r="F314" s="3"/>
      <c r="G314" s="3"/>
      <c r="H314" s="1541" t="s">
        <v>2656</v>
      </c>
      <c r="I314" s="1541"/>
      <c r="J314" s="1541"/>
      <c r="K314" s="1541"/>
      <c r="L314" s="1541"/>
      <c r="M314" s="1541"/>
      <c r="N314" s="4" t="s">
        <v>208</v>
      </c>
      <c r="O314" s="4"/>
      <c r="P314" s="1538"/>
      <c r="Q314" s="1538"/>
      <c r="R314" s="1538"/>
      <c r="S314" s="3"/>
      <c r="T314" s="3" t="s">
        <v>89</v>
      </c>
      <c r="V314" s="3"/>
      <c r="W314" s="3"/>
      <c r="X314" s="3"/>
      <c r="Y314" s="3"/>
      <c r="AA314" s="1541"/>
      <c r="AB314" s="1541"/>
      <c r="AC314" s="1541"/>
      <c r="AD314" s="1541"/>
      <c r="AE314" s="1541"/>
      <c r="AF314" s="1541"/>
      <c r="AG314" s="4" t="s">
        <v>208</v>
      </c>
      <c r="AH314" s="4"/>
      <c r="AI314" s="1538"/>
      <c r="AJ314" s="1538"/>
      <c r="AK314" s="1538"/>
      <c r="BN314" s="34"/>
    </row>
    <row r="315" spans="2:66" ht="12.95" customHeight="1">
      <c r="B315" s="3" t="s">
        <v>90</v>
      </c>
      <c r="C315" s="3"/>
      <c r="D315" s="3"/>
      <c r="E315" s="3"/>
      <c r="F315" s="3"/>
      <c r="G315" s="3"/>
      <c r="H315" s="1441" t="s">
        <v>2658</v>
      </c>
      <c r="I315" s="1441"/>
      <c r="J315" s="1441"/>
      <c r="K315" s="1441"/>
      <c r="L315" s="1441"/>
      <c r="M315" s="1441"/>
      <c r="N315" s="4"/>
      <c r="O315" s="4"/>
      <c r="P315" s="35"/>
      <c r="Q315" s="35"/>
      <c r="R315" s="35"/>
      <c r="S315" s="3"/>
      <c r="T315" s="3" t="s">
        <v>90</v>
      </c>
      <c r="V315" s="3"/>
      <c r="W315" s="3"/>
      <c r="X315" s="3"/>
      <c r="Y315" s="3"/>
      <c r="AA315" s="1441"/>
      <c r="AB315" s="1441"/>
      <c r="AC315" s="1441"/>
      <c r="AD315" s="1441"/>
      <c r="AE315" s="1441"/>
      <c r="AF315" s="1441"/>
      <c r="AG315" s="4"/>
      <c r="AH315" s="4"/>
      <c r="AI315" s="35"/>
      <c r="AJ315" s="35"/>
      <c r="AK315" s="35"/>
      <c r="BN315" s="34"/>
    </row>
    <row r="316" spans="2:66" ht="12.95" customHeight="1">
      <c r="B316" s="3" t="s">
        <v>77</v>
      </c>
      <c r="C316" s="3"/>
      <c r="D316" s="3"/>
      <c r="E316" s="3"/>
      <c r="F316" s="3"/>
      <c r="G316" s="3"/>
      <c r="H316" s="1369" t="s">
        <v>2657</v>
      </c>
      <c r="I316" s="1369"/>
      <c r="J316" s="1369"/>
      <c r="K316" s="1369"/>
      <c r="L316" s="1369"/>
      <c r="M316" s="1369"/>
      <c r="N316" s="1398"/>
      <c r="O316" s="1398"/>
      <c r="P316" s="1398"/>
      <c r="Q316" s="1398"/>
      <c r="R316" s="1398"/>
      <c r="S316" s="3"/>
      <c r="T316" s="3" t="s">
        <v>77</v>
      </c>
      <c r="V316" s="3"/>
      <c r="W316" s="3"/>
      <c r="X316" s="3"/>
      <c r="Y316" s="3"/>
      <c r="AA316" s="1369"/>
      <c r="AB316" s="1369"/>
      <c r="AC316" s="1369"/>
      <c r="AD316" s="1369"/>
      <c r="AE316" s="1369"/>
      <c r="AF316" s="1369"/>
      <c r="AG316" s="1398"/>
      <c r="AH316" s="1398"/>
      <c r="AI316" s="1398"/>
      <c r="AJ316" s="1398"/>
      <c r="AK316" s="1398"/>
      <c r="BN316" s="34"/>
    </row>
    <row r="317" spans="2:66" ht="12.95" customHeight="1">
      <c r="BN317" s="34"/>
    </row>
    <row r="318" spans="2:66" ht="12.95" customHeight="1">
      <c r="B318" s="4" t="s">
        <v>941</v>
      </c>
      <c r="C318" s="3"/>
      <c r="D318" s="3"/>
      <c r="E318" s="3"/>
      <c r="F318" s="3"/>
      <c r="H318" s="1398" t="s">
        <v>2659</v>
      </c>
      <c r="I318" s="1398"/>
      <c r="J318" s="1398"/>
      <c r="K318" s="1398"/>
      <c r="L318" s="1398"/>
      <c r="M318" s="1398"/>
      <c r="N318" s="1398"/>
      <c r="O318" s="1398"/>
      <c r="P318" s="1398"/>
      <c r="Q318" s="1398"/>
      <c r="R318" s="1398"/>
      <c r="T318" s="3" t="s">
        <v>368</v>
      </c>
      <c r="V318" s="3"/>
      <c r="W318" s="3"/>
      <c r="X318" s="3"/>
      <c r="Y318" s="3"/>
      <c r="AA318" s="1398" t="s">
        <v>2690</v>
      </c>
      <c r="AB318" s="1398"/>
      <c r="AC318" s="1398"/>
      <c r="AD318" s="1398"/>
      <c r="AE318" s="1398"/>
      <c r="AF318" s="1398"/>
      <c r="AG318" s="1398"/>
      <c r="AH318" s="1398"/>
      <c r="AI318" s="1398"/>
      <c r="AJ318" s="1398"/>
      <c r="AK318" s="1398"/>
      <c r="BN318" s="34"/>
    </row>
    <row r="319" spans="2:66" ht="12.95" customHeight="1">
      <c r="B319" s="3" t="s">
        <v>480</v>
      </c>
      <c r="C319" s="3"/>
      <c r="D319" s="3"/>
      <c r="E319" s="3"/>
      <c r="F319" s="3"/>
      <c r="H319" s="1369" t="s">
        <v>2660</v>
      </c>
      <c r="I319" s="1369"/>
      <c r="J319" s="1369"/>
      <c r="K319" s="1369"/>
      <c r="L319" s="1369"/>
      <c r="M319" s="1369"/>
      <c r="N319" s="1369"/>
      <c r="O319" s="1369"/>
      <c r="P319" s="1369"/>
      <c r="Q319" s="1369"/>
      <c r="R319" s="1369"/>
      <c r="T319" s="3" t="s">
        <v>480</v>
      </c>
      <c r="V319" s="3"/>
      <c r="W319" s="3"/>
      <c r="X319" s="3"/>
      <c r="Y319" s="3"/>
      <c r="AA319" s="1369" t="s">
        <v>2691</v>
      </c>
      <c r="AB319" s="1369"/>
      <c r="AC319" s="1369"/>
      <c r="AD319" s="1369"/>
      <c r="AE319" s="1369"/>
      <c r="AF319" s="1369"/>
      <c r="AG319" s="1369"/>
      <c r="AH319" s="1369"/>
      <c r="AI319" s="1369"/>
      <c r="AJ319" s="1369"/>
      <c r="AK319" s="1369"/>
      <c r="BN319" s="34"/>
    </row>
    <row r="320" spans="2:66" ht="12.95" customHeight="1">
      <c r="B320" s="3" t="s">
        <v>481</v>
      </c>
      <c r="C320" s="3"/>
      <c r="D320" s="3"/>
      <c r="E320" s="3"/>
      <c r="F320" s="3"/>
      <c r="H320" s="1369" t="s">
        <v>2661</v>
      </c>
      <c r="I320" s="1369"/>
      <c r="J320" s="1369"/>
      <c r="K320" s="1369"/>
      <c r="L320" s="1369"/>
      <c r="M320" s="1369"/>
      <c r="N320" s="1369"/>
      <c r="O320" s="1369"/>
      <c r="P320" s="1369"/>
      <c r="Q320" s="1369"/>
      <c r="R320" s="1369"/>
      <c r="T320" s="3" t="s">
        <v>76</v>
      </c>
      <c r="V320" s="3"/>
      <c r="W320" s="3"/>
      <c r="X320" s="3"/>
      <c r="Y320" s="3"/>
      <c r="AA320" s="1369" t="s">
        <v>2685</v>
      </c>
      <c r="AB320" s="1369"/>
      <c r="AC320" s="1369"/>
      <c r="AD320" s="1369"/>
      <c r="AE320" s="1369"/>
      <c r="AF320" s="1369"/>
      <c r="AG320" s="1369"/>
      <c r="AH320" s="1369"/>
      <c r="AI320" s="1369"/>
      <c r="AJ320" s="1369"/>
      <c r="AK320" s="1369"/>
      <c r="BN320" s="34"/>
    </row>
    <row r="321" spans="2:66" ht="12.95" customHeight="1">
      <c r="B321" s="3" t="s">
        <v>88</v>
      </c>
      <c r="C321" s="3"/>
      <c r="D321" s="3"/>
      <c r="E321" s="3"/>
      <c r="F321" s="3"/>
      <c r="H321" s="1467" t="s">
        <v>2662</v>
      </c>
      <c r="I321" s="1369"/>
      <c r="J321" s="1369"/>
      <c r="K321" s="1369"/>
      <c r="L321" s="1369"/>
      <c r="M321" s="1369"/>
      <c r="N321" s="1369"/>
      <c r="O321" s="1369"/>
      <c r="P321" s="1369"/>
      <c r="Q321" s="1369"/>
      <c r="R321" s="1369"/>
      <c r="T321" s="3" t="s">
        <v>88</v>
      </c>
      <c r="V321" s="3"/>
      <c r="W321" s="3"/>
      <c r="X321" s="3"/>
      <c r="Y321" s="3"/>
      <c r="AA321" s="1369" t="s">
        <v>2692</v>
      </c>
      <c r="AB321" s="1369"/>
      <c r="AC321" s="1369"/>
      <c r="AD321" s="1369"/>
      <c r="AE321" s="1369"/>
      <c r="AF321" s="1369"/>
      <c r="AG321" s="1369"/>
      <c r="AH321" s="1369"/>
      <c r="AI321" s="1369"/>
      <c r="AJ321" s="1369"/>
      <c r="AK321" s="1369"/>
      <c r="BN321" s="34"/>
    </row>
    <row r="322" spans="2:66" ht="12.95" customHeight="1">
      <c r="B322" s="3" t="s">
        <v>89</v>
      </c>
      <c r="C322" s="3"/>
      <c r="D322" s="3"/>
      <c r="E322" s="3"/>
      <c r="F322" s="3"/>
      <c r="G322" s="3"/>
      <c r="H322" s="1540" t="s">
        <v>2663</v>
      </c>
      <c r="I322" s="1541"/>
      <c r="J322" s="1541"/>
      <c r="K322" s="1541"/>
      <c r="L322" s="1541"/>
      <c r="M322" s="1541"/>
      <c r="N322" s="4" t="s">
        <v>208</v>
      </c>
      <c r="O322" s="4"/>
      <c r="P322" s="1538"/>
      <c r="Q322" s="1538"/>
      <c r="R322" s="1538"/>
      <c r="S322" s="3"/>
      <c r="T322" s="3" t="s">
        <v>89</v>
      </c>
      <c r="V322" s="3"/>
      <c r="W322" s="3"/>
      <c r="X322" s="3"/>
      <c r="Y322" s="3"/>
      <c r="AA322" s="1541" t="s">
        <v>2693</v>
      </c>
      <c r="AB322" s="1541"/>
      <c r="AC322" s="1541"/>
      <c r="AD322" s="1541"/>
      <c r="AE322" s="1541"/>
      <c r="AF322" s="1541"/>
      <c r="AG322" s="4" t="s">
        <v>208</v>
      </c>
      <c r="AH322" s="4"/>
      <c r="AI322" s="1538"/>
      <c r="AJ322" s="1538"/>
      <c r="AK322" s="1538"/>
      <c r="BN322" s="34"/>
    </row>
    <row r="323" spans="2:66" ht="12.95" customHeight="1">
      <c r="B323" s="3" t="s">
        <v>90</v>
      </c>
      <c r="C323" s="3"/>
      <c r="D323" s="3"/>
      <c r="E323" s="3"/>
      <c r="F323" s="3"/>
      <c r="G323" s="3"/>
      <c r="H323" s="1441"/>
      <c r="I323" s="1441"/>
      <c r="J323" s="1441"/>
      <c r="K323" s="1441"/>
      <c r="L323" s="1441"/>
      <c r="M323" s="1441"/>
      <c r="N323" s="4"/>
      <c r="O323" s="4"/>
      <c r="P323" s="35"/>
      <c r="Q323" s="35"/>
      <c r="R323" s="35"/>
      <c r="S323" s="3"/>
      <c r="T323" s="3" t="s">
        <v>90</v>
      </c>
      <c r="V323" s="3"/>
      <c r="W323" s="3"/>
      <c r="X323" s="3"/>
      <c r="Y323" s="3"/>
      <c r="AA323" s="1441"/>
      <c r="AB323" s="1441"/>
      <c r="AC323" s="1441"/>
      <c r="AD323" s="1441"/>
      <c r="AE323" s="1441"/>
      <c r="AF323" s="1441"/>
      <c r="AG323" s="4"/>
      <c r="AH323" s="4"/>
      <c r="AI323" s="35"/>
      <c r="AJ323" s="35"/>
      <c r="AK323" s="35"/>
    </row>
    <row r="324" spans="2:66" ht="12.95" customHeight="1">
      <c r="B324" s="3" t="s">
        <v>77</v>
      </c>
      <c r="C324" s="3"/>
      <c r="D324" s="3"/>
      <c r="E324" s="3"/>
      <c r="F324" s="3"/>
      <c r="G324" s="3"/>
      <c r="H324" s="1467" t="s">
        <v>2664</v>
      </c>
      <c r="I324" s="1369"/>
      <c r="J324" s="1369"/>
      <c r="K324" s="1369"/>
      <c r="L324" s="1369"/>
      <c r="M324" s="1369"/>
      <c r="N324" s="1398"/>
      <c r="O324" s="1398"/>
      <c r="P324" s="1398"/>
      <c r="Q324" s="1398"/>
      <c r="R324" s="1398"/>
      <c r="S324" s="3"/>
      <c r="T324" s="3" t="s">
        <v>77</v>
      </c>
      <c r="V324" s="3"/>
      <c r="W324" s="3"/>
      <c r="X324" s="3"/>
      <c r="Y324" s="3"/>
      <c r="AA324" s="1369" t="s">
        <v>2694</v>
      </c>
      <c r="AB324" s="1369"/>
      <c r="AC324" s="1369"/>
      <c r="AD324" s="1369"/>
      <c r="AE324" s="1369"/>
      <c r="AF324" s="1369"/>
      <c r="AG324" s="1398"/>
      <c r="AH324" s="1398"/>
      <c r="AI324" s="1398"/>
      <c r="AJ324" s="1398"/>
      <c r="AK324" s="1398"/>
    </row>
    <row r="325" spans="2:66" ht="12.95" customHeight="1">
      <c r="B325" s="3"/>
      <c r="C325" s="3"/>
      <c r="D325" s="3"/>
      <c r="E325" s="3"/>
      <c r="F325" s="3"/>
      <c r="G325" s="3"/>
      <c r="P325" s="163"/>
      <c r="Q325" s="163"/>
      <c r="R325" s="163"/>
      <c r="S325" s="163"/>
      <c r="T325" s="163"/>
      <c r="U325" s="163"/>
      <c r="V325" s="4"/>
      <c r="W325" s="4"/>
      <c r="X325" s="35"/>
      <c r="Y325" s="35"/>
      <c r="Z325" s="35"/>
    </row>
    <row r="326" spans="2:66" ht="12.95" customHeight="1">
      <c r="B326" s="3" t="s">
        <v>369</v>
      </c>
      <c r="C326" s="3"/>
      <c r="D326" s="3"/>
      <c r="E326" s="3"/>
      <c r="F326" s="3"/>
      <c r="H326" s="1476" t="s">
        <v>2669</v>
      </c>
      <c r="I326" s="1398"/>
      <c r="J326" s="1398"/>
      <c r="K326" s="1398"/>
      <c r="L326" s="1398"/>
      <c r="M326" s="1398"/>
      <c r="N326" s="1398"/>
      <c r="O326" s="1398"/>
      <c r="P326" s="1398"/>
      <c r="Q326" s="1398"/>
      <c r="R326" s="1398"/>
      <c r="T326" s="3" t="s">
        <v>370</v>
      </c>
      <c r="V326" s="3"/>
      <c r="W326" s="3"/>
      <c r="X326" s="3"/>
      <c r="Y326" s="3"/>
      <c r="AA326" s="1476" t="s">
        <v>600</v>
      </c>
      <c r="AB326" s="1398"/>
      <c r="AC326" s="1398"/>
      <c r="AD326" s="1398"/>
      <c r="AE326" s="1398"/>
      <c r="AF326" s="1398"/>
      <c r="AG326" s="1398"/>
      <c r="AH326" s="1398"/>
      <c r="AI326" s="1398"/>
      <c r="AJ326" s="1398"/>
      <c r="AK326" s="1398"/>
    </row>
    <row r="327" spans="2:66" ht="12.95" customHeight="1">
      <c r="B327" s="3" t="s">
        <v>480</v>
      </c>
      <c r="C327" s="3"/>
      <c r="D327" s="3"/>
      <c r="E327" s="3"/>
      <c r="F327" s="3"/>
      <c r="H327" s="1467" t="s">
        <v>2666</v>
      </c>
      <c r="I327" s="1369"/>
      <c r="J327" s="1369"/>
      <c r="K327" s="1369"/>
      <c r="L327" s="1369"/>
      <c r="M327" s="1369"/>
      <c r="N327" s="1369"/>
      <c r="O327" s="1369"/>
      <c r="P327" s="1369"/>
      <c r="Q327" s="1369"/>
      <c r="R327" s="1369"/>
      <c r="T327" s="3" t="s">
        <v>480</v>
      </c>
      <c r="V327" s="3"/>
      <c r="W327" s="3"/>
      <c r="X327" s="3"/>
      <c r="Y327" s="3"/>
      <c r="AA327" s="1369"/>
      <c r="AB327" s="1369"/>
      <c r="AC327" s="1369"/>
      <c r="AD327" s="1369"/>
      <c r="AE327" s="1369"/>
      <c r="AF327" s="1369"/>
      <c r="AG327" s="1369"/>
      <c r="AH327" s="1369"/>
      <c r="AI327" s="1369"/>
      <c r="AJ327" s="1369"/>
      <c r="AK327" s="1369"/>
    </row>
    <row r="328" spans="2:66" ht="12.95" customHeight="1">
      <c r="B328" s="3" t="s">
        <v>481</v>
      </c>
      <c r="C328" s="3"/>
      <c r="D328" s="3"/>
      <c r="E328" s="3"/>
      <c r="F328" s="3"/>
      <c r="H328" s="1467" t="s">
        <v>2667</v>
      </c>
      <c r="I328" s="1369"/>
      <c r="J328" s="1369"/>
      <c r="K328" s="1369"/>
      <c r="L328" s="1369"/>
      <c r="M328" s="1369"/>
      <c r="N328" s="1369"/>
      <c r="O328" s="1369"/>
      <c r="P328" s="1369"/>
      <c r="Q328" s="1369"/>
      <c r="R328" s="1369"/>
      <c r="T328" s="3" t="s">
        <v>76</v>
      </c>
      <c r="V328" s="3"/>
      <c r="W328" s="3"/>
      <c r="X328" s="3"/>
      <c r="Y328" s="3"/>
      <c r="AA328" s="1369"/>
      <c r="AB328" s="1369"/>
      <c r="AC328" s="1369"/>
      <c r="AD328" s="1369"/>
      <c r="AE328" s="1369"/>
      <c r="AF328" s="1369"/>
      <c r="AG328" s="1369"/>
      <c r="AH328" s="1369"/>
      <c r="AI328" s="1369"/>
      <c r="AJ328" s="1369"/>
      <c r="AK328" s="1369"/>
    </row>
    <row r="329" spans="2:66" ht="12.95" customHeight="1">
      <c r="B329" s="3" t="s">
        <v>88</v>
      </c>
      <c r="C329" s="3"/>
      <c r="D329" s="3"/>
      <c r="E329" s="3"/>
      <c r="F329" s="3"/>
      <c r="H329" s="1467" t="s">
        <v>2665</v>
      </c>
      <c r="I329" s="1369"/>
      <c r="J329" s="1369"/>
      <c r="K329" s="1369"/>
      <c r="L329" s="1369"/>
      <c r="M329" s="1369"/>
      <c r="N329" s="1369"/>
      <c r="O329" s="1369"/>
      <c r="P329" s="1369"/>
      <c r="Q329" s="1369"/>
      <c r="R329" s="1369"/>
      <c r="T329" s="3" t="s">
        <v>88</v>
      </c>
      <c r="V329" s="3"/>
      <c r="W329" s="3"/>
      <c r="X329" s="3"/>
      <c r="Y329" s="3"/>
      <c r="AA329" s="1369"/>
      <c r="AB329" s="1369"/>
      <c r="AC329" s="1369"/>
      <c r="AD329" s="1369"/>
      <c r="AE329" s="1369"/>
      <c r="AF329" s="1369"/>
      <c r="AG329" s="1369"/>
      <c r="AH329" s="1369"/>
      <c r="AI329" s="1369"/>
      <c r="AJ329" s="1369"/>
      <c r="AK329" s="1369"/>
    </row>
    <row r="330" spans="2:66" ht="12.95" customHeight="1">
      <c r="B330" s="3" t="s">
        <v>89</v>
      </c>
      <c r="C330" s="3"/>
      <c r="D330" s="3"/>
      <c r="E330" s="3"/>
      <c r="F330" s="3"/>
      <c r="G330" s="3"/>
      <c r="H330" s="1540" t="s">
        <v>2668</v>
      </c>
      <c r="I330" s="1541"/>
      <c r="J330" s="1541"/>
      <c r="K330" s="1541"/>
      <c r="L330" s="1541"/>
      <c r="M330" s="1541"/>
      <c r="N330" s="4" t="s">
        <v>208</v>
      </c>
      <c r="O330" s="4"/>
      <c r="P330" s="1538">
        <v>101</v>
      </c>
      <c r="Q330" s="1538"/>
      <c r="R330" s="1538"/>
      <c r="S330" s="3"/>
      <c r="T330" s="3" t="s">
        <v>89</v>
      </c>
      <c r="V330" s="3"/>
      <c r="W330" s="3"/>
      <c r="X330" s="3"/>
      <c r="Y330" s="3"/>
      <c r="AA330" s="1541"/>
      <c r="AB330" s="1541"/>
      <c r="AC330" s="1541"/>
      <c r="AD330" s="1541"/>
      <c r="AE330" s="1541"/>
      <c r="AF330" s="1541"/>
      <c r="AG330" s="4" t="s">
        <v>208</v>
      </c>
      <c r="AH330" s="4"/>
      <c r="AI330" s="1538"/>
      <c r="AJ330" s="1538"/>
      <c r="AK330" s="1538"/>
    </row>
    <row r="331" spans="2:66" ht="12.95" customHeight="1">
      <c r="B331" s="3" t="s">
        <v>90</v>
      </c>
      <c r="C331" s="3"/>
      <c r="D331" s="3"/>
      <c r="E331" s="3"/>
      <c r="F331" s="3"/>
      <c r="G331" s="3"/>
      <c r="H331" s="1441"/>
      <c r="I331" s="1441"/>
      <c r="J331" s="1441"/>
      <c r="K331" s="1441"/>
      <c r="L331" s="1441"/>
      <c r="M331" s="1441"/>
      <c r="N331" s="4"/>
      <c r="O331" s="4"/>
      <c r="P331" s="35"/>
      <c r="Q331" s="35"/>
      <c r="R331" s="35"/>
      <c r="S331" s="3"/>
      <c r="T331" s="3" t="s">
        <v>90</v>
      </c>
      <c r="V331" s="3"/>
      <c r="W331" s="3"/>
      <c r="X331" s="3"/>
      <c r="Y331" s="3"/>
      <c r="AA331" s="1441"/>
      <c r="AB331" s="1441"/>
      <c r="AC331" s="1441"/>
      <c r="AD331" s="1441"/>
      <c r="AE331" s="1441"/>
      <c r="AF331" s="1441"/>
      <c r="AG331" s="4"/>
      <c r="AH331" s="4"/>
      <c r="AI331" s="35"/>
      <c r="AJ331" s="35"/>
      <c r="AK331" s="35"/>
    </row>
    <row r="332" spans="2:66" ht="12.95" customHeight="1">
      <c r="B332" s="3" t="s">
        <v>77</v>
      </c>
      <c r="C332" s="3"/>
      <c r="D332" s="3"/>
      <c r="E332" s="3"/>
      <c r="F332" s="3"/>
      <c r="G332" s="3"/>
      <c r="H332" s="1467" t="s">
        <v>2670</v>
      </c>
      <c r="I332" s="1369"/>
      <c r="J332" s="1369"/>
      <c r="K332" s="1369"/>
      <c r="L332" s="1369"/>
      <c r="M332" s="1369"/>
      <c r="N332" s="1398"/>
      <c r="O332" s="1398"/>
      <c r="P332" s="1398"/>
      <c r="Q332" s="1398"/>
      <c r="R332" s="1398"/>
      <c r="S332" s="3"/>
      <c r="T332" s="3" t="s">
        <v>77</v>
      </c>
      <c r="V332" s="3"/>
      <c r="W332" s="3"/>
      <c r="X332" s="3"/>
      <c r="Y332" s="3"/>
      <c r="AA332" s="1369"/>
      <c r="AB332" s="1369"/>
      <c r="AC332" s="1369"/>
      <c r="AD332" s="1369"/>
      <c r="AE332" s="1369"/>
      <c r="AF332" s="1369"/>
      <c r="AG332" s="1398"/>
      <c r="AH332" s="1398"/>
      <c r="AI332" s="1398"/>
      <c r="AJ332" s="1398"/>
      <c r="AK332" s="1398"/>
    </row>
    <row r="333" spans="2:66" ht="12.95" customHeight="1">
      <c r="B333" s="3"/>
      <c r="C333" s="3"/>
      <c r="D333" s="3"/>
      <c r="E333" s="3"/>
      <c r="F333" s="3"/>
      <c r="G333" s="3"/>
      <c r="P333" s="163"/>
      <c r="Q333" s="163"/>
      <c r="R333" s="163"/>
      <c r="S333" s="163"/>
      <c r="T333" s="163"/>
      <c r="U333" s="163"/>
      <c r="V333" s="4"/>
      <c r="W333" s="4"/>
      <c r="X333" s="35"/>
      <c r="Y333" s="35"/>
      <c r="Z333" s="35"/>
    </row>
    <row r="334" spans="2:66" ht="12.95" customHeight="1">
      <c r="B334" s="3" t="s">
        <v>331</v>
      </c>
      <c r="C334" s="3"/>
      <c r="D334" s="3"/>
      <c r="E334" s="3"/>
      <c r="F334" s="3"/>
      <c r="H334" s="1398" t="s">
        <v>2743</v>
      </c>
      <c r="I334" s="1398"/>
      <c r="J334" s="1398"/>
      <c r="K334" s="1398"/>
      <c r="L334" s="1398"/>
      <c r="M334" s="1398"/>
      <c r="N334" s="1398"/>
      <c r="O334" s="1398"/>
      <c r="P334" s="1398"/>
      <c r="Q334" s="1398"/>
      <c r="R334" s="1398"/>
      <c r="T334" s="218" t="s">
        <v>916</v>
      </c>
      <c r="V334" s="3"/>
      <c r="W334" s="3"/>
      <c r="X334" s="3"/>
      <c r="Y334" s="3"/>
      <c r="AA334" s="1398" t="s">
        <v>2695</v>
      </c>
      <c r="AB334" s="1398"/>
      <c r="AC334" s="1398"/>
      <c r="AD334" s="1398"/>
      <c r="AE334" s="1398"/>
      <c r="AF334" s="1398"/>
      <c r="AG334" s="1398"/>
      <c r="AH334" s="1398"/>
      <c r="AI334" s="1398"/>
      <c r="AJ334" s="1398"/>
      <c r="AK334" s="1398"/>
    </row>
    <row r="335" spans="2:66" ht="12.95" customHeight="1">
      <c r="B335" s="3" t="s">
        <v>480</v>
      </c>
      <c r="C335" s="3"/>
      <c r="D335" s="3"/>
      <c r="E335" s="3"/>
      <c r="F335" s="3"/>
      <c r="H335" s="1369" t="s">
        <v>2744</v>
      </c>
      <c r="I335" s="1369"/>
      <c r="J335" s="1369"/>
      <c r="K335" s="1369"/>
      <c r="L335" s="1369"/>
      <c r="M335" s="1369"/>
      <c r="N335" s="1369"/>
      <c r="O335" s="1369"/>
      <c r="P335" s="1369"/>
      <c r="Q335" s="1369"/>
      <c r="R335" s="1369"/>
      <c r="T335" s="3" t="s">
        <v>480</v>
      </c>
      <c r="V335" s="3"/>
      <c r="W335" s="3"/>
      <c r="X335" s="3"/>
      <c r="Y335" s="3"/>
      <c r="AA335" s="1369" t="s">
        <v>2643</v>
      </c>
      <c r="AB335" s="1369"/>
      <c r="AC335" s="1369"/>
      <c r="AD335" s="1369"/>
      <c r="AE335" s="1369"/>
      <c r="AF335" s="1369"/>
      <c r="AG335" s="1369"/>
      <c r="AH335" s="1369"/>
      <c r="AI335" s="1369"/>
      <c r="AJ335" s="1369"/>
      <c r="AK335" s="1369"/>
    </row>
    <row r="336" spans="2:66" ht="12.95" customHeight="1">
      <c r="B336" s="3" t="s">
        <v>76</v>
      </c>
      <c r="C336" s="3"/>
      <c r="D336" s="3"/>
      <c r="E336" s="3"/>
      <c r="F336" s="3"/>
      <c r="H336" s="1369" t="s">
        <v>2745</v>
      </c>
      <c r="I336" s="1369"/>
      <c r="J336" s="1369"/>
      <c r="K336" s="1369"/>
      <c r="L336" s="1369"/>
      <c r="M336" s="1369"/>
      <c r="N336" s="1369"/>
      <c r="O336" s="1369"/>
      <c r="P336" s="1369"/>
      <c r="Q336" s="1369"/>
      <c r="R336" s="1369"/>
      <c r="T336" s="3" t="s">
        <v>76</v>
      </c>
      <c r="V336" s="3"/>
      <c r="W336" s="3"/>
      <c r="X336" s="3"/>
      <c r="Y336" s="3"/>
      <c r="AA336" s="1369" t="s">
        <v>2667</v>
      </c>
      <c r="AB336" s="1369"/>
      <c r="AC336" s="1369"/>
      <c r="AD336" s="1369"/>
      <c r="AE336" s="1369"/>
      <c r="AF336" s="1369"/>
      <c r="AG336" s="1369"/>
      <c r="AH336" s="1369"/>
      <c r="AI336" s="1369"/>
      <c r="AJ336" s="1369"/>
      <c r="AK336" s="1369"/>
    </row>
    <row r="337" spans="1:66" ht="12.95" customHeight="1">
      <c r="B337" s="3" t="s">
        <v>88</v>
      </c>
      <c r="C337" s="3"/>
      <c r="D337" s="3"/>
      <c r="E337" s="3"/>
      <c r="F337" s="3"/>
      <c r="G337" s="3"/>
      <c r="H337" s="1369" t="s">
        <v>2746</v>
      </c>
      <c r="I337" s="1369"/>
      <c r="J337" s="1369"/>
      <c r="K337" s="1369"/>
      <c r="L337" s="1369"/>
      <c r="M337" s="1369"/>
      <c r="N337" s="1369"/>
      <c r="O337" s="1369"/>
      <c r="P337" s="1369"/>
      <c r="Q337" s="1369"/>
      <c r="R337" s="1369"/>
      <c r="T337" s="3" t="s">
        <v>88</v>
      </c>
      <c r="V337" s="3"/>
      <c r="W337" s="3"/>
      <c r="X337" s="3"/>
      <c r="Y337" s="3"/>
      <c r="AA337" s="1369" t="s">
        <v>2696</v>
      </c>
      <c r="AB337" s="1369"/>
      <c r="AC337" s="1369"/>
      <c r="AD337" s="1369"/>
      <c r="AE337" s="1369"/>
      <c r="AF337" s="1369"/>
      <c r="AG337" s="1369"/>
      <c r="AH337" s="1369"/>
      <c r="AI337" s="1369"/>
      <c r="AJ337" s="1369"/>
      <c r="AK337" s="1369"/>
    </row>
    <row r="338" spans="1:66" ht="12.95" customHeight="1">
      <c r="B338" s="3" t="s">
        <v>89</v>
      </c>
      <c r="C338" s="3"/>
      <c r="D338" s="3"/>
      <c r="E338" s="3"/>
      <c r="F338" s="3"/>
      <c r="G338" s="3"/>
      <c r="H338" s="1540" t="s">
        <v>2747</v>
      </c>
      <c r="I338" s="1541"/>
      <c r="J338" s="1541"/>
      <c r="K338" s="1541"/>
      <c r="L338" s="1541"/>
      <c r="M338" s="1541"/>
      <c r="N338" s="4" t="s">
        <v>208</v>
      </c>
      <c r="O338" s="4"/>
      <c r="P338" s="1538"/>
      <c r="Q338" s="1538"/>
      <c r="R338" s="1538"/>
      <c r="S338" s="3"/>
      <c r="T338" s="3" t="s">
        <v>89</v>
      </c>
      <c r="V338" s="3"/>
      <c r="W338" s="3"/>
      <c r="X338" s="3"/>
      <c r="Y338" s="3"/>
      <c r="AA338" s="1541" t="s">
        <v>2697</v>
      </c>
      <c r="AB338" s="1541"/>
      <c r="AC338" s="1541"/>
      <c r="AD338" s="1541"/>
      <c r="AE338" s="1541"/>
      <c r="AF338" s="1541"/>
      <c r="AG338" s="4" t="s">
        <v>208</v>
      </c>
      <c r="AH338" s="4"/>
      <c r="AI338" s="1538"/>
      <c r="AJ338" s="1538"/>
      <c r="AK338" s="1538"/>
    </row>
    <row r="339" spans="1:66" ht="12.95" customHeight="1">
      <c r="B339" s="3" t="s">
        <v>90</v>
      </c>
      <c r="C339" s="3"/>
      <c r="D339" s="3"/>
      <c r="E339" s="3"/>
      <c r="F339" s="3"/>
      <c r="G339" s="3"/>
      <c r="H339" s="1441"/>
      <c r="I339" s="1441"/>
      <c r="J339" s="1441"/>
      <c r="K339" s="1441"/>
      <c r="L339" s="1441"/>
      <c r="M339" s="1441"/>
      <c r="N339" s="4"/>
      <c r="O339" s="4"/>
      <c r="P339" s="35"/>
      <c r="Q339" s="35"/>
      <c r="R339" s="35"/>
      <c r="S339" s="3"/>
      <c r="T339" s="3" t="s">
        <v>90</v>
      </c>
      <c r="V339" s="3"/>
      <c r="W339" s="3"/>
      <c r="X339" s="3"/>
      <c r="Y339" s="3"/>
      <c r="AA339" s="1441" t="s">
        <v>2698</v>
      </c>
      <c r="AB339" s="1441"/>
      <c r="AC339" s="1441"/>
      <c r="AD339" s="1441"/>
      <c r="AE339" s="1441"/>
      <c r="AF339" s="1441"/>
      <c r="AG339" s="4"/>
      <c r="AH339" s="4"/>
      <c r="AI339" s="35"/>
      <c r="AJ339" s="35"/>
      <c r="AK339" s="35"/>
    </row>
    <row r="340" spans="1:66" ht="12.95" customHeight="1">
      <c r="B340" s="3" t="s">
        <v>77</v>
      </c>
      <c r="C340" s="3"/>
      <c r="D340" s="3"/>
      <c r="E340" s="3"/>
      <c r="F340" s="3"/>
      <c r="G340" s="3"/>
      <c r="H340" s="1369" t="s">
        <v>2748</v>
      </c>
      <c r="I340" s="1369"/>
      <c r="J340" s="1369"/>
      <c r="K340" s="1369"/>
      <c r="L340" s="1369"/>
      <c r="M340" s="1369"/>
      <c r="N340" s="1398"/>
      <c r="O340" s="1398"/>
      <c r="P340" s="1398"/>
      <c r="Q340" s="1398"/>
      <c r="R340" s="1398"/>
      <c r="S340" s="3"/>
      <c r="T340" s="3" t="s">
        <v>77</v>
      </c>
      <c r="V340" s="3"/>
      <c r="W340" s="3"/>
      <c r="X340" s="3"/>
      <c r="Y340" s="3"/>
      <c r="AA340" s="1369" t="s">
        <v>2699</v>
      </c>
      <c r="AB340" s="1369"/>
      <c r="AC340" s="1369"/>
      <c r="AD340" s="1369"/>
      <c r="AE340" s="1369"/>
      <c r="AF340" s="1369"/>
      <c r="AG340" s="1398"/>
      <c r="AH340" s="1398"/>
      <c r="AI340" s="1398"/>
      <c r="AJ340" s="1398"/>
      <c r="AK340" s="1398"/>
    </row>
    <row r="341" spans="1:66" ht="12.9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5" customHeight="1">
      <c r="B342" s="3"/>
      <c r="C342" s="4"/>
      <c r="D342" s="4"/>
      <c r="E342" s="4"/>
      <c r="F342" s="4"/>
      <c r="I342" s="218" t="s">
        <v>917</v>
      </c>
      <c r="P342" s="1398" t="s">
        <v>600</v>
      </c>
      <c r="Q342" s="1398"/>
      <c r="R342" s="1398"/>
      <c r="S342" s="1398"/>
      <c r="T342" s="1398"/>
      <c r="U342" s="1398"/>
      <c r="V342" s="1398"/>
      <c r="W342" s="1398"/>
      <c r="X342" s="1398"/>
      <c r="Y342" s="1398"/>
      <c r="Z342" s="1398"/>
      <c r="AA342" s="1398"/>
      <c r="AB342" s="1398"/>
      <c r="AC342" s="1398"/>
      <c r="AD342" s="1398"/>
      <c r="AE342" s="1398"/>
      <c r="BN342" t="s">
        <v>600</v>
      </c>
    </row>
    <row r="343" spans="1:66" ht="12.95" customHeight="1">
      <c r="B343" s="4"/>
      <c r="C343" s="4"/>
      <c r="D343" s="4"/>
      <c r="E343" s="4"/>
      <c r="F343" s="4"/>
      <c r="I343" s="4" t="s">
        <v>480</v>
      </c>
      <c r="P343" s="1369"/>
      <c r="Q343" s="1369"/>
      <c r="R343" s="1369"/>
      <c r="S343" s="1369"/>
      <c r="T343" s="1369"/>
      <c r="U343" s="1369"/>
      <c r="V343" s="1369"/>
      <c r="W343" s="1369"/>
      <c r="X343" s="1369"/>
      <c r="Y343" s="1369"/>
      <c r="Z343" s="1369"/>
      <c r="AA343" s="1369"/>
      <c r="AB343" s="1369"/>
      <c r="AC343" s="1369"/>
      <c r="AD343" s="1369"/>
      <c r="AE343" s="1369"/>
      <c r="BN343" t="s">
        <v>678</v>
      </c>
    </row>
    <row r="344" spans="1:66" ht="12.95" customHeight="1">
      <c r="B344" s="4"/>
      <c r="C344" s="4"/>
      <c r="D344" s="4"/>
      <c r="E344" s="4"/>
      <c r="F344" s="4"/>
      <c r="I344" s="4" t="s">
        <v>76</v>
      </c>
      <c r="P344" s="1369"/>
      <c r="Q344" s="1369"/>
      <c r="R344" s="1369"/>
      <c r="S344" s="1369"/>
      <c r="T344" s="1369"/>
      <c r="U344" s="1369"/>
      <c r="V344" s="1369"/>
      <c r="W344" s="1369"/>
      <c r="X344" s="1369"/>
      <c r="Y344" s="1369"/>
      <c r="Z344" s="1369"/>
      <c r="AA344" s="1369"/>
      <c r="AB344" s="1369"/>
      <c r="AC344" s="1369"/>
      <c r="AD344" s="1369"/>
      <c r="AE344" s="1369"/>
      <c r="BN344" t="s">
        <v>554</v>
      </c>
    </row>
    <row r="345" spans="1:66" ht="12.95" customHeight="1">
      <c r="B345" s="4"/>
      <c r="C345" s="4"/>
      <c r="D345" s="4"/>
      <c r="E345" s="4"/>
      <c r="F345" s="4"/>
      <c r="G345" s="4"/>
      <c r="I345" s="4" t="s">
        <v>88</v>
      </c>
      <c r="P345" s="1369"/>
      <c r="Q345" s="1369"/>
      <c r="R345" s="1369"/>
      <c r="S345" s="1369"/>
      <c r="T345" s="1369"/>
      <c r="U345" s="1369"/>
      <c r="V345" s="1369"/>
      <c r="W345" s="1369"/>
      <c r="X345" s="1369"/>
      <c r="Y345" s="1369"/>
      <c r="Z345" s="1369"/>
      <c r="AA345" s="1369"/>
      <c r="AB345" s="1369"/>
      <c r="AC345" s="1369"/>
      <c r="AD345" s="1369"/>
      <c r="AE345" s="1369"/>
    </row>
    <row r="346" spans="1:66" ht="12.95" customHeight="1">
      <c r="B346" s="4"/>
      <c r="C346" s="4"/>
      <c r="D346" s="4"/>
      <c r="E346" s="4"/>
      <c r="F346" s="4"/>
      <c r="G346" s="4"/>
      <c r="H346" s="324"/>
      <c r="I346" s="4" t="s">
        <v>89</v>
      </c>
      <c r="P346" s="1441"/>
      <c r="Q346" s="1441"/>
      <c r="R346" s="1441"/>
      <c r="S346" s="1441"/>
      <c r="T346" s="1441"/>
      <c r="U346" s="1441"/>
      <c r="V346" s="1441"/>
      <c r="W346" s="1441"/>
      <c r="X346" s="1441"/>
      <c r="Y346" s="1441"/>
      <c r="Z346" s="1441"/>
      <c r="AA346" s="4" t="s">
        <v>208</v>
      </c>
      <c r="AB346" s="4"/>
      <c r="AC346" s="1468"/>
      <c r="AD346" s="1468"/>
      <c r="AE346" s="1468"/>
      <c r="AF346" s="324"/>
      <c r="AG346" s="4"/>
      <c r="AH346" s="4"/>
      <c r="AI346" s="4"/>
      <c r="AJ346" s="4"/>
      <c r="AK346" s="4"/>
    </row>
    <row r="347" spans="1:66" ht="12.95" customHeight="1">
      <c r="B347" s="4"/>
      <c r="C347" s="4"/>
      <c r="D347" s="4"/>
      <c r="E347" s="4"/>
      <c r="F347" s="4"/>
      <c r="G347" s="4"/>
      <c r="H347" s="324"/>
      <c r="I347" s="4" t="s">
        <v>90</v>
      </c>
      <c r="P347" s="1441"/>
      <c r="Q347" s="1441"/>
      <c r="R347" s="1441"/>
      <c r="S347" s="1441"/>
      <c r="T347" s="1441"/>
      <c r="U347" s="1441"/>
      <c r="V347" s="1441"/>
      <c r="W347" s="1441"/>
      <c r="X347" s="1441"/>
      <c r="Y347" s="1441"/>
      <c r="Z347" s="1441"/>
      <c r="AF347" s="324"/>
      <c r="AG347" s="4"/>
      <c r="AH347" s="4"/>
      <c r="AI347" s="35"/>
      <c r="AJ347" s="35"/>
      <c r="AK347" s="35"/>
    </row>
    <row r="348" spans="1:66" ht="12.95" customHeight="1">
      <c r="B348" s="4"/>
      <c r="C348" s="4"/>
      <c r="D348" s="4"/>
      <c r="E348" s="4"/>
      <c r="F348" s="4"/>
      <c r="G348" s="4"/>
      <c r="I348" s="4" t="s">
        <v>77</v>
      </c>
      <c r="P348" s="1398"/>
      <c r="Q348" s="1398"/>
      <c r="R348" s="1398"/>
      <c r="S348" s="1398"/>
      <c r="T348" s="1398"/>
      <c r="U348" s="1398"/>
      <c r="V348" s="1398"/>
      <c r="W348" s="1398"/>
      <c r="X348" s="1398"/>
      <c r="Y348" s="1398"/>
      <c r="Z348" s="1398"/>
      <c r="AA348" s="1398"/>
      <c r="AB348" s="1398"/>
      <c r="AC348" s="1398"/>
      <c r="AD348" s="1398"/>
      <c r="AE348" s="1398"/>
    </row>
    <row r="349" spans="1:66" ht="12.95" customHeight="1">
      <c r="T349" s="8"/>
      <c r="U349" s="8"/>
      <c r="V349" s="8"/>
      <c r="W349" s="8"/>
      <c r="X349" s="8"/>
      <c r="Y349" s="8"/>
      <c r="Z349" s="8"/>
    </row>
    <row r="350" spans="1:66" ht="12.95" customHeight="1">
      <c r="A350" s="1445" t="s">
        <v>551</v>
      </c>
      <c r="B350" s="1445"/>
      <c r="C350" s="1445"/>
      <c r="D350" s="1445"/>
      <c r="E350" s="1445"/>
      <c r="F350" s="1445"/>
      <c r="G350" s="1445"/>
      <c r="H350" s="1445"/>
      <c r="I350" s="1445"/>
      <c r="J350" s="1445"/>
      <c r="K350" s="1445"/>
      <c r="L350" s="1445"/>
      <c r="M350" s="1445"/>
      <c r="N350" s="1445"/>
      <c r="O350" s="1445"/>
      <c r="P350" s="1445"/>
      <c r="Q350" s="1445"/>
      <c r="R350" s="1445"/>
      <c r="S350" s="1445"/>
      <c r="T350" s="1445"/>
      <c r="U350" s="1445"/>
      <c r="V350" s="1445"/>
      <c r="W350" s="1445"/>
      <c r="X350" s="1445"/>
      <c r="Y350" s="1445"/>
      <c r="Z350" s="1445"/>
      <c r="AA350" s="1445"/>
      <c r="AB350" s="1445"/>
      <c r="AC350" s="1445"/>
      <c r="AD350" s="1445"/>
      <c r="AE350" s="1445"/>
      <c r="AF350" s="1445"/>
      <c r="AG350" s="1445"/>
      <c r="AH350" s="1445"/>
      <c r="AI350" s="1445"/>
      <c r="AJ350" s="1445"/>
      <c r="AK350" s="1445"/>
      <c r="AL350" s="1445"/>
      <c r="AM350" s="95"/>
      <c r="AN350" s="95"/>
      <c r="AO350" s="95"/>
      <c r="AP350" s="95"/>
      <c r="AQ350" s="95"/>
      <c r="AR350" s="95"/>
      <c r="AS350" s="95"/>
      <c r="AT350" s="95"/>
      <c r="AU350" s="95"/>
      <c r="AV350" s="95"/>
      <c r="AW350" s="95"/>
      <c r="AX350" s="95"/>
      <c r="AY350" s="95"/>
    </row>
    <row r="351" spans="1:66" ht="12.95" customHeight="1" thickBot="1">
      <c r="A351" s="1446"/>
      <c r="B351" s="1446"/>
      <c r="C351" s="1446"/>
      <c r="D351" s="1446"/>
      <c r="E351" s="1446"/>
      <c r="F351" s="1446"/>
      <c r="G351" s="1446"/>
      <c r="H351" s="1446"/>
      <c r="I351" s="1446"/>
      <c r="J351" s="1446"/>
      <c r="K351" s="1446"/>
      <c r="L351" s="1446"/>
      <c r="M351" s="1446"/>
      <c r="N351" s="1446"/>
      <c r="O351" s="1446"/>
      <c r="P351" s="1446"/>
      <c r="Q351" s="1446"/>
      <c r="R351" s="1446"/>
      <c r="S351" s="1446"/>
      <c r="T351" s="1446"/>
      <c r="U351" s="1446"/>
      <c r="V351" s="1446"/>
      <c r="W351" s="1446"/>
      <c r="X351" s="1446"/>
      <c r="Y351" s="1446"/>
      <c r="Z351" s="1446"/>
      <c r="AA351" s="1446"/>
      <c r="AB351" s="1446"/>
      <c r="AC351" s="1446"/>
      <c r="AD351" s="1446"/>
      <c r="AE351" s="1446"/>
      <c r="AF351" s="1446"/>
      <c r="AG351" s="1446"/>
      <c r="AH351" s="1446"/>
      <c r="AI351" s="1446"/>
      <c r="AJ351" s="1446"/>
      <c r="AK351" s="1446"/>
      <c r="AL351" s="1446"/>
      <c r="AM351" s="95"/>
      <c r="AN351" s="95"/>
      <c r="AO351" s="95"/>
      <c r="AP351" s="95"/>
      <c r="AQ351" s="95"/>
      <c r="AR351" s="95"/>
      <c r="AS351" s="95"/>
      <c r="AT351" s="95"/>
      <c r="AU351" s="95"/>
      <c r="AV351" s="95"/>
      <c r="AW351" s="95"/>
      <c r="AX351" s="95"/>
      <c r="AY351" s="95"/>
    </row>
    <row r="352" spans="1:66" ht="12.95"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95" customHeight="1">
      <c r="A353" s="2" t="s">
        <v>321</v>
      </c>
      <c r="B353" s="2"/>
      <c r="C353" s="2" t="s">
        <v>806</v>
      </c>
    </row>
    <row r="354" spans="1:37" ht="12.95" customHeight="1">
      <c r="D354" s="3" t="s">
        <v>2518</v>
      </c>
      <c r="M354" s="1376" t="s">
        <v>554</v>
      </c>
      <c r="N354" s="1376"/>
      <c r="P354" t="s">
        <v>1829</v>
      </c>
      <c r="AJ354" s="1376" t="s">
        <v>678</v>
      </c>
      <c r="AK354" s="1376"/>
    </row>
    <row r="355" spans="1:37" ht="12.95" customHeight="1">
      <c r="D355" s="3" t="s">
        <v>1818</v>
      </c>
      <c r="M355" s="1376" t="s">
        <v>600</v>
      </c>
      <c r="N355" s="1376"/>
      <c r="P355" s="3" t="s">
        <v>1978</v>
      </c>
      <c r="AJ355" s="1433"/>
      <c r="AK355" s="1433"/>
    </row>
    <row r="356" spans="1:37" ht="12.95" customHeight="1">
      <c r="D356" s="3" t="s">
        <v>716</v>
      </c>
      <c r="M356" s="1376" t="s">
        <v>600</v>
      </c>
      <c r="N356" s="1376"/>
      <c r="P356" t="s">
        <v>1828</v>
      </c>
      <c r="AJ356" s="1376" t="s">
        <v>678</v>
      </c>
      <c r="AK356" s="1376"/>
    </row>
    <row r="357" spans="1:37" ht="12.95" customHeight="1">
      <c r="D357" s="3" t="s">
        <v>717</v>
      </c>
      <c r="M357" s="1376" t="s">
        <v>600</v>
      </c>
      <c r="N357" s="1376"/>
      <c r="Q357" s="4"/>
    </row>
    <row r="358" spans="1:37" ht="12.95" customHeight="1">
      <c r="Q358" s="4"/>
    </row>
    <row r="359" spans="1:37" ht="12.95" customHeight="1">
      <c r="Q359" s="4"/>
    </row>
    <row r="360" spans="1:37" ht="12.95" customHeight="1">
      <c r="A360" s="2" t="s">
        <v>585</v>
      </c>
      <c r="B360" s="2"/>
      <c r="C360" s="2" t="s">
        <v>561</v>
      </c>
      <c r="D360" s="2"/>
    </row>
    <row r="361" spans="1:37" ht="12.95"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95" customHeight="1">
      <c r="D362" s="39" t="s">
        <v>187</v>
      </c>
      <c r="E362" s="40"/>
      <c r="F362" s="40"/>
      <c r="G362" s="40"/>
      <c r="H362" s="40"/>
      <c r="I362" s="40"/>
      <c r="J362" s="40"/>
      <c r="K362" s="40"/>
      <c r="L362" s="40"/>
      <c r="M362" s="40"/>
      <c r="N362" s="1376" t="s">
        <v>600</v>
      </c>
      <c r="O362" s="1376"/>
      <c r="P362" s="40"/>
      <c r="Q362" s="40"/>
      <c r="R362" s="40"/>
      <c r="S362" s="40"/>
      <c r="T362" s="40"/>
      <c r="U362" s="40"/>
      <c r="V362" s="40"/>
      <c r="W362" s="40"/>
      <c r="X362" s="40"/>
      <c r="Y362" s="40"/>
      <c r="Z362" s="40"/>
      <c r="AC362" s="40"/>
      <c r="AD362" s="40"/>
      <c r="AE362" s="40"/>
    </row>
    <row r="363" spans="1:37" ht="12.95" customHeight="1">
      <c r="E363" t="s">
        <v>372</v>
      </c>
      <c r="Y363" s="1376"/>
      <c r="Z363" s="1376"/>
    </row>
    <row r="364" spans="1:37" ht="12.95" customHeight="1">
      <c r="D364" s="4" t="s">
        <v>1017</v>
      </c>
      <c r="Q364" s="1398" t="s">
        <v>600</v>
      </c>
      <c r="R364" s="1398"/>
      <c r="S364" s="1398"/>
      <c r="T364" s="1398"/>
      <c r="U364" s="1398"/>
      <c r="V364" s="1398"/>
      <c r="W364" s="1398"/>
      <c r="X364" s="1398"/>
      <c r="Y364" s="1398"/>
      <c r="Z364" s="1398"/>
      <c r="AA364" s="1398"/>
      <c r="AB364" s="1398"/>
      <c r="AC364" s="1398"/>
      <c r="AD364" s="1398"/>
      <c r="AE364" s="1398"/>
      <c r="AF364" s="1398"/>
      <c r="AG364" s="1398"/>
    </row>
    <row r="365" spans="1:37" ht="12.95"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95" customHeight="1">
      <c r="D366" t="s">
        <v>190</v>
      </c>
      <c r="E366" s="40"/>
      <c r="F366" s="40"/>
      <c r="G366" s="40"/>
      <c r="H366" s="40"/>
      <c r="I366" s="40"/>
      <c r="J366" s="1376" t="s">
        <v>600</v>
      </c>
      <c r="K366" s="1376"/>
      <c r="L366" s="40"/>
      <c r="M366" s="40"/>
      <c r="N366" s="40"/>
      <c r="O366" s="40"/>
      <c r="P366" s="40"/>
      <c r="Q366" s="40"/>
      <c r="R366" s="40"/>
      <c r="S366" s="40"/>
      <c r="T366" s="40"/>
      <c r="U366" s="40"/>
      <c r="V366" s="40"/>
      <c r="W366" s="40"/>
      <c r="X366" s="40"/>
      <c r="Y366" s="40"/>
      <c r="Z366" s="40"/>
      <c r="AC366" s="40"/>
      <c r="AD366" s="40"/>
      <c r="AE366" s="40"/>
    </row>
    <row r="367" spans="1:37" ht="12.95" customHeight="1">
      <c r="E367" s="1600" t="s">
        <v>718</v>
      </c>
      <c r="F367" s="1600"/>
      <c r="G367" s="1600"/>
      <c r="H367" s="1600"/>
      <c r="I367" s="1600"/>
      <c r="J367" s="1600"/>
      <c r="K367" s="1600"/>
      <c r="L367" s="1600"/>
      <c r="M367" s="1600"/>
      <c r="N367" s="1600"/>
      <c r="O367" s="1600"/>
      <c r="P367" s="1600"/>
      <c r="Q367" s="1600"/>
      <c r="R367" s="1600"/>
      <c r="S367" s="1600"/>
      <c r="T367" s="1600"/>
      <c r="U367" s="1600"/>
      <c r="V367" s="1600"/>
      <c r="W367" s="1600"/>
      <c r="X367" s="1600"/>
      <c r="Y367" s="1600"/>
      <c r="Z367" s="1600"/>
      <c r="AA367" s="1600"/>
      <c r="AB367" s="1600"/>
      <c r="AC367" s="1600"/>
      <c r="AD367" s="1600"/>
      <c r="AE367" s="1600"/>
      <c r="AF367" s="1600"/>
      <c r="AG367" s="1600"/>
      <c r="AH367" s="1600"/>
    </row>
    <row r="368" spans="1:37" ht="12.95" customHeight="1">
      <c r="E368" s="1600"/>
      <c r="F368" s="1600"/>
      <c r="G368" s="1600"/>
      <c r="H368" s="1600"/>
      <c r="I368" s="1600"/>
      <c r="J368" s="1600"/>
      <c r="K368" s="1600"/>
      <c r="L368" s="1600"/>
      <c r="M368" s="1600"/>
      <c r="N368" s="1600"/>
      <c r="O368" s="1600"/>
      <c r="P368" s="1600"/>
      <c r="Q368" s="1600"/>
      <c r="R368" s="1600"/>
      <c r="S368" s="1600"/>
      <c r="T368" s="1600"/>
      <c r="U368" s="1600"/>
      <c r="V368" s="1600"/>
      <c r="W368" s="1600"/>
      <c r="X368" s="1600"/>
      <c r="Y368" s="1600"/>
      <c r="Z368" s="1600"/>
      <c r="AA368" s="1600"/>
      <c r="AB368" s="1600"/>
      <c r="AC368" s="1600"/>
      <c r="AD368" s="1600"/>
      <c r="AE368" s="1600"/>
      <c r="AF368" s="1600"/>
      <c r="AG368" s="1600"/>
      <c r="AH368" s="1600"/>
    </row>
    <row r="369" spans="1:36" ht="12.95" customHeight="1">
      <c r="E369" s="4" t="s">
        <v>457</v>
      </c>
      <c r="F369" s="4"/>
      <c r="G369" s="4"/>
      <c r="H369" s="4"/>
      <c r="I369" s="4"/>
      <c r="J369" s="4"/>
      <c r="K369" s="4"/>
      <c r="L369" s="4"/>
      <c r="N369" s="1381"/>
      <c r="O369" s="1381"/>
      <c r="P369" s="1381"/>
      <c r="Q369" s="1381"/>
      <c r="R369" s="4"/>
      <c r="U369" s="4" t="s">
        <v>458</v>
      </c>
      <c r="V369" s="4"/>
      <c r="W369" s="4"/>
      <c r="X369" s="4"/>
      <c r="Y369" s="4"/>
      <c r="Z369" s="4"/>
      <c r="AA369" s="4"/>
      <c r="AB369" s="4"/>
      <c r="AC369" s="1381"/>
      <c r="AD369" s="1381"/>
      <c r="AE369" s="1381"/>
      <c r="AF369" s="1381"/>
    </row>
    <row r="370" spans="1:36" ht="12.95" customHeight="1">
      <c r="E370" s="4" t="s">
        <v>459</v>
      </c>
      <c r="F370" s="4"/>
      <c r="G370" s="4"/>
      <c r="H370" s="4"/>
      <c r="I370" s="4"/>
      <c r="J370" s="4"/>
      <c r="K370" s="4"/>
      <c r="L370" s="4"/>
      <c r="N370" s="1381"/>
      <c r="O370" s="1381"/>
      <c r="P370" s="1381"/>
      <c r="Q370" s="1381"/>
      <c r="R370" s="4"/>
      <c r="U370" s="4" t="s">
        <v>0</v>
      </c>
      <c r="V370" s="4"/>
      <c r="W370" s="4"/>
      <c r="X370" s="4"/>
      <c r="Y370" s="4"/>
      <c r="Z370" s="4"/>
      <c r="AA370" s="4"/>
      <c r="AB370" s="4"/>
      <c r="AC370" s="1381"/>
      <c r="AD370" s="1381"/>
      <c r="AE370" s="1381"/>
      <c r="AF370" s="1381"/>
    </row>
    <row r="371" spans="1:36" ht="12.95" customHeight="1">
      <c r="E371" s="4" t="s">
        <v>1</v>
      </c>
      <c r="F371" s="4"/>
      <c r="G371" s="4"/>
      <c r="H371" s="4"/>
      <c r="I371" s="4"/>
      <c r="J371" s="4"/>
      <c r="K371" s="4"/>
      <c r="L371" s="4"/>
      <c r="N371" s="1381"/>
      <c r="O371" s="1381"/>
      <c r="P371" s="1381"/>
      <c r="Q371" s="1381"/>
      <c r="R371" s="4"/>
      <c r="V371" s="4"/>
      <c r="W371" s="4"/>
      <c r="X371" s="4"/>
      <c r="Y371" s="4"/>
      <c r="Z371" s="4"/>
      <c r="AA371" s="4"/>
      <c r="AB371" s="4"/>
    </row>
    <row r="372" spans="1:36" ht="12.95" customHeight="1">
      <c r="E372" s="4" t="s">
        <v>2</v>
      </c>
      <c r="F372" s="4"/>
      <c r="G372" s="4"/>
      <c r="H372" s="4"/>
      <c r="I372" s="4"/>
      <c r="J372" s="4"/>
      <c r="K372" s="4"/>
      <c r="L372" s="4"/>
      <c r="N372" s="1442"/>
      <c r="O372" s="1442"/>
      <c r="P372" s="1442"/>
      <c r="Q372" s="1442"/>
      <c r="R372" s="1442"/>
      <c r="S372" s="1442"/>
      <c r="T372" s="1442"/>
      <c r="U372" s="1442"/>
      <c r="V372" s="1442"/>
      <c r="W372" s="1442"/>
      <c r="X372" s="1442"/>
      <c r="Y372" s="1442"/>
      <c r="Z372" s="1442"/>
      <c r="AA372" s="1442"/>
      <c r="AB372" s="1442"/>
      <c r="AC372" s="1442"/>
      <c r="AD372" s="1442"/>
      <c r="AE372" s="1442"/>
      <c r="AF372" s="1442"/>
    </row>
    <row r="373" spans="1:36" ht="12.95" customHeight="1">
      <c r="E373" s="4"/>
      <c r="F373" s="4"/>
      <c r="G373" s="4"/>
      <c r="H373" s="4"/>
      <c r="I373" s="4"/>
      <c r="J373" s="4"/>
      <c r="K373" s="4"/>
      <c r="L373" s="4"/>
      <c r="N373" s="1443"/>
      <c r="O373" s="1443"/>
      <c r="P373" s="1443"/>
      <c r="Q373" s="1443"/>
      <c r="R373" s="1443"/>
      <c r="S373" s="1443"/>
      <c r="T373" s="1443"/>
      <c r="U373" s="1443"/>
      <c r="V373" s="1443"/>
      <c r="W373" s="1443"/>
      <c r="X373" s="1443"/>
      <c r="Y373" s="1443"/>
      <c r="Z373" s="1443"/>
      <c r="AA373" s="1443"/>
      <c r="AB373" s="1443"/>
      <c r="AC373" s="1443"/>
      <c r="AD373" s="1443"/>
      <c r="AE373" s="1443"/>
      <c r="AF373" s="1443"/>
    </row>
    <row r="374" spans="1:36" ht="12.95" customHeight="1">
      <c r="C374" s="547"/>
      <c r="E374" s="4"/>
      <c r="F374" s="4"/>
      <c r="G374" s="4"/>
      <c r="H374" s="4"/>
      <c r="I374" s="4"/>
      <c r="J374" s="4"/>
      <c r="K374" s="4"/>
      <c r="L374" s="4"/>
    </row>
    <row r="375" spans="1:36" ht="12.95" customHeight="1">
      <c r="D375" s="2" t="s">
        <v>1014</v>
      </c>
      <c r="E375" s="2"/>
      <c r="F375" s="4"/>
      <c r="G375" s="4"/>
      <c r="H375" s="4"/>
      <c r="I375" s="4"/>
      <c r="J375" s="4"/>
      <c r="K375" s="4"/>
      <c r="L375" s="4"/>
    </row>
    <row r="376" spans="1:36" ht="12.95" customHeight="1">
      <c r="E376" s="4" t="s">
        <v>2501</v>
      </c>
      <c r="F376" s="4"/>
      <c r="G376" s="4"/>
      <c r="H376" s="4"/>
      <c r="I376" s="4"/>
      <c r="J376" s="4"/>
      <c r="K376" s="4"/>
      <c r="L376" s="4"/>
      <c r="N376" t="s">
        <v>2495</v>
      </c>
      <c r="R376" s="27" t="s">
        <v>307</v>
      </c>
      <c r="S376" s="1447" t="s">
        <v>600</v>
      </c>
      <c r="T376" s="1447"/>
      <c r="U376" s="1" t="s">
        <v>308</v>
      </c>
      <c r="V376" s="1447" t="s">
        <v>600</v>
      </c>
      <c r="W376" s="1447"/>
      <c r="Y376" t="s">
        <v>2495</v>
      </c>
      <c r="AC376" s="27" t="s">
        <v>307</v>
      </c>
      <c r="AD376" s="1447" t="s">
        <v>600</v>
      </c>
      <c r="AE376" s="1447"/>
      <c r="AF376" s="1" t="s">
        <v>308</v>
      </c>
      <c r="AG376" s="1447" t="s">
        <v>600</v>
      </c>
      <c r="AH376" s="1447"/>
    </row>
    <row r="377" spans="1:36" ht="12.95" customHeight="1">
      <c r="E377" s="4" t="s">
        <v>1043</v>
      </c>
      <c r="F377" s="4"/>
      <c r="G377" s="4"/>
      <c r="H377" s="4"/>
      <c r="I377" s="4"/>
      <c r="J377" s="4"/>
      <c r="K377" s="4"/>
      <c r="L377" s="4"/>
      <c r="N377" s="1447"/>
      <c r="O377" s="1447"/>
      <c r="P377" s="1447"/>
    </row>
    <row r="378" spans="1:36" ht="12.95" customHeight="1">
      <c r="E378" s="218" t="s">
        <v>2502</v>
      </c>
      <c r="F378" s="4"/>
      <c r="G378" s="4"/>
      <c r="H378" s="4"/>
      <c r="I378" s="4"/>
      <c r="J378" s="4"/>
      <c r="K378" s="4"/>
      <c r="L378" s="4"/>
      <c r="AG378" s="1473" t="s">
        <v>600</v>
      </c>
      <c r="AH378" s="1473"/>
    </row>
    <row r="379" spans="1:36" ht="12.95" customHeight="1">
      <c r="E379" s="4"/>
      <c r="F379" s="4"/>
      <c r="G379" s="4" t="s">
        <v>2503</v>
      </c>
      <c r="H379" s="4"/>
      <c r="I379" s="4"/>
      <c r="J379" s="4"/>
      <c r="K379" s="4"/>
      <c r="L379" s="4"/>
      <c r="AG379" s="1473" t="s">
        <v>600</v>
      </c>
      <c r="AH379" s="1473"/>
    </row>
    <row r="380" spans="1:36" ht="12.95" customHeight="1">
      <c r="E380" s="4"/>
      <c r="F380" s="4"/>
      <c r="G380" s="349" t="s">
        <v>1044</v>
      </c>
      <c r="H380" s="4"/>
      <c r="I380" s="4"/>
      <c r="J380" s="4"/>
      <c r="K380" s="4"/>
      <c r="L380" s="4"/>
      <c r="V380" s="1376" t="s">
        <v>600</v>
      </c>
      <c r="W380" s="1376"/>
      <c r="Y380" s="22" t="s">
        <v>1019</v>
      </c>
    </row>
    <row r="381" spans="1:36" ht="12.95" customHeight="1">
      <c r="E381" s="4" t="s">
        <v>1020</v>
      </c>
      <c r="F381" s="4"/>
      <c r="G381" s="4"/>
      <c r="H381" s="4"/>
      <c r="I381" s="4"/>
      <c r="J381" s="4"/>
      <c r="K381" s="4"/>
      <c r="L381" s="4"/>
      <c r="V381" s="1376" t="s">
        <v>600</v>
      </c>
      <c r="W381" s="1376"/>
      <c r="Y381" s="4" t="s">
        <v>1021</v>
      </c>
    </row>
    <row r="382" spans="1:36" ht="12.95" customHeight="1"/>
    <row r="383" spans="1:36" ht="12.95" customHeight="1">
      <c r="A383" s="2" t="s">
        <v>79</v>
      </c>
      <c r="B383" s="2"/>
    </row>
    <row r="384" spans="1:36" ht="12.95" customHeight="1">
      <c r="D384" t="s">
        <v>430</v>
      </c>
      <c r="J384" s="1398" t="s">
        <v>600</v>
      </c>
      <c r="K384" s="1398"/>
      <c r="L384" s="1398"/>
      <c r="M384" s="1398"/>
      <c r="N384" s="1398"/>
      <c r="O384" s="1398"/>
      <c r="P384" s="1398"/>
      <c r="Q384" s="1398"/>
      <c r="R384" s="1398"/>
      <c r="S384" s="1398"/>
      <c r="T384" s="1398"/>
      <c r="U384" s="1398"/>
      <c r="V384" s="8" t="s">
        <v>84</v>
      </c>
      <c r="W384" s="8"/>
      <c r="X384" s="8"/>
      <c r="Y384" s="8"/>
      <c r="Z384" s="8"/>
      <c r="AA384" s="8"/>
      <c r="AB384" s="8"/>
      <c r="AC384" s="1398" t="s">
        <v>600</v>
      </c>
      <c r="AD384" s="1398"/>
      <c r="AE384" s="1398"/>
      <c r="AF384" s="1398"/>
      <c r="AG384" s="1398"/>
      <c r="AH384" s="1398"/>
      <c r="AI384" s="1398"/>
      <c r="AJ384" s="1398"/>
    </row>
    <row r="385" spans="4:36" ht="12.95" customHeight="1">
      <c r="D385" s="3" t="s">
        <v>1324</v>
      </c>
      <c r="J385" s="1369" t="s">
        <v>600</v>
      </c>
      <c r="K385" s="1369"/>
      <c r="L385" s="1369"/>
      <c r="M385" s="1369"/>
      <c r="N385" s="1369"/>
      <c r="O385" s="1369"/>
      <c r="P385" s="1369"/>
      <c r="Q385" s="1369"/>
      <c r="R385" s="1369"/>
      <c r="S385" s="1369"/>
      <c r="T385" s="1369"/>
      <c r="U385" s="1369"/>
      <c r="V385" s="3" t="s">
        <v>1324</v>
      </c>
      <c r="W385" s="8"/>
      <c r="X385" s="8"/>
      <c r="Y385" s="8"/>
      <c r="Z385" s="8"/>
      <c r="AA385" s="8"/>
      <c r="AB385" s="8"/>
      <c r="AC385" s="1398" t="s">
        <v>600</v>
      </c>
      <c r="AD385" s="1398"/>
      <c r="AE385" s="1398"/>
      <c r="AF385" s="1398"/>
      <c r="AG385" s="1398"/>
      <c r="AH385" s="1398"/>
      <c r="AI385" s="1398"/>
      <c r="AJ385" s="1398"/>
    </row>
    <row r="386" spans="4:36" ht="12.95" customHeight="1">
      <c r="D386" s="3" t="s">
        <v>444</v>
      </c>
      <c r="J386" s="1369" t="s">
        <v>600</v>
      </c>
      <c r="K386" s="1369"/>
      <c r="L386" s="1369"/>
      <c r="M386" s="1369"/>
      <c r="N386" s="1369"/>
      <c r="O386" s="1369"/>
      <c r="P386" s="1369"/>
      <c r="Q386" s="1369"/>
      <c r="R386" s="1369"/>
      <c r="S386" s="1369"/>
      <c r="T386" s="1369"/>
      <c r="U386" s="1369"/>
      <c r="V386" s="3" t="s">
        <v>444</v>
      </c>
      <c r="W386" s="8"/>
      <c r="X386" s="8"/>
      <c r="Y386" s="8"/>
      <c r="Z386" s="8"/>
      <c r="AA386" s="8"/>
      <c r="AB386" s="8"/>
      <c r="AC386" s="1398" t="s">
        <v>600</v>
      </c>
      <c r="AD386" s="1398"/>
      <c r="AE386" s="1398"/>
      <c r="AF386" s="1398"/>
      <c r="AG386" s="1398"/>
      <c r="AH386" s="1398"/>
      <c r="AI386" s="1398"/>
      <c r="AJ386" s="1398"/>
    </row>
    <row r="387" spans="4:36" ht="12.95" customHeight="1">
      <c r="D387" t="s">
        <v>1320</v>
      </c>
      <c r="J387" s="1358" t="s">
        <v>600</v>
      </c>
      <c r="K387" s="1358"/>
      <c r="L387" s="1358"/>
      <c r="M387" s="1358"/>
      <c r="N387" s="1358"/>
      <c r="O387" s="1358"/>
      <c r="P387" s="1358"/>
      <c r="Q387" s="1358"/>
      <c r="R387" s="1358"/>
      <c r="S387" s="1358"/>
      <c r="T387" s="1358"/>
      <c r="U387" s="1358"/>
      <c r="V387" s="1398"/>
      <c r="W387" s="1398"/>
      <c r="X387" s="1398"/>
      <c r="Y387" s="1398"/>
      <c r="Z387" s="1398"/>
      <c r="AA387" s="1398"/>
      <c r="AB387" s="1398"/>
      <c r="AC387" s="1398"/>
      <c r="AD387" s="1398"/>
      <c r="AE387" s="1398"/>
      <c r="AF387" s="1398"/>
      <c r="AG387" s="1398"/>
      <c r="AH387" s="1398"/>
      <c r="AI387" s="1398"/>
      <c r="AJ387" s="1398"/>
    </row>
    <row r="388" spans="4:36" ht="12.95" customHeight="1">
      <c r="D388" t="s">
        <v>4</v>
      </c>
      <c r="Q388" s="1757"/>
      <c r="R388" s="1757"/>
      <c r="S388" s="1757"/>
      <c r="T388" s="1757"/>
      <c r="U388" s="1757"/>
      <c r="V388" t="s">
        <v>311</v>
      </c>
      <c r="AI388" s="1376" t="s">
        <v>678</v>
      </c>
      <c r="AJ388" s="1376"/>
    </row>
    <row r="389" spans="4:36" ht="12.95" customHeight="1">
      <c r="D389" t="s">
        <v>5</v>
      </c>
      <c r="Q389" s="1598"/>
      <c r="R389" s="1599"/>
      <c r="S389" s="1599"/>
      <c r="T389" s="1599"/>
      <c r="U389" s="1599"/>
      <c r="W389" s="21" t="s">
        <v>75</v>
      </c>
      <c r="AG389" s="1440"/>
      <c r="AH389" s="1440"/>
      <c r="AI389" s="1440"/>
      <c r="AJ389" s="1440"/>
    </row>
    <row r="390" spans="4:36" ht="12.95" customHeight="1">
      <c r="D390" t="s">
        <v>429</v>
      </c>
      <c r="Q390" s="1597"/>
      <c r="R390" s="1597"/>
      <c r="S390" s="1597"/>
      <c r="T390" s="1597"/>
      <c r="U390" s="1597"/>
      <c r="V390" s="3" t="s">
        <v>1323</v>
      </c>
      <c r="AG390" s="1450"/>
      <c r="AH390" s="1450"/>
      <c r="AI390" s="1450"/>
      <c r="AJ390" s="1450"/>
    </row>
    <row r="391" spans="4:36" ht="12.95" customHeight="1">
      <c r="D391" t="s">
        <v>89</v>
      </c>
      <c r="I391" s="1541"/>
      <c r="J391" s="1541"/>
      <c r="K391" s="1541"/>
      <c r="L391" s="1541"/>
      <c r="M391" s="1541"/>
      <c r="N391" s="1541"/>
      <c r="Q391" s="4" t="s">
        <v>208</v>
      </c>
      <c r="S391" s="1602"/>
      <c r="T391" s="1602"/>
      <c r="U391" s="1602"/>
      <c r="V391" t="s">
        <v>74</v>
      </c>
      <c r="AI391" s="1376" t="s">
        <v>678</v>
      </c>
      <c r="AJ391" s="1376"/>
    </row>
    <row r="392" spans="4:36" ht="12.95" customHeight="1">
      <c r="D392" t="s">
        <v>312</v>
      </c>
      <c r="Q392" s="1444"/>
      <c r="R392" s="1444"/>
      <c r="S392" s="1444"/>
      <c r="T392" s="1444"/>
      <c r="U392" s="1444"/>
      <c r="V392" t="s">
        <v>313</v>
      </c>
      <c r="AG392" s="1440"/>
      <c r="AH392" s="1440"/>
      <c r="AI392" s="1440"/>
      <c r="AJ392" s="1440"/>
    </row>
    <row r="393" spans="4:36" ht="12.95" customHeight="1">
      <c r="D393" t="s">
        <v>314</v>
      </c>
      <c r="Q393" s="1714"/>
      <c r="R393" s="1714"/>
      <c r="S393" s="1714"/>
      <c r="T393" s="1714"/>
      <c r="U393" s="1714"/>
      <c r="V393" t="s">
        <v>1304</v>
      </c>
      <c r="AG393" s="1440"/>
      <c r="AH393" s="1440"/>
      <c r="AI393" s="1440"/>
      <c r="AJ393" s="1440"/>
    </row>
    <row r="394" spans="4:36" ht="12.95" customHeight="1">
      <c r="D394" t="s">
        <v>1303</v>
      </c>
      <c r="AG394" s="1440"/>
      <c r="AH394" s="1440"/>
      <c r="AI394" s="1440"/>
      <c r="AJ394" s="1440"/>
    </row>
    <row r="395" spans="4:36" ht="12.95" customHeight="1">
      <c r="AG395" s="491"/>
      <c r="AH395" s="491"/>
      <c r="AI395" s="491"/>
      <c r="AJ395" s="491"/>
    </row>
    <row r="396" spans="4:36" ht="12.95" customHeight="1">
      <c r="D396" s="3" t="s">
        <v>2613</v>
      </c>
      <c r="AG396" s="491"/>
      <c r="AH396" s="491"/>
      <c r="AI396" s="1376" t="s">
        <v>678</v>
      </c>
      <c r="AJ396" s="1376"/>
    </row>
    <row r="397" spans="4:36" ht="12.95" customHeight="1">
      <c r="D397" s="3" t="s">
        <v>1847</v>
      </c>
      <c r="T397" s="1410" t="s">
        <v>600</v>
      </c>
      <c r="U397" s="1411"/>
      <c r="V397" s="1411"/>
      <c r="W397" s="1411"/>
      <c r="X397" s="1411"/>
      <c r="Y397" s="1411"/>
      <c r="Z397" s="1411"/>
      <c r="AA397" s="1411"/>
      <c r="AB397" s="1411"/>
      <c r="AC397" s="1411"/>
      <c r="AD397" s="1411"/>
      <c r="AE397" s="1411"/>
      <c r="AF397" s="1411"/>
      <c r="AG397" s="1411"/>
      <c r="AH397" s="1411"/>
      <c r="AI397" s="1411"/>
      <c r="AJ397" s="1411"/>
    </row>
    <row r="398" spans="4:36" ht="12.95" customHeight="1">
      <c r="D398" s="3" t="s">
        <v>1846</v>
      </c>
      <c r="T398" s="1411" t="s">
        <v>600</v>
      </c>
      <c r="U398" s="1411"/>
      <c r="V398" s="1411"/>
      <c r="W398" s="1411"/>
      <c r="X398" s="1411"/>
      <c r="Y398" s="1411"/>
      <c r="Z398" s="1411"/>
      <c r="AA398" s="1411"/>
      <c r="AB398" s="1411"/>
      <c r="AC398" s="1411"/>
      <c r="AD398" s="1411"/>
      <c r="AE398" s="1411"/>
      <c r="AF398" s="1411"/>
      <c r="AG398" s="1411"/>
      <c r="AH398" s="1411"/>
      <c r="AI398" s="1411"/>
      <c r="AJ398" s="1411"/>
    </row>
    <row r="399" spans="4:36" ht="12.95" customHeight="1">
      <c r="AG399" s="491"/>
      <c r="AH399" s="491"/>
      <c r="AI399" s="491"/>
      <c r="AJ399" s="491"/>
    </row>
    <row r="400" spans="4:36" ht="12.95" customHeight="1">
      <c r="D400" s="3" t="s">
        <v>1840</v>
      </c>
      <c r="S400" s="1411" t="s">
        <v>554</v>
      </c>
      <c r="T400" s="1411"/>
      <c r="U400" s="1411"/>
      <c r="V400" t="s">
        <v>1841</v>
      </c>
      <c r="AG400" s="1474">
        <v>99</v>
      </c>
      <c r="AH400" s="1474"/>
      <c r="AI400" s="1474"/>
      <c r="AJ400" s="1474"/>
    </row>
    <row r="401" spans="1:36" ht="12.95" customHeight="1">
      <c r="D401" s="3" t="s">
        <v>1838</v>
      </c>
      <c r="S401" s="1411" t="s">
        <v>554</v>
      </c>
      <c r="T401" s="1411"/>
      <c r="U401" s="1411"/>
      <c r="V401" t="s">
        <v>1843</v>
      </c>
      <c r="AE401" s="1475">
        <v>15000</v>
      </c>
      <c r="AF401" s="1475"/>
      <c r="AG401" s="1475"/>
      <c r="AH401" s="1475"/>
      <c r="AI401" s="1475"/>
      <c r="AJ401" s="1475"/>
    </row>
    <row r="402" spans="1:36" ht="12.95" customHeight="1">
      <c r="D402" s="3" t="s">
        <v>1839</v>
      </c>
      <c r="K402" s="1460"/>
      <c r="L402" s="1460"/>
      <c r="M402" s="1460"/>
      <c r="N402" s="1460"/>
      <c r="O402" s="1460"/>
      <c r="P402" s="1460"/>
      <c r="Q402" s="1460"/>
      <c r="R402" s="1460"/>
      <c r="S402" s="1460"/>
      <c r="T402" s="1460"/>
      <c r="U402" s="1460"/>
      <c r="V402" s="1460"/>
      <c r="W402" s="1460"/>
      <c r="X402" s="1460"/>
      <c r="Y402" s="1460"/>
      <c r="Z402" s="1460"/>
      <c r="AA402" s="1460"/>
      <c r="AB402" s="1460"/>
      <c r="AC402" s="1460"/>
      <c r="AD402" s="1460"/>
      <c r="AE402" s="1460"/>
      <c r="AF402" s="1460"/>
      <c r="AG402" s="1460"/>
      <c r="AH402" s="1460"/>
      <c r="AI402" s="1460"/>
      <c r="AJ402" s="1460"/>
    </row>
    <row r="403" spans="1:36" ht="12.95" customHeight="1">
      <c r="D403" s="3" t="s">
        <v>1842</v>
      </c>
      <c r="K403" s="1460" t="s">
        <v>2700</v>
      </c>
      <c r="L403" s="1460"/>
      <c r="M403" s="1460"/>
      <c r="N403" s="1460"/>
      <c r="O403" s="1460"/>
      <c r="P403" s="1460"/>
      <c r="Q403" s="1460"/>
      <c r="R403" s="1460"/>
      <c r="S403" s="1460"/>
      <c r="T403" s="1460"/>
      <c r="U403" s="1460"/>
      <c r="V403" s="1460"/>
      <c r="W403" s="1460"/>
      <c r="X403" s="1460"/>
      <c r="Y403" s="1460"/>
      <c r="Z403" s="1460"/>
      <c r="AA403" s="1460"/>
      <c r="AB403" s="1460"/>
      <c r="AC403" s="1460"/>
      <c r="AD403" s="1460"/>
      <c r="AE403" s="1460"/>
      <c r="AF403" s="1460"/>
      <c r="AG403" s="1460"/>
      <c r="AH403" s="1460"/>
      <c r="AI403" s="1460"/>
      <c r="AJ403" s="1460"/>
    </row>
    <row r="404" spans="1:36" ht="12.95" customHeight="1">
      <c r="D404" s="3" t="s">
        <v>1845</v>
      </c>
      <c r="E404" s="512"/>
      <c r="F404" s="512"/>
      <c r="G404" s="512"/>
      <c r="H404" s="512"/>
      <c r="I404" s="512"/>
      <c r="J404" s="512"/>
      <c r="K404" s="512"/>
      <c r="L404" s="512"/>
      <c r="M404" s="512"/>
      <c r="N404" s="512"/>
      <c r="O404" s="512"/>
      <c r="P404" s="512"/>
      <c r="Q404" s="512"/>
      <c r="R404" s="512"/>
      <c r="S404" s="1536" t="s">
        <v>2701</v>
      </c>
      <c r="T404" s="1536"/>
      <c r="U404" s="1536"/>
      <c r="V404" s="1536"/>
      <c r="W404" s="1536"/>
      <c r="X404" s="1536"/>
      <c r="Y404" s="1536"/>
      <c r="Z404" s="1536"/>
      <c r="AA404" s="1536"/>
      <c r="AB404" s="1536"/>
      <c r="AC404" s="1536"/>
      <c r="AD404" s="1536"/>
      <c r="AE404" s="1536"/>
      <c r="AF404" s="1536"/>
      <c r="AG404" s="1536"/>
      <c r="AH404" s="1536"/>
      <c r="AI404" s="1536"/>
      <c r="AJ404" s="1536"/>
    </row>
    <row r="405" spans="1:36" ht="12.95" customHeight="1">
      <c r="D405" s="1269" t="s">
        <v>1844</v>
      </c>
      <c r="E405" s="1269"/>
      <c r="F405" s="1269"/>
      <c r="G405" s="1269"/>
      <c r="H405" s="1269"/>
      <c r="I405" s="1269"/>
      <c r="J405" s="1269"/>
      <c r="K405" s="1269"/>
      <c r="L405" s="1269"/>
      <c r="M405" s="1269"/>
      <c r="N405" s="1269"/>
      <c r="O405" s="1269"/>
      <c r="P405" s="1269"/>
      <c r="Q405" s="1269"/>
      <c r="R405" s="1269"/>
      <c r="S405" s="1269"/>
      <c r="T405" s="1269"/>
      <c r="U405" s="1269"/>
      <c r="V405" s="1269"/>
      <c r="W405" s="1269"/>
      <c r="X405" s="1269"/>
      <c r="Y405" s="1269"/>
      <c r="Z405" s="1269"/>
      <c r="AA405" s="1269"/>
      <c r="AB405" s="1269"/>
      <c r="AC405" s="1269"/>
      <c r="AD405" s="1269"/>
      <c r="AE405" s="1269"/>
      <c r="AF405" s="1269"/>
      <c r="AG405" s="1269"/>
      <c r="AH405" s="1269"/>
      <c r="AI405" s="1269"/>
      <c r="AJ405" s="1269"/>
    </row>
    <row r="406" spans="1:36" ht="12.95" customHeight="1">
      <c r="D406" s="1269"/>
      <c r="E406" s="1269"/>
      <c r="F406" s="1269"/>
      <c r="G406" s="1269"/>
      <c r="H406" s="1269"/>
      <c r="I406" s="1269"/>
      <c r="J406" s="1269"/>
      <c r="K406" s="1269"/>
      <c r="L406" s="1269"/>
      <c r="M406" s="1269"/>
      <c r="N406" s="1269"/>
      <c r="O406" s="1269"/>
      <c r="P406" s="1269"/>
      <c r="Q406" s="1269"/>
      <c r="R406" s="1269"/>
      <c r="S406" s="1269"/>
      <c r="T406" s="1269"/>
      <c r="U406" s="1269"/>
      <c r="V406" s="1269"/>
      <c r="W406" s="1269"/>
      <c r="X406" s="1269"/>
      <c r="Y406" s="1269"/>
      <c r="Z406" s="1269"/>
      <c r="AA406" s="1269"/>
      <c r="AB406" s="1269"/>
      <c r="AC406" s="1269"/>
      <c r="AD406" s="1269"/>
      <c r="AE406" s="1269"/>
      <c r="AF406" s="1269"/>
      <c r="AG406" s="1269"/>
      <c r="AH406" s="1269"/>
      <c r="AI406" s="1269"/>
      <c r="AJ406" s="1269"/>
    </row>
    <row r="407" spans="1:36" ht="12.95" customHeight="1">
      <c r="AG407" s="491"/>
      <c r="AH407" s="491"/>
      <c r="AI407" s="491"/>
      <c r="AJ407" s="491"/>
    </row>
    <row r="408" spans="1:36" ht="12.95" customHeight="1">
      <c r="A408" s="2" t="s">
        <v>598</v>
      </c>
      <c r="B408" s="2"/>
      <c r="C408" s="2" t="s">
        <v>112</v>
      </c>
    </row>
    <row r="409" spans="1:36" ht="12.95" customHeight="1">
      <c r="B409" s="2"/>
      <c r="C409" s="2"/>
      <c r="D409" s="2" t="s">
        <v>1346</v>
      </c>
      <c r="I409" s="1476" t="s">
        <v>2641</v>
      </c>
      <c r="J409" s="1476"/>
      <c r="K409" s="1476"/>
      <c r="L409" s="1476"/>
      <c r="M409" s="1476"/>
      <c r="N409" s="1476"/>
      <c r="O409" s="1476"/>
      <c r="P409" s="1476"/>
      <c r="Q409" s="1476"/>
      <c r="R409" s="1476"/>
      <c r="S409" s="1476"/>
      <c r="T409" s="1476"/>
      <c r="U409" s="1476"/>
      <c r="V409" s="1476"/>
      <c r="W409" s="1476"/>
      <c r="X409" s="1476"/>
      <c r="Y409" s="1476"/>
      <c r="Z409" s="1476"/>
      <c r="AA409" s="1476"/>
      <c r="AB409" s="1476"/>
      <c r="AC409" s="1476"/>
      <c r="AD409" s="1476"/>
      <c r="AE409" s="1476"/>
    </row>
    <row r="410" spans="1:36" ht="12.95" customHeight="1">
      <c r="E410" t="s">
        <v>107</v>
      </c>
      <c r="R410" s="1376" t="s">
        <v>554</v>
      </c>
      <c r="S410" s="1376"/>
      <c r="T410" t="s">
        <v>579</v>
      </c>
      <c r="AD410" s="1381">
        <v>17</v>
      </c>
      <c r="AE410" s="1381"/>
    </row>
    <row r="411" spans="1:36" ht="12.95" customHeight="1">
      <c r="E411" t="s">
        <v>108</v>
      </c>
      <c r="R411" s="1376" t="s">
        <v>600</v>
      </c>
      <c r="S411" s="1376"/>
      <c r="T411" t="s">
        <v>579</v>
      </c>
      <c r="AD411" s="1381">
        <v>0</v>
      </c>
      <c r="AE411" s="1381"/>
    </row>
    <row r="412" spans="1:36" ht="12.95" customHeight="1">
      <c r="E412" t="s">
        <v>109</v>
      </c>
      <c r="S412" s="1376" t="s">
        <v>600</v>
      </c>
      <c r="T412" s="1376"/>
    </row>
    <row r="413" spans="1:36" ht="12.95" customHeight="1">
      <c r="E413" t="s">
        <v>171</v>
      </c>
      <c r="H413" s="1712" t="s">
        <v>336</v>
      </c>
      <c r="I413" s="1712"/>
      <c r="J413" s="1712"/>
      <c r="K413" s="1712"/>
      <c r="L413" s="1712"/>
      <c r="M413" s="1712"/>
      <c r="N413" s="1712"/>
      <c r="O413" s="1712"/>
      <c r="P413" s="1712"/>
      <c r="Q413" s="1712"/>
      <c r="R413" s="1712"/>
      <c r="S413" s="1712"/>
      <c r="T413" s="1712"/>
      <c r="U413" s="1712"/>
      <c r="V413" s="1712"/>
      <c r="W413" s="1712"/>
      <c r="X413" s="1712"/>
      <c r="Y413" s="1712"/>
      <c r="Z413" s="1712"/>
      <c r="AA413" s="1712"/>
      <c r="AB413" s="1712"/>
      <c r="AC413" s="1712"/>
      <c r="AD413" s="1712"/>
      <c r="AE413" s="1712"/>
    </row>
    <row r="414" spans="1:36" ht="12.95" customHeight="1">
      <c r="H414" s="1713"/>
      <c r="I414" s="1713"/>
      <c r="J414" s="1713"/>
      <c r="K414" s="1713"/>
      <c r="L414" s="1713"/>
      <c r="M414" s="1713"/>
      <c r="N414" s="1713"/>
      <c r="O414" s="1713"/>
      <c r="P414" s="1713"/>
      <c r="Q414" s="1713"/>
      <c r="R414" s="1713"/>
      <c r="S414" s="1713"/>
      <c r="T414" s="1713"/>
      <c r="U414" s="1713"/>
      <c r="V414" s="1713"/>
      <c r="W414" s="1713"/>
      <c r="X414" s="1713"/>
      <c r="Y414" s="1713"/>
      <c r="Z414" s="1713"/>
      <c r="AA414" s="1713"/>
      <c r="AB414" s="1713"/>
      <c r="AC414" s="1713"/>
      <c r="AD414" s="1713"/>
      <c r="AE414" s="1713"/>
    </row>
    <row r="415" spans="1:36" ht="12.95" customHeight="1"/>
    <row r="416" spans="1:36" ht="12.95" customHeight="1">
      <c r="A416" s="2" t="s">
        <v>599</v>
      </c>
      <c r="B416" s="2"/>
      <c r="C416" s="2"/>
      <c r="D416" s="2" t="s">
        <v>115</v>
      </c>
      <c r="AF416" s="2" t="s">
        <v>997</v>
      </c>
    </row>
    <row r="417" spans="1:39" ht="12.95" customHeight="1">
      <c r="E417" s="1447"/>
      <c r="F417" s="1447"/>
      <c r="G417" s="1447"/>
      <c r="H417" s="13" t="s">
        <v>116</v>
      </c>
      <c r="I417" s="1447"/>
      <c r="J417" s="1447"/>
      <c r="K417" s="1447"/>
      <c r="L417" t="s">
        <v>117</v>
      </c>
      <c r="N417" s="27" t="s">
        <v>584</v>
      </c>
      <c r="P417" s="1601">
        <v>0.48899999999999999</v>
      </c>
      <c r="Q417" s="1601"/>
      <c r="R417" s="1601"/>
      <c r="S417" t="s">
        <v>118</v>
      </c>
      <c r="W417" s="1367">
        <f>IF(E417&gt;0,(E417*I417),(P417*43560))</f>
        <v>21300.84</v>
      </c>
      <c r="X417" s="1367"/>
      <c r="Y417" s="1367"/>
      <c r="Z417" t="s">
        <v>119</v>
      </c>
      <c r="AF417" s="1535">
        <f>IF(P417&gt;0,(AG436/P417),(AG436/(W417/43560)))</f>
        <v>376.27811860940699</v>
      </c>
      <c r="AG417" s="1535"/>
      <c r="AH417" s="1535"/>
      <c r="AM417" s="3"/>
    </row>
    <row r="418" spans="1:39" ht="12.95" customHeight="1">
      <c r="E418" t="s">
        <v>51</v>
      </c>
    </row>
    <row r="419" spans="1:39" ht="12.95" customHeight="1">
      <c r="E419" s="1532"/>
      <c r="F419" s="1532"/>
      <c r="G419" s="1532"/>
      <c r="H419" s="1532"/>
      <c r="I419" s="1532"/>
      <c r="J419" s="1532"/>
      <c r="K419" s="1532"/>
      <c r="L419" s="1532"/>
      <c r="M419" s="1532"/>
      <c r="N419" s="1532"/>
      <c r="O419" s="1532"/>
      <c r="P419" s="1532"/>
      <c r="Q419" s="1532"/>
      <c r="R419" s="1532"/>
      <c r="S419" s="1532"/>
      <c r="T419" s="1532"/>
      <c r="U419" s="1532"/>
      <c r="V419" s="1532"/>
      <c r="W419" s="1532"/>
      <c r="X419" s="1532"/>
      <c r="Y419" s="1532"/>
      <c r="Z419" s="1532"/>
      <c r="AA419" s="1532"/>
      <c r="AB419" s="1532"/>
      <c r="AC419" s="1532"/>
      <c r="AD419" s="1532"/>
      <c r="AE419" s="1532"/>
      <c r="AF419" s="1532"/>
      <c r="AG419" s="1532"/>
      <c r="AH419" s="1532"/>
      <c r="AI419" s="1532"/>
      <c r="AJ419" s="1532"/>
    </row>
    <row r="420" spans="1:39" ht="12.95" customHeight="1">
      <c r="E420" s="118" t="s">
        <v>1995</v>
      </c>
      <c r="F420" s="1050"/>
      <c r="G420" s="1050"/>
      <c r="H420" s="1050"/>
      <c r="I420" s="1724">
        <f>0.489</f>
        <v>0.48899999999999999</v>
      </c>
      <c r="J420" s="1724"/>
      <c r="K420" s="1724"/>
      <c r="L420" s="1050"/>
      <c r="M420" s="118"/>
      <c r="N420" s="1050"/>
      <c r="O420" s="1050"/>
      <c r="P420" s="1747">
        <f>(CS623+CS631+CS647)/I420</f>
        <v>638.03680981595096</v>
      </c>
      <c r="Q420" s="1747"/>
      <c r="R420" s="1747"/>
      <c r="S420" s="118" t="s">
        <v>1996</v>
      </c>
      <c r="T420" s="1050"/>
      <c r="U420" s="1050"/>
      <c r="V420" s="1050"/>
      <c r="W420" s="1050"/>
      <c r="X420" s="1050"/>
      <c r="Y420" s="1050"/>
      <c r="Z420" s="1050"/>
      <c r="AA420" s="1050"/>
      <c r="AB420" s="1050"/>
      <c r="AC420" s="1050"/>
      <c r="AD420" s="1050"/>
      <c r="AE420" s="1050"/>
      <c r="AF420" s="1050"/>
      <c r="AG420" s="1050"/>
      <c r="AH420" s="1050"/>
      <c r="AI420" s="1050"/>
      <c r="AJ420" s="1050"/>
    </row>
    <row r="421" spans="1:39" ht="12.95" customHeight="1"/>
    <row r="422" spans="1:39" ht="12.95" customHeight="1">
      <c r="A422" s="2" t="s">
        <v>601</v>
      </c>
      <c r="B422" s="2"/>
      <c r="C422" s="2"/>
      <c r="D422" s="2" t="s">
        <v>121</v>
      </c>
    </row>
    <row r="423" spans="1:39" ht="12.95" customHeight="1">
      <c r="E423" t="s">
        <v>122</v>
      </c>
      <c r="P423" s="1376">
        <v>1</v>
      </c>
      <c r="Q423" s="1376"/>
      <c r="S423" t="s">
        <v>191</v>
      </c>
      <c r="AE423" s="1376">
        <v>1</v>
      </c>
      <c r="AF423" s="1376"/>
    </row>
    <row r="424" spans="1:39" ht="12.95" customHeight="1">
      <c r="E424" t="s">
        <v>192</v>
      </c>
      <c r="P424" s="1376" t="s">
        <v>600</v>
      </c>
      <c r="Q424" s="1376"/>
      <c r="S424" t="s">
        <v>132</v>
      </c>
      <c r="AE424" s="1376" t="s">
        <v>600</v>
      </c>
      <c r="AF424" s="1376"/>
    </row>
    <row r="425" spans="1:39" ht="12.95" customHeight="1">
      <c r="F425" s="28" t="s">
        <v>133</v>
      </c>
    </row>
    <row r="426" spans="1:39" ht="12.95" customHeight="1">
      <c r="F426" s="1448"/>
      <c r="G426" s="1448"/>
      <c r="H426" s="1448"/>
      <c r="I426" s="1448"/>
      <c r="J426" s="1448"/>
      <c r="K426" s="1448"/>
      <c r="L426" s="1448"/>
      <c r="M426" s="1448"/>
      <c r="N426" s="1448"/>
      <c r="O426" s="1448"/>
      <c r="P426" s="1448"/>
      <c r="Q426" s="1448"/>
      <c r="R426" s="1448"/>
      <c r="S426" s="1448"/>
      <c r="T426" s="1448"/>
      <c r="U426" s="1448"/>
      <c r="V426" s="1448"/>
      <c r="W426" s="1448"/>
      <c r="X426" s="1448"/>
      <c r="Y426" s="1448"/>
      <c r="Z426" s="1448"/>
      <c r="AA426" s="1448"/>
      <c r="AB426" s="1448"/>
      <c r="AC426" s="1448"/>
      <c r="AD426" s="1448"/>
      <c r="AE426" s="1448"/>
      <c r="AF426" s="1448"/>
      <c r="AG426" s="1448"/>
      <c r="AH426" s="1448"/>
    </row>
    <row r="427" spans="1:39" ht="12.95" customHeight="1">
      <c r="F427" s="1449"/>
      <c r="G427" s="1449"/>
      <c r="H427" s="1449"/>
      <c r="I427" s="1449"/>
      <c r="J427" s="1449"/>
      <c r="K427" s="1449"/>
      <c r="L427" s="1449"/>
      <c r="M427" s="1449"/>
      <c r="N427" s="1449"/>
      <c r="O427" s="1449"/>
      <c r="P427" s="1449"/>
      <c r="Q427" s="1449"/>
      <c r="R427" s="1449"/>
      <c r="S427" s="1449"/>
      <c r="T427" s="1449"/>
      <c r="U427" s="1449"/>
      <c r="V427" s="1449"/>
      <c r="W427" s="1449"/>
      <c r="X427" s="1449"/>
      <c r="Y427" s="1449"/>
      <c r="Z427" s="1449"/>
      <c r="AA427" s="1449"/>
      <c r="AB427" s="1449"/>
      <c r="AC427" s="1449"/>
      <c r="AD427" s="1449"/>
      <c r="AE427" s="1449"/>
      <c r="AF427" s="1449"/>
      <c r="AG427" s="1449"/>
      <c r="AH427" s="1449"/>
    </row>
    <row r="428" spans="1:39" ht="12.95" customHeight="1">
      <c r="E428" t="s">
        <v>617</v>
      </c>
      <c r="P428" s="1"/>
      <c r="Q428" s="1376"/>
      <c r="R428" s="1376"/>
    </row>
    <row r="429" spans="1:39" ht="12.95" customHeight="1">
      <c r="F429" t="s">
        <v>618</v>
      </c>
      <c r="P429" s="1"/>
      <c r="Q429" s="1"/>
      <c r="AF429" s="1376" t="s">
        <v>600</v>
      </c>
      <c r="AG429" s="1574"/>
    </row>
    <row r="430" spans="1:39" ht="12.95" customHeight="1"/>
    <row r="431" spans="1:39" ht="12.95" customHeight="1">
      <c r="A431" s="2"/>
      <c r="B431" s="2"/>
      <c r="C431" s="2"/>
      <c r="E431" s="4" t="s">
        <v>310</v>
      </c>
      <c r="Z431" s="1376" t="s">
        <v>678</v>
      </c>
      <c r="AA431" s="1376"/>
    </row>
    <row r="432" spans="1:39" ht="12.95"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2.95" customHeight="1">
      <c r="F433" t="s">
        <v>719</v>
      </c>
      <c r="G433" s="40"/>
      <c r="I433" s="40"/>
      <c r="J433" s="40"/>
      <c r="K433" s="40"/>
      <c r="L433" s="40"/>
      <c r="M433" s="40"/>
      <c r="N433" s="40"/>
      <c r="O433" s="28"/>
      <c r="P433" s="40"/>
      <c r="Q433" s="40"/>
      <c r="R433" s="40"/>
      <c r="S433" s="40"/>
      <c r="T433" s="40"/>
      <c r="U433" s="40"/>
      <c r="V433" s="40"/>
      <c r="W433" s="40"/>
      <c r="Z433" s="1376" t="s">
        <v>600</v>
      </c>
      <c r="AA433" s="1376"/>
    </row>
    <row r="434" spans="1:110" ht="12.95" customHeight="1"/>
    <row r="435" spans="1:110" ht="12.95" customHeight="1">
      <c r="A435" s="2" t="s">
        <v>476</v>
      </c>
      <c r="B435" s="2"/>
      <c r="C435" s="2"/>
      <c r="D435" s="2" t="s">
        <v>788</v>
      </c>
      <c r="AF435" s="48"/>
    </row>
    <row r="436" spans="1:110" ht="12.95" customHeight="1">
      <c r="D436" s="1426" t="s">
        <v>43</v>
      </c>
      <c r="E436" s="1427"/>
      <c r="F436" s="1427"/>
      <c r="G436" s="1427"/>
      <c r="H436" s="1427"/>
      <c r="I436" s="1427"/>
      <c r="J436" s="1427"/>
      <c r="K436" s="1427"/>
      <c r="L436" s="1427"/>
      <c r="M436" s="1427"/>
      <c r="N436" s="1427"/>
      <c r="O436" s="1427"/>
      <c r="P436" s="1427"/>
      <c r="Q436" s="1427"/>
      <c r="R436" s="1427"/>
      <c r="S436" s="1427"/>
      <c r="T436" s="1427"/>
      <c r="U436" s="1427"/>
      <c r="V436" s="1427"/>
      <c r="W436" s="1427"/>
      <c r="X436" s="1427"/>
      <c r="Y436" s="1427"/>
      <c r="Z436" s="1427"/>
      <c r="AA436" s="1427"/>
      <c r="AB436" s="1427"/>
      <c r="AC436" s="1427"/>
      <c r="AD436" s="1427"/>
      <c r="AE436" s="1427"/>
      <c r="AF436" s="1428"/>
      <c r="AG436" s="1360">
        <v>184</v>
      </c>
      <c r="AH436" s="1360"/>
      <c r="AI436" s="1360"/>
      <c r="AJ436" s="1360"/>
    </row>
    <row r="437" spans="1:110" ht="12.95" customHeight="1">
      <c r="D437" s="1364" t="s">
        <v>1368</v>
      </c>
      <c r="E437" s="1365"/>
      <c r="F437" s="1365"/>
      <c r="G437" s="1365"/>
      <c r="H437" s="1365"/>
      <c r="I437" s="1365"/>
      <c r="J437" s="1365"/>
      <c r="K437" s="1365"/>
      <c r="L437" s="1365"/>
      <c r="M437" s="1365"/>
      <c r="N437" s="1365"/>
      <c r="O437" s="1365"/>
      <c r="P437" s="1365"/>
      <c r="Q437" s="1365"/>
      <c r="R437" s="1365"/>
      <c r="S437" s="1365"/>
      <c r="T437" s="1365"/>
      <c r="U437" s="1365"/>
      <c r="V437" s="1365"/>
      <c r="W437" s="1365"/>
      <c r="X437" s="1365"/>
      <c r="Y437" s="1365"/>
      <c r="Z437" s="1365"/>
      <c r="AA437" s="1365"/>
      <c r="AB437" s="1365"/>
      <c r="AC437" s="1365"/>
      <c r="AD437" s="1365"/>
      <c r="AE437" s="1365"/>
      <c r="AF437" s="1366"/>
      <c r="AG437" s="1374">
        <v>2</v>
      </c>
      <c r="AH437" s="1375"/>
      <c r="AI437" s="1375"/>
      <c r="AJ437" s="1375"/>
    </row>
    <row r="438" spans="1:110" ht="12.95" customHeight="1">
      <c r="D438" s="1364" t="s">
        <v>1091</v>
      </c>
      <c r="E438" s="1365"/>
      <c r="F438" s="1365"/>
      <c r="G438" s="1365"/>
      <c r="H438" s="1365"/>
      <c r="I438" s="1365"/>
      <c r="J438" s="1365"/>
      <c r="K438" s="1365"/>
      <c r="L438" s="1365"/>
      <c r="M438" s="1365"/>
      <c r="N438" s="1365"/>
      <c r="O438" s="1365"/>
      <c r="P438" s="1365"/>
      <c r="Q438" s="1365"/>
      <c r="R438" s="1365"/>
      <c r="S438" s="1365"/>
      <c r="T438" s="1365"/>
      <c r="U438" s="1365"/>
      <c r="V438" s="1365"/>
      <c r="W438" s="1365"/>
      <c r="X438" s="1365"/>
      <c r="Y438" s="1365"/>
      <c r="Z438" s="1365"/>
      <c r="AA438" s="1365"/>
      <c r="AB438" s="1365"/>
      <c r="AC438" s="1365"/>
      <c r="AD438" s="1365"/>
      <c r="AE438" s="1365"/>
      <c r="AF438" s="1366"/>
      <c r="AG438" s="1360">
        <v>182</v>
      </c>
      <c r="AH438" s="1360"/>
      <c r="AI438" s="1360"/>
      <c r="AJ438" s="1360"/>
    </row>
    <row r="439" spans="1:110" ht="12.95" customHeight="1">
      <c r="D439" s="1364" t="s">
        <v>1092</v>
      </c>
      <c r="E439" s="1365"/>
      <c r="F439" s="1365"/>
      <c r="G439" s="1365"/>
      <c r="H439" s="1365"/>
      <c r="I439" s="1365"/>
      <c r="J439" s="1365"/>
      <c r="K439" s="1365"/>
      <c r="L439" s="1365"/>
      <c r="M439" s="1365"/>
      <c r="N439" s="1365"/>
      <c r="O439" s="1365"/>
      <c r="P439" s="1365"/>
      <c r="Q439" s="1365"/>
      <c r="R439" s="1365"/>
      <c r="S439" s="1365"/>
      <c r="T439" s="1365"/>
      <c r="U439" s="1365"/>
      <c r="V439" s="1365"/>
      <c r="W439" s="1365"/>
      <c r="X439" s="1365"/>
      <c r="Y439" s="1365"/>
      <c r="Z439" s="1365"/>
      <c r="AA439" s="1365"/>
      <c r="AB439" s="1365"/>
      <c r="AC439" s="1365"/>
      <c r="AD439" s="1365"/>
      <c r="AE439" s="1365"/>
      <c r="AF439" s="1366"/>
      <c r="AG439" s="1360">
        <v>182</v>
      </c>
      <c r="AH439" s="1360"/>
      <c r="AI439" s="1360"/>
      <c r="AJ439" s="1360"/>
    </row>
    <row r="440" spans="1:110" ht="12.95" customHeight="1">
      <c r="D440" s="1364" t="s">
        <v>1094</v>
      </c>
      <c r="E440" s="1365"/>
      <c r="F440" s="1365"/>
      <c r="G440" s="1365"/>
      <c r="H440" s="1365"/>
      <c r="I440" s="1365"/>
      <c r="J440" s="1365"/>
      <c r="K440" s="1365"/>
      <c r="L440" s="1365"/>
      <c r="M440" s="1365"/>
      <c r="N440" s="1365"/>
      <c r="O440" s="1365"/>
      <c r="P440" s="1365"/>
      <c r="Q440" s="1365"/>
      <c r="R440" s="1365"/>
      <c r="S440" s="1365"/>
      <c r="T440" s="1365"/>
      <c r="U440" s="1365"/>
      <c r="V440" s="1365"/>
      <c r="W440" s="1365"/>
      <c r="X440" s="1365"/>
      <c r="Y440" s="1365"/>
      <c r="Z440" s="1365"/>
      <c r="AA440" s="1365"/>
      <c r="AB440" s="1365"/>
      <c r="AC440" s="1365"/>
      <c r="AD440" s="1365"/>
      <c r="AE440" s="1365"/>
      <c r="AF440" s="1366"/>
      <c r="AG440" s="1362">
        <f>IF(ISERROR(AG439/AG438),"",AG439/AG438)</f>
        <v>1</v>
      </c>
      <c r="AH440" s="1362"/>
      <c r="AI440" s="1362"/>
      <c r="AJ440" s="1362"/>
    </row>
    <row r="441" spans="1:110" ht="12.95" customHeight="1">
      <c r="D441" s="1364" t="s">
        <v>1093</v>
      </c>
      <c r="E441" s="1365"/>
      <c r="F441" s="1365"/>
      <c r="G441" s="1365"/>
      <c r="H441" s="1365"/>
      <c r="I441" s="1365"/>
      <c r="J441" s="1365"/>
      <c r="K441" s="1365"/>
      <c r="L441" s="1365"/>
      <c r="M441" s="1365"/>
      <c r="N441" s="1365"/>
      <c r="O441" s="1365"/>
      <c r="P441" s="1365"/>
      <c r="Q441" s="1365"/>
      <c r="R441" s="1365"/>
      <c r="S441" s="1365"/>
      <c r="T441" s="1365"/>
      <c r="U441" s="1365"/>
      <c r="V441" s="1365"/>
      <c r="W441" s="1365"/>
      <c r="X441" s="1365"/>
      <c r="Y441" s="1365"/>
      <c r="Z441" s="1365"/>
      <c r="AA441" s="1365"/>
      <c r="AB441" s="1365"/>
      <c r="AC441" s="1365"/>
      <c r="AD441" s="1365"/>
      <c r="AE441" s="1365"/>
      <c r="AF441" s="1366"/>
      <c r="AG441" s="1361">
        <v>134609</v>
      </c>
      <c r="AH441" s="1361"/>
      <c r="AI441" s="1361"/>
      <c r="AJ441" s="1361"/>
    </row>
    <row r="442" spans="1:110" ht="12.95" customHeight="1">
      <c r="D442" s="1364" t="s">
        <v>1095</v>
      </c>
      <c r="E442" s="1365"/>
      <c r="F442" s="1365"/>
      <c r="G442" s="1365"/>
      <c r="H442" s="1365"/>
      <c r="I442" s="1365"/>
      <c r="J442" s="1365"/>
      <c r="K442" s="1365"/>
      <c r="L442" s="1365"/>
      <c r="M442" s="1365"/>
      <c r="N442" s="1365"/>
      <c r="O442" s="1365"/>
      <c r="P442" s="1365"/>
      <c r="Q442" s="1365"/>
      <c r="R442" s="1365"/>
      <c r="S442" s="1365"/>
      <c r="T442" s="1365"/>
      <c r="U442" s="1365"/>
      <c r="V442" s="1365"/>
      <c r="W442" s="1365"/>
      <c r="X442" s="1365"/>
      <c r="Y442" s="1365"/>
      <c r="Z442" s="1365"/>
      <c r="AA442" s="1365"/>
      <c r="AB442" s="1365"/>
      <c r="AC442" s="1365"/>
      <c r="AD442" s="1365"/>
      <c r="AE442" s="1365"/>
      <c r="AF442" s="1366"/>
      <c r="AG442" s="1361">
        <v>134609</v>
      </c>
      <c r="AH442" s="1361"/>
      <c r="AI442" s="1361"/>
      <c r="AJ442" s="1361"/>
    </row>
    <row r="443" spans="1:110" ht="12.95" customHeight="1">
      <c r="D443" s="1364" t="s">
        <v>1096</v>
      </c>
      <c r="E443" s="1365"/>
      <c r="F443" s="1365"/>
      <c r="G443" s="1365"/>
      <c r="H443" s="1365"/>
      <c r="I443" s="1365"/>
      <c r="J443" s="1365"/>
      <c r="K443" s="1365"/>
      <c r="L443" s="1365"/>
      <c r="M443" s="1365"/>
      <c r="N443" s="1365"/>
      <c r="O443" s="1365"/>
      <c r="P443" s="1365"/>
      <c r="Q443" s="1365"/>
      <c r="R443" s="1365"/>
      <c r="S443" s="1365"/>
      <c r="T443" s="1365"/>
      <c r="U443" s="1365"/>
      <c r="V443" s="1365"/>
      <c r="W443" s="1365"/>
      <c r="X443" s="1365"/>
      <c r="Y443" s="1365"/>
      <c r="Z443" s="1365"/>
      <c r="AA443" s="1365"/>
      <c r="AB443" s="1365"/>
      <c r="AC443" s="1365"/>
      <c r="AD443" s="1365"/>
      <c r="AE443" s="1365"/>
      <c r="AF443" s="1366"/>
      <c r="AG443" s="1362">
        <f>IF(ISERROR(AG442/AG441),"",AG442/AG441)</f>
        <v>1</v>
      </c>
      <c r="AH443" s="1362"/>
      <c r="AI443" s="1362"/>
      <c r="AJ443" s="1362"/>
    </row>
    <row r="444" spans="1:110" ht="12.95" customHeight="1">
      <c r="D444" s="1364" t="s">
        <v>1097</v>
      </c>
      <c r="E444" s="1365"/>
      <c r="F444" s="1365"/>
      <c r="G444" s="1365"/>
      <c r="H444" s="1365"/>
      <c r="I444" s="1365"/>
      <c r="J444" s="1365"/>
      <c r="K444" s="1365"/>
      <c r="L444" s="1365"/>
      <c r="M444" s="1365"/>
      <c r="N444" s="1365"/>
      <c r="O444" s="1365"/>
      <c r="P444" s="1365"/>
      <c r="Q444" s="1365"/>
      <c r="R444" s="1365"/>
      <c r="S444" s="1365"/>
      <c r="T444" s="1365"/>
      <c r="U444" s="1365"/>
      <c r="V444" s="1365"/>
      <c r="W444" s="1365"/>
      <c r="X444" s="1365"/>
      <c r="Y444" s="1365"/>
      <c r="Z444" s="1365"/>
      <c r="AA444" s="1365"/>
      <c r="AB444" s="1365"/>
      <c r="AC444" s="1365"/>
      <c r="AD444" s="1365"/>
      <c r="AE444" s="1365"/>
      <c r="AF444" s="1366"/>
      <c r="AG444" s="1362">
        <f>MIN(IF(AG440&gt;AG443,AG443,AG440),1)</f>
        <v>1</v>
      </c>
      <c r="AH444" s="1362"/>
      <c r="AI444" s="1362"/>
      <c r="AJ444" s="1362"/>
    </row>
    <row r="445" spans="1:110" ht="12.95" customHeight="1">
      <c r="D445" s="1364" t="s">
        <v>2504</v>
      </c>
      <c r="E445" s="1427"/>
      <c r="F445" s="1427"/>
      <c r="G445" s="1427"/>
      <c r="H445" s="1427"/>
      <c r="I445" s="1427"/>
      <c r="J445" s="1427"/>
      <c r="K445" s="1427"/>
      <c r="L445" s="1427"/>
      <c r="M445" s="1427"/>
      <c r="N445" s="1427"/>
      <c r="O445" s="1427"/>
      <c r="P445" s="1427"/>
      <c r="Q445" s="1427"/>
      <c r="R445" s="1427"/>
      <c r="S445" s="1427"/>
      <c r="T445" s="1427"/>
      <c r="U445" s="1427"/>
      <c r="V445" s="1427"/>
      <c r="W445" s="1427"/>
      <c r="X445" s="1427"/>
      <c r="Y445" s="1427"/>
      <c r="Z445" s="1427"/>
      <c r="AA445" s="1427"/>
      <c r="AB445" s="1427"/>
      <c r="AC445" s="1427"/>
      <c r="AD445" s="1427"/>
      <c r="AE445" s="1427"/>
      <c r="AF445" s="1428"/>
      <c r="AG445" s="1361">
        <f>6038+1509+844+464+820</f>
        <v>9675</v>
      </c>
      <c r="AH445" s="1361"/>
      <c r="AI445" s="1361"/>
      <c r="AJ445" s="1361"/>
    </row>
    <row r="446" spans="1:110" ht="12.95" customHeight="1">
      <c r="D446" s="1426" t="s">
        <v>578</v>
      </c>
      <c r="E446" s="1427"/>
      <c r="F446" s="1427"/>
      <c r="G446" s="1427"/>
      <c r="H446" s="1427"/>
      <c r="I446" s="1427"/>
      <c r="J446" s="1427"/>
      <c r="K446" s="1427"/>
      <c r="L446" s="1427"/>
      <c r="M446" s="1427"/>
      <c r="N446" s="1427"/>
      <c r="O446" s="1427"/>
      <c r="P446" s="1427"/>
      <c r="Q446" s="1427"/>
      <c r="R446" s="1427"/>
      <c r="S446" s="1427"/>
      <c r="T446" s="1427"/>
      <c r="U446" s="1427"/>
      <c r="V446" s="1427"/>
      <c r="W446" s="1427"/>
      <c r="X446" s="1427"/>
      <c r="Y446" s="1427"/>
      <c r="Z446" s="1427"/>
      <c r="AA446" s="1427"/>
      <c r="AB446" s="1427"/>
      <c r="AC446" s="1427"/>
      <c r="AD446" s="1427"/>
      <c r="AE446" s="1427"/>
      <c r="AF446" s="1428"/>
      <c r="AG446" s="1361"/>
      <c r="AH446" s="1361"/>
      <c r="AI446" s="1361"/>
      <c r="AJ446" s="1361"/>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364" t="s">
        <v>1347</v>
      </c>
      <c r="E447" s="1427"/>
      <c r="F447" s="1427"/>
      <c r="G447" s="1427"/>
      <c r="H447" s="1427"/>
      <c r="I447" s="1427"/>
      <c r="J447" s="1427"/>
      <c r="K447" s="1427"/>
      <c r="L447" s="1427"/>
      <c r="M447" s="1427"/>
      <c r="N447" s="1427"/>
      <c r="O447" s="1427"/>
      <c r="P447" s="1427"/>
      <c r="Q447" s="1427"/>
      <c r="R447" s="1427"/>
      <c r="S447" s="1427"/>
      <c r="T447" s="1427"/>
      <c r="U447" s="1427"/>
      <c r="V447" s="1427"/>
      <c r="W447" s="1427"/>
      <c r="X447" s="1427"/>
      <c r="Y447" s="1427"/>
      <c r="Z447" s="1427"/>
      <c r="AA447" s="1427"/>
      <c r="AB447" s="1427"/>
      <c r="AC447" s="1427"/>
      <c r="AD447" s="1427"/>
      <c r="AE447" s="1427"/>
      <c r="AF447" s="1428"/>
      <c r="AG447" s="1361">
        <v>42792</v>
      </c>
      <c r="AH447" s="1361"/>
      <c r="AI447" s="1361"/>
      <c r="AJ447" s="1361"/>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364" t="s">
        <v>1098</v>
      </c>
      <c r="E448" s="1427"/>
      <c r="F448" s="1427"/>
      <c r="G448" s="1427"/>
      <c r="H448" s="1427"/>
      <c r="I448" s="1427"/>
      <c r="J448" s="1427"/>
      <c r="K448" s="1427"/>
      <c r="L448" s="1427"/>
      <c r="M448" s="1427"/>
      <c r="N448" s="1427"/>
      <c r="O448" s="1427"/>
      <c r="P448" s="1427"/>
      <c r="Q448" s="1427"/>
      <c r="R448" s="1427"/>
      <c r="S448" s="1427"/>
      <c r="T448" s="1427"/>
      <c r="U448" s="1427"/>
      <c r="V448" s="1427"/>
      <c r="W448" s="1427"/>
      <c r="X448" s="1427"/>
      <c r="Y448" s="1427"/>
      <c r="Z448" s="1427"/>
      <c r="AA448" s="1427"/>
      <c r="AB448" s="1427"/>
      <c r="AC448" s="1427"/>
      <c r="AD448" s="1427"/>
      <c r="AE448" s="1427"/>
      <c r="AF448" s="1428"/>
      <c r="AG448" s="1361">
        <v>0</v>
      </c>
      <c r="AH448" s="1361"/>
      <c r="AI448" s="1361"/>
      <c r="AJ448" s="1361"/>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527" t="s">
        <v>1099</v>
      </c>
      <c r="E449" s="1528"/>
      <c r="F449" s="1528"/>
      <c r="G449" s="1528"/>
      <c r="H449" s="1528"/>
      <c r="I449" s="1528"/>
      <c r="J449" s="1528"/>
      <c r="K449" s="1528"/>
      <c r="L449" s="1528"/>
      <c r="M449" s="1528"/>
      <c r="N449" s="1528"/>
      <c r="O449" s="1528"/>
      <c r="P449" s="1528"/>
      <c r="Q449" s="1528"/>
      <c r="R449" s="1528"/>
      <c r="S449" s="1528"/>
      <c r="T449" s="1528"/>
      <c r="U449" s="1528"/>
      <c r="V449" s="1528"/>
      <c r="W449" s="1528"/>
      <c r="X449" s="1528"/>
      <c r="Y449" s="1528"/>
      <c r="Z449" s="1528"/>
      <c r="AA449" s="1528"/>
      <c r="AB449" s="1528"/>
      <c r="AC449" s="1528"/>
      <c r="AD449" s="1528"/>
      <c r="AE449" s="1528"/>
      <c r="AF449" s="1529"/>
      <c r="AG449" s="1466">
        <f>AG441+AG445+AG447+AG448</f>
        <v>187076</v>
      </c>
      <c r="AH449" s="1466"/>
      <c r="AI449" s="1466"/>
      <c r="AJ449" s="1466"/>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30" t="s">
        <v>1348</v>
      </c>
      <c r="E450" s="1530"/>
      <c r="F450" s="1530"/>
      <c r="G450" s="1530"/>
      <c r="H450" s="1530"/>
      <c r="I450" s="1530"/>
      <c r="J450" s="1530"/>
      <c r="K450" s="1530"/>
      <c r="L450" s="1530"/>
      <c r="M450" s="1530"/>
      <c r="N450" s="1530"/>
      <c r="O450" s="1530"/>
      <c r="P450" s="1530"/>
      <c r="Q450" s="1530"/>
      <c r="R450" s="1530"/>
      <c r="S450" s="1530"/>
      <c r="T450" s="1530"/>
      <c r="U450" s="1530"/>
      <c r="V450" s="1530"/>
      <c r="W450" s="1530"/>
      <c r="X450" s="1530"/>
      <c r="Y450" s="1530"/>
      <c r="Z450" s="1530"/>
      <c r="AA450" s="1530"/>
      <c r="AB450" s="1530"/>
      <c r="AC450" s="1530"/>
      <c r="AD450" s="1530"/>
      <c r="AE450" s="1530"/>
      <c r="AF450" s="1530"/>
      <c r="AG450" s="1530"/>
      <c r="AH450" s="1530"/>
      <c r="AI450" s="1530"/>
      <c r="AJ450" s="1530"/>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31"/>
      <c r="E451" s="1531"/>
      <c r="F451" s="1531"/>
      <c r="G451" s="1531"/>
      <c r="H451" s="1531"/>
      <c r="I451" s="1531"/>
      <c r="J451" s="1531"/>
      <c r="K451" s="1531"/>
      <c r="L451" s="1531"/>
      <c r="M451" s="1531"/>
      <c r="N451" s="1531"/>
      <c r="O451" s="1531"/>
      <c r="P451" s="1531"/>
      <c r="Q451" s="1531"/>
      <c r="R451" s="1531"/>
      <c r="S451" s="1531"/>
      <c r="T451" s="1531"/>
      <c r="U451" s="1531"/>
      <c r="V451" s="1531"/>
      <c r="W451" s="1531"/>
      <c r="X451" s="1531"/>
      <c r="Y451" s="1531"/>
      <c r="Z451" s="1531"/>
      <c r="AA451" s="1531"/>
      <c r="AB451" s="1531"/>
      <c r="AC451" s="1531"/>
      <c r="AD451" s="1531"/>
      <c r="AE451" s="1531"/>
      <c r="AF451" s="1531"/>
      <c r="AG451" s="1531"/>
      <c r="AH451" s="1531"/>
      <c r="AI451" s="1531"/>
      <c r="AJ451" s="1531"/>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219" t="s">
        <v>840</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363">
        <f>'Sources and Uses Budget'!B105/Application!AG436</f>
        <v>995586.28260869568</v>
      </c>
      <c r="AD453" s="1363"/>
      <c r="AE453" s="1363"/>
      <c r="AF453" s="1363"/>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841</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363">
        <f>'Sources and Uses Budget'!C105/Application!AG436</f>
        <v>995586.28260869568</v>
      </c>
      <c r="AD454" s="1363"/>
      <c r="AE454" s="1363"/>
      <c r="AF454" s="1363"/>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891</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363">
        <f>('Sources and Uses Budget'!$S$107+'Sources and Uses Budget'!$T$107)/Application!AG436</f>
        <v>947292.67391304346</v>
      </c>
      <c r="AD455" s="1363"/>
      <c r="AE455" s="1363"/>
      <c r="AF455" s="1363"/>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186"/>
      <c r="E456" s="186"/>
      <c r="F456" s="1533" t="str">
        <f>IFERROR(IF(AC453&gt;650000,"Please provide a justification of cost per unit in Tab 12 for all projects with per unit costs of greater than $650,000.",""),"")</f>
        <v>Please provide a justification of cost per unit in Tab 12 for all projects with per unit costs of greater than $650,000.</v>
      </c>
      <c r="G456" s="1533"/>
      <c r="H456" s="1533"/>
      <c r="I456" s="1533"/>
      <c r="J456" s="1533"/>
      <c r="K456" s="1533"/>
      <c r="L456" s="1533"/>
      <c r="M456" s="1533"/>
      <c r="N456" s="1533"/>
      <c r="O456" s="1533"/>
      <c r="P456" s="1533"/>
      <c r="Q456" s="1533"/>
      <c r="R456" s="1533"/>
      <c r="S456" s="1533"/>
      <c r="T456" s="1533"/>
      <c r="U456" s="1533"/>
      <c r="V456" s="1533"/>
      <c r="W456" s="1533"/>
      <c r="X456" s="1533"/>
      <c r="Y456" s="1533"/>
      <c r="Z456" s="1533"/>
      <c r="AA456" s="1533"/>
      <c r="AB456" s="1533"/>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A457" s="2"/>
      <c r="D457" s="2"/>
      <c r="E457" s="186"/>
      <c r="F457" s="1533"/>
      <c r="G457" s="1533"/>
      <c r="H457" s="1533"/>
      <c r="I457" s="1533"/>
      <c r="J457" s="1533"/>
      <c r="K457" s="1533"/>
      <c r="L457" s="1533"/>
      <c r="M457" s="1533"/>
      <c r="N457" s="1533"/>
      <c r="O457" s="1533"/>
      <c r="P457" s="1533"/>
      <c r="Q457" s="1533"/>
      <c r="R457" s="1533"/>
      <c r="S457" s="1533"/>
      <c r="T457" s="1533"/>
      <c r="U457" s="1533"/>
      <c r="V457" s="1533"/>
      <c r="W457" s="1533"/>
      <c r="X457" s="1533"/>
      <c r="Y457" s="1533"/>
      <c r="Z457" s="1533"/>
      <c r="AA457" s="1533"/>
      <c r="AB457" s="1533"/>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t="s">
        <v>622</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D459" s="193" t="s">
        <v>2140</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2141</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2142</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A463" s="3"/>
      <c r="B463" s="3"/>
      <c r="C463" s="3"/>
      <c r="D463" s="194" t="s">
        <v>702</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461" t="s">
        <v>2519</v>
      </c>
      <c r="E464" s="1356"/>
      <c r="F464" s="1356"/>
      <c r="G464" s="1356"/>
      <c r="H464" s="1356"/>
      <c r="I464" s="1356"/>
      <c r="J464" s="1356"/>
      <c r="K464" s="1356"/>
      <c r="L464" s="1356"/>
      <c r="M464" s="1356"/>
      <c r="N464" s="1356"/>
      <c r="O464" s="1356"/>
      <c r="P464" s="1356"/>
      <c r="Q464" s="1356"/>
      <c r="R464" s="1356"/>
      <c r="S464" s="1356"/>
      <c r="T464" s="1356"/>
      <c r="U464" s="1356"/>
      <c r="V464" s="1357"/>
      <c r="W464" s="1352">
        <f>40</f>
        <v>40</v>
      </c>
      <c r="X464" s="1353"/>
      <c r="Y464" s="1354"/>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355" t="s">
        <v>703</v>
      </c>
      <c r="E465" s="1356"/>
      <c r="F465" s="1356"/>
      <c r="G465" s="1356"/>
      <c r="H465" s="1356"/>
      <c r="I465" s="1356"/>
      <c r="J465" s="1356"/>
      <c r="K465" s="1356"/>
      <c r="L465" s="1356"/>
      <c r="M465" s="1356"/>
      <c r="N465" s="1356"/>
      <c r="O465" s="1356"/>
      <c r="P465" s="1356"/>
      <c r="Q465" s="1356"/>
      <c r="R465" s="1356"/>
      <c r="S465" s="1356"/>
      <c r="T465" s="1356"/>
      <c r="U465" s="1356"/>
      <c r="V465" s="1357"/>
      <c r="W465" s="1352">
        <v>0</v>
      </c>
      <c r="X465" s="1353"/>
      <c r="Y465" s="1354"/>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355" t="s">
        <v>704</v>
      </c>
      <c r="E466" s="1356"/>
      <c r="F466" s="1356"/>
      <c r="G466" s="1356"/>
      <c r="H466" s="1356"/>
      <c r="I466" s="1356"/>
      <c r="J466" s="1356"/>
      <c r="K466" s="1356"/>
      <c r="L466" s="1356"/>
      <c r="M466" s="1356"/>
      <c r="N466" s="1356"/>
      <c r="O466" s="1356"/>
      <c r="P466" s="1356"/>
      <c r="Q466" s="1356"/>
      <c r="R466" s="1356"/>
      <c r="S466" s="1356"/>
      <c r="T466" s="1356"/>
      <c r="U466" s="1356"/>
      <c r="V466" s="1357"/>
      <c r="W466" s="1352">
        <v>0</v>
      </c>
      <c r="X466" s="1353"/>
      <c r="Y466" s="1354"/>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355" t="s">
        <v>705</v>
      </c>
      <c r="E467" s="1356"/>
      <c r="F467" s="1356"/>
      <c r="G467" s="1356"/>
      <c r="H467" s="1356"/>
      <c r="I467" s="1356"/>
      <c r="J467" s="1356"/>
      <c r="K467" s="1356"/>
      <c r="L467" s="1356"/>
      <c r="M467" s="1356"/>
      <c r="N467" s="1356"/>
      <c r="O467" s="1356"/>
      <c r="P467" s="1356"/>
      <c r="Q467" s="1356"/>
      <c r="R467" s="1356"/>
      <c r="S467" s="1356"/>
      <c r="T467" s="1356"/>
      <c r="U467" s="1356"/>
      <c r="V467" s="1357"/>
      <c r="W467" s="1352">
        <v>0</v>
      </c>
      <c r="X467" s="1353"/>
      <c r="Y467" s="1354"/>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355" t="s">
        <v>910</v>
      </c>
      <c r="E468" s="1356"/>
      <c r="F468" s="1356"/>
      <c r="G468" s="1356"/>
      <c r="H468" s="1356"/>
      <c r="I468" s="1356"/>
      <c r="J468" s="1356"/>
      <c r="K468" s="1356"/>
      <c r="L468" s="1356"/>
      <c r="M468" s="1356"/>
      <c r="N468" s="1356"/>
      <c r="O468" s="1356"/>
      <c r="P468" s="1356"/>
      <c r="Q468" s="1356"/>
      <c r="R468" s="1356"/>
      <c r="S468" s="1356"/>
      <c r="T468" s="1356"/>
      <c r="U468" s="1356"/>
      <c r="V468" s="1357"/>
      <c r="W468" s="1352">
        <v>0</v>
      </c>
      <c r="X468" s="1353"/>
      <c r="Y468" s="1354"/>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355" t="s">
        <v>706</v>
      </c>
      <c r="E469" s="1356"/>
      <c r="F469" s="1356"/>
      <c r="G469" s="1356"/>
      <c r="H469" s="1356"/>
      <c r="I469" s="1356"/>
      <c r="J469" s="1356"/>
      <c r="K469" s="1356"/>
      <c r="L469" s="1356"/>
      <c r="M469" s="1356"/>
      <c r="N469" s="1356"/>
      <c r="O469" s="1356"/>
      <c r="P469" s="1356"/>
      <c r="Q469" s="1356"/>
      <c r="R469" s="1356"/>
      <c r="S469" s="1356"/>
      <c r="T469" s="1356"/>
      <c r="U469" s="1356"/>
      <c r="V469" s="1357"/>
      <c r="W469" s="1352">
        <v>0</v>
      </c>
      <c r="X469" s="1353"/>
      <c r="Y469" s="1354"/>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355" t="s">
        <v>1068</v>
      </c>
      <c r="E470" s="1356"/>
      <c r="F470" s="1356"/>
      <c r="G470" s="1356"/>
      <c r="H470" s="1356"/>
      <c r="I470" s="1356"/>
      <c r="J470" s="1356"/>
      <c r="K470" s="1356"/>
      <c r="L470" s="1356"/>
      <c r="M470" s="1356"/>
      <c r="N470" s="1356"/>
      <c r="O470" s="1356"/>
      <c r="P470" s="1356"/>
      <c r="Q470" s="1356"/>
      <c r="R470" s="1356"/>
      <c r="S470" s="1356"/>
      <c r="T470" s="1356"/>
      <c r="U470" s="1356"/>
      <c r="V470" s="1357"/>
      <c r="W470" s="1352">
        <v>0</v>
      </c>
      <c r="X470" s="1353"/>
      <c r="Y470" s="1354"/>
      <c r="Z470" s="193"/>
      <c r="AA470" s="193"/>
      <c r="AB470" s="193"/>
      <c r="AC470" s="193"/>
      <c r="AD470" s="186"/>
      <c r="AE470" s="186"/>
      <c r="AF470" s="186"/>
      <c r="AG470" s="186"/>
      <c r="AH470" s="186"/>
      <c r="AI470" s="186"/>
      <c r="AJ470" s="192"/>
      <c r="AZ470" s="3"/>
      <c r="BA470" s="3" t="str">
        <f>AG587</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61" t="s">
        <v>1833</v>
      </c>
      <c r="E471" s="1356"/>
      <c r="F471" s="1356"/>
      <c r="G471" s="1356"/>
      <c r="H471" s="1356"/>
      <c r="I471" s="1356"/>
      <c r="J471" s="1356"/>
      <c r="K471" s="1356"/>
      <c r="L471" s="1356"/>
      <c r="M471" s="1356"/>
      <c r="N471" s="1356"/>
      <c r="O471" s="1356"/>
      <c r="P471" s="1356"/>
      <c r="Q471" s="1356"/>
      <c r="R471" s="1356"/>
      <c r="S471" s="1356"/>
      <c r="T471" s="1356"/>
      <c r="U471" s="1356"/>
      <c r="V471" s="1357"/>
      <c r="W471" s="1352">
        <f>28</f>
        <v>28</v>
      </c>
      <c r="X471" s="1353"/>
      <c r="Y471" s="1354"/>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261" t="s">
        <v>171</v>
      </c>
      <c r="E472" s="262"/>
      <c r="F472" s="263"/>
      <c r="G472" s="1463"/>
      <c r="H472" s="1464"/>
      <c r="I472" s="1464"/>
      <c r="J472" s="1464"/>
      <c r="K472" s="1464"/>
      <c r="L472" s="1464"/>
      <c r="M472" s="1464"/>
      <c r="N472" s="1464"/>
      <c r="O472" s="1464"/>
      <c r="P472" s="1464"/>
      <c r="Q472" s="1464"/>
      <c r="R472" s="1464"/>
      <c r="S472" s="1464"/>
      <c r="T472" s="1464"/>
      <c r="U472" s="1464"/>
      <c r="V472" s="1465"/>
      <c r="W472" s="1352">
        <v>0</v>
      </c>
      <c r="X472" s="1353"/>
      <c r="Y472" s="1354"/>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264" t="s">
        <v>911</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8" t="s">
        <v>2750</v>
      </c>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8" t="s">
        <v>2749</v>
      </c>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t="s">
        <v>2751</v>
      </c>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Z477" s="3"/>
      <c r="BA477" s="3" t="str">
        <f>N595</f>
        <v>No</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1445" t="s">
        <v>835</v>
      </c>
      <c r="B478" s="1445"/>
      <c r="C478" s="1445"/>
      <c r="D478" s="1445"/>
      <c r="E478" s="1445"/>
      <c r="F478" s="1445"/>
      <c r="G478" s="1445"/>
      <c r="H478" s="1445"/>
      <c r="I478" s="1445"/>
      <c r="J478" s="1445"/>
      <c r="K478" s="1445"/>
      <c r="L478" s="1445"/>
      <c r="M478" s="1445"/>
      <c r="N478" s="1445"/>
      <c r="O478" s="1445"/>
      <c r="P478" s="1445"/>
      <c r="Q478" s="1445"/>
      <c r="R478" s="1445"/>
      <c r="S478" s="1445"/>
      <c r="T478" s="1445"/>
      <c r="U478" s="1445"/>
      <c r="V478" s="1445"/>
      <c r="W478" s="1445"/>
      <c r="X478" s="1445"/>
      <c r="Y478" s="1445"/>
      <c r="Z478" s="1445"/>
      <c r="AA478" s="1445"/>
      <c r="AB478" s="1445"/>
      <c r="AC478" s="1445"/>
      <c r="AD478" s="1445"/>
      <c r="AE478" s="1445"/>
      <c r="AF478" s="1445"/>
      <c r="AG478" s="1445"/>
      <c r="AH478" s="1445"/>
      <c r="AI478" s="1445"/>
      <c r="AJ478" s="1445"/>
      <c r="AK478" s="1445"/>
      <c r="AL478" s="1445"/>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thickBot="1">
      <c r="A479" s="1446"/>
      <c r="B479" s="1446"/>
      <c r="C479" s="1446"/>
      <c r="D479" s="1446"/>
      <c r="E479" s="1446"/>
      <c r="F479" s="1446"/>
      <c r="G479" s="1446"/>
      <c r="H479" s="1446"/>
      <c r="I479" s="1446"/>
      <c r="J479" s="1446"/>
      <c r="K479" s="1446"/>
      <c r="L479" s="1446"/>
      <c r="M479" s="1446"/>
      <c r="N479" s="1446"/>
      <c r="O479" s="1446"/>
      <c r="P479" s="1446"/>
      <c r="Q479" s="1446"/>
      <c r="R479" s="1446"/>
      <c r="S479" s="1446"/>
      <c r="T479" s="1446"/>
      <c r="U479" s="1446"/>
      <c r="V479" s="1446"/>
      <c r="W479" s="1446"/>
      <c r="X479" s="1446"/>
      <c r="Y479" s="1446"/>
      <c r="Z479" s="1446"/>
      <c r="AA479" s="1446"/>
      <c r="AB479" s="1446"/>
      <c r="AC479" s="1446"/>
      <c r="AD479" s="1446"/>
      <c r="AE479" s="1446"/>
      <c r="AF479" s="1446"/>
      <c r="AG479" s="1446"/>
      <c r="AH479" s="1446"/>
      <c r="AI479" s="1446"/>
      <c r="AJ479" s="1446"/>
      <c r="AK479" s="1446"/>
      <c r="AL479" s="1446"/>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2" t="s">
        <v>321</v>
      </c>
      <c r="C481" s="2" t="s">
        <v>833</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B483" s="45"/>
      <c r="C483" s="5"/>
      <c r="D483" s="5"/>
      <c r="E483" s="5"/>
      <c r="F483" s="5"/>
      <c r="G483" s="5"/>
      <c r="H483" s="5"/>
      <c r="I483" s="5"/>
      <c r="J483" s="5"/>
      <c r="K483" s="5"/>
      <c r="L483" s="5"/>
      <c r="M483" s="5"/>
      <c r="N483" s="5"/>
      <c r="O483" s="5"/>
      <c r="P483" s="46"/>
      <c r="Q483" s="1425" t="s">
        <v>395</v>
      </c>
      <c r="R483" s="1421"/>
      <c r="S483" s="1421"/>
      <c r="T483" s="1421"/>
      <c r="U483" s="1421"/>
      <c r="V483" s="1421"/>
      <c r="W483" s="1421"/>
      <c r="X483" s="1421"/>
      <c r="Y483" s="1421"/>
      <c r="Z483" s="1421"/>
      <c r="AA483" s="1421"/>
      <c r="AB483" s="1421"/>
      <c r="AC483" s="1421"/>
      <c r="AD483" s="1421"/>
      <c r="AE483" s="1421"/>
      <c r="AF483" s="1421"/>
      <c r="AG483" s="1421"/>
      <c r="AH483" s="1421"/>
      <c r="AI483" s="1421"/>
      <c r="AJ483" s="1421"/>
      <c r="AK483" s="1422"/>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B484" s="45" t="s">
        <v>396</v>
      </c>
      <c r="C484" s="5"/>
      <c r="D484" s="5"/>
      <c r="E484" s="5"/>
      <c r="F484" s="5"/>
      <c r="G484" s="5"/>
      <c r="H484" s="5"/>
      <c r="I484" s="5"/>
      <c r="J484" s="5"/>
      <c r="K484" s="5"/>
      <c r="L484" s="5"/>
      <c r="M484" s="5"/>
      <c r="N484" s="5"/>
      <c r="O484" s="5"/>
      <c r="P484" s="5"/>
      <c r="Q484" s="1539" t="s">
        <v>2752</v>
      </c>
      <c r="R484" s="1369"/>
      <c r="S484" s="1369"/>
      <c r="T484" s="1369"/>
      <c r="U484" s="1369"/>
      <c r="V484" s="1369"/>
      <c r="W484" s="1369"/>
      <c r="X484" s="1369"/>
      <c r="Y484" s="1369"/>
      <c r="Z484" s="1369"/>
      <c r="AA484" s="1369"/>
      <c r="AB484" s="1369"/>
      <c r="AC484" s="1369"/>
      <c r="AD484" s="1369"/>
      <c r="AE484" s="1369"/>
      <c r="AF484" s="1369"/>
      <c r="AG484" s="1369"/>
      <c r="AH484" s="1369"/>
      <c r="AI484" s="1369"/>
      <c r="AJ484" s="1369"/>
      <c r="AK484" s="1370"/>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t="s">
        <v>397</v>
      </c>
      <c r="C485" s="5"/>
      <c r="D485" s="5"/>
      <c r="E485" s="5"/>
      <c r="F485" s="5"/>
      <c r="G485" s="5"/>
      <c r="H485" s="5"/>
      <c r="I485" s="5"/>
      <c r="J485" s="5"/>
      <c r="K485" s="5"/>
      <c r="L485" s="5"/>
      <c r="M485" s="5"/>
      <c r="N485" s="5"/>
      <c r="O485" s="5"/>
      <c r="P485" s="5"/>
      <c r="Q485" s="1368" t="s">
        <v>2753</v>
      </c>
      <c r="R485" s="1369"/>
      <c r="S485" s="1369"/>
      <c r="T485" s="1369"/>
      <c r="U485" s="1369"/>
      <c r="V485" s="1369"/>
      <c r="W485" s="1369"/>
      <c r="X485" s="1369"/>
      <c r="Y485" s="1369"/>
      <c r="Z485" s="1369"/>
      <c r="AA485" s="1369"/>
      <c r="AB485" s="1369"/>
      <c r="AC485" s="1369"/>
      <c r="AD485" s="1369"/>
      <c r="AE485" s="1369"/>
      <c r="AF485" s="1369"/>
      <c r="AG485" s="1369"/>
      <c r="AH485" s="1369"/>
      <c r="AI485" s="1369"/>
      <c r="AJ485" s="1369"/>
      <c r="AK485" s="1370"/>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398</v>
      </c>
      <c r="C486" s="5"/>
      <c r="D486" s="5"/>
      <c r="E486" s="5"/>
      <c r="F486" s="5"/>
      <c r="G486" s="5"/>
      <c r="H486" s="5"/>
      <c r="I486" s="5"/>
      <c r="J486" s="5"/>
      <c r="K486" s="5"/>
      <c r="L486" s="5"/>
      <c r="M486" s="5"/>
      <c r="N486" s="5"/>
      <c r="O486" s="5"/>
      <c r="P486" s="5"/>
      <c r="Q486" s="1368" t="s">
        <v>2754</v>
      </c>
      <c r="R486" s="1369"/>
      <c r="S486" s="1369"/>
      <c r="T486" s="1369"/>
      <c r="U486" s="1369"/>
      <c r="V486" s="1369"/>
      <c r="W486" s="1369"/>
      <c r="X486" s="1369"/>
      <c r="Y486" s="1369"/>
      <c r="Z486" s="1369"/>
      <c r="AA486" s="1369"/>
      <c r="AB486" s="1369"/>
      <c r="AC486" s="1369"/>
      <c r="AD486" s="1369"/>
      <c r="AE486" s="1369"/>
      <c r="AF486" s="1369"/>
      <c r="AG486" s="1369"/>
      <c r="AH486" s="1369"/>
      <c r="AI486" s="1369"/>
      <c r="AJ486" s="1369"/>
      <c r="AK486" s="1370"/>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1400" t="s">
        <v>399</v>
      </c>
      <c r="C487" s="1401"/>
      <c r="D487" s="1401"/>
      <c r="E487" s="1401"/>
      <c r="F487" s="1401"/>
      <c r="G487" s="1401"/>
      <c r="H487" s="1401"/>
      <c r="I487" s="1401"/>
      <c r="J487" s="1401"/>
      <c r="K487" s="1401"/>
      <c r="L487" s="1401"/>
      <c r="M487" s="1401"/>
      <c r="N487" s="1401"/>
      <c r="O487" s="1401"/>
      <c r="P487" s="1402"/>
      <c r="Q487" s="1406" t="s">
        <v>678</v>
      </c>
      <c r="R487" s="1407"/>
      <c r="S487" s="1732" t="s">
        <v>167</v>
      </c>
      <c r="T487" s="1733"/>
      <c r="U487" s="1733"/>
      <c r="V487" s="1733"/>
      <c r="W487" s="1733"/>
      <c r="X487" s="1733"/>
      <c r="Y487" s="1733"/>
      <c r="Z487" s="1733"/>
      <c r="AA487" s="1733"/>
      <c r="AB487" s="1733"/>
      <c r="AC487" s="1733"/>
      <c r="AD487" s="1733"/>
      <c r="AE487" s="1733"/>
      <c r="AF487" s="1733"/>
      <c r="AG487" s="1733"/>
      <c r="AH487" s="1733"/>
      <c r="AI487" s="1733"/>
      <c r="AJ487" s="1733"/>
      <c r="AK487" s="1734"/>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1403"/>
      <c r="C488" s="1404"/>
      <c r="D488" s="1404"/>
      <c r="E488" s="1404"/>
      <c r="F488" s="1404"/>
      <c r="G488" s="1404"/>
      <c r="H488" s="1404"/>
      <c r="I488" s="1404"/>
      <c r="J488" s="1404"/>
      <c r="K488" s="1404"/>
      <c r="L488" s="1404"/>
      <c r="M488" s="1404"/>
      <c r="N488" s="1404"/>
      <c r="O488" s="1404"/>
      <c r="P488" s="1405"/>
      <c r="Q488" s="1408"/>
      <c r="R488" s="1409"/>
      <c r="S488" s="1735"/>
      <c r="T488" s="1449"/>
      <c r="U488" s="1449"/>
      <c r="V488" s="1449"/>
      <c r="W488" s="1449"/>
      <c r="X488" s="1449"/>
      <c r="Y488" s="1449"/>
      <c r="Z488" s="1449"/>
      <c r="AA488" s="1449"/>
      <c r="AB488" s="1449"/>
      <c r="AC488" s="1449"/>
      <c r="AD488" s="1449"/>
      <c r="AE488" s="1449"/>
      <c r="AF488" s="1449"/>
      <c r="AG488" s="1449"/>
      <c r="AH488" s="1449"/>
      <c r="AI488" s="1449"/>
      <c r="AJ488" s="1449"/>
      <c r="AK488" s="1736"/>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c r="B489" s="932" t="s">
        <v>1851</v>
      </c>
      <c r="C489" s="909"/>
      <c r="D489" s="909"/>
      <c r="E489" s="909"/>
      <c r="F489" s="909"/>
      <c r="G489" s="909"/>
      <c r="H489" s="909"/>
      <c r="I489" s="909"/>
      <c r="J489" s="909"/>
      <c r="K489" s="909"/>
      <c r="L489" s="909"/>
      <c r="M489" s="909"/>
      <c r="N489" s="909"/>
      <c r="O489" s="909"/>
      <c r="P489" s="909"/>
      <c r="Q489" s="1457" t="s">
        <v>2755</v>
      </c>
      <c r="R489" s="1458"/>
      <c r="S489" s="1458"/>
      <c r="T489" s="1458"/>
      <c r="U489" s="1458"/>
      <c r="V489" s="1458"/>
      <c r="W489" s="1458"/>
      <c r="X489" s="1458"/>
      <c r="Y489" s="1458"/>
      <c r="Z489" s="1458"/>
      <c r="AA489" s="1458"/>
      <c r="AB489" s="1458"/>
      <c r="AC489" s="1458"/>
      <c r="AD489" s="1458"/>
      <c r="AE489" s="1458"/>
      <c r="AF489" s="1458"/>
      <c r="AG489" s="1458"/>
      <c r="AH489" s="1458"/>
      <c r="AI489" s="1458"/>
      <c r="AJ489" s="1458"/>
      <c r="AK489" s="1459"/>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45" t="s">
        <v>400</v>
      </c>
      <c r="C490" s="5"/>
      <c r="D490" s="5"/>
      <c r="E490" s="5"/>
      <c r="F490" s="5"/>
      <c r="G490" s="5"/>
      <c r="H490" s="5"/>
      <c r="I490" s="5"/>
      <c r="J490" s="5"/>
      <c r="K490" s="5"/>
      <c r="L490" s="5"/>
      <c r="M490" s="5"/>
      <c r="N490" s="5"/>
      <c r="O490" s="5"/>
      <c r="P490" s="5"/>
      <c r="Q490" s="1368" t="s">
        <v>2756</v>
      </c>
      <c r="R490" s="1369"/>
      <c r="S490" s="1369"/>
      <c r="T490" s="1369"/>
      <c r="U490" s="1369"/>
      <c r="V490" s="1369"/>
      <c r="W490" s="1369"/>
      <c r="X490" s="1369"/>
      <c r="Y490" s="1369"/>
      <c r="Z490" s="1369"/>
      <c r="AA490" s="1369"/>
      <c r="AB490" s="1369"/>
      <c r="AC490" s="1369"/>
      <c r="AD490" s="1369"/>
      <c r="AE490" s="1369"/>
      <c r="AF490" s="1369"/>
      <c r="AG490" s="1369"/>
      <c r="AH490" s="1369"/>
      <c r="AI490" s="1369"/>
      <c r="AJ490" s="1369"/>
      <c r="AK490" s="1370"/>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45" t="s">
        <v>401</v>
      </c>
      <c r="C491" s="5"/>
      <c r="D491" s="5"/>
      <c r="E491" s="5"/>
      <c r="F491" s="5"/>
      <c r="G491" s="5"/>
      <c r="H491" s="5"/>
      <c r="I491" s="5"/>
      <c r="J491" s="5"/>
      <c r="K491" s="5"/>
      <c r="L491" s="5"/>
      <c r="M491" s="5"/>
      <c r="N491" s="5"/>
      <c r="O491" s="5"/>
      <c r="P491" s="5"/>
      <c r="Q491" s="1368" t="s">
        <v>2757</v>
      </c>
      <c r="R491" s="1369"/>
      <c r="S491" s="1369"/>
      <c r="T491" s="1369"/>
      <c r="U491" s="1369"/>
      <c r="V491" s="1369"/>
      <c r="W491" s="1369"/>
      <c r="X491" s="1369"/>
      <c r="Y491" s="1369"/>
      <c r="Z491" s="1369"/>
      <c r="AA491" s="1369"/>
      <c r="AB491" s="1369"/>
      <c r="AC491" s="1369"/>
      <c r="AD491" s="1369"/>
      <c r="AE491" s="1369"/>
      <c r="AF491" s="1369"/>
      <c r="AG491" s="1369"/>
      <c r="AH491" s="1369"/>
      <c r="AI491" s="1369"/>
      <c r="AJ491" s="1369"/>
      <c r="AK491" s="1370"/>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121" t="s">
        <v>1848</v>
      </c>
      <c r="C492" s="5"/>
      <c r="D492" s="5"/>
      <c r="E492" s="5"/>
      <c r="F492" s="5"/>
      <c r="G492" s="5"/>
      <c r="H492" s="5"/>
      <c r="I492" s="5"/>
      <c r="J492" s="5"/>
      <c r="K492" s="5"/>
      <c r="L492" s="5"/>
      <c r="M492" s="5"/>
      <c r="N492" s="5"/>
      <c r="O492" s="5"/>
      <c r="P492" s="5"/>
      <c r="Q492" s="1368">
        <v>0</v>
      </c>
      <c r="R492" s="1369"/>
      <c r="S492" s="1369"/>
      <c r="T492" s="1369"/>
      <c r="U492" s="1369"/>
      <c r="V492" s="1369"/>
      <c r="W492" s="1369"/>
      <c r="X492" s="1369"/>
      <c r="Y492" s="1369"/>
      <c r="Z492" s="1369"/>
      <c r="AA492" s="1369"/>
      <c r="AB492" s="1369"/>
      <c r="AC492" s="1369"/>
      <c r="AD492" s="1369"/>
      <c r="AE492" s="1369"/>
      <c r="AF492" s="1369"/>
      <c r="AG492" s="1369"/>
      <c r="AH492" s="1369"/>
      <c r="AI492" s="1369"/>
      <c r="AJ492" s="1369"/>
      <c r="AK492" s="1370"/>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121" t="s">
        <v>1849</v>
      </c>
      <c r="C493" s="5"/>
      <c r="D493" s="5"/>
      <c r="E493" s="5"/>
      <c r="F493" s="5"/>
      <c r="G493" s="5"/>
      <c r="H493" s="5"/>
      <c r="I493" s="5"/>
      <c r="J493" s="5"/>
      <c r="K493" s="5"/>
      <c r="L493" s="5"/>
      <c r="M493" s="1432" t="s">
        <v>600</v>
      </c>
      <c r="N493" s="1433"/>
      <c r="O493" s="1433"/>
      <c r="P493" s="1434"/>
      <c r="Q493" s="121" t="s">
        <v>1850</v>
      </c>
      <c r="R493" s="5"/>
      <c r="S493" s="5"/>
      <c r="T493" s="5"/>
      <c r="U493" s="5"/>
      <c r="V493" s="5"/>
      <c r="W493" s="5"/>
      <c r="X493" s="5"/>
      <c r="Y493" s="5"/>
      <c r="Z493" s="5"/>
      <c r="AA493" s="5"/>
      <c r="AB493" s="5"/>
      <c r="AC493" s="5"/>
      <c r="AD493" s="5"/>
      <c r="AE493" s="5"/>
      <c r="AF493" s="5"/>
      <c r="AG493" s="5"/>
      <c r="AH493" s="1435" t="s">
        <v>600</v>
      </c>
      <c r="AI493" s="1433"/>
      <c r="AJ493" s="1433"/>
      <c r="AK493" s="1434"/>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A495" s="2" t="s">
        <v>585</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5"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425" t="s">
        <v>403</v>
      </c>
      <c r="AD497" s="1421"/>
      <c r="AE497" s="1421"/>
      <c r="AF497" s="1421"/>
      <c r="AG497" s="1421"/>
      <c r="AH497" s="1421"/>
      <c r="AI497" s="1421"/>
      <c r="AJ497" s="1421"/>
      <c r="AK497" s="1422"/>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5"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425" t="s">
        <v>404</v>
      </c>
      <c r="AD498" s="1421"/>
      <c r="AE498" s="1421"/>
      <c r="AF498" s="1421"/>
      <c r="AG498" s="50" t="s">
        <v>405</v>
      </c>
      <c r="AH498" s="1421" t="s">
        <v>406</v>
      </c>
      <c r="AI498" s="1421"/>
      <c r="AJ498" s="1421"/>
      <c r="AK498" s="1422"/>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5" customHeight="1">
      <c r="B499" s="1412" t="s">
        <v>407</v>
      </c>
      <c r="C499" s="1413"/>
      <c r="D499" s="1413"/>
      <c r="E499" s="1413"/>
      <c r="F499" s="1413"/>
      <c r="G499" s="1413"/>
      <c r="H499" s="1414"/>
      <c r="I499" s="42" t="s">
        <v>408</v>
      </c>
      <c r="J499" s="42"/>
      <c r="K499" s="42"/>
      <c r="L499" s="42"/>
      <c r="M499" s="42"/>
      <c r="N499" s="42"/>
      <c r="O499" s="42"/>
      <c r="P499" s="42"/>
      <c r="Q499" s="42"/>
      <c r="R499" s="42"/>
      <c r="S499" s="42"/>
      <c r="T499" s="42"/>
      <c r="U499" s="42"/>
      <c r="V499" s="42"/>
      <c r="W499" s="42"/>
      <c r="AC499" s="1380">
        <v>3</v>
      </c>
      <c r="AD499" s="1381"/>
      <c r="AE499" s="1381"/>
      <c r="AF499" s="1381"/>
      <c r="AG499" s="13" t="s">
        <v>405</v>
      </c>
      <c r="AH499" s="1358">
        <v>2023</v>
      </c>
      <c r="AI499" s="1358"/>
      <c r="AJ499" s="1358"/>
      <c r="AK499" s="1359"/>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5" customHeight="1">
      <c r="B500" s="1415"/>
      <c r="C500" s="1416"/>
      <c r="D500" s="1416"/>
      <c r="E500" s="1416"/>
      <c r="F500" s="1416"/>
      <c r="G500" s="1416"/>
      <c r="H500" s="1417"/>
      <c r="I500" s="48" t="s">
        <v>409</v>
      </c>
      <c r="J500" s="48"/>
      <c r="K500" s="48"/>
      <c r="L500" s="48"/>
      <c r="M500" s="48"/>
      <c r="N500" s="48"/>
      <c r="O500" s="48"/>
      <c r="P500" s="48"/>
      <c r="Q500" s="48"/>
      <c r="R500" s="48"/>
      <c r="S500" s="48"/>
      <c r="T500" s="48"/>
      <c r="U500" s="48"/>
      <c r="V500" s="48"/>
      <c r="W500" s="48"/>
      <c r="X500" s="48"/>
      <c r="Y500" s="48"/>
      <c r="Z500" s="48"/>
      <c r="AA500" s="48"/>
      <c r="AB500" s="48"/>
      <c r="AC500" s="1380">
        <v>3</v>
      </c>
      <c r="AD500" s="1381"/>
      <c r="AE500" s="1381"/>
      <c r="AF500" s="1381"/>
      <c r="AG500" s="38" t="s">
        <v>405</v>
      </c>
      <c r="AH500" s="1358">
        <v>2023</v>
      </c>
      <c r="AI500" s="1358"/>
      <c r="AJ500" s="1358"/>
      <c r="AK500" s="1359"/>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5" customHeight="1">
      <c r="B501" s="1412" t="s">
        <v>410</v>
      </c>
      <c r="C501" s="1413"/>
      <c r="D501" s="1413"/>
      <c r="E501" s="1413"/>
      <c r="F501" s="1413"/>
      <c r="G501" s="1413"/>
      <c r="H501" s="1414"/>
      <c r="I501" s="42" t="s">
        <v>411</v>
      </c>
      <c r="J501" s="42"/>
      <c r="K501" s="42"/>
      <c r="L501" s="42"/>
      <c r="M501" s="42"/>
      <c r="N501" s="42"/>
      <c r="O501" s="42"/>
      <c r="P501" s="42"/>
      <c r="Q501" s="42"/>
      <c r="R501" s="42"/>
      <c r="S501" s="42"/>
      <c r="T501" s="42"/>
      <c r="U501" s="42"/>
      <c r="V501" s="42"/>
      <c r="W501" s="42"/>
      <c r="AC501" s="1380" t="s">
        <v>600</v>
      </c>
      <c r="AD501" s="1381"/>
      <c r="AE501" s="1381"/>
      <c r="AF501" s="1381"/>
      <c r="AG501" s="13" t="s">
        <v>405</v>
      </c>
      <c r="AH501" s="1358" t="s">
        <v>600</v>
      </c>
      <c r="AI501" s="1358"/>
      <c r="AJ501" s="1358"/>
      <c r="AK501" s="1359"/>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5" customHeight="1">
      <c r="B502" s="1415"/>
      <c r="C502" s="1416"/>
      <c r="D502" s="1416"/>
      <c r="E502" s="1416"/>
      <c r="F502" s="1416"/>
      <c r="G502" s="1416"/>
      <c r="H502" s="1417"/>
      <c r="I502" t="s">
        <v>412</v>
      </c>
      <c r="AC502" s="1380" t="s">
        <v>600</v>
      </c>
      <c r="AD502" s="1381"/>
      <c r="AE502" s="1381"/>
      <c r="AF502" s="1381"/>
      <c r="AG502" s="13" t="s">
        <v>405</v>
      </c>
      <c r="AH502" s="1397" t="s">
        <v>600</v>
      </c>
      <c r="AI502" s="1358"/>
      <c r="AJ502" s="1358"/>
      <c r="AK502" s="1359"/>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5" customHeight="1">
      <c r="B503" s="1415"/>
      <c r="C503" s="1416"/>
      <c r="D503" s="1416"/>
      <c r="E503" s="1416"/>
      <c r="F503" s="1416"/>
      <c r="G503" s="1416"/>
      <c r="H503" s="1417"/>
      <c r="I503" t="s">
        <v>413</v>
      </c>
      <c r="AC503" s="1380">
        <v>5</v>
      </c>
      <c r="AD503" s="1381"/>
      <c r="AE503" s="1381"/>
      <c r="AF503" s="1381"/>
      <c r="AG503" s="13" t="s">
        <v>405</v>
      </c>
      <c r="AH503" s="1358">
        <v>2023</v>
      </c>
      <c r="AI503" s="1358"/>
      <c r="AJ503" s="1358"/>
      <c r="AK503" s="1359"/>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5" customHeight="1">
      <c r="B504" s="1415"/>
      <c r="C504" s="1416"/>
      <c r="D504" s="1416"/>
      <c r="E504" s="1416"/>
      <c r="F504" s="1416"/>
      <c r="G504" s="1416"/>
      <c r="H504" s="1417"/>
      <c r="I504" t="s">
        <v>414</v>
      </c>
      <c r="AC504" s="1380">
        <v>8</v>
      </c>
      <c r="AD504" s="1381"/>
      <c r="AE504" s="1381"/>
      <c r="AF504" s="1381"/>
      <c r="AG504" s="13" t="s">
        <v>405</v>
      </c>
      <c r="AH504" s="1358">
        <v>2023</v>
      </c>
      <c r="AI504" s="1358"/>
      <c r="AJ504" s="1358"/>
      <c r="AK504" s="1359"/>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5" customHeight="1">
      <c r="B505" s="1415"/>
      <c r="C505" s="1416"/>
      <c r="D505" s="1416"/>
      <c r="E505" s="1416"/>
      <c r="F505" s="1416"/>
      <c r="G505" s="1416"/>
      <c r="H505" s="1417"/>
      <c r="I505" s="3" t="s">
        <v>415</v>
      </c>
      <c r="AC505" s="1382">
        <v>11</v>
      </c>
      <c r="AD505" s="1383"/>
      <c r="AE505" s="1383"/>
      <c r="AF505" s="1383"/>
      <c r="AG505" s="13" t="s">
        <v>405</v>
      </c>
      <c r="AH505" s="1358">
        <v>2023</v>
      </c>
      <c r="AI505" s="1358"/>
      <c r="AJ505" s="1358"/>
      <c r="AK505" s="1359"/>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5" customHeight="1">
      <c r="B506" s="1415"/>
      <c r="C506" s="1416"/>
      <c r="D506" s="1416"/>
      <c r="E506" s="1416"/>
      <c r="F506" s="1416"/>
      <c r="G506" s="1416"/>
      <c r="H506" s="1417"/>
      <c r="I506" s="933" t="s">
        <v>171</v>
      </c>
      <c r="J506" s="48"/>
      <c r="K506" s="48"/>
      <c r="L506" s="1410" t="s">
        <v>2771</v>
      </c>
      <c r="M506" s="1411"/>
      <c r="N506" s="1411"/>
      <c r="O506" s="1411"/>
      <c r="P506" s="1411"/>
      <c r="Q506" s="1411"/>
      <c r="R506" s="1411"/>
      <c r="S506" s="1411"/>
      <c r="T506" s="1411"/>
      <c r="U506" s="1411"/>
      <c r="V506" s="1411"/>
      <c r="W506" s="1411"/>
      <c r="X506" s="1411"/>
      <c r="Y506" s="1411"/>
      <c r="Z506" s="1411"/>
      <c r="AA506" s="1411"/>
      <c r="AB506" s="1437"/>
      <c r="AC506" s="1380">
        <v>3</v>
      </c>
      <c r="AD506" s="1381"/>
      <c r="AE506" s="1381"/>
      <c r="AF506" s="1381"/>
      <c r="AG506" s="38" t="s">
        <v>405</v>
      </c>
      <c r="AH506" s="1397">
        <v>2023</v>
      </c>
      <c r="AI506" s="1358"/>
      <c r="AJ506" s="1358"/>
      <c r="AK506" s="1359"/>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5" customHeight="1">
      <c r="B507" s="907"/>
      <c r="C507" s="130"/>
      <c r="D507" s="130"/>
      <c r="E507" s="130"/>
      <c r="F507" s="130"/>
      <c r="G507" s="130"/>
      <c r="H507" s="908"/>
      <c r="I507" s="3" t="s">
        <v>1855</v>
      </c>
      <c r="AC507" s="1360" t="s">
        <v>678</v>
      </c>
      <c r="AD507" s="1360"/>
      <c r="AE507" s="1360"/>
      <c r="AF507" s="1360"/>
      <c r="AG507" s="13"/>
      <c r="AH507" s="1302"/>
      <c r="AI507" s="1302"/>
      <c r="AJ507" s="1302"/>
      <c r="AK507" s="1385"/>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5" customHeight="1">
      <c r="B508" s="907"/>
      <c r="C508" s="130"/>
      <c r="D508" s="130"/>
      <c r="E508" s="130"/>
      <c r="F508" s="130"/>
      <c r="G508" s="130"/>
      <c r="H508" s="908"/>
      <c r="I508" t="s">
        <v>1852</v>
      </c>
      <c r="AC508" s="1382"/>
      <c r="AD508" s="1383"/>
      <c r="AE508" s="1383"/>
      <c r="AF508" s="1384"/>
      <c r="AG508" s="13"/>
      <c r="AH508" s="1302"/>
      <c r="AI508" s="1302"/>
      <c r="AJ508" s="1302"/>
      <c r="AK508" s="1385"/>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5" customHeight="1">
      <c r="B509" s="907"/>
      <c r="C509" s="130"/>
      <c r="D509" s="130"/>
      <c r="E509" s="130"/>
      <c r="F509" s="130"/>
      <c r="G509" s="130"/>
      <c r="H509" s="908"/>
      <c r="I509" t="s">
        <v>1853</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5" customHeight="1">
      <c r="B510" s="907"/>
      <c r="C510" s="130"/>
      <c r="D510" s="130"/>
      <c r="E510" s="130"/>
      <c r="F510" s="130"/>
      <c r="G510" s="130"/>
      <c r="H510" s="908"/>
      <c r="I510" s="934" t="s">
        <v>1854</v>
      </c>
      <c r="J510" s="48"/>
      <c r="K510" s="48"/>
      <c r="L510" s="48"/>
      <c r="M510" s="48"/>
      <c r="N510" s="48"/>
      <c r="O510" s="48"/>
      <c r="P510" s="48"/>
      <c r="Q510" s="48"/>
      <c r="R510" s="48"/>
      <c r="S510" s="48"/>
      <c r="T510" s="48"/>
      <c r="U510" s="48"/>
      <c r="V510" s="48"/>
      <c r="W510" s="48"/>
      <c r="X510" s="48"/>
      <c r="Y510" s="48"/>
      <c r="Z510" s="48"/>
      <c r="AA510" s="48"/>
      <c r="AB510" s="48"/>
      <c r="AC510" s="1386">
        <v>0</v>
      </c>
      <c r="AD510" s="1387"/>
      <c r="AE510" s="1387"/>
      <c r="AF510" s="1388"/>
      <c r="AG510" s="38"/>
      <c r="AH510" s="1389"/>
      <c r="AI510" s="1389"/>
      <c r="AJ510" s="1389"/>
      <c r="AK510" s="1390"/>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5"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454" t="s">
        <v>404</v>
      </c>
      <c r="AD511" s="1455"/>
      <c r="AE511" s="1455"/>
      <c r="AF511" s="1455"/>
      <c r="AG511" s="38" t="s">
        <v>405</v>
      </c>
      <c r="AH511" s="1455" t="s">
        <v>406</v>
      </c>
      <c r="AI511" s="1455"/>
      <c r="AJ511" s="1455"/>
      <c r="AK511" s="1456"/>
      <c r="AZ511" s="3"/>
      <c r="BA511" s="3"/>
      <c r="BB511" s="3"/>
      <c r="BC511" s="3"/>
      <c r="BD511" s="3"/>
      <c r="BE511" s="3"/>
      <c r="BF511" s="3"/>
      <c r="BG511" s="3"/>
      <c r="BH511" s="3"/>
      <c r="BI511" s="3"/>
      <c r="BJ511" s="3"/>
      <c r="BK511" s="3"/>
      <c r="BL511" s="3"/>
      <c r="BM511" s="3"/>
      <c r="BN511" s="3" t="s">
        <v>1326</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5" customHeight="1">
      <c r="B512" s="1412" t="s">
        <v>416</v>
      </c>
      <c r="C512" s="1413"/>
      <c r="D512" s="1413"/>
      <c r="E512" s="1413"/>
      <c r="F512" s="1413"/>
      <c r="G512" s="1413"/>
      <c r="H512" s="1414"/>
      <c r="I512" s="42" t="s">
        <v>417</v>
      </c>
      <c r="J512" s="42"/>
      <c r="K512" s="42"/>
      <c r="L512" s="42"/>
      <c r="M512" s="42"/>
      <c r="N512" s="42"/>
      <c r="O512" s="42"/>
      <c r="P512" s="42"/>
      <c r="Q512" s="42"/>
      <c r="R512" s="42"/>
      <c r="S512" s="42"/>
      <c r="T512" s="42"/>
      <c r="U512" s="42"/>
      <c r="V512" s="42"/>
      <c r="W512" s="42"/>
      <c r="AC512" s="1380">
        <v>8</v>
      </c>
      <c r="AD512" s="1381"/>
      <c r="AE512" s="1381"/>
      <c r="AF512" s="1381"/>
      <c r="AG512" s="13" t="s">
        <v>405</v>
      </c>
      <c r="AH512" s="1358">
        <v>2023</v>
      </c>
      <c r="AI512" s="1358"/>
      <c r="AJ512" s="1358"/>
      <c r="AK512" s="1359"/>
      <c r="AZ512" s="3"/>
      <c r="BA512" s="3"/>
      <c r="BB512" s="3"/>
      <c r="BC512" s="3"/>
      <c r="BD512" s="3"/>
      <c r="BE512" s="3"/>
      <c r="BF512" s="3"/>
      <c r="BG512" s="3"/>
      <c r="BH512" s="3"/>
      <c r="BI512" s="3"/>
      <c r="BJ512" s="3"/>
      <c r="BK512" s="3"/>
      <c r="BL512" s="3"/>
      <c r="BM512" s="3"/>
      <c r="BN512" s="3" t="s">
        <v>2525</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5" customHeight="1">
      <c r="B513" s="1415"/>
      <c r="C513" s="1416"/>
      <c r="D513" s="1416"/>
      <c r="E513" s="1416"/>
      <c r="F513" s="1416"/>
      <c r="G513" s="1416"/>
      <c r="H513" s="1417"/>
      <c r="I513" t="s">
        <v>418</v>
      </c>
      <c r="AC513" s="1380">
        <v>8</v>
      </c>
      <c r="AD513" s="1381"/>
      <c r="AE513" s="1381"/>
      <c r="AF513" s="1381"/>
      <c r="AG513" s="13" t="s">
        <v>405</v>
      </c>
      <c r="AH513" s="1358">
        <v>2023</v>
      </c>
      <c r="AI513" s="1358"/>
      <c r="AJ513" s="1358"/>
      <c r="AK513" s="1359"/>
      <c r="AZ513" s="3"/>
      <c r="BA513" s="3"/>
      <c r="BB513" s="3"/>
      <c r="BC513" s="3"/>
      <c r="BD513" s="3"/>
      <c r="BE513" s="3"/>
      <c r="BF513" s="3"/>
      <c r="BG513" s="3"/>
      <c r="BH513" s="3"/>
      <c r="BI513" s="3"/>
      <c r="BJ513" s="3"/>
      <c r="BK513" s="3"/>
      <c r="BL513" s="3"/>
      <c r="BM513" s="3"/>
      <c r="BN513" s="3" t="s">
        <v>2526</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5" customHeight="1">
      <c r="B514" s="1415"/>
      <c r="C514" s="1416"/>
      <c r="D514" s="1416"/>
      <c r="E514" s="1416"/>
      <c r="F514" s="1416"/>
      <c r="G514" s="1416"/>
      <c r="H514" s="1417"/>
      <c r="I514" s="48" t="s">
        <v>419</v>
      </c>
      <c r="J514" s="48"/>
      <c r="K514" s="48"/>
      <c r="L514" s="48"/>
      <c r="M514" s="48"/>
      <c r="N514" s="48"/>
      <c r="O514" s="48"/>
      <c r="P514" s="48"/>
      <c r="Q514" s="48"/>
      <c r="R514" s="48"/>
      <c r="S514" s="48"/>
      <c r="T514" s="48"/>
      <c r="U514" s="48"/>
      <c r="V514" s="48"/>
      <c r="W514" s="48"/>
      <c r="X514" s="48"/>
      <c r="Y514" s="48"/>
      <c r="Z514" s="48"/>
      <c r="AA514" s="48"/>
      <c r="AB514" s="48"/>
      <c r="AC514" s="1380">
        <v>5</v>
      </c>
      <c r="AD514" s="1381"/>
      <c r="AE514" s="1381"/>
      <c r="AF514" s="1381"/>
      <c r="AG514" s="38" t="s">
        <v>405</v>
      </c>
      <c r="AH514" s="1358">
        <v>2024</v>
      </c>
      <c r="AI514" s="1358"/>
      <c r="AJ514" s="1358"/>
      <c r="AK514" s="1359"/>
      <c r="AZ514" s="3"/>
      <c r="BA514" s="3"/>
      <c r="BB514" s="3"/>
      <c r="BC514" s="3"/>
      <c r="BD514" s="3"/>
      <c r="BE514" s="3"/>
      <c r="BF514" s="3"/>
      <c r="BG514" s="3"/>
      <c r="BH514" s="3"/>
      <c r="BI514" s="3"/>
      <c r="BJ514" s="3"/>
      <c r="BK514" s="3"/>
      <c r="BL514" s="3"/>
      <c r="BM514" s="3"/>
      <c r="BN514" s="3" t="s">
        <v>2527</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5" customHeight="1">
      <c r="B515" s="1412" t="s">
        <v>420</v>
      </c>
      <c r="C515" s="1413"/>
      <c r="D515" s="1413"/>
      <c r="E515" s="1413"/>
      <c r="F515" s="1413"/>
      <c r="G515" s="1413"/>
      <c r="H515" s="1414"/>
      <c r="I515" s="42" t="s">
        <v>417</v>
      </c>
      <c r="J515" s="42"/>
      <c r="K515" s="42"/>
      <c r="L515" s="42"/>
      <c r="M515" s="42"/>
      <c r="N515" s="42"/>
      <c r="O515" s="42"/>
      <c r="P515" s="42"/>
      <c r="Q515" s="42"/>
      <c r="R515" s="42"/>
      <c r="S515" s="42"/>
      <c r="T515" s="42"/>
      <c r="U515" s="42"/>
      <c r="V515" s="42"/>
      <c r="W515" s="42"/>
      <c r="X515" s="42"/>
      <c r="Y515" s="42"/>
      <c r="Z515" s="42"/>
      <c r="AA515" s="42"/>
      <c r="AB515" s="42"/>
      <c r="AC515" s="1382">
        <v>8</v>
      </c>
      <c r="AD515" s="1383"/>
      <c r="AE515" s="1383"/>
      <c r="AF515" s="1383"/>
      <c r="AG515" s="129" t="s">
        <v>405</v>
      </c>
      <c r="AH515" s="1358">
        <v>2023</v>
      </c>
      <c r="AI515" s="1358"/>
      <c r="AJ515" s="1358"/>
      <c r="AK515" s="1359"/>
      <c r="AZ515" s="3"/>
      <c r="BA515" s="3"/>
      <c r="BB515" s="3"/>
      <c r="BC515" s="3"/>
      <c r="BD515" s="3"/>
      <c r="BE515" s="3"/>
      <c r="BF515" s="3"/>
      <c r="BG515" s="3"/>
      <c r="BH515" s="3"/>
      <c r="BI515" s="3"/>
      <c r="BJ515" s="3"/>
      <c r="BK515" s="3"/>
      <c r="BL515" s="3"/>
      <c r="BM515" s="3"/>
      <c r="BN515" s="3" t="s">
        <v>2528</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5" customHeight="1">
      <c r="B516" s="1415"/>
      <c r="C516" s="1416"/>
      <c r="D516" s="1416"/>
      <c r="E516" s="1416"/>
      <c r="F516" s="1416"/>
      <c r="G516" s="1416"/>
      <c r="H516" s="1417"/>
      <c r="I516" t="s">
        <v>418</v>
      </c>
      <c r="AC516" s="1380">
        <v>8</v>
      </c>
      <c r="AD516" s="1381"/>
      <c r="AE516" s="1381"/>
      <c r="AF516" s="1381"/>
      <c r="AG516" s="13" t="s">
        <v>405</v>
      </c>
      <c r="AH516" s="1715" t="s">
        <v>2704</v>
      </c>
      <c r="AI516" s="1358"/>
      <c r="AJ516" s="1358"/>
      <c r="AK516" s="1359"/>
      <c r="AZ516" s="3"/>
      <c r="BB516" s="3"/>
      <c r="BC516" s="3"/>
      <c r="BD516" s="3"/>
      <c r="BE516" s="3"/>
      <c r="BF516" s="3"/>
      <c r="BG516" s="3"/>
      <c r="BH516" s="3"/>
      <c r="BI516" s="3"/>
      <c r="BJ516" s="3"/>
      <c r="BK516" s="3"/>
      <c r="BL516" s="3"/>
      <c r="BM516" s="3"/>
      <c r="BN516" s="3" t="s">
        <v>2529</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5" customHeight="1">
      <c r="B517" s="1418"/>
      <c r="C517" s="1419"/>
      <c r="D517" s="1419"/>
      <c r="E517" s="1419"/>
      <c r="F517" s="1419"/>
      <c r="G517" s="1419"/>
      <c r="H517" s="1420"/>
      <c r="I517" s="48" t="s">
        <v>419</v>
      </c>
      <c r="J517" s="48"/>
      <c r="K517" s="48"/>
      <c r="L517" s="48"/>
      <c r="M517" s="48"/>
      <c r="N517" s="48"/>
      <c r="O517" s="48"/>
      <c r="P517" s="48"/>
      <c r="Q517" s="48"/>
      <c r="R517" s="48"/>
      <c r="S517" s="48"/>
      <c r="T517" s="48"/>
      <c r="U517" s="48"/>
      <c r="V517" s="48"/>
      <c r="W517" s="48"/>
      <c r="X517" s="48"/>
      <c r="Y517" s="48"/>
      <c r="Z517" s="48"/>
      <c r="AA517" s="48"/>
      <c r="AB517" s="48"/>
      <c r="AC517" s="1380">
        <v>10</v>
      </c>
      <c r="AD517" s="1381"/>
      <c r="AE517" s="1381"/>
      <c r="AF517" s="1381"/>
      <c r="AG517" s="38" t="s">
        <v>405</v>
      </c>
      <c r="AH517" s="1358">
        <v>2026</v>
      </c>
      <c r="AI517" s="1358"/>
      <c r="AJ517" s="1358"/>
      <c r="AK517" s="1359"/>
      <c r="BB517" s="3"/>
      <c r="BC517" s="3"/>
      <c r="BD517" s="3"/>
      <c r="BE517" s="3"/>
      <c r="BF517" s="3"/>
      <c r="BG517" s="3"/>
      <c r="BH517" s="3"/>
      <c r="BI517" s="3"/>
      <c r="BJ517" s="3"/>
      <c r="BK517" s="3"/>
      <c r="BL517" s="3"/>
      <c r="BM517" s="3"/>
      <c r="BN517" s="3" t="s">
        <v>2530</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5" customHeight="1">
      <c r="B518" s="1412" t="s">
        <v>421</v>
      </c>
      <c r="C518" s="1413"/>
      <c r="D518" s="1413"/>
      <c r="E518" s="1413"/>
      <c r="F518" s="1413"/>
      <c r="G518" s="1413"/>
      <c r="H518" s="1414"/>
      <c r="I518" s="41" t="s">
        <v>422</v>
      </c>
      <c r="J518" s="42"/>
      <c r="K518" s="42"/>
      <c r="L518" s="42"/>
      <c r="M518" s="42"/>
      <c r="N518" s="42"/>
      <c r="O518" s="1410" t="s">
        <v>2728</v>
      </c>
      <c r="P518" s="1411"/>
      <c r="Q518" s="1411"/>
      <c r="R518" s="1411"/>
      <c r="S518" s="1411"/>
      <c r="T518" s="1411"/>
      <c r="U518" s="1411"/>
      <c r="V518" s="1411"/>
      <c r="W518" s="1411"/>
      <c r="X518" s="1411"/>
      <c r="Y518" s="1411"/>
      <c r="Z518" s="1411"/>
      <c r="AA518" s="1411"/>
      <c r="AB518" s="58"/>
      <c r="AC518" s="1382" t="s">
        <v>600</v>
      </c>
      <c r="AD518" s="1383"/>
      <c r="AE518" s="1383"/>
      <c r="AF518" s="1383"/>
      <c r="AG518" s="129" t="s">
        <v>405</v>
      </c>
      <c r="AH518" s="1358"/>
      <c r="AI518" s="1358"/>
      <c r="AJ518" s="1358"/>
      <c r="AK518" s="1359"/>
      <c r="BB518" s="3"/>
      <c r="BC518" s="3"/>
      <c r="BD518" s="3"/>
      <c r="BE518" s="3"/>
      <c r="BF518" s="3"/>
      <c r="BG518" s="3"/>
      <c r="BH518" s="3"/>
      <c r="BI518" s="3"/>
      <c r="BJ518" s="3"/>
      <c r="BK518" s="3"/>
      <c r="BL518" s="3"/>
      <c r="BM518" s="3"/>
      <c r="BN518" s="3" t="s">
        <v>2531</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5" customHeight="1">
      <c r="B519" s="1415"/>
      <c r="C519" s="1416"/>
      <c r="D519" s="1416"/>
      <c r="E519" s="1416"/>
      <c r="F519" s="1416"/>
      <c r="G519" s="1416"/>
      <c r="H519" s="1417"/>
      <c r="I519" s="114" t="s">
        <v>423</v>
      </c>
      <c r="AB519" s="65"/>
      <c r="AC519" s="1438" t="s">
        <v>600</v>
      </c>
      <c r="AD519" s="1381"/>
      <c r="AE519" s="1381"/>
      <c r="AF519" s="1381"/>
      <c r="AG519" s="13" t="s">
        <v>405</v>
      </c>
      <c r="AH519" s="1358"/>
      <c r="AI519" s="1358"/>
      <c r="AJ519" s="1358"/>
      <c r="AK519" s="1359"/>
      <c r="AZ519" s="3"/>
      <c r="BB519" s="3"/>
      <c r="BC519" s="3"/>
      <c r="BD519" s="3"/>
      <c r="BE519" s="3"/>
      <c r="BF519" s="3"/>
      <c r="BG519" s="3"/>
      <c r="BH519" s="3"/>
      <c r="BI519" s="3"/>
      <c r="BJ519" s="3"/>
      <c r="BK519" s="3"/>
      <c r="BL519" s="3"/>
      <c r="BM519" s="3"/>
      <c r="BN519" s="3" t="s">
        <v>2532</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5" customHeight="1">
      <c r="B520" s="1415"/>
      <c r="C520" s="1416"/>
      <c r="D520" s="1416"/>
      <c r="E520" s="1416"/>
      <c r="F520" s="1416"/>
      <c r="G520" s="1416"/>
      <c r="H520" s="1417"/>
      <c r="I520" s="47" t="s">
        <v>424</v>
      </c>
      <c r="J520" s="48"/>
      <c r="K520" s="48"/>
      <c r="L520" s="48"/>
      <c r="M520" s="48"/>
      <c r="N520" s="48"/>
      <c r="O520" s="48"/>
      <c r="P520" s="48"/>
      <c r="Q520" s="48"/>
      <c r="R520" s="48"/>
      <c r="S520" s="48"/>
      <c r="T520" s="48"/>
      <c r="U520" s="48"/>
      <c r="V520" s="48"/>
      <c r="W520" s="48"/>
      <c r="X520" s="48"/>
      <c r="Y520" s="48"/>
      <c r="Z520" s="48"/>
      <c r="AA520" s="48"/>
      <c r="AB520" s="49"/>
      <c r="AC520" s="1380">
        <v>8</v>
      </c>
      <c r="AD520" s="1381"/>
      <c r="AE520" s="1381"/>
      <c r="AF520" s="1381"/>
      <c r="AG520" s="38" t="s">
        <v>405</v>
      </c>
      <c r="AH520" s="1358">
        <v>2023</v>
      </c>
      <c r="AI520" s="1358"/>
      <c r="AJ520" s="1358"/>
      <c r="AK520" s="1359"/>
      <c r="AZ520" s="3"/>
      <c r="BB520" s="3"/>
      <c r="BC520" s="3"/>
      <c r="BD520" s="3"/>
      <c r="BE520" s="3"/>
      <c r="BF520" s="3"/>
      <c r="BG520" s="3"/>
      <c r="BH520" s="3"/>
      <c r="BI520" s="3"/>
      <c r="BJ520" s="3"/>
      <c r="BK520" s="3"/>
      <c r="BL520" s="3"/>
      <c r="BM520" s="3"/>
      <c r="BN520" s="3" t="s">
        <v>2533</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5" customHeight="1">
      <c r="B521" s="1415"/>
      <c r="C521" s="1416"/>
      <c r="D521" s="1416"/>
      <c r="E521" s="1416"/>
      <c r="F521" s="1416"/>
      <c r="G521" s="1416"/>
      <c r="H521" s="1417"/>
      <c r="I521" s="42" t="s">
        <v>425</v>
      </c>
      <c r="J521" s="42"/>
      <c r="K521" s="42"/>
      <c r="L521" s="42"/>
      <c r="M521" s="42"/>
      <c r="N521" s="42"/>
      <c r="O521" s="1410" t="s">
        <v>2705</v>
      </c>
      <c r="P521" s="1411"/>
      <c r="Q521" s="1411"/>
      <c r="R521" s="1411"/>
      <c r="S521" s="1411"/>
      <c r="T521" s="1411"/>
      <c r="U521" s="1411"/>
      <c r="V521" s="1411"/>
      <c r="W521" s="1411"/>
      <c r="X521" s="1411"/>
      <c r="Y521" s="1411"/>
      <c r="Z521" s="1411"/>
      <c r="AA521" s="1411"/>
      <c r="AC521" s="1380" t="s">
        <v>600</v>
      </c>
      <c r="AD521" s="1381"/>
      <c r="AE521" s="1381"/>
      <c r="AF521" s="1381"/>
      <c r="AG521" s="13" t="s">
        <v>405</v>
      </c>
      <c r="AH521" s="1358"/>
      <c r="AI521" s="1358"/>
      <c r="AJ521" s="1358"/>
      <c r="AK521" s="1359"/>
      <c r="AZ521" s="3"/>
      <c r="BA521" s="3"/>
      <c r="BB521" s="3"/>
      <c r="BC521" s="3"/>
      <c r="BD521" s="3"/>
      <c r="BE521" s="3"/>
      <c r="BF521" s="3"/>
      <c r="BG521" s="3"/>
      <c r="BH521" s="3"/>
      <c r="BI521" s="3"/>
      <c r="BJ521" s="3"/>
      <c r="BK521" s="3"/>
      <c r="BL521" s="3"/>
      <c r="BM521" s="3"/>
      <c r="BN521" s="3" t="s">
        <v>2534</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5" customHeight="1">
      <c r="B522" s="1415"/>
      <c r="C522" s="1416"/>
      <c r="D522" s="1416"/>
      <c r="E522" s="1416"/>
      <c r="F522" s="1416"/>
      <c r="G522" s="1416"/>
      <c r="H522" s="1417"/>
      <c r="I522" t="s">
        <v>423</v>
      </c>
      <c r="AC522" s="1380">
        <v>4</v>
      </c>
      <c r="AD522" s="1381"/>
      <c r="AE522" s="1381"/>
      <c r="AF522" s="1381"/>
      <c r="AG522" s="13" t="s">
        <v>405</v>
      </c>
      <c r="AH522" s="1358">
        <v>2023</v>
      </c>
      <c r="AI522" s="1358"/>
      <c r="AJ522" s="1358"/>
      <c r="AK522" s="1359"/>
      <c r="AZ522" s="3"/>
      <c r="BA522" s="3"/>
      <c r="BB522" s="3"/>
      <c r="BC522" s="3"/>
      <c r="BD522" s="3"/>
      <c r="BE522" s="3"/>
      <c r="BF522" s="3"/>
      <c r="BG522" s="3"/>
      <c r="BH522" s="3"/>
      <c r="BI522" s="3"/>
      <c r="BJ522" s="3"/>
      <c r="BK522" s="3"/>
      <c r="BL522" s="3"/>
      <c r="BM522" s="3"/>
      <c r="BN522" s="3" t="s">
        <v>2535</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5" customHeight="1">
      <c r="B523" s="1415"/>
      <c r="C523" s="1416"/>
      <c r="D523" s="1416"/>
      <c r="E523" s="1416"/>
      <c r="F523" s="1416"/>
      <c r="G523" s="1416"/>
      <c r="H523" s="1417"/>
      <c r="I523" s="48" t="s">
        <v>424</v>
      </c>
      <c r="J523" s="48"/>
      <c r="K523" s="48"/>
      <c r="L523" s="48"/>
      <c r="M523" s="48"/>
      <c r="N523" s="48"/>
      <c r="O523" s="48"/>
      <c r="P523" s="48"/>
      <c r="Q523" s="48"/>
      <c r="R523" s="48"/>
      <c r="S523" s="48"/>
      <c r="T523" s="48"/>
      <c r="U523" s="48"/>
      <c r="V523" s="48"/>
      <c r="W523" s="48"/>
      <c r="X523" s="48"/>
      <c r="Y523" s="48"/>
      <c r="Z523" s="48"/>
      <c r="AA523" s="48"/>
      <c r="AB523" s="48"/>
      <c r="AC523" s="1380">
        <v>8</v>
      </c>
      <c r="AD523" s="1381"/>
      <c r="AE523" s="1381"/>
      <c r="AF523" s="1381"/>
      <c r="AG523" s="38" t="s">
        <v>405</v>
      </c>
      <c r="AH523" s="1358">
        <v>2023</v>
      </c>
      <c r="AI523" s="1358"/>
      <c r="AJ523" s="1358"/>
      <c r="AK523" s="1359"/>
      <c r="AZ523" s="3"/>
      <c r="BA523" s="3"/>
      <c r="BB523" s="3"/>
      <c r="BC523" s="3"/>
      <c r="BD523" s="3"/>
      <c r="BE523" s="3"/>
      <c r="BF523" s="3"/>
      <c r="BG523" s="3"/>
      <c r="BH523" s="3"/>
      <c r="BI523" s="3"/>
      <c r="BJ523" s="3"/>
      <c r="BK523" s="3"/>
      <c r="BL523" s="3"/>
      <c r="BM523" s="3"/>
      <c r="BN523" s="3" t="s">
        <v>2536</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5" customHeight="1">
      <c r="B524" s="1415"/>
      <c r="C524" s="1416"/>
      <c r="D524" s="1416"/>
      <c r="E524" s="1416"/>
      <c r="F524" s="1416"/>
      <c r="G524" s="1416"/>
      <c r="H524" s="1417"/>
      <c r="I524" s="42" t="s">
        <v>425</v>
      </c>
      <c r="J524" s="42"/>
      <c r="K524" s="42"/>
      <c r="L524" s="42"/>
      <c r="M524" s="42"/>
      <c r="N524" s="42"/>
      <c r="O524" s="1410" t="s">
        <v>1920</v>
      </c>
      <c r="P524" s="1411"/>
      <c r="Q524" s="1411"/>
      <c r="R524" s="1411"/>
      <c r="S524" s="1411"/>
      <c r="T524" s="1411"/>
      <c r="U524" s="1411"/>
      <c r="V524" s="1411"/>
      <c r="W524" s="1411"/>
      <c r="X524" s="1411"/>
      <c r="Y524" s="1411"/>
      <c r="Z524" s="1411"/>
      <c r="AA524" s="1411"/>
      <c r="AC524" s="1380" t="s">
        <v>600</v>
      </c>
      <c r="AD524" s="1381"/>
      <c r="AE524" s="1381"/>
      <c r="AF524" s="1381"/>
      <c r="AG524" s="13" t="s">
        <v>405</v>
      </c>
      <c r="AH524" s="1358"/>
      <c r="AI524" s="1358"/>
      <c r="AJ524" s="1358"/>
      <c r="AK524" s="1359"/>
      <c r="AZ524" s="3"/>
      <c r="BA524" s="3"/>
      <c r="BB524" s="3"/>
      <c r="BC524" s="3"/>
      <c r="BD524" s="3"/>
      <c r="BE524" s="3"/>
      <c r="BF524" s="3"/>
      <c r="BG524" s="3"/>
      <c r="BH524" s="3"/>
      <c r="BI524" s="3"/>
      <c r="BJ524" s="3"/>
      <c r="BK524" s="3"/>
      <c r="BL524" s="3"/>
      <c r="BM524" s="3"/>
      <c r="BN524" s="3" t="s">
        <v>2537</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5" customHeight="1">
      <c r="B525" s="1415"/>
      <c r="C525" s="1416"/>
      <c r="D525" s="1416"/>
      <c r="E525" s="1416"/>
      <c r="F525" s="1416"/>
      <c r="G525" s="1416"/>
      <c r="H525" s="1417"/>
      <c r="I525" t="s">
        <v>423</v>
      </c>
      <c r="AC525" s="1380" t="s">
        <v>600</v>
      </c>
      <c r="AD525" s="1381"/>
      <c r="AE525" s="1381"/>
      <c r="AF525" s="1381"/>
      <c r="AG525" s="13" t="s">
        <v>405</v>
      </c>
      <c r="AH525" s="1358"/>
      <c r="AI525" s="1358"/>
      <c r="AJ525" s="1358"/>
      <c r="AK525" s="1359"/>
      <c r="AZ525" s="3"/>
      <c r="BA525" s="3"/>
      <c r="BB525" s="3"/>
      <c r="BC525" s="3"/>
      <c r="BD525" s="3"/>
      <c r="BE525" s="3"/>
      <c r="BF525" s="3"/>
      <c r="BG525" s="3"/>
      <c r="BH525" s="3"/>
      <c r="BI525" s="3"/>
      <c r="BJ525" s="3"/>
      <c r="BK525" s="3"/>
      <c r="BL525" s="3"/>
      <c r="BM525" s="3"/>
      <c r="BN525" s="3" t="s">
        <v>2538</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15"/>
      <c r="C526" s="1416"/>
      <c r="D526" s="1416"/>
      <c r="E526" s="1416"/>
      <c r="F526" s="1416"/>
      <c r="G526" s="1416"/>
      <c r="H526" s="1417"/>
      <c r="I526" s="48" t="s">
        <v>424</v>
      </c>
      <c r="J526" s="48"/>
      <c r="K526" s="48"/>
      <c r="L526" s="48"/>
      <c r="M526" s="48"/>
      <c r="N526" s="48"/>
      <c r="O526" s="48"/>
      <c r="P526" s="48"/>
      <c r="Q526" s="48"/>
      <c r="R526" s="48"/>
      <c r="S526" s="48"/>
      <c r="T526" s="48"/>
      <c r="U526" s="48"/>
      <c r="V526" s="48"/>
      <c r="W526" s="48"/>
      <c r="X526" s="48"/>
      <c r="Y526" s="48"/>
      <c r="Z526" s="48"/>
      <c r="AA526" s="48"/>
      <c r="AB526" s="48"/>
      <c r="AC526" s="1380">
        <v>8</v>
      </c>
      <c r="AD526" s="1381"/>
      <c r="AE526" s="1381"/>
      <c r="AF526" s="1381"/>
      <c r="AG526" s="38" t="s">
        <v>405</v>
      </c>
      <c r="AH526" s="1358">
        <v>2023</v>
      </c>
      <c r="AI526" s="1358"/>
      <c r="AJ526" s="1358"/>
      <c r="AK526" s="1359"/>
      <c r="AZ526" s="3"/>
      <c r="BA526" s="3"/>
      <c r="BB526" s="3"/>
      <c r="BC526" s="3"/>
      <c r="BD526" s="3"/>
      <c r="BE526" s="3"/>
      <c r="BF526" s="3"/>
      <c r="BG526" s="3"/>
      <c r="BH526" s="3"/>
      <c r="BI526" s="3"/>
      <c r="BJ526" s="3"/>
      <c r="BK526" s="3"/>
      <c r="BL526" s="3"/>
      <c r="BM526" s="3"/>
      <c r="BN526" s="3" t="s">
        <v>2539</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15"/>
      <c r="C527" s="1416"/>
      <c r="D527" s="1416"/>
      <c r="E527" s="1416"/>
      <c r="F527" s="1416"/>
      <c r="G527" s="1416"/>
      <c r="H527" s="1417"/>
      <c r="I527" s="42" t="s">
        <v>425</v>
      </c>
      <c r="J527" s="42"/>
      <c r="K527" s="42"/>
      <c r="L527" s="42"/>
      <c r="M527" s="42"/>
      <c r="N527" s="42"/>
      <c r="O527" s="1410" t="s">
        <v>2758</v>
      </c>
      <c r="P527" s="1411"/>
      <c r="Q527" s="1411"/>
      <c r="R527" s="1411"/>
      <c r="S527" s="1411"/>
      <c r="T527" s="1411"/>
      <c r="U527" s="1411"/>
      <c r="V527" s="1411"/>
      <c r="W527" s="1411"/>
      <c r="X527" s="1411"/>
      <c r="Y527" s="1411"/>
      <c r="Z527" s="1411"/>
      <c r="AA527" s="1411"/>
      <c r="AC527" s="1380" t="s">
        <v>600</v>
      </c>
      <c r="AD527" s="1381"/>
      <c r="AE527" s="1381"/>
      <c r="AF527" s="1381"/>
      <c r="AG527" s="13" t="s">
        <v>405</v>
      </c>
      <c r="AH527" s="1358"/>
      <c r="AI527" s="1358"/>
      <c r="AJ527" s="1358"/>
      <c r="AK527" s="1359"/>
      <c r="AZ527" s="3"/>
      <c r="BA527" s="3"/>
      <c r="BB527" s="3"/>
      <c r="BC527" s="3"/>
      <c r="BD527" s="3"/>
      <c r="BE527" s="3"/>
      <c r="BF527" s="3"/>
      <c r="BG527" s="3"/>
      <c r="BH527" s="3"/>
      <c r="BI527" s="3"/>
      <c r="BJ527" s="3"/>
      <c r="BK527" s="3"/>
      <c r="BL527" s="3"/>
      <c r="BM527" s="3"/>
      <c r="BN527" s="3" t="s">
        <v>2540</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15"/>
      <c r="C528" s="1416"/>
      <c r="D528" s="1416"/>
      <c r="E528" s="1416"/>
      <c r="F528" s="1416"/>
      <c r="G528" s="1416"/>
      <c r="H528" s="1417"/>
      <c r="I528" t="s">
        <v>423</v>
      </c>
      <c r="AC528" s="1380" t="s">
        <v>600</v>
      </c>
      <c r="AD528" s="1381"/>
      <c r="AE528" s="1381"/>
      <c r="AF528" s="1381"/>
      <c r="AG528" s="13" t="s">
        <v>405</v>
      </c>
      <c r="AH528" s="1358"/>
      <c r="AI528" s="1358"/>
      <c r="AJ528" s="1358"/>
      <c r="AK528" s="1359"/>
      <c r="AZ528" s="3"/>
      <c r="BA528" s="3"/>
      <c r="BB528" s="3"/>
      <c r="BC528" s="3"/>
      <c r="BD528" s="3"/>
      <c r="BE528" s="3"/>
      <c r="BF528" s="3"/>
      <c r="BG528" s="3"/>
      <c r="BH528" s="3"/>
      <c r="BI528" s="3"/>
      <c r="BJ528" s="3"/>
      <c r="BK528" s="3"/>
      <c r="BL528" s="3"/>
      <c r="BM528" s="3"/>
      <c r="BN528" s="3" t="s">
        <v>2541</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15"/>
      <c r="C529" s="1416"/>
      <c r="D529" s="1416"/>
      <c r="E529" s="1416"/>
      <c r="F529" s="1416"/>
      <c r="G529" s="1416"/>
      <c r="H529" s="1417"/>
      <c r="I529" s="48" t="s">
        <v>424</v>
      </c>
      <c r="J529" s="48"/>
      <c r="K529" s="48"/>
      <c r="L529" s="48"/>
      <c r="M529" s="48"/>
      <c r="N529" s="48"/>
      <c r="O529" s="48"/>
      <c r="P529" s="48"/>
      <c r="Q529" s="48"/>
      <c r="R529" s="48"/>
      <c r="S529" s="48"/>
      <c r="T529" s="48"/>
      <c r="U529" s="48"/>
      <c r="V529" s="48"/>
      <c r="W529" s="48"/>
      <c r="X529" s="48"/>
      <c r="Y529" s="48"/>
      <c r="Z529" s="48"/>
      <c r="AA529" s="48"/>
      <c r="AB529" s="48"/>
      <c r="AC529" s="1380">
        <v>8</v>
      </c>
      <c r="AD529" s="1381"/>
      <c r="AE529" s="1381"/>
      <c r="AF529" s="1381"/>
      <c r="AG529" s="38" t="s">
        <v>405</v>
      </c>
      <c r="AH529" s="1358">
        <v>2023</v>
      </c>
      <c r="AI529" s="1358"/>
      <c r="AJ529" s="1358"/>
      <c r="AK529" s="1359"/>
      <c r="AZ529" s="3"/>
      <c r="BA529" s="3"/>
      <c r="BB529" s="3"/>
      <c r="BC529" s="3"/>
      <c r="BD529" s="3"/>
      <c r="BE529" s="3"/>
      <c r="BF529" s="3"/>
      <c r="BG529" s="3"/>
      <c r="BH529" s="3"/>
      <c r="BI529" s="3"/>
      <c r="BJ529" s="3"/>
      <c r="BK529" s="3"/>
      <c r="BL529" s="3"/>
      <c r="BM529" s="3"/>
      <c r="BN529" s="3" t="s">
        <v>2542</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15"/>
      <c r="C530" s="1416"/>
      <c r="D530" s="1416"/>
      <c r="E530" s="1416"/>
      <c r="F530" s="1416"/>
      <c r="G530" s="1416"/>
      <c r="H530" s="1417"/>
      <c r="I530" s="42" t="s">
        <v>425</v>
      </c>
      <c r="J530" s="42"/>
      <c r="K530" s="42"/>
      <c r="L530" s="42"/>
      <c r="M530" s="42"/>
      <c r="N530" s="42"/>
      <c r="O530" s="1410" t="s">
        <v>336</v>
      </c>
      <c r="P530" s="1411"/>
      <c r="Q530" s="1411"/>
      <c r="R530" s="1411"/>
      <c r="S530" s="1411"/>
      <c r="T530" s="1411"/>
      <c r="U530" s="1411"/>
      <c r="V530" s="1411"/>
      <c r="W530" s="1411"/>
      <c r="X530" s="1411"/>
      <c r="Y530" s="1411"/>
      <c r="Z530" s="1411"/>
      <c r="AA530" s="1411"/>
      <c r="AC530" s="1380" t="s">
        <v>600</v>
      </c>
      <c r="AD530" s="1381"/>
      <c r="AE530" s="1381"/>
      <c r="AF530" s="1381"/>
      <c r="AG530" s="13" t="s">
        <v>405</v>
      </c>
      <c r="AH530" s="1358"/>
      <c r="AI530" s="1358"/>
      <c r="AJ530" s="1358"/>
      <c r="AK530" s="1359"/>
      <c r="AZ530" s="3"/>
      <c r="BA530" s="3"/>
      <c r="BB530" s="3"/>
      <c r="BC530" s="3"/>
      <c r="BD530" s="3"/>
      <c r="BE530" s="3"/>
      <c r="BF530" s="3"/>
      <c r="BG530" s="3"/>
      <c r="BH530" s="3"/>
      <c r="BI530" s="3"/>
      <c r="BJ530" s="3"/>
      <c r="BK530" s="3"/>
      <c r="BL530" s="3"/>
      <c r="BM530" s="3"/>
      <c r="BN530" s="3" t="s">
        <v>2543</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15"/>
      <c r="C531" s="1416"/>
      <c r="D531" s="1416"/>
      <c r="E531" s="1416"/>
      <c r="F531" s="1416"/>
      <c r="G531" s="1416"/>
      <c r="H531" s="1417"/>
      <c r="I531" t="s">
        <v>423</v>
      </c>
      <c r="AC531" s="1380" t="s">
        <v>600</v>
      </c>
      <c r="AD531" s="1381"/>
      <c r="AE531" s="1381"/>
      <c r="AF531" s="1381"/>
      <c r="AG531" s="38" t="s">
        <v>405</v>
      </c>
      <c r="AH531" s="1358"/>
      <c r="AI531" s="1358"/>
      <c r="AJ531" s="1358"/>
      <c r="AK531" s="1359"/>
      <c r="AZ531" s="3"/>
      <c r="BA531" s="3"/>
      <c r="BB531" s="3"/>
      <c r="BC531" s="3"/>
      <c r="BD531" s="3"/>
      <c r="BE531" s="3"/>
      <c r="BF531" s="3"/>
      <c r="BG531" s="3"/>
      <c r="BH531" s="3"/>
      <c r="BI531" s="3"/>
      <c r="BJ531" s="3"/>
      <c r="BK531" s="3"/>
      <c r="BL531" s="3"/>
      <c r="BM531" s="3"/>
      <c r="BN531" s="3" t="s">
        <v>2544</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15"/>
      <c r="C532" s="1416"/>
      <c r="D532" s="1416"/>
      <c r="E532" s="1416"/>
      <c r="F532" s="1416"/>
      <c r="G532" s="1416"/>
      <c r="H532" s="1417"/>
      <c r="I532" s="48" t="s">
        <v>424</v>
      </c>
      <c r="J532" s="48"/>
      <c r="K532" s="48"/>
      <c r="L532" s="48"/>
      <c r="M532" s="48"/>
      <c r="N532" s="48"/>
      <c r="O532" s="48"/>
      <c r="P532" s="48"/>
      <c r="Q532" s="48"/>
      <c r="R532" s="48"/>
      <c r="S532" s="48"/>
      <c r="T532" s="48"/>
      <c r="U532" s="48"/>
      <c r="V532" s="48"/>
      <c r="W532" s="48"/>
      <c r="X532" s="48"/>
      <c r="Y532" s="48"/>
      <c r="Z532" s="48"/>
      <c r="AA532" s="48"/>
      <c r="AB532" s="48"/>
      <c r="AC532" s="1380" t="s">
        <v>600</v>
      </c>
      <c r="AD532" s="1381"/>
      <c r="AE532" s="1381"/>
      <c r="AF532" s="1381"/>
      <c r="AG532" s="13" t="s">
        <v>405</v>
      </c>
      <c r="AH532" s="1358"/>
      <c r="AI532" s="1358"/>
      <c r="AJ532" s="1358"/>
      <c r="AK532" s="1359"/>
      <c r="AZ532" s="3"/>
      <c r="BA532" s="3"/>
      <c r="BB532" s="3"/>
      <c r="BC532" s="3"/>
      <c r="BD532" s="3"/>
      <c r="BE532" s="3"/>
      <c r="BF532" s="3"/>
      <c r="BG532" s="3"/>
      <c r="BH532" s="3"/>
      <c r="BI532" s="3"/>
      <c r="BJ532" s="3"/>
      <c r="BK532" s="3"/>
      <c r="BL532" s="3"/>
      <c r="BM532" s="3"/>
      <c r="BN532" s="3" t="s">
        <v>2545</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15"/>
      <c r="C533" s="1416"/>
      <c r="D533" s="1416"/>
      <c r="E533" s="1416"/>
      <c r="F533" s="1416"/>
      <c r="G533" s="1416"/>
      <c r="H533" s="1417"/>
      <c r="I533" s="42" t="s">
        <v>425</v>
      </c>
      <c r="J533" s="42"/>
      <c r="K533" s="42"/>
      <c r="L533" s="42"/>
      <c r="M533" s="42"/>
      <c r="N533" s="42"/>
      <c r="O533" s="1410" t="s">
        <v>336</v>
      </c>
      <c r="P533" s="1411"/>
      <c r="Q533" s="1411"/>
      <c r="R533" s="1411"/>
      <c r="S533" s="1411"/>
      <c r="T533" s="1411"/>
      <c r="U533" s="1411"/>
      <c r="V533" s="1411"/>
      <c r="W533" s="1411"/>
      <c r="X533" s="1411"/>
      <c r="Y533" s="1411"/>
      <c r="Z533" s="1411"/>
      <c r="AA533" s="1411"/>
      <c r="AC533" s="1380" t="s">
        <v>600</v>
      </c>
      <c r="AD533" s="1381"/>
      <c r="AE533" s="1381"/>
      <c r="AF533" s="1381"/>
      <c r="AG533" s="38" t="s">
        <v>405</v>
      </c>
      <c r="AH533" s="1358"/>
      <c r="AI533" s="1358"/>
      <c r="AJ533" s="1358"/>
      <c r="AK533" s="1359"/>
      <c r="AZ533" s="3"/>
      <c r="BA533" s="3"/>
      <c r="BB533" s="3"/>
      <c r="BC533" s="3"/>
      <c r="BD533" s="3"/>
      <c r="BE533" s="3"/>
      <c r="BF533" s="3"/>
      <c r="BG533" s="3"/>
      <c r="BH533" s="3"/>
      <c r="BI533" s="3"/>
      <c r="BJ533" s="3"/>
      <c r="BK533" s="3"/>
      <c r="BL533" s="3"/>
      <c r="BM533" s="3"/>
      <c r="BN533" s="3" t="s">
        <v>2546</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15"/>
      <c r="C534" s="1416"/>
      <c r="D534" s="1416"/>
      <c r="E534" s="1416"/>
      <c r="F534" s="1416"/>
      <c r="G534" s="1416"/>
      <c r="H534" s="1417"/>
      <c r="I534" t="s">
        <v>423</v>
      </c>
      <c r="AC534" s="1380" t="s">
        <v>600</v>
      </c>
      <c r="AD534" s="1381"/>
      <c r="AE534" s="1381"/>
      <c r="AF534" s="1381"/>
      <c r="AG534" s="13" t="s">
        <v>405</v>
      </c>
      <c r="AH534" s="1358"/>
      <c r="AI534" s="1358"/>
      <c r="AJ534" s="1358"/>
      <c r="AK534" s="1359"/>
      <c r="AZ534" s="3"/>
      <c r="BA534" s="3"/>
      <c r="BB534" s="3"/>
      <c r="BC534" s="3"/>
      <c r="BD534" s="3"/>
      <c r="BE534" s="3"/>
      <c r="BF534" s="3"/>
      <c r="BG534" s="3"/>
      <c r="BH534" s="3"/>
      <c r="BI534" s="3"/>
      <c r="BJ534" s="3"/>
      <c r="BK534" s="3"/>
      <c r="BL534" s="3"/>
      <c r="BM534" s="3"/>
      <c r="BN534" s="3" t="s">
        <v>2547</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15"/>
      <c r="C535" s="1416"/>
      <c r="D535" s="1416"/>
      <c r="E535" s="1416"/>
      <c r="F535" s="1416"/>
      <c r="G535" s="1416"/>
      <c r="H535" s="1417"/>
      <c r="I535" s="48" t="s">
        <v>424</v>
      </c>
      <c r="J535" s="48"/>
      <c r="K535" s="48"/>
      <c r="L535" s="48"/>
      <c r="M535" s="48"/>
      <c r="N535" s="48"/>
      <c r="O535" s="48"/>
      <c r="P535" s="48"/>
      <c r="Q535" s="48"/>
      <c r="R535" s="48"/>
      <c r="S535" s="48"/>
      <c r="T535" s="48"/>
      <c r="U535" s="48"/>
      <c r="V535" s="48"/>
      <c r="W535" s="48"/>
      <c r="X535" s="48"/>
      <c r="Y535" s="48"/>
      <c r="Z535" s="48"/>
      <c r="AA535" s="48"/>
      <c r="AB535" s="48"/>
      <c r="AC535" s="1380" t="s">
        <v>600</v>
      </c>
      <c r="AD535" s="1381"/>
      <c r="AE535" s="1381"/>
      <c r="AF535" s="1381"/>
      <c r="AG535" s="38" t="s">
        <v>405</v>
      </c>
      <c r="AH535" s="1358"/>
      <c r="AI535" s="1358"/>
      <c r="AJ535" s="1358"/>
      <c r="AK535" s="1359"/>
      <c r="AZ535" s="3"/>
      <c r="BA535" s="3"/>
      <c r="BB535" s="3"/>
      <c r="BC535" s="3"/>
      <c r="BD535" s="3"/>
      <c r="BE535" s="3"/>
      <c r="BF535" s="3"/>
      <c r="BG535" s="3"/>
      <c r="BH535" s="3"/>
      <c r="BI535" s="3"/>
      <c r="BJ535" s="3"/>
      <c r="BK535" s="3"/>
      <c r="BL535" s="3"/>
      <c r="BM535" s="3"/>
      <c r="BN535" s="3" t="s">
        <v>2548</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15"/>
      <c r="C536" s="1416"/>
      <c r="D536" s="1416"/>
      <c r="E536" s="1416"/>
      <c r="F536" s="1416"/>
      <c r="G536" s="1416"/>
      <c r="H536" s="1417"/>
      <c r="I536" s="42" t="s">
        <v>571</v>
      </c>
      <c r="J536" s="42"/>
      <c r="K536" s="42"/>
      <c r="L536" s="42"/>
      <c r="M536" s="42"/>
      <c r="N536" s="42"/>
      <c r="O536" s="42"/>
      <c r="P536" s="42"/>
      <c r="Q536" s="42"/>
      <c r="R536" s="42"/>
      <c r="S536" s="42"/>
      <c r="T536" s="42"/>
      <c r="U536" s="42"/>
      <c r="V536" s="42"/>
      <c r="W536" s="42"/>
      <c r="AC536" s="1438" t="s">
        <v>600</v>
      </c>
      <c r="AD536" s="1381"/>
      <c r="AE536" s="1381"/>
      <c r="AF536" s="1381"/>
      <c r="AG536" s="38" t="s">
        <v>405</v>
      </c>
      <c r="AH536" s="1358"/>
      <c r="AI536" s="1358"/>
      <c r="AJ536" s="1358"/>
      <c r="AK536" s="1359"/>
      <c r="AZ536" s="3"/>
      <c r="BA536" s="3"/>
      <c r="BB536" s="3"/>
      <c r="BC536" s="3"/>
      <c r="BD536" s="3"/>
      <c r="BE536" s="3"/>
      <c r="BF536" s="3"/>
      <c r="BG536" s="3"/>
      <c r="BH536" s="3"/>
      <c r="BI536" s="3"/>
      <c r="BJ536" s="3"/>
      <c r="BK536" s="3"/>
      <c r="BL536" s="3"/>
      <c r="BM536" s="3"/>
      <c r="BN536" s="3" t="s">
        <v>2549</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15"/>
      <c r="C537" s="1416"/>
      <c r="D537" s="1416"/>
      <c r="E537" s="1416"/>
      <c r="F537" s="1416"/>
      <c r="G537" s="1416"/>
      <c r="H537" s="1417"/>
      <c r="I537" t="s">
        <v>572</v>
      </c>
      <c r="AC537" s="1380">
        <v>5</v>
      </c>
      <c r="AD537" s="1381"/>
      <c r="AE537" s="1381"/>
      <c r="AF537" s="1381"/>
      <c r="AG537" s="13" t="s">
        <v>405</v>
      </c>
      <c r="AH537" s="1358">
        <v>2024</v>
      </c>
      <c r="AI537" s="1358"/>
      <c r="AJ537" s="1358"/>
      <c r="AK537" s="1359"/>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15"/>
      <c r="C538" s="1416"/>
      <c r="D538" s="1416"/>
      <c r="E538" s="1416"/>
      <c r="F538" s="1416"/>
      <c r="G538" s="1416"/>
      <c r="H538" s="1417"/>
      <c r="I538" t="s">
        <v>573</v>
      </c>
      <c r="AC538" s="1380">
        <v>5</v>
      </c>
      <c r="AD538" s="1381"/>
      <c r="AE538" s="1381"/>
      <c r="AF538" s="1381"/>
      <c r="AG538" s="38" t="s">
        <v>405</v>
      </c>
      <c r="AH538" s="1358">
        <v>2026</v>
      </c>
      <c r="AI538" s="1358"/>
      <c r="AJ538" s="1358"/>
      <c r="AK538" s="1359"/>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15"/>
      <c r="C539" s="1416"/>
      <c r="D539" s="1416"/>
      <c r="E539" s="1416"/>
      <c r="F539" s="1416"/>
      <c r="G539" s="1416"/>
      <c r="H539" s="1417"/>
      <c r="I539" t="s">
        <v>574</v>
      </c>
      <c r="AC539" s="1380">
        <v>5</v>
      </c>
      <c r="AD539" s="1381"/>
      <c r="AE539" s="1381"/>
      <c r="AF539" s="1381"/>
      <c r="AG539" s="38" t="s">
        <v>405</v>
      </c>
      <c r="AH539" s="1358">
        <v>2026</v>
      </c>
      <c r="AI539" s="1358"/>
      <c r="AJ539" s="1358"/>
      <c r="AK539" s="1359"/>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18"/>
      <c r="C540" s="1419"/>
      <c r="D540" s="1419"/>
      <c r="E540" s="1419"/>
      <c r="F540" s="1419"/>
      <c r="G540" s="1419"/>
      <c r="H540" s="1420"/>
      <c r="I540" s="48" t="s">
        <v>460</v>
      </c>
      <c r="J540" s="48"/>
      <c r="K540" s="48"/>
      <c r="L540" s="48"/>
      <c r="M540" s="48"/>
      <c r="N540" s="48"/>
      <c r="O540" s="48"/>
      <c r="P540" s="48"/>
      <c r="Q540" s="48"/>
      <c r="R540" s="48"/>
      <c r="S540" s="48"/>
      <c r="T540" s="48"/>
      <c r="U540" s="48"/>
      <c r="V540" s="48"/>
      <c r="W540" s="48"/>
      <c r="X540" s="48"/>
      <c r="Y540" s="48"/>
      <c r="Z540" s="48"/>
      <c r="AA540" s="48"/>
      <c r="AB540" s="48"/>
      <c r="AC540" s="1380">
        <v>12</v>
      </c>
      <c r="AD540" s="1381"/>
      <c r="AE540" s="1381"/>
      <c r="AF540" s="1381"/>
      <c r="AG540" s="38" t="s">
        <v>405</v>
      </c>
      <c r="AH540" s="1358">
        <v>2026</v>
      </c>
      <c r="AI540" s="1358"/>
      <c r="AJ540" s="1358"/>
      <c r="AK540" s="1359"/>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A542" s="1273" t="s">
        <v>552</v>
      </c>
      <c r="B542" s="1273"/>
      <c r="C542" s="1273"/>
      <c r="D542" s="1273"/>
      <c r="E542" s="1273"/>
      <c r="F542" s="1273"/>
      <c r="G542" s="1273"/>
      <c r="H542" s="1273"/>
      <c r="I542" s="1273"/>
      <c r="J542" s="1273"/>
      <c r="K542" s="1273"/>
      <c r="L542" s="1273"/>
      <c r="M542" s="1273"/>
      <c r="N542" s="1273"/>
      <c r="O542" s="1273"/>
      <c r="P542" s="1273"/>
      <c r="Q542" s="1273"/>
      <c r="R542" s="1273"/>
      <c r="S542" s="1273"/>
      <c r="T542" s="1273"/>
      <c r="U542" s="1273"/>
      <c r="V542" s="1273"/>
      <c r="W542" s="1273"/>
      <c r="X542" s="1273"/>
      <c r="Y542" s="1273"/>
      <c r="Z542" s="1273"/>
      <c r="AA542" s="1273"/>
      <c r="AB542" s="1273"/>
      <c r="AC542" s="1273"/>
      <c r="AD542" s="1273"/>
      <c r="AE542" s="1273"/>
      <c r="AF542" s="1273"/>
      <c r="AG542" s="1273"/>
      <c r="AH542" s="1273"/>
      <c r="AI542" s="1273"/>
      <c r="AJ542" s="1273"/>
      <c r="AK542" s="1273"/>
      <c r="AL542" s="1273"/>
      <c r="AM542" s="1273"/>
      <c r="AN542" s="1273"/>
      <c r="AO542" s="1273"/>
      <c r="AP542" s="1273"/>
      <c r="AQ542" s="1273"/>
      <c r="AR542" s="1273"/>
      <c r="AS542" s="1273"/>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A543" s="1273"/>
      <c r="B543" s="1273"/>
      <c r="C543" s="1273"/>
      <c r="D543" s="1273"/>
      <c r="E543" s="1273"/>
      <c r="F543" s="1273"/>
      <c r="G543" s="1273"/>
      <c r="H543" s="1273"/>
      <c r="I543" s="1273"/>
      <c r="J543" s="1273"/>
      <c r="K543" s="1273"/>
      <c r="L543" s="1273"/>
      <c r="M543" s="1273"/>
      <c r="N543" s="1273"/>
      <c r="O543" s="1273"/>
      <c r="P543" s="1273"/>
      <c r="Q543" s="1273"/>
      <c r="R543" s="1273"/>
      <c r="S543" s="1273"/>
      <c r="T543" s="1273"/>
      <c r="U543" s="1273"/>
      <c r="V543" s="1273"/>
      <c r="W543" s="1273"/>
      <c r="X543" s="1273"/>
      <c r="Y543" s="1273"/>
      <c r="Z543" s="1273"/>
      <c r="AA543" s="1273"/>
      <c r="AB543" s="1273"/>
      <c r="AC543" s="1273"/>
      <c r="AD543" s="1273"/>
      <c r="AE543" s="1273"/>
      <c r="AF543" s="1273"/>
      <c r="AG543" s="1273"/>
      <c r="AH543" s="1273"/>
      <c r="AI543" s="1273"/>
      <c r="AJ543" s="1273"/>
      <c r="AK543" s="1273"/>
      <c r="AL543" s="1273"/>
      <c r="AM543" s="1273"/>
      <c r="AN543" s="1273"/>
      <c r="AO543" s="1273"/>
      <c r="AP543" s="1273"/>
      <c r="AQ543" s="1273"/>
      <c r="AR543" s="1273"/>
      <c r="AS543" s="1273"/>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2" t="s">
        <v>321</v>
      </c>
      <c r="B545" s="2"/>
      <c r="C545" s="2" t="s">
        <v>461</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c r="A547" s="2"/>
      <c r="B547" s="2"/>
      <c r="C547" s="2"/>
      <c r="D547" s="2" t="s">
        <v>2521</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377" t="s">
        <v>2523</v>
      </c>
      <c r="C549" s="1378"/>
      <c r="D549" s="1378"/>
      <c r="E549" s="1378"/>
      <c r="F549" s="1378"/>
      <c r="G549" s="1378"/>
      <c r="H549" s="1378"/>
      <c r="I549" s="1378"/>
      <c r="J549" s="1378"/>
      <c r="K549" s="1378"/>
      <c r="L549" s="1379"/>
      <c r="M549" s="1519" t="s">
        <v>2524</v>
      </c>
      <c r="N549" s="1519"/>
      <c r="O549" s="1519"/>
      <c r="P549" s="1519"/>
      <c r="Q549" s="1377" t="s">
        <v>2550</v>
      </c>
      <c r="R549" s="1378"/>
      <c r="S549" s="1379"/>
      <c r="T549" s="1377" t="s">
        <v>2551</v>
      </c>
      <c r="U549" s="1378"/>
      <c r="V549" s="1379"/>
      <c r="W549" s="1377" t="s">
        <v>462</v>
      </c>
      <c r="X549" s="1378"/>
      <c r="Y549" s="1379"/>
      <c r="Z549" s="1377" t="s">
        <v>2113</v>
      </c>
      <c r="AA549" s="1378"/>
      <c r="AB549" s="1378"/>
      <c r="AC549" s="1378"/>
      <c r="AD549" s="1378"/>
      <c r="AE549" s="1377" t="s">
        <v>1934</v>
      </c>
      <c r="AF549" s="1378"/>
      <c r="AG549" s="1378"/>
      <c r="AH549" s="1379"/>
      <c r="AI549" s="1377" t="s">
        <v>1935</v>
      </c>
      <c r="AJ549" s="1378"/>
      <c r="AK549" s="1378"/>
      <c r="AL549" s="1379"/>
      <c r="AM549" s="1377" t="s">
        <v>463</v>
      </c>
      <c r="AN549" s="1378"/>
      <c r="AO549" s="1378"/>
      <c r="AP549" s="1378"/>
      <c r="AQ549" s="1378"/>
      <c r="AR549" s="1378"/>
      <c r="AS549" s="1379"/>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477" t="s">
        <v>2727</v>
      </c>
      <c r="D550" s="1477"/>
      <c r="E550" s="1477"/>
      <c r="F550" s="1477"/>
      <c r="G550" s="1477"/>
      <c r="H550" s="1477"/>
      <c r="I550" s="1477"/>
      <c r="J550" s="1477"/>
      <c r="K550" s="1477"/>
      <c r="L550" s="1477"/>
      <c r="M550" s="1477" t="s">
        <v>2540</v>
      </c>
      <c r="N550" s="1477"/>
      <c r="O550" s="1477"/>
      <c r="P550" s="1477"/>
      <c r="Q550" s="1395">
        <v>30</v>
      </c>
      <c r="R550" s="1395"/>
      <c r="S550" s="1396"/>
      <c r="T550" s="1394"/>
      <c r="U550" s="1395"/>
      <c r="V550" s="1396"/>
      <c r="W550" s="1391">
        <v>8.3599999999999994E-2</v>
      </c>
      <c r="X550" s="1392"/>
      <c r="Y550" s="1393"/>
      <c r="Z550" s="1436" t="s">
        <v>2715</v>
      </c>
      <c r="AA550" s="1436"/>
      <c r="AB550" s="1436"/>
      <c r="AC550" s="1436"/>
      <c r="AD550" s="1436"/>
      <c r="AE550" s="1429">
        <v>1</v>
      </c>
      <c r="AF550" s="1430"/>
      <c r="AG550" s="1430"/>
      <c r="AH550" s="1431"/>
      <c r="AI550" s="1451"/>
      <c r="AJ550" s="1452"/>
      <c r="AK550" s="1452"/>
      <c r="AL550" s="1453"/>
      <c r="AM550" s="1371">
        <v>95866019</v>
      </c>
      <c r="AN550" s="1372"/>
      <c r="AO550" s="1372"/>
      <c r="AP550" s="1372"/>
      <c r="AQ550" s="1372"/>
      <c r="AR550" s="1372"/>
      <c r="AS550" s="1373"/>
      <c r="AT550" s="1201"/>
      <c r="BB550" s="3"/>
      <c r="BC550" s="3"/>
      <c r="BD550" s="3"/>
      <c r="BE550" s="3"/>
      <c r="BF550" s="3"/>
      <c r="BG550" s="3"/>
      <c r="BH550" s="3" t="s">
        <v>590</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52" t="s">
        <v>114</v>
      </c>
      <c r="C551" s="1478" t="s">
        <v>2728</v>
      </c>
      <c r="D551" s="1478"/>
      <c r="E551" s="1478"/>
      <c r="F551" s="1478"/>
      <c r="G551" s="1478"/>
      <c r="H551" s="1478"/>
      <c r="I551" s="1478"/>
      <c r="J551" s="1478"/>
      <c r="K551" s="1478"/>
      <c r="L551" s="1478"/>
      <c r="M551" s="1477" t="s">
        <v>2539</v>
      </c>
      <c r="N551" s="1477"/>
      <c r="O551" s="1477"/>
      <c r="P551" s="1477"/>
      <c r="Q551" s="1394">
        <f>Q550</f>
        <v>30</v>
      </c>
      <c r="R551" s="1395"/>
      <c r="S551" s="1396"/>
      <c r="T551" s="1394"/>
      <c r="U551" s="1395"/>
      <c r="V551" s="1396"/>
      <c r="W551" s="1391">
        <v>8.6099999999999996E-2</v>
      </c>
      <c r="X551" s="1392"/>
      <c r="Y551" s="1393"/>
      <c r="Z551" s="1436" t="s">
        <v>2715</v>
      </c>
      <c r="AA551" s="1436"/>
      <c r="AB551" s="1436"/>
      <c r="AC551" s="1436"/>
      <c r="AD551" s="1436"/>
      <c r="AE551" s="1429">
        <v>1</v>
      </c>
      <c r="AF551" s="1430"/>
      <c r="AG551" s="1430"/>
      <c r="AH551" s="1431"/>
      <c r="AI551" s="1451"/>
      <c r="AJ551" s="1452"/>
      <c r="AK551" s="1452"/>
      <c r="AL551" s="1453"/>
      <c r="AM551" s="1371">
        <v>9947946</v>
      </c>
      <c r="AN551" s="1372"/>
      <c r="AO551" s="1372"/>
      <c r="AP551" s="1372"/>
      <c r="AQ551" s="1372"/>
      <c r="AR551" s="1372"/>
      <c r="AS551" s="1373"/>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52" t="s">
        <v>120</v>
      </c>
      <c r="C552" s="1478" t="s">
        <v>2700</v>
      </c>
      <c r="D552" s="1478"/>
      <c r="E552" s="1478"/>
      <c r="F552" s="1478"/>
      <c r="G552" s="1478"/>
      <c r="H552" s="1478"/>
      <c r="I552" s="1478"/>
      <c r="J552" s="1478"/>
      <c r="K552" s="1478"/>
      <c r="L552" s="1478"/>
      <c r="M552" s="1477" t="s">
        <v>2536</v>
      </c>
      <c r="N552" s="1477"/>
      <c r="O552" s="1477"/>
      <c r="P552" s="1477"/>
      <c r="Q552" s="1394">
        <v>30</v>
      </c>
      <c r="R552" s="1395"/>
      <c r="S552" s="1396"/>
      <c r="T552" s="1394"/>
      <c r="U552" s="1395"/>
      <c r="V552" s="1396"/>
      <c r="W552" s="1391">
        <v>0.03</v>
      </c>
      <c r="X552" s="1392"/>
      <c r="Y552" s="1393"/>
      <c r="Z552" s="1436" t="s">
        <v>2718</v>
      </c>
      <c r="AA552" s="1436"/>
      <c r="AB552" s="1436"/>
      <c r="AC552" s="1436"/>
      <c r="AD552" s="1436"/>
      <c r="AE552" s="1429">
        <v>2</v>
      </c>
      <c r="AF552" s="1430"/>
      <c r="AG552" s="1430"/>
      <c r="AH552" s="1431"/>
      <c r="AI552" s="1451"/>
      <c r="AJ552" s="1452"/>
      <c r="AK552" s="1452"/>
      <c r="AL552" s="1453"/>
      <c r="AM552" s="1371">
        <v>65968539</v>
      </c>
      <c r="AN552" s="1372"/>
      <c r="AO552" s="1372"/>
      <c r="AP552" s="1372"/>
      <c r="AQ552" s="1372"/>
      <c r="AR552" s="1372"/>
      <c r="AS552" s="1373"/>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52" t="s">
        <v>590</v>
      </c>
      <c r="C553" s="1478" t="s">
        <v>1920</v>
      </c>
      <c r="D553" s="1478"/>
      <c r="E553" s="1478"/>
      <c r="F553" s="1478"/>
      <c r="G553" s="1478"/>
      <c r="H553" s="1478"/>
      <c r="I553" s="1478"/>
      <c r="J553" s="1478"/>
      <c r="K553" s="1478"/>
      <c r="L553" s="1478"/>
      <c r="M553" s="1477" t="s">
        <v>2527</v>
      </c>
      <c r="N553" s="1477"/>
      <c r="O553" s="1477"/>
      <c r="P553" s="1477"/>
      <c r="Q553" s="1394"/>
      <c r="R553" s="1395"/>
      <c r="S553" s="1396"/>
      <c r="T553" s="1394"/>
      <c r="U553" s="1395"/>
      <c r="V553" s="1396"/>
      <c r="W553" s="1391"/>
      <c r="X553" s="1392"/>
      <c r="Y553" s="1393"/>
      <c r="Z553" s="1436" t="s">
        <v>600</v>
      </c>
      <c r="AA553" s="1436"/>
      <c r="AB553" s="1436"/>
      <c r="AC553" s="1436"/>
      <c r="AD553" s="1436"/>
      <c r="AE553" s="1429"/>
      <c r="AF553" s="1430"/>
      <c r="AG553" s="1430"/>
      <c r="AH553" s="1431"/>
      <c r="AI553" s="1451"/>
      <c r="AJ553" s="1452"/>
      <c r="AK553" s="1452"/>
      <c r="AL553" s="1453"/>
      <c r="AM553" s="1371">
        <v>840000</v>
      </c>
      <c r="AN553" s="1372"/>
      <c r="AO553" s="1372"/>
      <c r="AP553" s="1372"/>
      <c r="AQ553" s="1372"/>
      <c r="AR553" s="1372"/>
      <c r="AS553" s="1373"/>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2" t="s">
        <v>787</v>
      </c>
      <c r="C554" s="1478" t="s">
        <v>2716</v>
      </c>
      <c r="D554" s="1478"/>
      <c r="E554" s="1478"/>
      <c r="F554" s="1478"/>
      <c r="G554" s="1478"/>
      <c r="H554" s="1478"/>
      <c r="I554" s="1478"/>
      <c r="J554" s="1478"/>
      <c r="K554" s="1478"/>
      <c r="L554" s="1478"/>
      <c r="M554" s="1477" t="s">
        <v>2526</v>
      </c>
      <c r="N554" s="1477"/>
      <c r="O554" s="1477"/>
      <c r="P554" s="1477"/>
      <c r="Q554" s="1394"/>
      <c r="R554" s="1395"/>
      <c r="S554" s="1396"/>
      <c r="T554" s="1394"/>
      <c r="U554" s="1395"/>
      <c r="V554" s="1396"/>
      <c r="W554" s="1391"/>
      <c r="X554" s="1392"/>
      <c r="Y554" s="1393"/>
      <c r="Z554" s="1436" t="s">
        <v>600</v>
      </c>
      <c r="AA554" s="1436"/>
      <c r="AB554" s="1436"/>
      <c r="AC554" s="1436"/>
      <c r="AD554" s="1436"/>
      <c r="AE554" s="1429"/>
      <c r="AF554" s="1430"/>
      <c r="AG554" s="1430"/>
      <c r="AH554" s="1431"/>
      <c r="AI554" s="1451"/>
      <c r="AJ554" s="1452"/>
      <c r="AK554" s="1452"/>
      <c r="AL554" s="1453"/>
      <c r="AM554" s="1371">
        <v>2392938</v>
      </c>
      <c r="AN554" s="1372"/>
      <c r="AO554" s="1372"/>
      <c r="AP554" s="1372"/>
      <c r="AQ554" s="1372"/>
      <c r="AR554" s="1372"/>
      <c r="AS554" s="1373"/>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593</v>
      </c>
      <c r="C555" s="1478" t="s">
        <v>2717</v>
      </c>
      <c r="D555" s="1478"/>
      <c r="E555" s="1478"/>
      <c r="F555" s="1478"/>
      <c r="G555" s="1478"/>
      <c r="H555" s="1478"/>
      <c r="I555" s="1478"/>
      <c r="J555" s="1478"/>
      <c r="K555" s="1478"/>
      <c r="L555" s="1478"/>
      <c r="M555" s="1477" t="s">
        <v>2531</v>
      </c>
      <c r="N555" s="1477"/>
      <c r="O555" s="1477"/>
      <c r="P555" s="1477"/>
      <c r="Q555" s="1394"/>
      <c r="R555" s="1395"/>
      <c r="S555" s="1396"/>
      <c r="T555" s="1394"/>
      <c r="U555" s="1395"/>
      <c r="V555" s="1396"/>
      <c r="W555" s="1391"/>
      <c r="X555" s="1392"/>
      <c r="Y555" s="1393"/>
      <c r="Z555" s="1436" t="s">
        <v>600</v>
      </c>
      <c r="AA555" s="1436"/>
      <c r="AB555" s="1436"/>
      <c r="AC555" s="1436"/>
      <c r="AD555" s="1436"/>
      <c r="AE555" s="1429"/>
      <c r="AF555" s="1430"/>
      <c r="AG555" s="1430"/>
      <c r="AH555" s="1431"/>
      <c r="AI555" s="1451"/>
      <c r="AJ555" s="1452"/>
      <c r="AK555" s="1452"/>
      <c r="AL555" s="1453"/>
      <c r="AM555" s="1371">
        <f>8707434-235000-300000</f>
        <v>8172434</v>
      </c>
      <c r="AN555" s="1372"/>
      <c r="AO555" s="1372"/>
      <c r="AP555" s="1372"/>
      <c r="AQ555" s="1372"/>
      <c r="AR555" s="1372"/>
      <c r="AS555" s="1373"/>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464</v>
      </c>
      <c r="C556" s="1478"/>
      <c r="D556" s="1478"/>
      <c r="E556" s="1478"/>
      <c r="F556" s="1478"/>
      <c r="G556" s="1478"/>
      <c r="H556" s="1478"/>
      <c r="I556" s="1478"/>
      <c r="J556" s="1478"/>
      <c r="K556" s="1478"/>
      <c r="L556" s="1478"/>
      <c r="M556" s="1477" t="s">
        <v>1326</v>
      </c>
      <c r="N556" s="1477"/>
      <c r="O556" s="1477"/>
      <c r="P556" s="1477"/>
      <c r="Q556" s="1394"/>
      <c r="R556" s="1395"/>
      <c r="S556" s="1396"/>
      <c r="T556" s="1394"/>
      <c r="U556" s="1395"/>
      <c r="V556" s="1396"/>
      <c r="W556" s="1391"/>
      <c r="X556" s="1392"/>
      <c r="Y556" s="1393"/>
      <c r="Z556" s="1436" t="s">
        <v>1326</v>
      </c>
      <c r="AA556" s="1436"/>
      <c r="AB556" s="1436"/>
      <c r="AC556" s="1436"/>
      <c r="AD556" s="1436"/>
      <c r="AE556" s="1429"/>
      <c r="AF556" s="1430"/>
      <c r="AG556" s="1430"/>
      <c r="AH556" s="1431"/>
      <c r="AI556" s="1451"/>
      <c r="AJ556" s="1452"/>
      <c r="AK556" s="1452"/>
      <c r="AL556" s="1453"/>
      <c r="AM556" s="1371"/>
      <c r="AN556" s="1372"/>
      <c r="AO556" s="1372"/>
      <c r="AP556" s="1372"/>
      <c r="AQ556" s="1372"/>
      <c r="AR556" s="1372"/>
      <c r="AS556" s="1373"/>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465</v>
      </c>
      <c r="C557" s="1478"/>
      <c r="D557" s="1478"/>
      <c r="E557" s="1478"/>
      <c r="F557" s="1478"/>
      <c r="G557" s="1478"/>
      <c r="H557" s="1478"/>
      <c r="I557" s="1478"/>
      <c r="J557" s="1478"/>
      <c r="K557" s="1478"/>
      <c r="L557" s="1478"/>
      <c r="M557" s="1477" t="s">
        <v>1326</v>
      </c>
      <c r="N557" s="1477"/>
      <c r="O557" s="1477"/>
      <c r="P557" s="1477"/>
      <c r="Q557" s="1394"/>
      <c r="R557" s="1395"/>
      <c r="S557" s="1396"/>
      <c r="T557" s="1394"/>
      <c r="U557" s="1395"/>
      <c r="V557" s="1396"/>
      <c r="W557" s="1391"/>
      <c r="X557" s="1392"/>
      <c r="Y557" s="1393"/>
      <c r="Z557" s="1436" t="s">
        <v>1326</v>
      </c>
      <c r="AA557" s="1436"/>
      <c r="AB557" s="1436"/>
      <c r="AC557" s="1436"/>
      <c r="AD557" s="1436"/>
      <c r="AE557" s="1429"/>
      <c r="AF557" s="1430"/>
      <c r="AG557" s="1430"/>
      <c r="AH557" s="1431"/>
      <c r="AI557" s="1451"/>
      <c r="AJ557" s="1452"/>
      <c r="AK557" s="1452"/>
      <c r="AL557" s="1453"/>
      <c r="AM557" s="1371"/>
      <c r="AN557" s="1372"/>
      <c r="AO557" s="1372"/>
      <c r="AP557" s="1372"/>
      <c r="AQ557" s="1372"/>
      <c r="AR557" s="1372"/>
      <c r="AS557" s="1373"/>
      <c r="AT557" s="1201" t="str">
        <f t="shared" si="0"/>
        <v/>
      </c>
      <c r="AU557" s="1200"/>
      <c r="BB557" s="3"/>
      <c r="BC557" s="3"/>
      <c r="BD557" s="3"/>
      <c r="BE557" s="3"/>
      <c r="BF557" s="3"/>
      <c r="BG557" s="3"/>
      <c r="BH557" s="3" t="s">
        <v>787</v>
      </c>
      <c r="BI557" s="3" t="str">
        <f>N661</f>
        <v>No</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470</v>
      </c>
      <c r="C558" s="1478"/>
      <c r="D558" s="1478"/>
      <c r="E558" s="1478"/>
      <c r="F558" s="1478"/>
      <c r="G558" s="1478"/>
      <c r="H558" s="1478"/>
      <c r="I558" s="1478"/>
      <c r="J558" s="1478"/>
      <c r="K558" s="1478"/>
      <c r="L558" s="1478"/>
      <c r="M558" s="1477" t="s">
        <v>1326</v>
      </c>
      <c r="N558" s="1477"/>
      <c r="O558" s="1477"/>
      <c r="P558" s="1477"/>
      <c r="Q558" s="1394"/>
      <c r="R558" s="1395"/>
      <c r="S558" s="1396"/>
      <c r="T558" s="1394"/>
      <c r="U558" s="1395"/>
      <c r="V558" s="1396"/>
      <c r="W558" s="1391"/>
      <c r="X558" s="1392"/>
      <c r="Y558" s="1393"/>
      <c r="Z558" s="1436" t="s">
        <v>1326</v>
      </c>
      <c r="AA558" s="1436"/>
      <c r="AB558" s="1436"/>
      <c r="AC558" s="1436"/>
      <c r="AD558" s="1436"/>
      <c r="AE558" s="1429"/>
      <c r="AF558" s="1430"/>
      <c r="AG558" s="1430"/>
      <c r="AH558" s="1431"/>
      <c r="AI558" s="1451"/>
      <c r="AJ558" s="1452"/>
      <c r="AK558" s="1452"/>
      <c r="AL558" s="1453"/>
      <c r="AM558" s="1371"/>
      <c r="AN558" s="1372"/>
      <c r="AO558" s="1372"/>
      <c r="AP558" s="1372"/>
      <c r="AQ558" s="1372"/>
      <c r="AR558" s="1372"/>
      <c r="AS558" s="1373"/>
      <c r="AT558" s="1201" t="str">
        <f t="shared" si="0"/>
        <v/>
      </c>
      <c r="AU558" s="1200"/>
      <c r="BB558" s="3"/>
      <c r="BC558" s="3"/>
      <c r="BD558" s="3"/>
      <c r="BE558" s="3"/>
      <c r="BF558" s="3"/>
      <c r="BG558" s="3"/>
      <c r="BH558" s="3" t="s">
        <v>593</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655</v>
      </c>
      <c r="C559" s="1478"/>
      <c r="D559" s="1478"/>
      <c r="E559" s="1478"/>
      <c r="F559" s="1478"/>
      <c r="G559" s="1478"/>
      <c r="H559" s="1478"/>
      <c r="I559" s="1478"/>
      <c r="J559" s="1478"/>
      <c r="K559" s="1478"/>
      <c r="L559" s="1478"/>
      <c r="M559" s="1477" t="s">
        <v>1326</v>
      </c>
      <c r="N559" s="1477"/>
      <c r="O559" s="1477"/>
      <c r="P559" s="1477"/>
      <c r="Q559" s="1394"/>
      <c r="R559" s="1395"/>
      <c r="S559" s="1396"/>
      <c r="T559" s="1394"/>
      <c r="U559" s="1395"/>
      <c r="V559" s="1396"/>
      <c r="W559" s="1391"/>
      <c r="X559" s="1392"/>
      <c r="Y559" s="1393"/>
      <c r="Z559" s="1436" t="s">
        <v>1326</v>
      </c>
      <c r="AA559" s="1436"/>
      <c r="AB559" s="1436"/>
      <c r="AC559" s="1436"/>
      <c r="AD559" s="1436"/>
      <c r="AE559" s="1429"/>
      <c r="AF559" s="1430"/>
      <c r="AG559" s="1430"/>
      <c r="AH559" s="1431"/>
      <c r="AI559" s="1451"/>
      <c r="AJ559" s="1452"/>
      <c r="AK559" s="1452"/>
      <c r="AL559" s="1453"/>
      <c r="AM559" s="1371"/>
      <c r="AN559" s="1372"/>
      <c r="AO559" s="1372"/>
      <c r="AP559" s="1372"/>
      <c r="AQ559" s="1372"/>
      <c r="AR559" s="1372"/>
      <c r="AS559" s="1373"/>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364</v>
      </c>
      <c r="C560" s="1478"/>
      <c r="D560" s="1478"/>
      <c r="E560" s="1478"/>
      <c r="F560" s="1478"/>
      <c r="G560" s="1478"/>
      <c r="H560" s="1478"/>
      <c r="I560" s="1478"/>
      <c r="J560" s="1478"/>
      <c r="K560" s="1478"/>
      <c r="L560" s="1478"/>
      <c r="M560" s="1477" t="s">
        <v>1326</v>
      </c>
      <c r="N560" s="1477"/>
      <c r="O560" s="1477"/>
      <c r="P560" s="1477"/>
      <c r="Q560" s="1394"/>
      <c r="R560" s="1395"/>
      <c r="S560" s="1396"/>
      <c r="T560" s="1394"/>
      <c r="U560" s="1395"/>
      <c r="V560" s="1396"/>
      <c r="W560" s="1391"/>
      <c r="X560" s="1392"/>
      <c r="Y560" s="1393"/>
      <c r="Z560" s="1436" t="s">
        <v>1326</v>
      </c>
      <c r="AA560" s="1436"/>
      <c r="AB560" s="1436"/>
      <c r="AC560" s="1436"/>
      <c r="AD560" s="1436"/>
      <c r="AE560" s="1429"/>
      <c r="AF560" s="1430"/>
      <c r="AG560" s="1430"/>
      <c r="AH560" s="1431"/>
      <c r="AI560" s="1451"/>
      <c r="AJ560" s="1452"/>
      <c r="AK560" s="1452"/>
      <c r="AL560" s="1453"/>
      <c r="AM560" s="1371"/>
      <c r="AN560" s="1372"/>
      <c r="AO560" s="1372"/>
      <c r="AP560" s="1372"/>
      <c r="AQ560" s="1372"/>
      <c r="AR560" s="1372"/>
      <c r="AS560" s="1373"/>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365</v>
      </c>
      <c r="C561" s="1478"/>
      <c r="D561" s="1478"/>
      <c r="E561" s="1478"/>
      <c r="F561" s="1478"/>
      <c r="G561" s="1478"/>
      <c r="H561" s="1478"/>
      <c r="I561" s="1478"/>
      <c r="J561" s="1478"/>
      <c r="K561" s="1478"/>
      <c r="L561" s="1478"/>
      <c r="M561" s="1477" t="s">
        <v>1326</v>
      </c>
      <c r="N561" s="1477"/>
      <c r="O561" s="1477"/>
      <c r="P561" s="1477"/>
      <c r="Q561" s="1394"/>
      <c r="R561" s="1395"/>
      <c r="S561" s="1396"/>
      <c r="T561" s="1394"/>
      <c r="U561" s="1395"/>
      <c r="V561" s="1396"/>
      <c r="W561" s="1391"/>
      <c r="X561" s="1392"/>
      <c r="Y561" s="1393"/>
      <c r="Z561" s="1436" t="s">
        <v>1326</v>
      </c>
      <c r="AA561" s="1436"/>
      <c r="AB561" s="1436"/>
      <c r="AC561" s="1436"/>
      <c r="AD561" s="1436"/>
      <c r="AE561" s="1429"/>
      <c r="AF561" s="1430"/>
      <c r="AG561" s="1430"/>
      <c r="AH561" s="1431"/>
      <c r="AI561" s="1451"/>
      <c r="AJ561" s="1452"/>
      <c r="AK561" s="1452"/>
      <c r="AL561" s="1453"/>
      <c r="AM561" s="1371"/>
      <c r="AN561" s="1372"/>
      <c r="AO561" s="1372"/>
      <c r="AP561" s="1372"/>
      <c r="AQ561" s="1372"/>
      <c r="AR561" s="1372"/>
      <c r="AS561" s="1373"/>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1523" t="s">
        <v>128</v>
      </c>
      <c r="C562" s="1524"/>
      <c r="D562" s="1524"/>
      <c r="E562" s="1524"/>
      <c r="F562" s="1524"/>
      <c r="G562" s="1524"/>
      <c r="H562" s="1524"/>
      <c r="I562" s="1524"/>
      <c r="J562" s="1524"/>
      <c r="K562" s="1524"/>
      <c r="L562" s="1524"/>
      <c r="M562" s="1524"/>
      <c r="N562" s="1524"/>
      <c r="O562" s="1524"/>
      <c r="P562" s="1524"/>
      <c r="Q562" s="1524"/>
      <c r="R562" s="1524"/>
      <c r="S562" s="1524"/>
      <c r="T562" s="1524"/>
      <c r="U562" s="1525"/>
      <c r="V562" s="1524"/>
      <c r="W562" s="1524"/>
      <c r="X562" s="1524"/>
      <c r="Y562" s="1524"/>
      <c r="Z562" s="1524"/>
      <c r="AA562" s="1524"/>
      <c r="AB562" s="1524"/>
      <c r="AC562" s="1524"/>
      <c r="AD562" s="1524"/>
      <c r="AE562" s="1524"/>
      <c r="AF562" s="1524"/>
      <c r="AG562" s="1524"/>
      <c r="AH562" s="1524"/>
      <c r="AI562" s="1524"/>
      <c r="AJ562" s="1524"/>
      <c r="AK562" s="1524"/>
      <c r="AL562" s="1526"/>
      <c r="AM562" s="1520">
        <f>SUM(AM550:AS561)</f>
        <v>183187876</v>
      </c>
      <c r="AN562" s="1521"/>
      <c r="AO562" s="1521"/>
      <c r="AP562" s="1521"/>
      <c r="AQ562" s="1521"/>
      <c r="AR562" s="1521"/>
      <c r="AS562" s="1522"/>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A564" s="55" t="s">
        <v>113</v>
      </c>
      <c r="B564" t="s">
        <v>472</v>
      </c>
      <c r="G564" s="1517" t="str">
        <f>C550</f>
        <v>US Bank Tax-Exempt Construction Loan</v>
      </c>
      <c r="H564" s="1517"/>
      <c r="I564" s="1517"/>
      <c r="J564" s="1517"/>
      <c r="K564" s="1517"/>
      <c r="L564" s="1517"/>
      <c r="M564" s="1517"/>
      <c r="N564" s="1517"/>
      <c r="O564" s="1517"/>
      <c r="P564" s="1517"/>
      <c r="Q564" s="1517"/>
      <c r="R564" s="1517"/>
      <c r="S564" s="8"/>
      <c r="T564" s="55" t="s">
        <v>114</v>
      </c>
      <c r="U564" t="s">
        <v>472</v>
      </c>
      <c r="Z564" s="1517" t="str">
        <f>C551</f>
        <v>US Bank Taxable Construction Loan</v>
      </c>
      <c r="AA564" s="1517"/>
      <c r="AB564" s="1517"/>
      <c r="AC564" s="1517"/>
      <c r="AD564" s="1517"/>
      <c r="AE564" s="1517"/>
      <c r="AF564" s="1517"/>
      <c r="AG564" s="1517"/>
      <c r="AH564" s="1517"/>
      <c r="AI564" s="1517"/>
      <c r="AJ564" s="1517"/>
      <c r="AK564" s="1517"/>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A565" s="22"/>
      <c r="B565" t="s">
        <v>86</v>
      </c>
      <c r="G565" s="1476" t="s">
        <v>2775</v>
      </c>
      <c r="H565" s="1398"/>
      <c r="I565" s="1398"/>
      <c r="J565" s="1398"/>
      <c r="K565" s="1398"/>
      <c r="L565" s="1398"/>
      <c r="M565" s="1398"/>
      <c r="N565" s="1398"/>
      <c r="O565" s="1398"/>
      <c r="P565" s="1398"/>
      <c r="Q565" s="1398"/>
      <c r="R565" s="1398"/>
      <c r="S565" s="8"/>
      <c r="T565" s="22"/>
      <c r="U565" t="s">
        <v>86</v>
      </c>
      <c r="Z565" s="1398" t="s">
        <v>2775</v>
      </c>
      <c r="AA565" s="1398"/>
      <c r="AB565" s="1398"/>
      <c r="AC565" s="1398"/>
      <c r="AD565" s="1398"/>
      <c r="AE565" s="1398"/>
      <c r="AF565" s="1398"/>
      <c r="AG565" s="1398"/>
      <c r="AH565" s="1398"/>
      <c r="AI565" s="1398"/>
      <c r="AJ565" s="1398"/>
      <c r="AK565" s="1398"/>
      <c r="BB565" s="3"/>
      <c r="BC565" s="3"/>
      <c r="BD565" s="3"/>
      <c r="BE565" s="3"/>
      <c r="BF565" s="3"/>
      <c r="BG565" s="3"/>
      <c r="BH565" s="3" t="s">
        <v>464</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A566" s="22"/>
      <c r="B566" t="s">
        <v>589</v>
      </c>
      <c r="G566" s="1476" t="s">
        <v>2776</v>
      </c>
      <c r="H566" s="1398"/>
      <c r="I566" s="1398"/>
      <c r="J566" s="1398"/>
      <c r="K566" s="1398"/>
      <c r="L566" s="1398"/>
      <c r="M566" s="1398"/>
      <c r="N566" s="1398"/>
      <c r="O566" s="1398"/>
      <c r="P566" s="1398"/>
      <c r="Q566" s="1398"/>
      <c r="R566" s="1398"/>
      <c r="T566" s="22"/>
      <c r="U566" t="s">
        <v>589</v>
      </c>
      <c r="Z566" s="1369" t="s">
        <v>2776</v>
      </c>
      <c r="AA566" s="1369"/>
      <c r="AB566" s="1369"/>
      <c r="AC566" s="1369"/>
      <c r="AD566" s="1369"/>
      <c r="AE566" s="1369"/>
      <c r="AF566" s="1369"/>
      <c r="AG566" s="1369"/>
      <c r="AH566" s="1369"/>
      <c r="AI566" s="1369"/>
      <c r="AJ566" s="1369"/>
      <c r="AK566" s="1369"/>
      <c r="BB566" s="3"/>
      <c r="BC566" s="3"/>
      <c r="BD566" s="3"/>
      <c r="BE566" s="3"/>
      <c r="BF566" s="3"/>
      <c r="BG566" s="3"/>
      <c r="BH566" s="3" t="s">
        <v>465</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A567" s="22"/>
      <c r="B567" t="s">
        <v>17</v>
      </c>
      <c r="G567" s="1476" t="s">
        <v>2702</v>
      </c>
      <c r="H567" s="1398"/>
      <c r="I567" s="1398"/>
      <c r="J567" s="1398"/>
      <c r="K567" s="1398"/>
      <c r="L567" s="1398"/>
      <c r="M567" s="1398"/>
      <c r="N567" s="1398"/>
      <c r="O567" s="1398"/>
      <c r="P567" s="1398"/>
      <c r="Q567" s="1398"/>
      <c r="R567" s="1398"/>
      <c r="S567" s="8"/>
      <c r="T567" s="22"/>
      <c r="U567" t="s">
        <v>17</v>
      </c>
      <c r="Z567" s="1467" t="s">
        <v>2702</v>
      </c>
      <c r="AA567" s="1369"/>
      <c r="AB567" s="1369"/>
      <c r="AC567" s="1369"/>
      <c r="AD567" s="1369"/>
      <c r="AE567" s="1369"/>
      <c r="AF567" s="1369"/>
      <c r="AG567" s="1369"/>
      <c r="AH567" s="1369"/>
      <c r="AI567" s="1369"/>
      <c r="AJ567" s="1369"/>
      <c r="AK567" s="1369"/>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22"/>
      <c r="B568" t="s">
        <v>318</v>
      </c>
      <c r="G568" s="1441" t="s">
        <v>2707</v>
      </c>
      <c r="H568" s="1441"/>
      <c r="I568" s="1441"/>
      <c r="J568" s="1441"/>
      <c r="K568" s="1441"/>
      <c r="L568" s="1441"/>
      <c r="O568" s="33" t="s">
        <v>208</v>
      </c>
      <c r="P568" s="1468"/>
      <c r="Q568" s="1468"/>
      <c r="R568" s="1468"/>
      <c r="S568" s="10"/>
      <c r="T568" s="22"/>
      <c r="U568" t="s">
        <v>318</v>
      </c>
      <c r="Z568" s="1518" t="s">
        <v>2707</v>
      </c>
      <c r="AA568" s="1441"/>
      <c r="AB568" s="1441"/>
      <c r="AC568" s="1441"/>
      <c r="AD568" s="1441"/>
      <c r="AE568" s="1441"/>
      <c r="AH568" s="33" t="s">
        <v>208</v>
      </c>
      <c r="AI568" s="1468"/>
      <c r="AJ568" s="1468"/>
      <c r="AK568" s="1468"/>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18</v>
      </c>
      <c r="H569" s="1476" t="s">
        <v>2706</v>
      </c>
      <c r="I569" s="1398"/>
      <c r="J569" s="1398"/>
      <c r="K569" s="1398"/>
      <c r="L569" s="1398"/>
      <c r="M569" s="1398"/>
      <c r="N569" s="1398"/>
      <c r="O569" s="1398"/>
      <c r="P569" s="1398"/>
      <c r="Q569" s="1398"/>
      <c r="R569" s="1398"/>
      <c r="S569" s="8"/>
      <c r="T569" s="22"/>
      <c r="U569" t="s">
        <v>18</v>
      </c>
      <c r="AA569" s="1476" t="s">
        <v>2708</v>
      </c>
      <c r="AB569" s="1398"/>
      <c r="AC569" s="1398"/>
      <c r="AD569" s="1398"/>
      <c r="AE569" s="1398"/>
      <c r="AF569" s="1398"/>
      <c r="AG569" s="1398"/>
      <c r="AH569" s="1398"/>
      <c r="AI569" s="1398"/>
      <c r="AJ569" s="1398"/>
      <c r="AK569" s="1398"/>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s="349" t="s">
        <v>1327</v>
      </c>
      <c r="H570" s="8"/>
      <c r="I570" s="8"/>
      <c r="J570" s="8"/>
      <c r="K570" s="8"/>
      <c r="L570" s="8"/>
      <c r="M570" s="1534"/>
      <c r="N570" s="1534"/>
      <c r="O570" s="1534"/>
      <c r="P570" s="1534"/>
      <c r="Q570" s="1534"/>
      <c r="R570" s="1534"/>
      <c r="S570" s="8"/>
      <c r="T570" s="22"/>
      <c r="U570" s="349" t="s">
        <v>1327</v>
      </c>
      <c r="AA570" s="8"/>
      <c r="AB570" s="8"/>
      <c r="AC570" s="8"/>
      <c r="AD570" s="8"/>
      <c r="AE570" s="8"/>
      <c r="AF570" s="1534"/>
      <c r="AG570" s="1534"/>
      <c r="AH570" s="1534"/>
      <c r="AI570" s="1534"/>
      <c r="AJ570" s="1534"/>
      <c r="AK570" s="1534"/>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20</v>
      </c>
      <c r="N571" s="1376" t="s">
        <v>554</v>
      </c>
      <c r="O571" s="1376"/>
      <c r="T571" s="22"/>
      <c r="U571" t="s">
        <v>20</v>
      </c>
      <c r="AG571" s="1376" t="s">
        <v>554</v>
      </c>
      <c r="AH571" s="1376"/>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55" t="s">
        <v>120</v>
      </c>
      <c r="B573" t="s">
        <v>472</v>
      </c>
      <c r="G573" s="1517" t="str">
        <f>C552</f>
        <v>Office of Community Investment and Infrastructure</v>
      </c>
      <c r="H573" s="1517"/>
      <c r="I573" s="1517"/>
      <c r="J573" s="1517"/>
      <c r="K573" s="1517"/>
      <c r="L573" s="1517"/>
      <c r="M573" s="1517"/>
      <c r="N573" s="1517"/>
      <c r="O573" s="1517"/>
      <c r="P573" s="1517"/>
      <c r="Q573" s="1517"/>
      <c r="R573" s="1517"/>
      <c r="T573" s="55" t="s">
        <v>590</v>
      </c>
      <c r="U573" t="s">
        <v>472</v>
      </c>
      <c r="Z573" s="1517" t="str">
        <f>C553</f>
        <v>Deferred Developer Fee</v>
      </c>
      <c r="AA573" s="1517"/>
      <c r="AB573" s="1517"/>
      <c r="AC573" s="1517"/>
      <c r="AD573" s="1517"/>
      <c r="AE573" s="1517"/>
      <c r="AF573" s="1517"/>
      <c r="AG573" s="1517"/>
      <c r="AH573" s="1517"/>
      <c r="AI573" s="1517"/>
      <c r="AJ573" s="1517"/>
      <c r="AK573" s="1517"/>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t="s">
        <v>86</v>
      </c>
      <c r="G574" s="1476" t="s">
        <v>2709</v>
      </c>
      <c r="H574" s="1398"/>
      <c r="I574" s="1398"/>
      <c r="J574" s="1398"/>
      <c r="K574" s="1398"/>
      <c r="L574" s="1398"/>
      <c r="M574" s="1398"/>
      <c r="N574" s="1398"/>
      <c r="O574" s="1398"/>
      <c r="P574" s="1398"/>
      <c r="Q574" s="1398"/>
      <c r="R574" s="1398"/>
      <c r="T574" s="22"/>
      <c r="U574" t="s">
        <v>86</v>
      </c>
      <c r="Z574" s="1398" t="s">
        <v>2643</v>
      </c>
      <c r="AA574" s="1398"/>
      <c r="AB574" s="1398"/>
      <c r="AC574" s="1398"/>
      <c r="AD574" s="1398"/>
      <c r="AE574" s="1398"/>
      <c r="AF574" s="1398"/>
      <c r="AG574" s="1398"/>
      <c r="AH574" s="1398"/>
      <c r="AI574" s="1398"/>
      <c r="AJ574" s="1398"/>
      <c r="AK574" s="1398"/>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589</v>
      </c>
      <c r="G575" s="1467" t="s">
        <v>742</v>
      </c>
      <c r="H575" s="1369"/>
      <c r="I575" s="1369"/>
      <c r="J575" s="1369"/>
      <c r="K575" s="1369"/>
      <c r="L575" s="1369"/>
      <c r="M575" s="1369"/>
      <c r="N575" s="1369"/>
      <c r="O575" s="1369"/>
      <c r="P575" s="1369"/>
      <c r="Q575" s="1369"/>
      <c r="R575" s="1369"/>
      <c r="T575" s="22"/>
      <c r="U575" t="s">
        <v>589</v>
      </c>
      <c r="Z575" s="1369" t="s">
        <v>742</v>
      </c>
      <c r="AA575" s="1369"/>
      <c r="AB575" s="1369"/>
      <c r="AC575" s="1369"/>
      <c r="AD575" s="1369"/>
      <c r="AE575" s="1369"/>
      <c r="AF575" s="1369"/>
      <c r="AG575" s="1369"/>
      <c r="AH575" s="1369"/>
      <c r="AI575" s="1369"/>
      <c r="AJ575" s="1369"/>
      <c r="AK575" s="1369"/>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B576" t="s">
        <v>17</v>
      </c>
      <c r="G576" s="1467" t="s">
        <v>2759</v>
      </c>
      <c r="H576" s="1369"/>
      <c r="I576" s="1369"/>
      <c r="J576" s="1369"/>
      <c r="K576" s="1369"/>
      <c r="L576" s="1369"/>
      <c r="M576" s="1369"/>
      <c r="N576" s="1369"/>
      <c r="O576" s="1369"/>
      <c r="P576" s="1369"/>
      <c r="Q576" s="1369"/>
      <c r="R576" s="1369"/>
      <c r="T576" s="22"/>
      <c r="U576" t="s">
        <v>17</v>
      </c>
      <c r="Z576" s="1369" t="s">
        <v>2636</v>
      </c>
      <c r="AA576" s="1369"/>
      <c r="AB576" s="1369"/>
      <c r="AC576" s="1369"/>
      <c r="AD576" s="1369"/>
      <c r="AE576" s="1369"/>
      <c r="AF576" s="1369"/>
      <c r="AG576" s="1369"/>
      <c r="AH576" s="1369"/>
      <c r="AI576" s="1369"/>
      <c r="AJ576" s="1369"/>
      <c r="AK576" s="1369"/>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22"/>
      <c r="B577" t="s">
        <v>318</v>
      </c>
      <c r="G577" s="1518" t="s">
        <v>2760</v>
      </c>
      <c r="H577" s="1441"/>
      <c r="I577" s="1441"/>
      <c r="J577" s="1441"/>
      <c r="K577" s="1441"/>
      <c r="L577" s="1441"/>
      <c r="O577" s="33" t="s">
        <v>208</v>
      </c>
      <c r="P577" s="1468"/>
      <c r="Q577" s="1468"/>
      <c r="R577" s="1468"/>
      <c r="T577" s="22"/>
      <c r="U577" t="s">
        <v>318</v>
      </c>
      <c r="Z577" s="1518" t="s">
        <v>2761</v>
      </c>
      <c r="AA577" s="1441"/>
      <c r="AB577" s="1441"/>
      <c r="AC577" s="1441"/>
      <c r="AD577" s="1441"/>
      <c r="AE577" s="1441"/>
      <c r="AH577" s="33" t="s">
        <v>208</v>
      </c>
      <c r="AI577" s="1468"/>
      <c r="AJ577" s="1468"/>
      <c r="AK577" s="1468"/>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18</v>
      </c>
      <c r="H578" s="1476" t="s">
        <v>2711</v>
      </c>
      <c r="I578" s="1398"/>
      <c r="J578" s="1398"/>
      <c r="K578" s="1398"/>
      <c r="L578" s="1398"/>
      <c r="M578" s="1398"/>
      <c r="N578" s="1398"/>
      <c r="O578" s="1398"/>
      <c r="P578" s="1398"/>
      <c r="Q578" s="1398"/>
      <c r="R578" s="1398"/>
      <c r="T578" s="22"/>
      <c r="U578" t="s">
        <v>18</v>
      </c>
      <c r="AA578" s="1398" t="s">
        <v>1920</v>
      </c>
      <c r="AB578" s="1398"/>
      <c r="AC578" s="1398"/>
      <c r="AD578" s="1398"/>
      <c r="AE578" s="1398"/>
      <c r="AF578" s="1398"/>
      <c r="AG578" s="1398"/>
      <c r="AH578" s="1398"/>
      <c r="AI578" s="1398"/>
      <c r="AJ578" s="1398"/>
      <c r="AK578" s="1398"/>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20</v>
      </c>
      <c r="N579" s="1376" t="s">
        <v>554</v>
      </c>
      <c r="O579" s="1376"/>
      <c r="T579" s="22"/>
      <c r="U579" t="s">
        <v>20</v>
      </c>
      <c r="AG579" s="1376" t="s">
        <v>554</v>
      </c>
      <c r="AH579" s="1376"/>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55" t="s">
        <v>787</v>
      </c>
      <c r="B581" t="s">
        <v>472</v>
      </c>
      <c r="G581" s="1517" t="str">
        <f>C554</f>
        <v>Costs Deferred Until Conversion</v>
      </c>
      <c r="H581" s="1517"/>
      <c r="I581" s="1517"/>
      <c r="J581" s="1517"/>
      <c r="K581" s="1517"/>
      <c r="L581" s="1517"/>
      <c r="M581" s="1517"/>
      <c r="N581" s="1517"/>
      <c r="O581" s="1517"/>
      <c r="P581" s="1517"/>
      <c r="Q581" s="1517"/>
      <c r="R581" s="1517"/>
      <c r="T581" s="55" t="s">
        <v>593</v>
      </c>
      <c r="U581" t="s">
        <v>472</v>
      </c>
      <c r="Z581" s="1517" t="str">
        <f>C555</f>
        <v>Limited Partner Equity</v>
      </c>
      <c r="AA581" s="1517"/>
      <c r="AB581" s="1517"/>
      <c r="AC581" s="1517"/>
      <c r="AD581" s="1517"/>
      <c r="AE581" s="1517"/>
      <c r="AF581" s="1517"/>
      <c r="AG581" s="1517"/>
      <c r="AH581" s="1517"/>
      <c r="AI581" s="1517"/>
      <c r="AJ581" s="1517"/>
      <c r="AK581" s="1517"/>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86</v>
      </c>
      <c r="G582" s="1398" t="s">
        <v>2643</v>
      </c>
      <c r="H582" s="1398"/>
      <c r="I582" s="1398"/>
      <c r="J582" s="1398"/>
      <c r="K582" s="1398"/>
      <c r="L582" s="1398"/>
      <c r="M582" s="1398"/>
      <c r="N582" s="1398"/>
      <c r="O582" s="1398"/>
      <c r="P582" s="1398"/>
      <c r="Q582" s="1398"/>
      <c r="R582" s="1398"/>
      <c r="T582" s="22"/>
      <c r="U582" t="s">
        <v>86</v>
      </c>
      <c r="Z582" s="1398"/>
      <c r="AA582" s="1398"/>
      <c r="AB582" s="1398"/>
      <c r="AC582" s="1398"/>
      <c r="AD582" s="1398"/>
      <c r="AE582" s="1398"/>
      <c r="AF582" s="1398"/>
      <c r="AG582" s="1398"/>
      <c r="AH582" s="1398"/>
      <c r="AI582" s="1398"/>
      <c r="AJ582" s="1398"/>
      <c r="AK582" s="1398"/>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589</v>
      </c>
      <c r="G583" s="1398" t="s">
        <v>742</v>
      </c>
      <c r="H583" s="1398"/>
      <c r="I583" s="1398"/>
      <c r="J583" s="1398"/>
      <c r="K583" s="1398"/>
      <c r="L583" s="1398"/>
      <c r="M583" s="1398"/>
      <c r="N583" s="1398"/>
      <c r="O583" s="1398"/>
      <c r="P583" s="1398"/>
      <c r="Q583" s="1398"/>
      <c r="R583" s="1398"/>
      <c r="T583" s="22"/>
      <c r="U583" t="s">
        <v>589</v>
      </c>
      <c r="Z583" s="1369"/>
      <c r="AA583" s="1369"/>
      <c r="AB583" s="1369"/>
      <c r="AC583" s="1369"/>
      <c r="AD583" s="1369"/>
      <c r="AE583" s="1369"/>
      <c r="AF583" s="1369"/>
      <c r="AG583" s="1369"/>
      <c r="AH583" s="1369"/>
      <c r="AI583" s="1369"/>
      <c r="AJ583" s="1369"/>
      <c r="AK583" s="1369"/>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B584" t="s">
        <v>17</v>
      </c>
      <c r="G584" s="1398" t="s">
        <v>2636</v>
      </c>
      <c r="H584" s="1398"/>
      <c r="I584" s="1398"/>
      <c r="J584" s="1398"/>
      <c r="K584" s="1398"/>
      <c r="L584" s="1398"/>
      <c r="M584" s="1398"/>
      <c r="N584" s="1398"/>
      <c r="O584" s="1398"/>
      <c r="P584" s="1398"/>
      <c r="Q584" s="1398"/>
      <c r="R584" s="1398"/>
      <c r="T584" s="22"/>
      <c r="U584" t="s">
        <v>17</v>
      </c>
      <c r="Z584" s="1369"/>
      <c r="AA584" s="1369"/>
      <c r="AB584" s="1369"/>
      <c r="AC584" s="1369"/>
      <c r="AD584" s="1369"/>
      <c r="AE584" s="1369"/>
      <c r="AF584" s="1369"/>
      <c r="AG584" s="1369"/>
      <c r="AH584" s="1369"/>
      <c r="AI584" s="1369"/>
      <c r="AJ584" s="1369"/>
      <c r="AK584" s="1369"/>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22"/>
      <c r="B585" t="s">
        <v>318</v>
      </c>
      <c r="G585" s="1518" t="s">
        <v>2761</v>
      </c>
      <c r="H585" s="1441"/>
      <c r="I585" s="1441"/>
      <c r="J585" s="1441"/>
      <c r="K585" s="1441"/>
      <c r="L585" s="1441"/>
      <c r="O585" s="33" t="s">
        <v>208</v>
      </c>
      <c r="P585" s="1468"/>
      <c r="Q585" s="1468"/>
      <c r="R585" s="1468"/>
      <c r="T585" s="22"/>
      <c r="U585" t="s">
        <v>318</v>
      </c>
      <c r="Z585" s="1441"/>
      <c r="AA585" s="1441"/>
      <c r="AB585" s="1441"/>
      <c r="AC585" s="1441"/>
      <c r="AD585" s="1441"/>
      <c r="AE585" s="1441"/>
      <c r="AH585" s="33" t="s">
        <v>208</v>
      </c>
      <c r="AI585" s="1468"/>
      <c r="AJ585" s="1468"/>
      <c r="AK585" s="1468"/>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18</v>
      </c>
      <c r="H586" s="1398" t="s">
        <v>2716</v>
      </c>
      <c r="I586" s="1398"/>
      <c r="J586" s="1398"/>
      <c r="K586" s="1398"/>
      <c r="L586" s="1398"/>
      <c r="M586" s="1398"/>
      <c r="N586" s="1398"/>
      <c r="O586" s="1398"/>
      <c r="P586" s="1398"/>
      <c r="Q586" s="1398"/>
      <c r="R586" s="1398"/>
      <c r="T586" s="22"/>
      <c r="U586" t="s">
        <v>18</v>
      </c>
      <c r="AA586" s="1398"/>
      <c r="AB586" s="1398"/>
      <c r="AC586" s="1398"/>
      <c r="AD586" s="1398"/>
      <c r="AE586" s="1398"/>
      <c r="AF586" s="1398"/>
      <c r="AG586" s="1398"/>
      <c r="AH586" s="1398"/>
      <c r="AI586" s="1398"/>
      <c r="AJ586" s="1398"/>
      <c r="AK586" s="1398"/>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20</v>
      </c>
      <c r="N587" s="1376" t="s">
        <v>554</v>
      </c>
      <c r="O587" s="1376"/>
      <c r="T587" s="22"/>
      <c r="U587" t="s">
        <v>20</v>
      </c>
      <c r="AG587" s="1376" t="s">
        <v>678</v>
      </c>
      <c r="AH587" s="1376"/>
    </row>
    <row r="588" spans="1:110" ht="12.95"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5" customHeight="1">
      <c r="A589" s="55" t="s">
        <v>464</v>
      </c>
      <c r="B589" t="s">
        <v>472</v>
      </c>
      <c r="G589" s="1517">
        <f>C556</f>
        <v>0</v>
      </c>
      <c r="H589" s="1517"/>
      <c r="I589" s="1517"/>
      <c r="J589" s="1517"/>
      <c r="K589" s="1517"/>
      <c r="L589" s="1517"/>
      <c r="M589" s="1517"/>
      <c r="N589" s="1517"/>
      <c r="O589" s="1517"/>
      <c r="P589" s="1517"/>
      <c r="Q589" s="1517"/>
      <c r="R589" s="1517"/>
      <c r="T589" s="55" t="s">
        <v>465</v>
      </c>
      <c r="U589" t="s">
        <v>472</v>
      </c>
      <c r="Z589" s="1517">
        <f>C557</f>
        <v>0</v>
      </c>
      <c r="AA589" s="1517"/>
      <c r="AB589" s="1517"/>
      <c r="AC589" s="1517"/>
      <c r="AD589" s="1517"/>
      <c r="AE589" s="1517"/>
      <c r="AF589" s="1517"/>
      <c r="AG589" s="1517"/>
      <c r="AH589" s="1517"/>
      <c r="AI589" s="1517"/>
      <c r="AJ589" s="1517"/>
      <c r="AK589" s="1517"/>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86</v>
      </c>
      <c r="G590" s="1398"/>
      <c r="H590" s="1398"/>
      <c r="I590" s="1398"/>
      <c r="J590" s="1398"/>
      <c r="K590" s="1398"/>
      <c r="L590" s="1398"/>
      <c r="M590" s="1398"/>
      <c r="N590" s="1398"/>
      <c r="O590" s="1398"/>
      <c r="P590" s="1398"/>
      <c r="Q590" s="1398"/>
      <c r="R590" s="1398"/>
      <c r="T590" s="22"/>
      <c r="U590" t="s">
        <v>86</v>
      </c>
      <c r="Z590" s="1398"/>
      <c r="AA590" s="1398"/>
      <c r="AB590" s="1398"/>
      <c r="AC590" s="1398"/>
      <c r="AD590" s="1398"/>
      <c r="AE590" s="1398"/>
      <c r="AF590" s="1398"/>
      <c r="AG590" s="1398"/>
      <c r="AH590" s="1398"/>
      <c r="AI590" s="1398"/>
      <c r="AJ590" s="1398"/>
      <c r="AK590" s="1398"/>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589</v>
      </c>
      <c r="G591" s="1398"/>
      <c r="H591" s="1398"/>
      <c r="I591" s="1398"/>
      <c r="J591" s="1398"/>
      <c r="K591" s="1398"/>
      <c r="L591" s="1398"/>
      <c r="M591" s="1398"/>
      <c r="N591" s="1398"/>
      <c r="O591" s="1398"/>
      <c r="P591" s="1398"/>
      <c r="Q591" s="1398"/>
      <c r="R591" s="1398"/>
      <c r="T591" s="22"/>
      <c r="U591" t="s">
        <v>589</v>
      </c>
      <c r="Z591" s="1369"/>
      <c r="AA591" s="1369"/>
      <c r="AB591" s="1369"/>
      <c r="AC591" s="1369"/>
      <c r="AD591" s="1369"/>
      <c r="AE591" s="1369"/>
      <c r="AF591" s="1369"/>
      <c r="AG591" s="1369"/>
      <c r="AH591" s="1369"/>
      <c r="AI591" s="1369"/>
      <c r="AJ591" s="1369"/>
      <c r="AK591" s="1369"/>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B592" t="s">
        <v>17</v>
      </c>
      <c r="G592" s="1398"/>
      <c r="H592" s="1398"/>
      <c r="I592" s="1398"/>
      <c r="J592" s="1398"/>
      <c r="K592" s="1398"/>
      <c r="L592" s="1398"/>
      <c r="M592" s="1398"/>
      <c r="N592" s="1398"/>
      <c r="O592" s="1398"/>
      <c r="P592" s="1398"/>
      <c r="Q592" s="1398"/>
      <c r="R592" s="1398"/>
      <c r="T592" s="22"/>
      <c r="U592" t="s">
        <v>17</v>
      </c>
      <c r="Z592" s="1369"/>
      <c r="AA592" s="1369"/>
      <c r="AB592" s="1369"/>
      <c r="AC592" s="1369"/>
      <c r="AD592" s="1369"/>
      <c r="AE592" s="1369"/>
      <c r="AF592" s="1369"/>
      <c r="AG592" s="1369"/>
      <c r="AH592" s="1369"/>
      <c r="AI592" s="1369"/>
      <c r="AJ592" s="1369"/>
      <c r="AK592" s="1369"/>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5" customHeight="1">
      <c r="A593" s="22"/>
      <c r="B593" t="s">
        <v>318</v>
      </c>
      <c r="C593"/>
      <c r="D593"/>
      <c r="E593"/>
      <c r="F593"/>
      <c r="G593" s="1441"/>
      <c r="H593" s="1441"/>
      <c r="I593" s="1441"/>
      <c r="J593" s="1441"/>
      <c r="K593" s="1441"/>
      <c r="L593" s="1441"/>
      <c r="M593"/>
      <c r="N593"/>
      <c r="O593" s="33" t="s">
        <v>208</v>
      </c>
      <c r="P593" s="1468"/>
      <c r="Q593" s="1468"/>
      <c r="R593" s="1468"/>
      <c r="S593"/>
      <c r="T593" s="22"/>
      <c r="U593" t="s">
        <v>318</v>
      </c>
      <c r="V593"/>
      <c r="W593"/>
      <c r="X593"/>
      <c r="Y593"/>
      <c r="Z593" s="1441"/>
      <c r="AA593" s="1441"/>
      <c r="AB593" s="1441"/>
      <c r="AC593" s="1441"/>
      <c r="AD593" s="1441"/>
      <c r="AE593" s="1441"/>
      <c r="AF593"/>
      <c r="AG593"/>
      <c r="AH593" s="33" t="s">
        <v>208</v>
      </c>
      <c r="AI593" s="1468"/>
      <c r="AJ593" s="1468"/>
      <c r="AK593" s="1468"/>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18</v>
      </c>
      <c r="C594"/>
      <c r="D594"/>
      <c r="E594"/>
      <c r="F594"/>
      <c r="G594"/>
      <c r="H594" s="1398"/>
      <c r="I594" s="1398"/>
      <c r="J594" s="1398"/>
      <c r="K594" s="1398"/>
      <c r="L594" s="1398"/>
      <c r="M594" s="1398"/>
      <c r="N594" s="1398"/>
      <c r="O594" s="1398"/>
      <c r="P594" s="1398"/>
      <c r="Q594" s="1398"/>
      <c r="R594" s="1398"/>
      <c r="S594"/>
      <c r="T594" s="22"/>
      <c r="U594" t="s">
        <v>18</v>
      </c>
      <c r="V594"/>
      <c r="W594"/>
      <c r="X594"/>
      <c r="Y594"/>
      <c r="Z594"/>
      <c r="AA594" s="1398"/>
      <c r="AB594" s="1398"/>
      <c r="AC594" s="1398"/>
      <c r="AD594" s="1398"/>
      <c r="AE594" s="1398"/>
      <c r="AF594" s="1398"/>
      <c r="AG594" s="1398"/>
      <c r="AH594" s="1398"/>
      <c r="AI594" s="1398"/>
      <c r="AJ594" s="1398"/>
      <c r="AK594" s="1398"/>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2104</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2"/>
      <c r="B595" t="s">
        <v>20</v>
      </c>
      <c r="C595"/>
      <c r="D595"/>
      <c r="E595"/>
      <c r="F595"/>
      <c r="G595"/>
      <c r="H595"/>
      <c r="I595"/>
      <c r="J595"/>
      <c r="K595"/>
      <c r="L595"/>
      <c r="M595"/>
      <c r="N595" s="1376" t="s">
        <v>678</v>
      </c>
      <c r="O595" s="1376"/>
      <c r="P595"/>
      <c r="Q595"/>
      <c r="R595"/>
      <c r="S595"/>
      <c r="T595" s="22"/>
      <c r="U595" t="s">
        <v>20</v>
      </c>
      <c r="V595"/>
      <c r="W595"/>
      <c r="X595"/>
      <c r="Y595"/>
      <c r="Z595"/>
      <c r="AA595"/>
      <c r="AB595"/>
      <c r="AC595"/>
      <c r="AD595"/>
      <c r="AE595"/>
      <c r="AF595"/>
      <c r="AG595" s="1376" t="s">
        <v>678</v>
      </c>
      <c r="AH595" s="1376"/>
      <c r="AI595"/>
      <c r="AJ595"/>
      <c r="AK595"/>
      <c r="AL595"/>
      <c r="AM595"/>
      <c r="AN595"/>
      <c r="AO595"/>
      <c r="AP595"/>
      <c r="AQ595"/>
      <c r="AR595"/>
      <c r="AS595"/>
      <c r="AT595"/>
      <c r="AU595"/>
      <c r="AV595"/>
      <c r="AW595"/>
      <c r="AX595"/>
      <c r="AY595"/>
      <c r="BA595" s="4" t="s">
        <v>326</v>
      </c>
      <c r="BB595" s="3"/>
      <c r="BC595" s="3"/>
      <c r="BD595" s="3"/>
      <c r="BE595" s="121" t="s">
        <v>483</v>
      </c>
      <c r="BF595" s="122"/>
      <c r="BG595" s="1501"/>
      <c r="BH595" s="1502"/>
      <c r="BI595" s="121" t="s">
        <v>484</v>
      </c>
      <c r="BJ595" s="122"/>
      <c r="BK595" s="1501"/>
      <c r="BL595" s="1502"/>
      <c r="BM595" s="3"/>
      <c r="BN595" s="1721" t="s">
        <v>642</v>
      </c>
      <c r="BO595" s="1722"/>
      <c r="BP595" s="1722"/>
      <c r="BQ595" s="1722"/>
      <c r="BR595" s="1723"/>
      <c r="BS595" s="1516" t="s">
        <v>327</v>
      </c>
      <c r="BT595" s="1516"/>
      <c r="BU595" s="1516"/>
      <c r="BV595" s="1516"/>
      <c r="BW595" s="1516"/>
      <c r="BX595" s="1516" t="s">
        <v>164</v>
      </c>
      <c r="BY595" s="1516"/>
      <c r="BZ595" s="1516"/>
      <c r="CA595" s="1516"/>
      <c r="CB595" s="1516"/>
      <c r="CC595" s="1516" t="s">
        <v>165</v>
      </c>
      <c r="CD595" s="1516"/>
      <c r="CE595" s="1516"/>
      <c r="CF595" s="1516"/>
      <c r="CG595" s="1516"/>
      <c r="CH595" s="1516" t="s">
        <v>469</v>
      </c>
      <c r="CI595" s="1516"/>
      <c r="CJ595" s="1516"/>
      <c r="CK595" s="1516"/>
      <c r="CL595" s="1516"/>
      <c r="CM595" s="1516" t="s">
        <v>30</v>
      </c>
      <c r="CN595" s="1516"/>
      <c r="CO595" s="1516"/>
      <c r="CP595" s="1516"/>
      <c r="CQ595" s="1516"/>
      <c r="CR595" s="89"/>
      <c r="CS595" s="1516" t="s">
        <v>642</v>
      </c>
      <c r="CT595" s="1516"/>
      <c r="CU595" s="1516"/>
      <c r="CV595" s="1516"/>
      <c r="CW595" s="1516"/>
      <c r="CX595" s="1516" t="s">
        <v>327</v>
      </c>
      <c r="CY595" s="1516"/>
      <c r="CZ595" s="1516"/>
      <c r="DA595" s="1516"/>
      <c r="DB595" s="1516"/>
      <c r="DC595" s="1516" t="s">
        <v>164</v>
      </c>
      <c r="DD595" s="1516"/>
      <c r="DE595" s="1516"/>
      <c r="DF595" s="1516"/>
      <c r="DG595" s="1516"/>
      <c r="DH595" s="1516" t="s">
        <v>165</v>
      </c>
      <c r="DI595" s="1516"/>
      <c r="DJ595" s="1516"/>
      <c r="DK595" s="1516"/>
      <c r="DL595" s="1516"/>
      <c r="DM595" s="1516" t="s">
        <v>469</v>
      </c>
      <c r="DN595" s="1516"/>
      <c r="DO595" s="1516"/>
      <c r="DP595" s="1516"/>
      <c r="DQ595" s="1516"/>
      <c r="DR595" s="1516" t="s">
        <v>30</v>
      </c>
      <c r="DS595" s="1516"/>
      <c r="DT595" s="1516"/>
      <c r="DU595" s="1516"/>
      <c r="DV595" s="1516"/>
      <c r="DX595" s="1516" t="s">
        <v>642</v>
      </c>
      <c r="DY595" s="1516"/>
      <c r="DZ595" s="1516"/>
      <c r="EA595" s="1516"/>
      <c r="EB595" s="1516"/>
      <c r="EC595" s="1516" t="s">
        <v>327</v>
      </c>
      <c r="ED595" s="1516"/>
      <c r="EE595" s="1516"/>
      <c r="EF595" s="1516"/>
      <c r="EG595" s="1516"/>
      <c r="EH595" s="1516" t="s">
        <v>164</v>
      </c>
      <c r="EI595" s="1516"/>
      <c r="EJ595" s="1516"/>
      <c r="EK595" s="1516"/>
      <c r="EL595" s="1516"/>
      <c r="EM595" s="1516" t="s">
        <v>165</v>
      </c>
      <c r="EN595" s="1516"/>
      <c r="EO595" s="1516"/>
      <c r="EP595" s="1516"/>
      <c r="EQ595" s="1516"/>
      <c r="ER595" s="1516" t="s">
        <v>469</v>
      </c>
      <c r="ES595" s="1516"/>
      <c r="ET595" s="1516"/>
      <c r="EU595" s="1516"/>
      <c r="EV595" s="1516"/>
      <c r="EW595" s="1516" t="s">
        <v>30</v>
      </c>
      <c r="EX595" s="1516"/>
      <c r="EY595" s="1516"/>
      <c r="EZ595" s="1516"/>
      <c r="FA595" s="1516"/>
    </row>
    <row r="596" spans="1:157" s="4" customFormat="1" ht="12.95"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23">
        <f t="shared" ref="BE596:BE620" si="1">IF(AND(AC714&lt;=0.5,AC714&gt;=0.36),1,0)</f>
        <v>0</v>
      </c>
      <c r="BF596" s="1424"/>
      <c r="BG596" s="1501">
        <f t="shared" ref="BG596:BG620" si="2">IF(BE596=1,G714,0)</f>
        <v>0</v>
      </c>
      <c r="BH596" s="1502"/>
      <c r="BI596" s="1423">
        <f t="shared" ref="BI596:BI620" si="3">IF(AND(AC714&lt;=0.35,AC714&gt;0),1,0)</f>
        <v>1</v>
      </c>
      <c r="BJ596" s="1424"/>
      <c r="BK596" s="1501">
        <f t="shared" ref="BK596:BK620" si="4">IF(BI596=1,G714,0)</f>
        <v>6</v>
      </c>
      <c r="BL596" s="1502"/>
      <c r="BM596" s="3"/>
      <c r="BN596" s="1512">
        <f t="shared" ref="BN596:BN620" si="5">IF(B714="SRO/Studio",G714,0)</f>
        <v>0</v>
      </c>
      <c r="BO596" s="1513"/>
      <c r="BP596" s="1513"/>
      <c r="BQ596" s="1513"/>
      <c r="BR596" s="1514"/>
      <c r="BS596" s="1399">
        <f t="shared" ref="BS596:BS620" si="6">IF(B714="1 Bedroom",G714,0)</f>
        <v>6</v>
      </c>
      <c r="BT596" s="1399"/>
      <c r="BU596" s="1399"/>
      <c r="BV596" s="1399"/>
      <c r="BW596" s="1399"/>
      <c r="BX596" s="1399">
        <f t="shared" ref="BX596:BX620" si="7">IF(B714="2 Bedrooms",G714,0)</f>
        <v>0</v>
      </c>
      <c r="BY596" s="1399"/>
      <c r="BZ596" s="1399"/>
      <c r="CA596" s="1399"/>
      <c r="CB596" s="1399"/>
      <c r="CC596" s="1399">
        <f t="shared" ref="CC596:CC620" si="8">IF(B714="3 Bedrooms",G714,0)</f>
        <v>0</v>
      </c>
      <c r="CD596" s="1399"/>
      <c r="CE596" s="1399"/>
      <c r="CF596" s="1399"/>
      <c r="CG596" s="1399"/>
      <c r="CH596" s="1399">
        <f t="shared" ref="CH596:CH620" si="9">IF(B714="4 Bedrooms",G714,0)</f>
        <v>0</v>
      </c>
      <c r="CI596" s="1399"/>
      <c r="CJ596" s="1399"/>
      <c r="CK596" s="1399"/>
      <c r="CL596" s="1399"/>
      <c r="CM596" s="1399">
        <f t="shared" ref="CM596:CM620" si="10">IF(B714="5 Bedrooms",G714,0)</f>
        <v>0</v>
      </c>
      <c r="CN596" s="1399"/>
      <c r="CO596" s="1399"/>
      <c r="CP596" s="1399"/>
      <c r="CQ596" s="1399"/>
      <c r="CR596" s="6"/>
      <c r="CS596" s="1725">
        <f t="shared" ref="CS596:CS620" si="11">IF(AND(B714="SRO/Studio",AC714&lt;=0.3),G714,0)</f>
        <v>0</v>
      </c>
      <c r="CT596" s="1725"/>
      <c r="CU596" s="1725"/>
      <c r="CV596" s="1725"/>
      <c r="CW596" s="1725"/>
      <c r="CX596" s="1725">
        <f t="shared" ref="CX596:CX620" si="12">IF(AND(B714="1 Bedroom",AC714&lt;=0.3),G714,0)</f>
        <v>6</v>
      </c>
      <c r="CY596" s="1725"/>
      <c r="CZ596" s="1725"/>
      <c r="DA596" s="1725"/>
      <c r="DB596" s="1725"/>
      <c r="DC596" s="1725">
        <f t="shared" ref="DC596:DC620" si="13">IF(AND(B714="2 Bedrooms",AC714&lt;=0.3),G714,0)</f>
        <v>0</v>
      </c>
      <c r="DD596" s="1725"/>
      <c r="DE596" s="1725"/>
      <c r="DF596" s="1725"/>
      <c r="DG596" s="1725"/>
      <c r="DH596" s="1725">
        <f t="shared" ref="DH596:DH620" si="14">IF(AND(B714="3 Bedrooms",AC714&lt;=0.3),G714,0)</f>
        <v>0</v>
      </c>
      <c r="DI596" s="1725"/>
      <c r="DJ596" s="1725"/>
      <c r="DK596" s="1725"/>
      <c r="DL596" s="1725"/>
      <c r="DM596" s="1725">
        <f t="shared" ref="DM596:DM620" si="15">IF(AND(B714="4 Bedrooms",AC714&lt;=0.3),G714,0)</f>
        <v>0</v>
      </c>
      <c r="DN596" s="1725"/>
      <c r="DO596" s="1725"/>
      <c r="DP596" s="1725"/>
      <c r="DQ596" s="1725"/>
      <c r="DR596" s="1725">
        <f t="shared" ref="DR596:DR620" si="16">IF(AND(B714="5 Bedrooms",AC714&lt;=0.3),G714,0)</f>
        <v>0</v>
      </c>
      <c r="DS596" s="1725"/>
      <c r="DT596" s="1725"/>
      <c r="DU596" s="1725"/>
      <c r="DV596" s="1725"/>
      <c r="DX596" s="1423" t="str">
        <f t="shared" ref="DX596:DX620" si="17">IF(BN596&gt;0,O714," ")</f>
        <v xml:space="preserve"> </v>
      </c>
      <c r="DY596" s="1855"/>
      <c r="DZ596" s="1855"/>
      <c r="EA596" s="1855"/>
      <c r="EB596" s="1424"/>
      <c r="EC596" s="1423">
        <f t="shared" ref="EC596:EC620" si="18">IF(BS596&gt;0,O714," ")</f>
        <v>300</v>
      </c>
      <c r="ED596" s="1855"/>
      <c r="EE596" s="1855"/>
      <c r="EF596" s="1855"/>
      <c r="EG596" s="1424"/>
      <c r="EH596" s="1423" t="str">
        <f t="shared" ref="EH596:EH620" si="19">IF(BX596&gt;0,O714," ")</f>
        <v xml:space="preserve"> </v>
      </c>
      <c r="EI596" s="1855"/>
      <c r="EJ596" s="1855"/>
      <c r="EK596" s="1855"/>
      <c r="EL596" s="1424"/>
      <c r="EM596" s="1423" t="str">
        <f t="shared" ref="EM596:EM620" si="20">IF(CC596&gt;0,O714," ")</f>
        <v xml:space="preserve"> </v>
      </c>
      <c r="EN596" s="1855"/>
      <c r="EO596" s="1855"/>
      <c r="EP596" s="1855"/>
      <c r="EQ596" s="1424"/>
      <c r="ER596" s="1423" t="str">
        <f t="shared" ref="ER596:ER620" si="21">IF(CH596&gt;0,O714," ")</f>
        <v xml:space="preserve"> </v>
      </c>
      <c r="ES596" s="1855"/>
      <c r="ET596" s="1855"/>
      <c r="EU596" s="1855"/>
      <c r="EV596" s="1424"/>
      <c r="EW596" s="1423" t="str">
        <f t="shared" ref="EW596:EW620" si="22">IF(CM596&gt;0,O714," ")</f>
        <v xml:space="preserve"> </v>
      </c>
      <c r="EX596" s="1855"/>
      <c r="EY596" s="1855"/>
      <c r="EZ596" s="1855"/>
      <c r="FA596" s="1424"/>
    </row>
    <row r="597" spans="1:157" s="4" customFormat="1" ht="12.95" customHeight="1">
      <c r="A597" s="55" t="s">
        <v>470</v>
      </c>
      <c r="B597" t="s">
        <v>472</v>
      </c>
      <c r="C597"/>
      <c r="D597"/>
      <c r="E597"/>
      <c r="F597"/>
      <c r="G597" s="1517">
        <f>C558</f>
        <v>0</v>
      </c>
      <c r="H597" s="1517"/>
      <c r="I597" s="1517"/>
      <c r="J597" s="1517"/>
      <c r="K597" s="1517"/>
      <c r="L597" s="1517"/>
      <c r="M597" s="1517"/>
      <c r="N597" s="1517"/>
      <c r="O597" s="1517"/>
      <c r="P597" s="1517"/>
      <c r="Q597" s="1517"/>
      <c r="R597" s="1517"/>
      <c r="S597"/>
      <c r="T597" s="55" t="s">
        <v>655</v>
      </c>
      <c r="U597" t="s">
        <v>472</v>
      </c>
      <c r="V597"/>
      <c r="W597"/>
      <c r="X597"/>
      <c r="Y597"/>
      <c r="Z597" s="1517">
        <f>C559</f>
        <v>0</v>
      </c>
      <c r="AA597" s="1517"/>
      <c r="AB597" s="1517"/>
      <c r="AC597" s="1517"/>
      <c r="AD597" s="1517"/>
      <c r="AE597" s="1517"/>
      <c r="AF597" s="1517"/>
      <c r="AG597" s="1517"/>
      <c r="AH597" s="1517"/>
      <c r="AI597" s="1517"/>
      <c r="AJ597" s="1517"/>
      <c r="AK597" s="1517"/>
      <c r="AL597"/>
      <c r="AM597"/>
      <c r="AN597"/>
      <c r="AO597"/>
      <c r="AP597"/>
      <c r="AQ597"/>
      <c r="AR597"/>
      <c r="AS597"/>
      <c r="AT597"/>
      <c r="AU597"/>
      <c r="AV597"/>
      <c r="AW597"/>
      <c r="AX597"/>
      <c r="AY597"/>
      <c r="BA597" s="4" t="s">
        <v>164</v>
      </c>
      <c r="BB597" s="3"/>
      <c r="BC597" s="3"/>
      <c r="BD597" s="3"/>
      <c r="BE597" s="1423">
        <f t="shared" si="1"/>
        <v>0</v>
      </c>
      <c r="BF597" s="1424"/>
      <c r="BG597" s="1501">
        <f t="shared" si="2"/>
        <v>0</v>
      </c>
      <c r="BH597" s="1502"/>
      <c r="BI597" s="1423">
        <f t="shared" si="3"/>
        <v>1</v>
      </c>
      <c r="BJ597" s="1424"/>
      <c r="BK597" s="1501">
        <f t="shared" si="4"/>
        <v>18</v>
      </c>
      <c r="BL597" s="1502"/>
      <c r="BM597" s="3"/>
      <c r="BN597" s="1512">
        <f t="shared" si="5"/>
        <v>0</v>
      </c>
      <c r="BO597" s="1513"/>
      <c r="BP597" s="1513"/>
      <c r="BQ597" s="1513"/>
      <c r="BR597" s="1514"/>
      <c r="BS597" s="1399">
        <f t="shared" si="6"/>
        <v>0</v>
      </c>
      <c r="BT597" s="1399"/>
      <c r="BU597" s="1399"/>
      <c r="BV597" s="1399"/>
      <c r="BW597" s="1399"/>
      <c r="BX597" s="1399">
        <f t="shared" si="7"/>
        <v>18</v>
      </c>
      <c r="BY597" s="1399"/>
      <c r="BZ597" s="1399"/>
      <c r="CA597" s="1399"/>
      <c r="CB597" s="1399"/>
      <c r="CC597" s="1399">
        <f t="shared" si="8"/>
        <v>0</v>
      </c>
      <c r="CD597" s="1399"/>
      <c r="CE597" s="1399"/>
      <c r="CF597" s="1399"/>
      <c r="CG597" s="1399"/>
      <c r="CH597" s="1399">
        <f t="shared" si="9"/>
        <v>0</v>
      </c>
      <c r="CI597" s="1399"/>
      <c r="CJ597" s="1399"/>
      <c r="CK597" s="1399"/>
      <c r="CL597" s="1399"/>
      <c r="CM597" s="1399">
        <f t="shared" si="10"/>
        <v>0</v>
      </c>
      <c r="CN597" s="1399"/>
      <c r="CO597" s="1399"/>
      <c r="CP597" s="1399"/>
      <c r="CQ597" s="1399"/>
      <c r="CR597" s="6"/>
      <c r="CS597" s="1725">
        <f t="shared" si="11"/>
        <v>0</v>
      </c>
      <c r="CT597" s="1725"/>
      <c r="CU597" s="1725"/>
      <c r="CV597" s="1725"/>
      <c r="CW597" s="1725"/>
      <c r="CX597" s="1725">
        <f t="shared" si="12"/>
        <v>0</v>
      </c>
      <c r="CY597" s="1725"/>
      <c r="CZ597" s="1725"/>
      <c r="DA597" s="1725"/>
      <c r="DB597" s="1725"/>
      <c r="DC597" s="1725">
        <f t="shared" si="13"/>
        <v>18</v>
      </c>
      <c r="DD597" s="1725"/>
      <c r="DE597" s="1725"/>
      <c r="DF597" s="1725"/>
      <c r="DG597" s="1725"/>
      <c r="DH597" s="1725">
        <f t="shared" si="14"/>
        <v>0</v>
      </c>
      <c r="DI597" s="1725"/>
      <c r="DJ597" s="1725"/>
      <c r="DK597" s="1725"/>
      <c r="DL597" s="1725"/>
      <c r="DM597" s="1725">
        <f t="shared" si="15"/>
        <v>0</v>
      </c>
      <c r="DN597" s="1725"/>
      <c r="DO597" s="1725"/>
      <c r="DP597" s="1725"/>
      <c r="DQ597" s="1725"/>
      <c r="DR597" s="1725">
        <f t="shared" si="16"/>
        <v>0</v>
      </c>
      <c r="DS597" s="1725"/>
      <c r="DT597" s="1725"/>
      <c r="DU597" s="1725"/>
      <c r="DV597" s="1725"/>
      <c r="DX597" s="1423" t="str">
        <f t="shared" si="17"/>
        <v xml:space="preserve"> </v>
      </c>
      <c r="DY597" s="1855"/>
      <c r="DZ597" s="1855"/>
      <c r="EA597" s="1855"/>
      <c r="EB597" s="1424"/>
      <c r="EC597" s="1423" t="str">
        <f t="shared" si="18"/>
        <v xml:space="preserve"> </v>
      </c>
      <c r="ED597" s="1855"/>
      <c r="EE597" s="1855"/>
      <c r="EF597" s="1855"/>
      <c r="EG597" s="1424"/>
      <c r="EH597" s="1423">
        <f t="shared" si="19"/>
        <v>350</v>
      </c>
      <c r="EI597" s="1855"/>
      <c r="EJ597" s="1855"/>
      <c r="EK597" s="1855"/>
      <c r="EL597" s="1424"/>
      <c r="EM597" s="1423" t="str">
        <f t="shared" si="20"/>
        <v xml:space="preserve"> </v>
      </c>
      <c r="EN597" s="1855"/>
      <c r="EO597" s="1855"/>
      <c r="EP597" s="1855"/>
      <c r="EQ597" s="1424"/>
      <c r="ER597" s="1423" t="str">
        <f t="shared" si="21"/>
        <v xml:space="preserve"> </v>
      </c>
      <c r="ES597" s="1855"/>
      <c r="ET597" s="1855"/>
      <c r="EU597" s="1855"/>
      <c r="EV597" s="1424"/>
      <c r="EW597" s="1423" t="str">
        <f t="shared" si="22"/>
        <v xml:space="preserve"> </v>
      </c>
      <c r="EX597" s="1855"/>
      <c r="EY597" s="1855"/>
      <c r="EZ597" s="1855"/>
      <c r="FA597" s="1424"/>
    </row>
    <row r="598" spans="1:157" ht="12.95" customHeight="1">
      <c r="A598" s="22"/>
      <c r="B598" t="s">
        <v>86</v>
      </c>
      <c r="G598" s="1398"/>
      <c r="H598" s="1398"/>
      <c r="I598" s="1398"/>
      <c r="J598" s="1398"/>
      <c r="K598" s="1398"/>
      <c r="L598" s="1398"/>
      <c r="M598" s="1398"/>
      <c r="N598" s="1398"/>
      <c r="O598" s="1398"/>
      <c r="P598" s="1398"/>
      <c r="Q598" s="1398"/>
      <c r="R598" s="1398"/>
      <c r="T598" s="22"/>
      <c r="U598" t="s">
        <v>86</v>
      </c>
      <c r="Z598" s="1398"/>
      <c r="AA598" s="1398"/>
      <c r="AB598" s="1398"/>
      <c r="AC598" s="1398"/>
      <c r="AD598" s="1398"/>
      <c r="AE598" s="1398"/>
      <c r="AF598" s="1398"/>
      <c r="AG598" s="1398"/>
      <c r="AH598" s="1398"/>
      <c r="AI598" s="1398"/>
      <c r="AJ598" s="1398"/>
      <c r="AK598" s="1398"/>
      <c r="BA598" s="4" t="s">
        <v>165</v>
      </c>
      <c r="BB598" s="3"/>
      <c r="BC598" s="3"/>
      <c r="BD598" s="3"/>
      <c r="BE598" s="1423">
        <f t="shared" si="1"/>
        <v>0</v>
      </c>
      <c r="BF598" s="1424"/>
      <c r="BG598" s="1501">
        <f t="shared" si="2"/>
        <v>0</v>
      </c>
      <c r="BH598" s="1502"/>
      <c r="BI598" s="1423">
        <f t="shared" si="3"/>
        <v>1</v>
      </c>
      <c r="BJ598" s="1424"/>
      <c r="BK598" s="1501">
        <f t="shared" si="4"/>
        <v>8</v>
      </c>
      <c r="BL598" s="1502"/>
      <c r="BM598" s="3"/>
      <c r="BN598" s="1512">
        <f t="shared" si="5"/>
        <v>0</v>
      </c>
      <c r="BO598" s="1513"/>
      <c r="BP598" s="1513"/>
      <c r="BQ598" s="1513"/>
      <c r="BR598" s="1514"/>
      <c r="BS598" s="1399">
        <f t="shared" si="6"/>
        <v>0</v>
      </c>
      <c r="BT598" s="1399"/>
      <c r="BU598" s="1399"/>
      <c r="BV598" s="1399"/>
      <c r="BW598" s="1399"/>
      <c r="BX598" s="1399">
        <f t="shared" si="7"/>
        <v>0</v>
      </c>
      <c r="BY598" s="1399"/>
      <c r="BZ598" s="1399"/>
      <c r="CA598" s="1399"/>
      <c r="CB598" s="1399"/>
      <c r="CC598" s="1399">
        <f t="shared" si="8"/>
        <v>8</v>
      </c>
      <c r="CD598" s="1399"/>
      <c r="CE598" s="1399"/>
      <c r="CF598" s="1399"/>
      <c r="CG598" s="1399"/>
      <c r="CH598" s="1399">
        <f t="shared" si="9"/>
        <v>0</v>
      </c>
      <c r="CI598" s="1399"/>
      <c r="CJ598" s="1399"/>
      <c r="CK598" s="1399"/>
      <c r="CL598" s="1399"/>
      <c r="CM598" s="1399">
        <f t="shared" si="10"/>
        <v>0</v>
      </c>
      <c r="CN598" s="1399"/>
      <c r="CO598" s="1399"/>
      <c r="CP598" s="1399"/>
      <c r="CQ598" s="1399"/>
      <c r="CR598" s="6"/>
      <c r="CS598" s="1725">
        <f t="shared" si="11"/>
        <v>0</v>
      </c>
      <c r="CT598" s="1725"/>
      <c r="CU598" s="1725"/>
      <c r="CV598" s="1725"/>
      <c r="CW598" s="1725"/>
      <c r="CX598" s="1725">
        <f t="shared" si="12"/>
        <v>0</v>
      </c>
      <c r="CY598" s="1725"/>
      <c r="CZ598" s="1725"/>
      <c r="DA598" s="1725"/>
      <c r="DB598" s="1725"/>
      <c r="DC598" s="1725">
        <f t="shared" si="13"/>
        <v>0</v>
      </c>
      <c r="DD598" s="1725"/>
      <c r="DE598" s="1725"/>
      <c r="DF598" s="1725"/>
      <c r="DG598" s="1725"/>
      <c r="DH598" s="1725">
        <f t="shared" si="14"/>
        <v>8</v>
      </c>
      <c r="DI598" s="1725"/>
      <c r="DJ598" s="1725"/>
      <c r="DK598" s="1725"/>
      <c r="DL598" s="1725"/>
      <c r="DM598" s="1725">
        <f t="shared" si="15"/>
        <v>0</v>
      </c>
      <c r="DN598" s="1725"/>
      <c r="DO598" s="1725"/>
      <c r="DP598" s="1725"/>
      <c r="DQ598" s="1725"/>
      <c r="DR598" s="1725">
        <f t="shared" si="16"/>
        <v>0</v>
      </c>
      <c r="DS598" s="1725"/>
      <c r="DT598" s="1725"/>
      <c r="DU598" s="1725"/>
      <c r="DV598" s="1725"/>
      <c r="DX598" s="1423" t="str">
        <f t="shared" si="17"/>
        <v xml:space="preserve"> </v>
      </c>
      <c r="DY598" s="1855"/>
      <c r="DZ598" s="1855"/>
      <c r="EA598" s="1855"/>
      <c r="EB598" s="1424"/>
      <c r="EC598" s="1423" t="str">
        <f t="shared" si="18"/>
        <v xml:space="preserve"> </v>
      </c>
      <c r="ED598" s="1855"/>
      <c r="EE598" s="1855"/>
      <c r="EF598" s="1855"/>
      <c r="EG598" s="1424"/>
      <c r="EH598" s="1423" t="str">
        <f t="shared" si="19"/>
        <v xml:space="preserve"> </v>
      </c>
      <c r="EI598" s="1855"/>
      <c r="EJ598" s="1855"/>
      <c r="EK598" s="1855"/>
      <c r="EL598" s="1424"/>
      <c r="EM598" s="1423">
        <f t="shared" si="20"/>
        <v>400</v>
      </c>
      <c r="EN598" s="1855"/>
      <c r="EO598" s="1855"/>
      <c r="EP598" s="1855"/>
      <c r="EQ598" s="1424"/>
      <c r="ER598" s="1423" t="str">
        <f t="shared" si="21"/>
        <v xml:space="preserve"> </v>
      </c>
      <c r="ES598" s="1855"/>
      <c r="ET598" s="1855"/>
      <c r="EU598" s="1855"/>
      <c r="EV598" s="1424"/>
      <c r="EW598" s="1423" t="str">
        <f t="shared" si="22"/>
        <v xml:space="preserve"> </v>
      </c>
      <c r="EX598" s="1855"/>
      <c r="EY598" s="1855"/>
      <c r="EZ598" s="1855"/>
      <c r="FA598" s="1424"/>
    </row>
    <row r="599" spans="1:157" ht="12.95" customHeight="1">
      <c r="A599" s="22"/>
      <c r="B599" t="s">
        <v>589</v>
      </c>
      <c r="G599" s="1398"/>
      <c r="H599" s="1398"/>
      <c r="I599" s="1398"/>
      <c r="J599" s="1398"/>
      <c r="K599" s="1398"/>
      <c r="L599" s="1398"/>
      <c r="M599" s="1398"/>
      <c r="N599" s="1398"/>
      <c r="O599" s="1398"/>
      <c r="P599" s="1398"/>
      <c r="Q599" s="1398"/>
      <c r="R599" s="1398"/>
      <c r="T599" s="22"/>
      <c r="U599" t="s">
        <v>589</v>
      </c>
      <c r="Z599" s="1369"/>
      <c r="AA599" s="1369"/>
      <c r="AB599" s="1369"/>
      <c r="AC599" s="1369"/>
      <c r="AD599" s="1369"/>
      <c r="AE599" s="1369"/>
      <c r="AF599" s="1369"/>
      <c r="AG599" s="1369"/>
      <c r="AH599" s="1369"/>
      <c r="AI599" s="1369"/>
      <c r="AJ599" s="1369"/>
      <c r="AK599" s="1369"/>
      <c r="BA599" s="4" t="s">
        <v>166</v>
      </c>
      <c r="BB599" s="3"/>
      <c r="BC599" s="3"/>
      <c r="BD599" s="3"/>
      <c r="BE599" s="1423">
        <f t="shared" si="1"/>
        <v>0</v>
      </c>
      <c r="BF599" s="1424"/>
      <c r="BG599" s="1501">
        <f t="shared" si="2"/>
        <v>0</v>
      </c>
      <c r="BH599" s="1502"/>
      <c r="BI599" s="1423">
        <f t="shared" si="3"/>
        <v>1</v>
      </c>
      <c r="BJ599" s="1424"/>
      <c r="BK599" s="1501">
        <f t="shared" si="4"/>
        <v>2</v>
      </c>
      <c r="BL599" s="1502"/>
      <c r="BM599" s="3"/>
      <c r="BN599" s="1512">
        <f t="shared" si="5"/>
        <v>0</v>
      </c>
      <c r="BO599" s="1513"/>
      <c r="BP599" s="1513"/>
      <c r="BQ599" s="1513"/>
      <c r="BR599" s="1514"/>
      <c r="BS599" s="1399">
        <f t="shared" si="6"/>
        <v>2</v>
      </c>
      <c r="BT599" s="1399"/>
      <c r="BU599" s="1399"/>
      <c r="BV599" s="1399"/>
      <c r="BW599" s="1399"/>
      <c r="BX599" s="1399">
        <f t="shared" si="7"/>
        <v>0</v>
      </c>
      <c r="BY599" s="1399"/>
      <c r="BZ599" s="1399"/>
      <c r="CA599" s="1399"/>
      <c r="CB599" s="1399"/>
      <c r="CC599" s="1399">
        <f t="shared" si="8"/>
        <v>0</v>
      </c>
      <c r="CD599" s="1399"/>
      <c r="CE599" s="1399"/>
      <c r="CF599" s="1399"/>
      <c r="CG599" s="1399"/>
      <c r="CH599" s="1399">
        <f t="shared" si="9"/>
        <v>0</v>
      </c>
      <c r="CI599" s="1399"/>
      <c r="CJ599" s="1399"/>
      <c r="CK599" s="1399"/>
      <c r="CL599" s="1399"/>
      <c r="CM599" s="1399">
        <f t="shared" si="10"/>
        <v>0</v>
      </c>
      <c r="CN599" s="1399"/>
      <c r="CO599" s="1399"/>
      <c r="CP599" s="1399"/>
      <c r="CQ599" s="1399"/>
      <c r="CR599" s="6"/>
      <c r="CS599" s="1725">
        <f t="shared" si="11"/>
        <v>0</v>
      </c>
      <c r="CT599" s="1725"/>
      <c r="CU599" s="1725"/>
      <c r="CV599" s="1725"/>
      <c r="CW599" s="1725"/>
      <c r="CX599" s="1725">
        <f t="shared" si="12"/>
        <v>2</v>
      </c>
      <c r="CY599" s="1725"/>
      <c r="CZ599" s="1725"/>
      <c r="DA599" s="1725"/>
      <c r="DB599" s="1725"/>
      <c r="DC599" s="1725">
        <f t="shared" si="13"/>
        <v>0</v>
      </c>
      <c r="DD599" s="1725"/>
      <c r="DE599" s="1725"/>
      <c r="DF599" s="1725"/>
      <c r="DG599" s="1725"/>
      <c r="DH599" s="1725">
        <f t="shared" si="14"/>
        <v>0</v>
      </c>
      <c r="DI599" s="1725"/>
      <c r="DJ599" s="1725"/>
      <c r="DK599" s="1725"/>
      <c r="DL599" s="1725"/>
      <c r="DM599" s="1725">
        <f t="shared" si="15"/>
        <v>0</v>
      </c>
      <c r="DN599" s="1725"/>
      <c r="DO599" s="1725"/>
      <c r="DP599" s="1725"/>
      <c r="DQ599" s="1725"/>
      <c r="DR599" s="1725">
        <f t="shared" si="16"/>
        <v>0</v>
      </c>
      <c r="DS599" s="1725"/>
      <c r="DT599" s="1725"/>
      <c r="DU599" s="1725"/>
      <c r="DV599" s="1725"/>
      <c r="DX599" s="1423" t="str">
        <f t="shared" si="17"/>
        <v xml:space="preserve"> </v>
      </c>
      <c r="DY599" s="1855"/>
      <c r="DZ599" s="1855"/>
      <c r="EA599" s="1855"/>
      <c r="EB599" s="1424"/>
      <c r="EC599" s="1423">
        <f t="shared" si="18"/>
        <v>300</v>
      </c>
      <c r="ED599" s="1855"/>
      <c r="EE599" s="1855"/>
      <c r="EF599" s="1855"/>
      <c r="EG599" s="1424"/>
      <c r="EH599" s="1423" t="str">
        <f t="shared" si="19"/>
        <v xml:space="preserve"> </v>
      </c>
      <c r="EI599" s="1855"/>
      <c r="EJ599" s="1855"/>
      <c r="EK599" s="1855"/>
      <c r="EL599" s="1424"/>
      <c r="EM599" s="1423" t="str">
        <f t="shared" si="20"/>
        <v xml:space="preserve"> </v>
      </c>
      <c r="EN599" s="1855"/>
      <c r="EO599" s="1855"/>
      <c r="EP599" s="1855"/>
      <c r="EQ599" s="1424"/>
      <c r="ER599" s="1423" t="str">
        <f t="shared" si="21"/>
        <v xml:space="preserve"> </v>
      </c>
      <c r="ES599" s="1855"/>
      <c r="ET599" s="1855"/>
      <c r="EU599" s="1855"/>
      <c r="EV599" s="1424"/>
      <c r="EW599" s="1423" t="str">
        <f t="shared" si="22"/>
        <v xml:space="preserve"> </v>
      </c>
      <c r="EX599" s="1855"/>
      <c r="EY599" s="1855"/>
      <c r="EZ599" s="1855"/>
      <c r="FA599" s="1424"/>
    </row>
    <row r="600" spans="1:157" ht="12.95" customHeight="1">
      <c r="A600" s="22"/>
      <c r="B600" t="s">
        <v>17</v>
      </c>
      <c r="G600" s="1398"/>
      <c r="H600" s="1398"/>
      <c r="I600" s="1398"/>
      <c r="J600" s="1398"/>
      <c r="K600" s="1398"/>
      <c r="L600" s="1398"/>
      <c r="M600" s="1398"/>
      <c r="N600" s="1398"/>
      <c r="O600" s="1398"/>
      <c r="P600" s="1398"/>
      <c r="Q600" s="1398"/>
      <c r="R600" s="1398"/>
      <c r="T600" s="22"/>
      <c r="U600" t="s">
        <v>17</v>
      </c>
      <c r="Z600" s="1369"/>
      <c r="AA600" s="1369"/>
      <c r="AB600" s="1369"/>
      <c r="AC600" s="1369"/>
      <c r="AD600" s="1369"/>
      <c r="AE600" s="1369"/>
      <c r="AF600" s="1369"/>
      <c r="AG600" s="1369"/>
      <c r="AH600" s="1369"/>
      <c r="AI600" s="1369"/>
      <c r="AJ600" s="1369"/>
      <c r="AK600" s="1369"/>
      <c r="BA600" s="4" t="s">
        <v>30</v>
      </c>
      <c r="BB600" s="3"/>
      <c r="BC600" s="3"/>
      <c r="BD600" s="3"/>
      <c r="BE600" s="1423">
        <f t="shared" si="1"/>
        <v>0</v>
      </c>
      <c r="BF600" s="1424"/>
      <c r="BG600" s="1501">
        <f t="shared" si="2"/>
        <v>0</v>
      </c>
      <c r="BH600" s="1502"/>
      <c r="BI600" s="1423">
        <f t="shared" si="3"/>
        <v>1</v>
      </c>
      <c r="BJ600" s="1424"/>
      <c r="BK600" s="1501">
        <f t="shared" si="4"/>
        <v>4</v>
      </c>
      <c r="BL600" s="1502"/>
      <c r="BM600" s="3"/>
      <c r="BN600" s="1512">
        <f t="shared" si="5"/>
        <v>0</v>
      </c>
      <c r="BO600" s="1513"/>
      <c r="BP600" s="1513"/>
      <c r="BQ600" s="1513"/>
      <c r="BR600" s="1514"/>
      <c r="BS600" s="1399">
        <f t="shared" si="6"/>
        <v>0</v>
      </c>
      <c r="BT600" s="1399"/>
      <c r="BU600" s="1399"/>
      <c r="BV600" s="1399"/>
      <c r="BW600" s="1399"/>
      <c r="BX600" s="1399">
        <f t="shared" si="7"/>
        <v>4</v>
      </c>
      <c r="BY600" s="1399"/>
      <c r="BZ600" s="1399"/>
      <c r="CA600" s="1399"/>
      <c r="CB600" s="1399"/>
      <c r="CC600" s="1399">
        <f t="shared" si="8"/>
        <v>0</v>
      </c>
      <c r="CD600" s="1399"/>
      <c r="CE600" s="1399"/>
      <c r="CF600" s="1399"/>
      <c r="CG600" s="1399"/>
      <c r="CH600" s="1399">
        <f t="shared" si="9"/>
        <v>0</v>
      </c>
      <c r="CI600" s="1399"/>
      <c r="CJ600" s="1399"/>
      <c r="CK600" s="1399"/>
      <c r="CL600" s="1399"/>
      <c r="CM600" s="1399">
        <f t="shared" si="10"/>
        <v>0</v>
      </c>
      <c r="CN600" s="1399"/>
      <c r="CO600" s="1399"/>
      <c r="CP600" s="1399"/>
      <c r="CQ600" s="1399"/>
      <c r="CR600" s="6"/>
      <c r="CS600" s="1725">
        <f t="shared" si="11"/>
        <v>0</v>
      </c>
      <c r="CT600" s="1725"/>
      <c r="CU600" s="1725"/>
      <c r="CV600" s="1725"/>
      <c r="CW600" s="1725"/>
      <c r="CX600" s="1725">
        <f t="shared" si="12"/>
        <v>0</v>
      </c>
      <c r="CY600" s="1725"/>
      <c r="CZ600" s="1725"/>
      <c r="DA600" s="1725"/>
      <c r="DB600" s="1725"/>
      <c r="DC600" s="1725">
        <f t="shared" si="13"/>
        <v>4</v>
      </c>
      <c r="DD600" s="1725"/>
      <c r="DE600" s="1725"/>
      <c r="DF600" s="1725"/>
      <c r="DG600" s="1725"/>
      <c r="DH600" s="1725">
        <f t="shared" si="14"/>
        <v>0</v>
      </c>
      <c r="DI600" s="1725"/>
      <c r="DJ600" s="1725"/>
      <c r="DK600" s="1725"/>
      <c r="DL600" s="1725"/>
      <c r="DM600" s="1725">
        <f t="shared" si="15"/>
        <v>0</v>
      </c>
      <c r="DN600" s="1725"/>
      <c r="DO600" s="1725"/>
      <c r="DP600" s="1725"/>
      <c r="DQ600" s="1725"/>
      <c r="DR600" s="1725">
        <f t="shared" si="16"/>
        <v>0</v>
      </c>
      <c r="DS600" s="1725"/>
      <c r="DT600" s="1725"/>
      <c r="DU600" s="1725"/>
      <c r="DV600" s="1725"/>
      <c r="DX600" s="1423" t="str">
        <f t="shared" si="17"/>
        <v xml:space="preserve"> </v>
      </c>
      <c r="DY600" s="1855"/>
      <c r="DZ600" s="1855"/>
      <c r="EA600" s="1855"/>
      <c r="EB600" s="1424"/>
      <c r="EC600" s="1423" t="str">
        <f t="shared" si="18"/>
        <v xml:space="preserve"> </v>
      </c>
      <c r="ED600" s="1855"/>
      <c r="EE600" s="1855"/>
      <c r="EF600" s="1855"/>
      <c r="EG600" s="1424"/>
      <c r="EH600" s="1423">
        <f t="shared" si="19"/>
        <v>350</v>
      </c>
      <c r="EI600" s="1855"/>
      <c r="EJ600" s="1855"/>
      <c r="EK600" s="1855"/>
      <c r="EL600" s="1424"/>
      <c r="EM600" s="1423" t="str">
        <f t="shared" si="20"/>
        <v xml:space="preserve"> </v>
      </c>
      <c r="EN600" s="1855"/>
      <c r="EO600" s="1855"/>
      <c r="EP600" s="1855"/>
      <c r="EQ600" s="1424"/>
      <c r="ER600" s="1423" t="str">
        <f t="shared" si="21"/>
        <v xml:space="preserve"> </v>
      </c>
      <c r="ES600" s="1855"/>
      <c r="ET600" s="1855"/>
      <c r="EU600" s="1855"/>
      <c r="EV600" s="1424"/>
      <c r="EW600" s="1423" t="str">
        <f t="shared" si="22"/>
        <v xml:space="preserve"> </v>
      </c>
      <c r="EX600" s="1855"/>
      <c r="EY600" s="1855"/>
      <c r="EZ600" s="1855"/>
      <c r="FA600" s="1424"/>
    </row>
    <row r="601" spans="1:157" ht="12.95" customHeight="1">
      <c r="A601" s="22"/>
      <c r="B601" t="s">
        <v>318</v>
      </c>
      <c r="G601" s="1441"/>
      <c r="H601" s="1441"/>
      <c r="I601" s="1441"/>
      <c r="J601" s="1441"/>
      <c r="K601" s="1441"/>
      <c r="L601" s="1441"/>
      <c r="O601" s="33" t="s">
        <v>208</v>
      </c>
      <c r="P601" s="1468"/>
      <c r="Q601" s="1468"/>
      <c r="R601" s="1468"/>
      <c r="T601" s="22"/>
      <c r="U601" t="s">
        <v>318</v>
      </c>
      <c r="Z601" s="1441"/>
      <c r="AA601" s="1441"/>
      <c r="AB601" s="1441"/>
      <c r="AC601" s="1441"/>
      <c r="AD601" s="1441"/>
      <c r="AE601" s="1441"/>
      <c r="AH601" s="33" t="s">
        <v>208</v>
      </c>
      <c r="AI601" s="1468"/>
      <c r="AJ601" s="1468"/>
      <c r="AK601" s="1468"/>
      <c r="AZ601" s="3"/>
      <c r="BA601" s="3"/>
      <c r="BB601" s="3"/>
      <c r="BC601" s="3"/>
      <c r="BD601" s="3"/>
      <c r="BE601" s="1423">
        <f t="shared" si="1"/>
        <v>0</v>
      </c>
      <c r="BF601" s="1424"/>
      <c r="BG601" s="1501">
        <f t="shared" si="2"/>
        <v>0</v>
      </c>
      <c r="BH601" s="1502"/>
      <c r="BI601" s="1423">
        <f t="shared" si="3"/>
        <v>1</v>
      </c>
      <c r="BJ601" s="1424"/>
      <c r="BK601" s="1501">
        <f t="shared" si="4"/>
        <v>2</v>
      </c>
      <c r="BL601" s="1502"/>
      <c r="BM601" s="3"/>
      <c r="BN601" s="1512">
        <f t="shared" si="5"/>
        <v>0</v>
      </c>
      <c r="BO601" s="1513"/>
      <c r="BP601" s="1513"/>
      <c r="BQ601" s="1513"/>
      <c r="BR601" s="1514"/>
      <c r="BS601" s="1399">
        <f t="shared" si="6"/>
        <v>0</v>
      </c>
      <c r="BT601" s="1399"/>
      <c r="BU601" s="1399"/>
      <c r="BV601" s="1399"/>
      <c r="BW601" s="1399"/>
      <c r="BX601" s="1399">
        <f t="shared" si="7"/>
        <v>0</v>
      </c>
      <c r="BY601" s="1399"/>
      <c r="BZ601" s="1399"/>
      <c r="CA601" s="1399"/>
      <c r="CB601" s="1399"/>
      <c r="CC601" s="1399">
        <f t="shared" si="8"/>
        <v>2</v>
      </c>
      <c r="CD601" s="1399"/>
      <c r="CE601" s="1399"/>
      <c r="CF601" s="1399"/>
      <c r="CG601" s="1399"/>
      <c r="CH601" s="1399">
        <f t="shared" si="9"/>
        <v>0</v>
      </c>
      <c r="CI601" s="1399"/>
      <c r="CJ601" s="1399"/>
      <c r="CK601" s="1399"/>
      <c r="CL601" s="1399"/>
      <c r="CM601" s="1399">
        <f t="shared" si="10"/>
        <v>0</v>
      </c>
      <c r="CN601" s="1399"/>
      <c r="CO601" s="1399"/>
      <c r="CP601" s="1399"/>
      <c r="CQ601" s="1399"/>
      <c r="CR601" s="6"/>
      <c r="CS601" s="1725">
        <f t="shared" si="11"/>
        <v>0</v>
      </c>
      <c r="CT601" s="1725"/>
      <c r="CU601" s="1725"/>
      <c r="CV601" s="1725"/>
      <c r="CW601" s="1725"/>
      <c r="CX601" s="1725">
        <f t="shared" si="12"/>
        <v>0</v>
      </c>
      <c r="CY601" s="1725"/>
      <c r="CZ601" s="1725"/>
      <c r="DA601" s="1725"/>
      <c r="DB601" s="1725"/>
      <c r="DC601" s="1725">
        <f t="shared" si="13"/>
        <v>0</v>
      </c>
      <c r="DD601" s="1725"/>
      <c r="DE601" s="1725"/>
      <c r="DF601" s="1725"/>
      <c r="DG601" s="1725"/>
      <c r="DH601" s="1725">
        <f t="shared" si="14"/>
        <v>2</v>
      </c>
      <c r="DI601" s="1725"/>
      <c r="DJ601" s="1725"/>
      <c r="DK601" s="1725"/>
      <c r="DL601" s="1725"/>
      <c r="DM601" s="1725">
        <f t="shared" si="15"/>
        <v>0</v>
      </c>
      <c r="DN601" s="1725"/>
      <c r="DO601" s="1725"/>
      <c r="DP601" s="1725"/>
      <c r="DQ601" s="1725"/>
      <c r="DR601" s="1725">
        <f t="shared" si="16"/>
        <v>0</v>
      </c>
      <c r="DS601" s="1725"/>
      <c r="DT601" s="1725"/>
      <c r="DU601" s="1725"/>
      <c r="DV601" s="1725"/>
      <c r="DX601" s="1423" t="str">
        <f t="shared" si="17"/>
        <v xml:space="preserve"> </v>
      </c>
      <c r="DY601" s="1855"/>
      <c r="DZ601" s="1855"/>
      <c r="EA601" s="1855"/>
      <c r="EB601" s="1424"/>
      <c r="EC601" s="1423" t="str">
        <f t="shared" si="18"/>
        <v xml:space="preserve"> </v>
      </c>
      <c r="ED601" s="1855"/>
      <c r="EE601" s="1855"/>
      <c r="EF601" s="1855"/>
      <c r="EG601" s="1424"/>
      <c r="EH601" s="1423" t="str">
        <f t="shared" si="19"/>
        <v xml:space="preserve"> </v>
      </c>
      <c r="EI601" s="1855"/>
      <c r="EJ601" s="1855"/>
      <c r="EK601" s="1855"/>
      <c r="EL601" s="1424"/>
      <c r="EM601" s="1423">
        <f t="shared" si="20"/>
        <v>400</v>
      </c>
      <c r="EN601" s="1855"/>
      <c r="EO601" s="1855"/>
      <c r="EP601" s="1855"/>
      <c r="EQ601" s="1424"/>
      <c r="ER601" s="1423" t="str">
        <f t="shared" si="21"/>
        <v xml:space="preserve"> </v>
      </c>
      <c r="ES601" s="1855"/>
      <c r="ET601" s="1855"/>
      <c r="EU601" s="1855"/>
      <c r="EV601" s="1424"/>
      <c r="EW601" s="1423" t="str">
        <f t="shared" si="22"/>
        <v xml:space="preserve"> </v>
      </c>
      <c r="EX601" s="1855"/>
      <c r="EY601" s="1855"/>
      <c r="EZ601" s="1855"/>
      <c r="FA601" s="1424"/>
    </row>
    <row r="602" spans="1:157" ht="12.95" customHeight="1">
      <c r="A602" s="22"/>
      <c r="B602" t="s">
        <v>18</v>
      </c>
      <c r="H602" s="1398"/>
      <c r="I602" s="1398"/>
      <c r="J602" s="1398"/>
      <c r="K602" s="1398"/>
      <c r="L602" s="1398"/>
      <c r="M602" s="1398"/>
      <c r="N602" s="1398"/>
      <c r="O602" s="1398"/>
      <c r="P602" s="1398"/>
      <c r="Q602" s="1398"/>
      <c r="R602" s="1398"/>
      <c r="T602" s="22"/>
      <c r="U602" t="s">
        <v>18</v>
      </c>
      <c r="AA602" s="1398"/>
      <c r="AB602" s="1398"/>
      <c r="AC602" s="1398"/>
      <c r="AD602" s="1398"/>
      <c r="AE602" s="1398"/>
      <c r="AF602" s="1398"/>
      <c r="AG602" s="1398"/>
      <c r="AH602" s="1398"/>
      <c r="AI602" s="1398"/>
      <c r="AJ602" s="1398"/>
      <c r="AK602" s="1398"/>
      <c r="AZ602" s="3"/>
      <c r="BA602" s="3"/>
      <c r="BB602" s="3"/>
      <c r="BC602" s="3"/>
      <c r="BD602" s="3"/>
      <c r="BE602" s="1423">
        <f t="shared" si="1"/>
        <v>0</v>
      </c>
      <c r="BF602" s="1424"/>
      <c r="BG602" s="1501">
        <f t="shared" si="2"/>
        <v>0</v>
      </c>
      <c r="BH602" s="1502"/>
      <c r="BI602" s="1423">
        <f t="shared" si="3"/>
        <v>1</v>
      </c>
      <c r="BJ602" s="1424"/>
      <c r="BK602" s="1501">
        <f t="shared" si="4"/>
        <v>2</v>
      </c>
      <c r="BL602" s="1502"/>
      <c r="BM602" s="3"/>
      <c r="BN602" s="1512">
        <f t="shared" si="5"/>
        <v>2</v>
      </c>
      <c r="BO602" s="1513"/>
      <c r="BP602" s="1513"/>
      <c r="BQ602" s="1513"/>
      <c r="BR602" s="1514"/>
      <c r="BS602" s="1399">
        <f t="shared" si="6"/>
        <v>0</v>
      </c>
      <c r="BT602" s="1399"/>
      <c r="BU602" s="1399"/>
      <c r="BV602" s="1399"/>
      <c r="BW602" s="1399"/>
      <c r="BX602" s="1399">
        <f t="shared" si="7"/>
        <v>0</v>
      </c>
      <c r="BY602" s="1399"/>
      <c r="BZ602" s="1399"/>
      <c r="CA602" s="1399"/>
      <c r="CB602" s="1399"/>
      <c r="CC602" s="1399">
        <f t="shared" si="8"/>
        <v>0</v>
      </c>
      <c r="CD602" s="1399"/>
      <c r="CE602" s="1399"/>
      <c r="CF602" s="1399"/>
      <c r="CG602" s="1399"/>
      <c r="CH602" s="1399">
        <f t="shared" si="9"/>
        <v>0</v>
      </c>
      <c r="CI602" s="1399"/>
      <c r="CJ602" s="1399"/>
      <c r="CK602" s="1399"/>
      <c r="CL602" s="1399"/>
      <c r="CM602" s="1399">
        <f t="shared" si="10"/>
        <v>0</v>
      </c>
      <c r="CN602" s="1399"/>
      <c r="CO602" s="1399"/>
      <c r="CP602" s="1399"/>
      <c r="CQ602" s="1399"/>
      <c r="CR602" s="6"/>
      <c r="CS602" s="1725">
        <f t="shared" si="11"/>
        <v>2</v>
      </c>
      <c r="CT602" s="1725"/>
      <c r="CU602" s="1725"/>
      <c r="CV602" s="1725"/>
      <c r="CW602" s="1725"/>
      <c r="CX602" s="1725">
        <f t="shared" si="12"/>
        <v>0</v>
      </c>
      <c r="CY602" s="1725"/>
      <c r="CZ602" s="1725"/>
      <c r="DA602" s="1725"/>
      <c r="DB602" s="1725"/>
      <c r="DC602" s="1725">
        <f t="shared" si="13"/>
        <v>0</v>
      </c>
      <c r="DD602" s="1725"/>
      <c r="DE602" s="1725"/>
      <c r="DF602" s="1725"/>
      <c r="DG602" s="1725"/>
      <c r="DH602" s="1725">
        <f t="shared" si="14"/>
        <v>0</v>
      </c>
      <c r="DI602" s="1725"/>
      <c r="DJ602" s="1725"/>
      <c r="DK602" s="1725"/>
      <c r="DL602" s="1725"/>
      <c r="DM602" s="1725">
        <f t="shared" si="15"/>
        <v>0</v>
      </c>
      <c r="DN602" s="1725"/>
      <c r="DO602" s="1725"/>
      <c r="DP602" s="1725"/>
      <c r="DQ602" s="1725"/>
      <c r="DR602" s="1725">
        <f t="shared" si="16"/>
        <v>0</v>
      </c>
      <c r="DS602" s="1725"/>
      <c r="DT602" s="1725"/>
      <c r="DU602" s="1725"/>
      <c r="DV602" s="1725"/>
      <c r="DX602" s="1423">
        <f t="shared" si="17"/>
        <v>873</v>
      </c>
      <c r="DY602" s="1855"/>
      <c r="DZ602" s="1855"/>
      <c r="EA602" s="1855"/>
      <c r="EB602" s="1424"/>
      <c r="EC602" s="1423" t="str">
        <f t="shared" si="18"/>
        <v xml:space="preserve"> </v>
      </c>
      <c r="ED602" s="1855"/>
      <c r="EE602" s="1855"/>
      <c r="EF602" s="1855"/>
      <c r="EG602" s="1424"/>
      <c r="EH602" s="1423" t="str">
        <f t="shared" si="19"/>
        <v xml:space="preserve"> </v>
      </c>
      <c r="EI602" s="1855"/>
      <c r="EJ602" s="1855"/>
      <c r="EK602" s="1855"/>
      <c r="EL602" s="1424"/>
      <c r="EM602" s="1423" t="str">
        <f t="shared" si="20"/>
        <v xml:space="preserve"> </v>
      </c>
      <c r="EN602" s="1855"/>
      <c r="EO602" s="1855"/>
      <c r="EP602" s="1855"/>
      <c r="EQ602" s="1424"/>
      <c r="ER602" s="1423" t="str">
        <f t="shared" si="21"/>
        <v xml:space="preserve"> </v>
      </c>
      <c r="ES602" s="1855"/>
      <c r="ET602" s="1855"/>
      <c r="EU602" s="1855"/>
      <c r="EV602" s="1424"/>
      <c r="EW602" s="1423" t="str">
        <f t="shared" si="22"/>
        <v xml:space="preserve"> </v>
      </c>
      <c r="EX602" s="1855"/>
      <c r="EY602" s="1855"/>
      <c r="EZ602" s="1855"/>
      <c r="FA602" s="1424"/>
    </row>
    <row r="603" spans="1:157" ht="12.95" customHeight="1">
      <c r="A603" s="22"/>
      <c r="B603" t="s">
        <v>20</v>
      </c>
      <c r="N603" s="1376" t="s">
        <v>678</v>
      </c>
      <c r="O603" s="1376"/>
      <c r="T603" s="22"/>
      <c r="U603" t="s">
        <v>20</v>
      </c>
      <c r="AG603" s="1376" t="s">
        <v>678</v>
      </c>
      <c r="AH603" s="1376"/>
      <c r="AZ603" s="3"/>
      <c r="BA603" s="3"/>
      <c r="BB603" s="3"/>
      <c r="BC603" s="3"/>
      <c r="BD603" s="3"/>
      <c r="BE603" s="1423">
        <f t="shared" si="1"/>
        <v>0</v>
      </c>
      <c r="BF603" s="1424"/>
      <c r="BG603" s="1501">
        <f t="shared" si="2"/>
        <v>0</v>
      </c>
      <c r="BH603" s="1502"/>
      <c r="BI603" s="1423">
        <f t="shared" si="3"/>
        <v>1</v>
      </c>
      <c r="BJ603" s="1424"/>
      <c r="BK603" s="1501">
        <f t="shared" si="4"/>
        <v>5</v>
      </c>
      <c r="BL603" s="1502"/>
      <c r="BM603" s="3"/>
      <c r="BN603" s="1512">
        <f t="shared" si="5"/>
        <v>0</v>
      </c>
      <c r="BO603" s="1513"/>
      <c r="BP603" s="1513"/>
      <c r="BQ603" s="1513"/>
      <c r="BR603" s="1514"/>
      <c r="BS603" s="1399">
        <f t="shared" si="6"/>
        <v>5</v>
      </c>
      <c r="BT603" s="1399"/>
      <c r="BU603" s="1399"/>
      <c r="BV603" s="1399"/>
      <c r="BW603" s="1399"/>
      <c r="BX603" s="1399">
        <f t="shared" si="7"/>
        <v>0</v>
      </c>
      <c r="BY603" s="1399"/>
      <c r="BZ603" s="1399"/>
      <c r="CA603" s="1399"/>
      <c r="CB603" s="1399"/>
      <c r="CC603" s="1399">
        <f t="shared" si="8"/>
        <v>0</v>
      </c>
      <c r="CD603" s="1399"/>
      <c r="CE603" s="1399"/>
      <c r="CF603" s="1399"/>
      <c r="CG603" s="1399"/>
      <c r="CH603" s="1399">
        <f t="shared" si="9"/>
        <v>0</v>
      </c>
      <c r="CI603" s="1399"/>
      <c r="CJ603" s="1399"/>
      <c r="CK603" s="1399"/>
      <c r="CL603" s="1399"/>
      <c r="CM603" s="1399">
        <f t="shared" si="10"/>
        <v>0</v>
      </c>
      <c r="CN603" s="1399"/>
      <c r="CO603" s="1399"/>
      <c r="CP603" s="1399"/>
      <c r="CQ603" s="1399"/>
      <c r="CR603" s="6"/>
      <c r="CS603" s="1725">
        <f t="shared" si="11"/>
        <v>0</v>
      </c>
      <c r="CT603" s="1725"/>
      <c r="CU603" s="1725"/>
      <c r="CV603" s="1725"/>
      <c r="CW603" s="1725"/>
      <c r="CX603" s="1725">
        <f t="shared" si="12"/>
        <v>5</v>
      </c>
      <c r="CY603" s="1725"/>
      <c r="CZ603" s="1725"/>
      <c r="DA603" s="1725"/>
      <c r="DB603" s="1725"/>
      <c r="DC603" s="1725">
        <f t="shared" si="13"/>
        <v>0</v>
      </c>
      <c r="DD603" s="1725"/>
      <c r="DE603" s="1725"/>
      <c r="DF603" s="1725"/>
      <c r="DG603" s="1725"/>
      <c r="DH603" s="1725">
        <f t="shared" si="14"/>
        <v>0</v>
      </c>
      <c r="DI603" s="1725"/>
      <c r="DJ603" s="1725"/>
      <c r="DK603" s="1725"/>
      <c r="DL603" s="1725"/>
      <c r="DM603" s="1725">
        <f t="shared" si="15"/>
        <v>0</v>
      </c>
      <c r="DN603" s="1725"/>
      <c r="DO603" s="1725"/>
      <c r="DP603" s="1725"/>
      <c r="DQ603" s="1725"/>
      <c r="DR603" s="1725">
        <f t="shared" si="16"/>
        <v>0</v>
      </c>
      <c r="DS603" s="1725"/>
      <c r="DT603" s="1725"/>
      <c r="DU603" s="1725"/>
      <c r="DV603" s="1725"/>
      <c r="DX603" s="1423" t="str">
        <f t="shared" si="17"/>
        <v xml:space="preserve"> </v>
      </c>
      <c r="DY603" s="1855"/>
      <c r="DZ603" s="1855"/>
      <c r="EA603" s="1855"/>
      <c r="EB603" s="1424"/>
      <c r="EC603" s="1423">
        <f t="shared" si="18"/>
        <v>892</v>
      </c>
      <c r="ED603" s="1855"/>
      <c r="EE603" s="1855"/>
      <c r="EF603" s="1855"/>
      <c r="EG603" s="1424"/>
      <c r="EH603" s="1423" t="str">
        <f t="shared" si="19"/>
        <v xml:space="preserve"> </v>
      </c>
      <c r="EI603" s="1855"/>
      <c r="EJ603" s="1855"/>
      <c r="EK603" s="1855"/>
      <c r="EL603" s="1424"/>
      <c r="EM603" s="1423" t="str">
        <f t="shared" si="20"/>
        <v xml:space="preserve"> </v>
      </c>
      <c r="EN603" s="1855"/>
      <c r="EO603" s="1855"/>
      <c r="EP603" s="1855"/>
      <c r="EQ603" s="1424"/>
      <c r="ER603" s="1423" t="str">
        <f t="shared" si="21"/>
        <v xml:space="preserve"> </v>
      </c>
      <c r="ES603" s="1855"/>
      <c r="ET603" s="1855"/>
      <c r="EU603" s="1855"/>
      <c r="EV603" s="1424"/>
      <c r="EW603" s="1423" t="str">
        <f t="shared" si="22"/>
        <v xml:space="preserve"> </v>
      </c>
      <c r="EX603" s="1855"/>
      <c r="EY603" s="1855"/>
      <c r="EZ603" s="1855"/>
      <c r="FA603" s="1424"/>
    </row>
    <row r="604" spans="1:157" s="4" customFormat="1" ht="12.95"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23">
        <f t="shared" si="1"/>
        <v>0</v>
      </c>
      <c r="BF604" s="1424"/>
      <c r="BG604" s="1501">
        <f t="shared" si="2"/>
        <v>0</v>
      </c>
      <c r="BH604" s="1502"/>
      <c r="BI604" s="1423">
        <f t="shared" si="3"/>
        <v>1</v>
      </c>
      <c r="BJ604" s="1424"/>
      <c r="BK604" s="1501">
        <f t="shared" si="4"/>
        <v>2</v>
      </c>
      <c r="BL604" s="1502"/>
      <c r="BM604" s="3"/>
      <c r="BN604" s="1512">
        <f t="shared" si="5"/>
        <v>0</v>
      </c>
      <c r="BO604" s="1513"/>
      <c r="BP604" s="1513"/>
      <c r="BQ604" s="1513"/>
      <c r="BR604" s="1514"/>
      <c r="BS604" s="1399">
        <f t="shared" si="6"/>
        <v>0</v>
      </c>
      <c r="BT604" s="1399"/>
      <c r="BU604" s="1399"/>
      <c r="BV604" s="1399"/>
      <c r="BW604" s="1399"/>
      <c r="BX604" s="1399">
        <f t="shared" si="7"/>
        <v>2</v>
      </c>
      <c r="BY604" s="1399"/>
      <c r="BZ604" s="1399"/>
      <c r="CA604" s="1399"/>
      <c r="CB604" s="1399"/>
      <c r="CC604" s="1399">
        <f t="shared" si="8"/>
        <v>0</v>
      </c>
      <c r="CD604" s="1399"/>
      <c r="CE604" s="1399"/>
      <c r="CF604" s="1399"/>
      <c r="CG604" s="1399"/>
      <c r="CH604" s="1399">
        <f t="shared" si="9"/>
        <v>0</v>
      </c>
      <c r="CI604" s="1399"/>
      <c r="CJ604" s="1399"/>
      <c r="CK604" s="1399"/>
      <c r="CL604" s="1399"/>
      <c r="CM604" s="1399">
        <f t="shared" si="10"/>
        <v>0</v>
      </c>
      <c r="CN604" s="1399"/>
      <c r="CO604" s="1399"/>
      <c r="CP604" s="1399"/>
      <c r="CQ604" s="1399"/>
      <c r="CR604" s="6"/>
      <c r="CS604" s="1725">
        <f t="shared" si="11"/>
        <v>0</v>
      </c>
      <c r="CT604" s="1725"/>
      <c r="CU604" s="1725"/>
      <c r="CV604" s="1725"/>
      <c r="CW604" s="1725"/>
      <c r="CX604" s="1725">
        <f t="shared" si="12"/>
        <v>0</v>
      </c>
      <c r="CY604" s="1725"/>
      <c r="CZ604" s="1725"/>
      <c r="DA604" s="1725"/>
      <c r="DB604" s="1725"/>
      <c r="DC604" s="1725">
        <f t="shared" si="13"/>
        <v>2</v>
      </c>
      <c r="DD604" s="1725"/>
      <c r="DE604" s="1725"/>
      <c r="DF604" s="1725"/>
      <c r="DG604" s="1725"/>
      <c r="DH604" s="1725">
        <f t="shared" si="14"/>
        <v>0</v>
      </c>
      <c r="DI604" s="1725"/>
      <c r="DJ604" s="1725"/>
      <c r="DK604" s="1725"/>
      <c r="DL604" s="1725"/>
      <c r="DM604" s="1725">
        <f t="shared" si="15"/>
        <v>0</v>
      </c>
      <c r="DN604" s="1725"/>
      <c r="DO604" s="1725"/>
      <c r="DP604" s="1725"/>
      <c r="DQ604" s="1725"/>
      <c r="DR604" s="1725">
        <f t="shared" si="16"/>
        <v>0</v>
      </c>
      <c r="DS604" s="1725"/>
      <c r="DT604" s="1725"/>
      <c r="DU604" s="1725"/>
      <c r="DV604" s="1725"/>
      <c r="DX604" s="1423" t="str">
        <f t="shared" si="17"/>
        <v xml:space="preserve"> </v>
      </c>
      <c r="DY604" s="1855"/>
      <c r="DZ604" s="1855"/>
      <c r="EA604" s="1855"/>
      <c r="EB604" s="1424"/>
      <c r="EC604" s="1423" t="str">
        <f t="shared" si="18"/>
        <v xml:space="preserve"> </v>
      </c>
      <c r="ED604" s="1855"/>
      <c r="EE604" s="1855"/>
      <c r="EF604" s="1855"/>
      <c r="EG604" s="1424"/>
      <c r="EH604" s="1423">
        <f t="shared" si="19"/>
        <v>1053</v>
      </c>
      <c r="EI604" s="1855"/>
      <c r="EJ604" s="1855"/>
      <c r="EK604" s="1855"/>
      <c r="EL604" s="1424"/>
      <c r="EM604" s="1423" t="str">
        <f t="shared" si="20"/>
        <v xml:space="preserve"> </v>
      </c>
      <c r="EN604" s="1855"/>
      <c r="EO604" s="1855"/>
      <c r="EP604" s="1855"/>
      <c r="EQ604" s="1424"/>
      <c r="ER604" s="1423" t="str">
        <f t="shared" si="21"/>
        <v xml:space="preserve"> </v>
      </c>
      <c r="ES604" s="1855"/>
      <c r="ET604" s="1855"/>
      <c r="EU604" s="1855"/>
      <c r="EV604" s="1424"/>
      <c r="EW604" s="1423" t="str">
        <f t="shared" si="22"/>
        <v xml:space="preserve"> </v>
      </c>
      <c r="EX604" s="1855"/>
      <c r="EY604" s="1855"/>
      <c r="EZ604" s="1855"/>
      <c r="FA604" s="1424"/>
    </row>
    <row r="605" spans="1:157" s="4" customFormat="1" ht="12.95" customHeight="1">
      <c r="A605" s="55" t="s">
        <v>364</v>
      </c>
      <c r="B605" t="s">
        <v>472</v>
      </c>
      <c r="C605"/>
      <c r="D605"/>
      <c r="E605"/>
      <c r="F605"/>
      <c r="G605" s="1517">
        <f>C560</f>
        <v>0</v>
      </c>
      <c r="H605" s="1517"/>
      <c r="I605" s="1517"/>
      <c r="J605" s="1517"/>
      <c r="K605" s="1517"/>
      <c r="L605" s="1517"/>
      <c r="M605" s="1517"/>
      <c r="N605" s="1517"/>
      <c r="O605" s="1517"/>
      <c r="P605" s="1517"/>
      <c r="Q605" s="1517"/>
      <c r="R605" s="1517"/>
      <c r="S605"/>
      <c r="T605" s="55" t="s">
        <v>365</v>
      </c>
      <c r="U605" t="s">
        <v>472</v>
      </c>
      <c r="V605"/>
      <c r="W605"/>
      <c r="X605"/>
      <c r="Y605"/>
      <c r="Z605" s="1517">
        <f>C561</f>
        <v>0</v>
      </c>
      <c r="AA605" s="1517"/>
      <c r="AB605" s="1517"/>
      <c r="AC605" s="1517"/>
      <c r="AD605" s="1517"/>
      <c r="AE605" s="1517"/>
      <c r="AF605" s="1517"/>
      <c r="AG605" s="1517"/>
      <c r="AH605" s="1517"/>
      <c r="AI605" s="1517"/>
      <c r="AJ605" s="1517"/>
      <c r="AK605" s="1517"/>
      <c r="AL605"/>
      <c r="AM605"/>
      <c r="AN605"/>
      <c r="AO605"/>
      <c r="AP605"/>
      <c r="AQ605"/>
      <c r="AR605"/>
      <c r="AS605"/>
      <c r="AT605"/>
      <c r="AU605"/>
      <c r="AV605"/>
      <c r="AW605"/>
      <c r="AX605"/>
      <c r="AY605"/>
      <c r="AZ605" s="3"/>
      <c r="BA605" s="3"/>
      <c r="BB605" s="3"/>
      <c r="BC605" s="3"/>
      <c r="BD605" s="3"/>
      <c r="BE605" s="1423">
        <f t="shared" si="1"/>
        <v>0</v>
      </c>
      <c r="BF605" s="1424"/>
      <c r="BG605" s="1501">
        <f t="shared" si="2"/>
        <v>0</v>
      </c>
      <c r="BH605" s="1502"/>
      <c r="BI605" s="1423">
        <f t="shared" si="3"/>
        <v>1</v>
      </c>
      <c r="BJ605" s="1424"/>
      <c r="BK605" s="1501">
        <f t="shared" si="4"/>
        <v>2</v>
      </c>
      <c r="BL605" s="1502"/>
      <c r="BM605" s="3"/>
      <c r="BN605" s="1512">
        <f t="shared" si="5"/>
        <v>0</v>
      </c>
      <c r="BO605" s="1513"/>
      <c r="BP605" s="1513"/>
      <c r="BQ605" s="1513"/>
      <c r="BR605" s="1514"/>
      <c r="BS605" s="1399">
        <f t="shared" si="6"/>
        <v>0</v>
      </c>
      <c r="BT605" s="1399"/>
      <c r="BU605" s="1399"/>
      <c r="BV605" s="1399"/>
      <c r="BW605" s="1399"/>
      <c r="BX605" s="1399">
        <f t="shared" si="7"/>
        <v>0</v>
      </c>
      <c r="BY605" s="1399"/>
      <c r="BZ605" s="1399"/>
      <c r="CA605" s="1399"/>
      <c r="CB605" s="1399"/>
      <c r="CC605" s="1399">
        <f t="shared" si="8"/>
        <v>2</v>
      </c>
      <c r="CD605" s="1399"/>
      <c r="CE605" s="1399"/>
      <c r="CF605" s="1399"/>
      <c r="CG605" s="1399"/>
      <c r="CH605" s="1399">
        <f t="shared" si="9"/>
        <v>0</v>
      </c>
      <c r="CI605" s="1399"/>
      <c r="CJ605" s="1399"/>
      <c r="CK605" s="1399"/>
      <c r="CL605" s="1399"/>
      <c r="CM605" s="1399">
        <f t="shared" si="10"/>
        <v>0</v>
      </c>
      <c r="CN605" s="1399"/>
      <c r="CO605" s="1399"/>
      <c r="CP605" s="1399"/>
      <c r="CQ605" s="1399"/>
      <c r="CR605" s="6"/>
      <c r="CS605" s="1725">
        <f t="shared" si="11"/>
        <v>0</v>
      </c>
      <c r="CT605" s="1725"/>
      <c r="CU605" s="1725"/>
      <c r="CV605" s="1725"/>
      <c r="CW605" s="1725"/>
      <c r="CX605" s="1725">
        <f t="shared" si="12"/>
        <v>0</v>
      </c>
      <c r="CY605" s="1725"/>
      <c r="CZ605" s="1725"/>
      <c r="DA605" s="1725"/>
      <c r="DB605" s="1725"/>
      <c r="DC605" s="1725">
        <f t="shared" si="13"/>
        <v>0</v>
      </c>
      <c r="DD605" s="1725"/>
      <c r="DE605" s="1725"/>
      <c r="DF605" s="1725"/>
      <c r="DG605" s="1725"/>
      <c r="DH605" s="1725">
        <f t="shared" si="14"/>
        <v>2</v>
      </c>
      <c r="DI605" s="1725"/>
      <c r="DJ605" s="1725"/>
      <c r="DK605" s="1725"/>
      <c r="DL605" s="1725"/>
      <c r="DM605" s="1725">
        <f t="shared" si="15"/>
        <v>0</v>
      </c>
      <c r="DN605" s="1725"/>
      <c r="DO605" s="1725"/>
      <c r="DP605" s="1725"/>
      <c r="DQ605" s="1725"/>
      <c r="DR605" s="1725">
        <f t="shared" si="16"/>
        <v>0</v>
      </c>
      <c r="DS605" s="1725"/>
      <c r="DT605" s="1725"/>
      <c r="DU605" s="1725"/>
      <c r="DV605" s="1725"/>
      <c r="DX605" s="1423" t="str">
        <f t="shared" si="17"/>
        <v xml:space="preserve"> </v>
      </c>
      <c r="DY605" s="1855"/>
      <c r="DZ605" s="1855"/>
      <c r="EA605" s="1855"/>
      <c r="EB605" s="1424"/>
      <c r="EC605" s="1423" t="str">
        <f t="shared" si="18"/>
        <v xml:space="preserve"> </v>
      </c>
      <c r="ED605" s="1855"/>
      <c r="EE605" s="1855"/>
      <c r="EF605" s="1855"/>
      <c r="EG605" s="1424"/>
      <c r="EH605" s="1423" t="str">
        <f t="shared" si="19"/>
        <v xml:space="preserve"> </v>
      </c>
      <c r="EI605" s="1855"/>
      <c r="EJ605" s="1855"/>
      <c r="EK605" s="1855"/>
      <c r="EL605" s="1424"/>
      <c r="EM605" s="1423">
        <f t="shared" si="20"/>
        <v>1203</v>
      </c>
      <c r="EN605" s="1855"/>
      <c r="EO605" s="1855"/>
      <c r="EP605" s="1855"/>
      <c r="EQ605" s="1424"/>
      <c r="ER605" s="1423" t="str">
        <f t="shared" si="21"/>
        <v xml:space="preserve"> </v>
      </c>
      <c r="ES605" s="1855"/>
      <c r="ET605" s="1855"/>
      <c r="EU605" s="1855"/>
      <c r="EV605" s="1424"/>
      <c r="EW605" s="1423" t="str">
        <f t="shared" si="22"/>
        <v xml:space="preserve"> </v>
      </c>
      <c r="EX605" s="1855"/>
      <c r="EY605" s="1855"/>
      <c r="EZ605" s="1855"/>
      <c r="FA605" s="1424"/>
    </row>
    <row r="606" spans="1:157" s="4" customFormat="1" ht="12.95" customHeight="1">
      <c r="A606"/>
      <c r="B606" t="s">
        <v>86</v>
      </c>
      <c r="C606"/>
      <c r="D606"/>
      <c r="E606"/>
      <c r="F606"/>
      <c r="G606" s="1398"/>
      <c r="H606" s="1398"/>
      <c r="I606" s="1398"/>
      <c r="J606" s="1398"/>
      <c r="K606" s="1398"/>
      <c r="L606" s="1398"/>
      <c r="M606" s="1398"/>
      <c r="N606" s="1398"/>
      <c r="O606" s="1398"/>
      <c r="P606" s="1398"/>
      <c r="Q606" s="1398"/>
      <c r="R606" s="1398"/>
      <c r="S606"/>
      <c r="T606"/>
      <c r="U606" t="s">
        <v>86</v>
      </c>
      <c r="V606"/>
      <c r="W606"/>
      <c r="X606"/>
      <c r="Y606"/>
      <c r="Z606" s="1398"/>
      <c r="AA606" s="1398"/>
      <c r="AB606" s="1398"/>
      <c r="AC606" s="1398"/>
      <c r="AD606" s="1398"/>
      <c r="AE606" s="1398"/>
      <c r="AF606" s="1398"/>
      <c r="AG606" s="1398"/>
      <c r="AH606" s="1398"/>
      <c r="AI606" s="1398"/>
      <c r="AJ606" s="1398"/>
      <c r="AK606" s="1398"/>
      <c r="AL606"/>
      <c r="AM606"/>
      <c r="AN606"/>
      <c r="AO606"/>
      <c r="AP606"/>
      <c r="AQ606"/>
      <c r="AR606"/>
      <c r="AS606"/>
      <c r="AT606"/>
      <c r="AU606"/>
      <c r="AV606"/>
      <c r="AW606"/>
      <c r="AX606"/>
      <c r="AY606"/>
      <c r="AZ606" s="3"/>
      <c r="BA606" s="3"/>
      <c r="BB606" s="3"/>
      <c r="BC606" s="3"/>
      <c r="BD606" s="3"/>
      <c r="BE606" s="1423">
        <f t="shared" si="1"/>
        <v>1</v>
      </c>
      <c r="BF606" s="1424"/>
      <c r="BG606" s="1501">
        <f t="shared" si="2"/>
        <v>15</v>
      </c>
      <c r="BH606" s="1502"/>
      <c r="BI606" s="1423">
        <f t="shared" si="3"/>
        <v>0</v>
      </c>
      <c r="BJ606" s="1424"/>
      <c r="BK606" s="1501">
        <f t="shared" si="4"/>
        <v>0</v>
      </c>
      <c r="BL606" s="1502"/>
      <c r="BM606" s="3"/>
      <c r="BN606" s="1512">
        <f t="shared" si="5"/>
        <v>15</v>
      </c>
      <c r="BO606" s="1513"/>
      <c r="BP606" s="1513"/>
      <c r="BQ606" s="1513"/>
      <c r="BR606" s="1514"/>
      <c r="BS606" s="1399">
        <f t="shared" si="6"/>
        <v>0</v>
      </c>
      <c r="BT606" s="1399"/>
      <c r="BU606" s="1399"/>
      <c r="BV606" s="1399"/>
      <c r="BW606" s="1399"/>
      <c r="BX606" s="1399">
        <f t="shared" si="7"/>
        <v>0</v>
      </c>
      <c r="BY606" s="1399"/>
      <c r="BZ606" s="1399"/>
      <c r="CA606" s="1399"/>
      <c r="CB606" s="1399"/>
      <c r="CC606" s="1399">
        <f t="shared" si="8"/>
        <v>0</v>
      </c>
      <c r="CD606" s="1399"/>
      <c r="CE606" s="1399"/>
      <c r="CF606" s="1399"/>
      <c r="CG606" s="1399"/>
      <c r="CH606" s="1399">
        <f t="shared" si="9"/>
        <v>0</v>
      </c>
      <c r="CI606" s="1399"/>
      <c r="CJ606" s="1399"/>
      <c r="CK606" s="1399"/>
      <c r="CL606" s="1399"/>
      <c r="CM606" s="1399">
        <f t="shared" si="10"/>
        <v>0</v>
      </c>
      <c r="CN606" s="1399"/>
      <c r="CO606" s="1399"/>
      <c r="CP606" s="1399"/>
      <c r="CQ606" s="1399"/>
      <c r="CR606" s="6"/>
      <c r="CS606" s="1725">
        <f t="shared" si="11"/>
        <v>0</v>
      </c>
      <c r="CT606" s="1725"/>
      <c r="CU606" s="1725"/>
      <c r="CV606" s="1725"/>
      <c r="CW606" s="1725"/>
      <c r="CX606" s="1725">
        <f t="shared" si="12"/>
        <v>0</v>
      </c>
      <c r="CY606" s="1725"/>
      <c r="CZ606" s="1725"/>
      <c r="DA606" s="1725"/>
      <c r="DB606" s="1725"/>
      <c r="DC606" s="1725">
        <f t="shared" si="13"/>
        <v>0</v>
      </c>
      <c r="DD606" s="1725"/>
      <c r="DE606" s="1725"/>
      <c r="DF606" s="1725"/>
      <c r="DG606" s="1725"/>
      <c r="DH606" s="1725">
        <f t="shared" si="14"/>
        <v>0</v>
      </c>
      <c r="DI606" s="1725"/>
      <c r="DJ606" s="1725"/>
      <c r="DK606" s="1725"/>
      <c r="DL606" s="1725"/>
      <c r="DM606" s="1725">
        <f t="shared" si="15"/>
        <v>0</v>
      </c>
      <c r="DN606" s="1725"/>
      <c r="DO606" s="1725"/>
      <c r="DP606" s="1725"/>
      <c r="DQ606" s="1725"/>
      <c r="DR606" s="1725">
        <f t="shared" si="16"/>
        <v>0</v>
      </c>
      <c r="DS606" s="1725"/>
      <c r="DT606" s="1725"/>
      <c r="DU606" s="1725"/>
      <c r="DV606" s="1725"/>
      <c r="DX606" s="1423">
        <f t="shared" si="17"/>
        <v>1422</v>
      </c>
      <c r="DY606" s="1855"/>
      <c r="DZ606" s="1855"/>
      <c r="EA606" s="1855"/>
      <c r="EB606" s="1424"/>
      <c r="EC606" s="1423" t="str">
        <f t="shared" si="18"/>
        <v xml:space="preserve"> </v>
      </c>
      <c r="ED606" s="1855"/>
      <c r="EE606" s="1855"/>
      <c r="EF606" s="1855"/>
      <c r="EG606" s="1424"/>
      <c r="EH606" s="1423" t="str">
        <f t="shared" si="19"/>
        <v xml:space="preserve"> </v>
      </c>
      <c r="EI606" s="1855"/>
      <c r="EJ606" s="1855"/>
      <c r="EK606" s="1855"/>
      <c r="EL606" s="1424"/>
      <c r="EM606" s="1423" t="str">
        <f t="shared" si="20"/>
        <v xml:space="preserve"> </v>
      </c>
      <c r="EN606" s="1855"/>
      <c r="EO606" s="1855"/>
      <c r="EP606" s="1855"/>
      <c r="EQ606" s="1424"/>
      <c r="ER606" s="1423" t="str">
        <f t="shared" si="21"/>
        <v xml:space="preserve"> </v>
      </c>
      <c r="ES606" s="1855"/>
      <c r="ET606" s="1855"/>
      <c r="EU606" s="1855"/>
      <c r="EV606" s="1424"/>
      <c r="EW606" s="1423" t="str">
        <f t="shared" si="22"/>
        <v xml:space="preserve"> </v>
      </c>
      <c r="EX606" s="1855"/>
      <c r="EY606" s="1855"/>
      <c r="EZ606" s="1855"/>
      <c r="FA606" s="1424"/>
    </row>
    <row r="607" spans="1:157" ht="12.95" customHeight="1">
      <c r="B607" t="s">
        <v>589</v>
      </c>
      <c r="G607" s="1398"/>
      <c r="H607" s="1398"/>
      <c r="I607" s="1398"/>
      <c r="J607" s="1398"/>
      <c r="K607" s="1398"/>
      <c r="L607" s="1398"/>
      <c r="M607" s="1398"/>
      <c r="N607" s="1398"/>
      <c r="O607" s="1398"/>
      <c r="P607" s="1398"/>
      <c r="Q607" s="1398"/>
      <c r="R607" s="1398"/>
      <c r="U607" t="s">
        <v>589</v>
      </c>
      <c r="Z607" s="1369"/>
      <c r="AA607" s="1369"/>
      <c r="AB607" s="1369"/>
      <c r="AC607" s="1369"/>
      <c r="AD607" s="1369"/>
      <c r="AE607" s="1369"/>
      <c r="AF607" s="1369"/>
      <c r="AG607" s="1369"/>
      <c r="AH607" s="1369"/>
      <c r="AI607" s="1369"/>
      <c r="AJ607" s="1369"/>
      <c r="AK607" s="1369"/>
      <c r="AZ607" s="3"/>
      <c r="BA607" s="3"/>
      <c r="BB607" s="3"/>
      <c r="BC607" s="3"/>
      <c r="BD607" s="3"/>
      <c r="BE607" s="1423">
        <f t="shared" si="1"/>
        <v>1</v>
      </c>
      <c r="BF607" s="1424"/>
      <c r="BG607" s="1501">
        <f t="shared" si="2"/>
        <v>39</v>
      </c>
      <c r="BH607" s="1502"/>
      <c r="BI607" s="1423">
        <f t="shared" si="3"/>
        <v>0</v>
      </c>
      <c r="BJ607" s="1424"/>
      <c r="BK607" s="1501">
        <f t="shared" si="4"/>
        <v>0</v>
      </c>
      <c r="BL607" s="1502"/>
      <c r="BM607" s="3"/>
      <c r="BN607" s="1512">
        <f t="shared" si="5"/>
        <v>0</v>
      </c>
      <c r="BO607" s="1513"/>
      <c r="BP607" s="1513"/>
      <c r="BQ607" s="1513"/>
      <c r="BR607" s="1514"/>
      <c r="BS607" s="1399">
        <f t="shared" si="6"/>
        <v>39</v>
      </c>
      <c r="BT607" s="1399"/>
      <c r="BU607" s="1399"/>
      <c r="BV607" s="1399"/>
      <c r="BW607" s="1399"/>
      <c r="BX607" s="1399">
        <f t="shared" si="7"/>
        <v>0</v>
      </c>
      <c r="BY607" s="1399"/>
      <c r="BZ607" s="1399"/>
      <c r="CA607" s="1399"/>
      <c r="CB607" s="1399"/>
      <c r="CC607" s="1399">
        <f t="shared" si="8"/>
        <v>0</v>
      </c>
      <c r="CD607" s="1399"/>
      <c r="CE607" s="1399"/>
      <c r="CF607" s="1399"/>
      <c r="CG607" s="1399"/>
      <c r="CH607" s="1399">
        <f t="shared" si="9"/>
        <v>0</v>
      </c>
      <c r="CI607" s="1399"/>
      <c r="CJ607" s="1399"/>
      <c r="CK607" s="1399"/>
      <c r="CL607" s="1399"/>
      <c r="CM607" s="1399">
        <f t="shared" si="10"/>
        <v>0</v>
      </c>
      <c r="CN607" s="1399"/>
      <c r="CO607" s="1399"/>
      <c r="CP607" s="1399"/>
      <c r="CQ607" s="1399"/>
      <c r="CR607" s="6"/>
      <c r="CS607" s="1725">
        <f t="shared" si="11"/>
        <v>0</v>
      </c>
      <c r="CT607" s="1725"/>
      <c r="CU607" s="1725"/>
      <c r="CV607" s="1725"/>
      <c r="CW607" s="1725"/>
      <c r="CX607" s="1725">
        <f t="shared" si="12"/>
        <v>0</v>
      </c>
      <c r="CY607" s="1725"/>
      <c r="CZ607" s="1725"/>
      <c r="DA607" s="1725"/>
      <c r="DB607" s="1725"/>
      <c r="DC607" s="1725">
        <f t="shared" si="13"/>
        <v>0</v>
      </c>
      <c r="DD607" s="1725"/>
      <c r="DE607" s="1725"/>
      <c r="DF607" s="1725"/>
      <c r="DG607" s="1725"/>
      <c r="DH607" s="1725">
        <f t="shared" si="14"/>
        <v>0</v>
      </c>
      <c r="DI607" s="1725"/>
      <c r="DJ607" s="1725"/>
      <c r="DK607" s="1725"/>
      <c r="DL607" s="1725"/>
      <c r="DM607" s="1725">
        <f t="shared" si="15"/>
        <v>0</v>
      </c>
      <c r="DN607" s="1725"/>
      <c r="DO607" s="1725"/>
      <c r="DP607" s="1725"/>
      <c r="DQ607" s="1725"/>
      <c r="DR607" s="1725">
        <f t="shared" si="16"/>
        <v>0</v>
      </c>
      <c r="DS607" s="1725"/>
      <c r="DT607" s="1725"/>
      <c r="DU607" s="1725"/>
      <c r="DV607" s="1725"/>
      <c r="DX607" s="1423" t="str">
        <f t="shared" si="17"/>
        <v xml:space="preserve"> </v>
      </c>
      <c r="DY607" s="1855"/>
      <c r="DZ607" s="1855"/>
      <c r="EA607" s="1855"/>
      <c r="EB607" s="1424"/>
      <c r="EC607" s="1423">
        <f t="shared" si="18"/>
        <v>1589</v>
      </c>
      <c r="ED607" s="1855"/>
      <c r="EE607" s="1855"/>
      <c r="EF607" s="1855"/>
      <c r="EG607" s="1424"/>
      <c r="EH607" s="1423" t="str">
        <f t="shared" si="19"/>
        <v xml:space="preserve"> </v>
      </c>
      <c r="EI607" s="1855"/>
      <c r="EJ607" s="1855"/>
      <c r="EK607" s="1855"/>
      <c r="EL607" s="1424"/>
      <c r="EM607" s="1423" t="str">
        <f t="shared" si="20"/>
        <v xml:space="preserve"> </v>
      </c>
      <c r="EN607" s="1855"/>
      <c r="EO607" s="1855"/>
      <c r="EP607" s="1855"/>
      <c r="EQ607" s="1424"/>
      <c r="ER607" s="1423" t="str">
        <f t="shared" si="21"/>
        <v xml:space="preserve"> </v>
      </c>
      <c r="ES607" s="1855"/>
      <c r="ET607" s="1855"/>
      <c r="EU607" s="1855"/>
      <c r="EV607" s="1424"/>
      <c r="EW607" s="1423" t="str">
        <f t="shared" si="22"/>
        <v xml:space="preserve"> </v>
      </c>
      <c r="EX607" s="1855"/>
      <c r="EY607" s="1855"/>
      <c r="EZ607" s="1855"/>
      <c r="FA607" s="1424"/>
    </row>
    <row r="608" spans="1:157" ht="12.95" customHeight="1">
      <c r="B608" t="s">
        <v>17</v>
      </c>
      <c r="G608" s="1398"/>
      <c r="H608" s="1398"/>
      <c r="I608" s="1398"/>
      <c r="J608" s="1398"/>
      <c r="K608" s="1398"/>
      <c r="L608" s="1398"/>
      <c r="M608" s="1398"/>
      <c r="N608" s="1398"/>
      <c r="O608" s="1398"/>
      <c r="P608" s="1398"/>
      <c r="Q608" s="1398"/>
      <c r="R608" s="1398"/>
      <c r="U608" t="s">
        <v>17</v>
      </c>
      <c r="Z608" s="1369"/>
      <c r="AA608" s="1369"/>
      <c r="AB608" s="1369"/>
      <c r="AC608" s="1369"/>
      <c r="AD608" s="1369"/>
      <c r="AE608" s="1369"/>
      <c r="AF608" s="1369"/>
      <c r="AG608" s="1369"/>
      <c r="AH608" s="1369"/>
      <c r="AI608" s="1369"/>
      <c r="AJ608" s="1369"/>
      <c r="AK608" s="1369"/>
      <c r="AZ608" s="3"/>
      <c r="BA608" s="3"/>
      <c r="BB608" s="3"/>
      <c r="BC608" s="3"/>
      <c r="BD608" s="3"/>
      <c r="BE608" s="1423">
        <f t="shared" si="1"/>
        <v>1</v>
      </c>
      <c r="BF608" s="1424"/>
      <c r="BG608" s="1501">
        <f t="shared" si="2"/>
        <v>16</v>
      </c>
      <c r="BH608" s="1502"/>
      <c r="BI608" s="1423">
        <f t="shared" si="3"/>
        <v>0</v>
      </c>
      <c r="BJ608" s="1424"/>
      <c r="BK608" s="1501">
        <f t="shared" si="4"/>
        <v>0</v>
      </c>
      <c r="BL608" s="1502"/>
      <c r="BM608" s="3"/>
      <c r="BN608" s="1512">
        <f t="shared" si="5"/>
        <v>0</v>
      </c>
      <c r="BO608" s="1513"/>
      <c r="BP608" s="1513"/>
      <c r="BQ608" s="1513"/>
      <c r="BR608" s="1514"/>
      <c r="BS608" s="1399">
        <f t="shared" si="6"/>
        <v>0</v>
      </c>
      <c r="BT608" s="1399"/>
      <c r="BU608" s="1399"/>
      <c r="BV608" s="1399"/>
      <c r="BW608" s="1399"/>
      <c r="BX608" s="1399">
        <f t="shared" si="7"/>
        <v>16</v>
      </c>
      <c r="BY608" s="1399"/>
      <c r="BZ608" s="1399"/>
      <c r="CA608" s="1399"/>
      <c r="CB608" s="1399"/>
      <c r="CC608" s="1399">
        <f t="shared" si="8"/>
        <v>0</v>
      </c>
      <c r="CD608" s="1399"/>
      <c r="CE608" s="1399"/>
      <c r="CF608" s="1399"/>
      <c r="CG608" s="1399"/>
      <c r="CH608" s="1399">
        <f t="shared" si="9"/>
        <v>0</v>
      </c>
      <c r="CI608" s="1399"/>
      <c r="CJ608" s="1399"/>
      <c r="CK608" s="1399"/>
      <c r="CL608" s="1399"/>
      <c r="CM608" s="1399">
        <f t="shared" si="10"/>
        <v>0</v>
      </c>
      <c r="CN608" s="1399"/>
      <c r="CO608" s="1399"/>
      <c r="CP608" s="1399"/>
      <c r="CQ608" s="1399"/>
      <c r="CR608" s="6"/>
      <c r="CS608" s="1725">
        <f t="shared" si="11"/>
        <v>0</v>
      </c>
      <c r="CT608" s="1725"/>
      <c r="CU608" s="1725"/>
      <c r="CV608" s="1725"/>
      <c r="CW608" s="1725"/>
      <c r="CX608" s="1725">
        <f t="shared" si="12"/>
        <v>0</v>
      </c>
      <c r="CY608" s="1725"/>
      <c r="CZ608" s="1725"/>
      <c r="DA608" s="1725"/>
      <c r="DB608" s="1725"/>
      <c r="DC608" s="1725">
        <f t="shared" si="13"/>
        <v>0</v>
      </c>
      <c r="DD608" s="1725"/>
      <c r="DE608" s="1725"/>
      <c r="DF608" s="1725"/>
      <c r="DG608" s="1725"/>
      <c r="DH608" s="1725">
        <f t="shared" si="14"/>
        <v>0</v>
      </c>
      <c r="DI608" s="1725"/>
      <c r="DJ608" s="1725"/>
      <c r="DK608" s="1725"/>
      <c r="DL608" s="1725"/>
      <c r="DM608" s="1725">
        <f t="shared" si="15"/>
        <v>0</v>
      </c>
      <c r="DN608" s="1725"/>
      <c r="DO608" s="1725"/>
      <c r="DP608" s="1725"/>
      <c r="DQ608" s="1725"/>
      <c r="DR608" s="1725">
        <f t="shared" si="16"/>
        <v>0</v>
      </c>
      <c r="DS608" s="1725"/>
      <c r="DT608" s="1725"/>
      <c r="DU608" s="1725"/>
      <c r="DV608" s="1725"/>
      <c r="DX608" s="1423" t="str">
        <f t="shared" si="17"/>
        <v xml:space="preserve"> </v>
      </c>
      <c r="DY608" s="1855"/>
      <c r="DZ608" s="1855"/>
      <c r="EA608" s="1855"/>
      <c r="EB608" s="1424"/>
      <c r="EC608" s="1423" t="str">
        <f t="shared" si="18"/>
        <v xml:space="preserve"> </v>
      </c>
      <c r="ED608" s="1855"/>
      <c r="EE608" s="1855"/>
      <c r="EF608" s="1855"/>
      <c r="EG608" s="1424"/>
      <c r="EH608" s="1423">
        <f t="shared" si="19"/>
        <v>1792</v>
      </c>
      <c r="EI608" s="1855"/>
      <c r="EJ608" s="1855"/>
      <c r="EK608" s="1855"/>
      <c r="EL608" s="1424"/>
      <c r="EM608" s="1423" t="str">
        <f t="shared" si="20"/>
        <v xml:space="preserve"> </v>
      </c>
      <c r="EN608" s="1855"/>
      <c r="EO608" s="1855"/>
      <c r="EP608" s="1855"/>
      <c r="EQ608" s="1424"/>
      <c r="ER608" s="1423" t="str">
        <f t="shared" si="21"/>
        <v xml:space="preserve"> </v>
      </c>
      <c r="ES608" s="1855"/>
      <c r="ET608" s="1855"/>
      <c r="EU608" s="1855"/>
      <c r="EV608" s="1424"/>
      <c r="EW608" s="1423" t="str">
        <f t="shared" si="22"/>
        <v xml:space="preserve"> </v>
      </c>
      <c r="EX608" s="1855"/>
      <c r="EY608" s="1855"/>
      <c r="EZ608" s="1855"/>
      <c r="FA608" s="1424"/>
    </row>
    <row r="609" spans="1:157" ht="12.95" customHeight="1">
      <c r="B609" t="s">
        <v>318</v>
      </c>
      <c r="G609" s="1441"/>
      <c r="H609" s="1441"/>
      <c r="I609" s="1441"/>
      <c r="J609" s="1441"/>
      <c r="K609" s="1441"/>
      <c r="L609" s="1441"/>
      <c r="O609" s="33" t="s">
        <v>208</v>
      </c>
      <c r="P609" s="1468"/>
      <c r="Q609" s="1468"/>
      <c r="R609" s="1468"/>
      <c r="U609" t="s">
        <v>318</v>
      </c>
      <c r="Z609" s="1441"/>
      <c r="AA609" s="1441"/>
      <c r="AB609" s="1441"/>
      <c r="AC609" s="1441"/>
      <c r="AD609" s="1441"/>
      <c r="AE609" s="1441"/>
      <c r="AH609" s="33" t="s">
        <v>208</v>
      </c>
      <c r="AI609" s="1468"/>
      <c r="AJ609" s="1468"/>
      <c r="AK609" s="1468"/>
      <c r="AZ609" s="3"/>
      <c r="BA609" s="3"/>
      <c r="BB609" s="3"/>
      <c r="BC609" s="3"/>
      <c r="BD609" s="3"/>
      <c r="BE609" s="1423">
        <f t="shared" si="1"/>
        <v>1</v>
      </c>
      <c r="BF609" s="1424"/>
      <c r="BG609" s="1501">
        <f t="shared" si="2"/>
        <v>25</v>
      </c>
      <c r="BH609" s="1502"/>
      <c r="BI609" s="1423">
        <f t="shared" si="3"/>
        <v>0</v>
      </c>
      <c r="BJ609" s="1424"/>
      <c r="BK609" s="1501">
        <f t="shared" si="4"/>
        <v>0</v>
      </c>
      <c r="BL609" s="1502"/>
      <c r="BM609" s="3"/>
      <c r="BN609" s="1512">
        <f t="shared" si="5"/>
        <v>0</v>
      </c>
      <c r="BO609" s="1513"/>
      <c r="BP609" s="1513"/>
      <c r="BQ609" s="1513"/>
      <c r="BR609" s="1514"/>
      <c r="BS609" s="1399">
        <f t="shared" si="6"/>
        <v>0</v>
      </c>
      <c r="BT609" s="1399"/>
      <c r="BU609" s="1399"/>
      <c r="BV609" s="1399"/>
      <c r="BW609" s="1399"/>
      <c r="BX609" s="1399">
        <f t="shared" si="7"/>
        <v>0</v>
      </c>
      <c r="BY609" s="1399"/>
      <c r="BZ609" s="1399"/>
      <c r="CA609" s="1399"/>
      <c r="CB609" s="1399"/>
      <c r="CC609" s="1399">
        <f t="shared" si="8"/>
        <v>25</v>
      </c>
      <c r="CD609" s="1399"/>
      <c r="CE609" s="1399"/>
      <c r="CF609" s="1399"/>
      <c r="CG609" s="1399"/>
      <c r="CH609" s="1399">
        <f t="shared" si="9"/>
        <v>0</v>
      </c>
      <c r="CI609" s="1399"/>
      <c r="CJ609" s="1399"/>
      <c r="CK609" s="1399"/>
      <c r="CL609" s="1399"/>
      <c r="CM609" s="1399">
        <f t="shared" si="10"/>
        <v>0</v>
      </c>
      <c r="CN609" s="1399"/>
      <c r="CO609" s="1399"/>
      <c r="CP609" s="1399"/>
      <c r="CQ609" s="1399"/>
      <c r="CR609" s="6"/>
      <c r="CS609" s="1725">
        <f t="shared" si="11"/>
        <v>0</v>
      </c>
      <c r="CT609" s="1725"/>
      <c r="CU609" s="1725"/>
      <c r="CV609" s="1725"/>
      <c r="CW609" s="1725"/>
      <c r="CX609" s="1725">
        <f t="shared" si="12"/>
        <v>0</v>
      </c>
      <c r="CY609" s="1725"/>
      <c r="CZ609" s="1725"/>
      <c r="DA609" s="1725"/>
      <c r="DB609" s="1725"/>
      <c r="DC609" s="1725">
        <f t="shared" si="13"/>
        <v>0</v>
      </c>
      <c r="DD609" s="1725"/>
      <c r="DE609" s="1725"/>
      <c r="DF609" s="1725"/>
      <c r="DG609" s="1725"/>
      <c r="DH609" s="1725">
        <f t="shared" si="14"/>
        <v>0</v>
      </c>
      <c r="DI609" s="1725"/>
      <c r="DJ609" s="1725"/>
      <c r="DK609" s="1725"/>
      <c r="DL609" s="1725"/>
      <c r="DM609" s="1725">
        <f t="shared" si="15"/>
        <v>0</v>
      </c>
      <c r="DN609" s="1725"/>
      <c r="DO609" s="1725"/>
      <c r="DP609" s="1725"/>
      <c r="DQ609" s="1725"/>
      <c r="DR609" s="1725">
        <f t="shared" si="16"/>
        <v>0</v>
      </c>
      <c r="DS609" s="1725"/>
      <c r="DT609" s="1725"/>
      <c r="DU609" s="1725"/>
      <c r="DV609" s="1725"/>
      <c r="DX609" s="1423" t="str">
        <f t="shared" si="17"/>
        <v xml:space="preserve"> </v>
      </c>
      <c r="DY609" s="1855"/>
      <c r="DZ609" s="1855"/>
      <c r="EA609" s="1855"/>
      <c r="EB609" s="1424"/>
      <c r="EC609" s="1423" t="str">
        <f t="shared" si="18"/>
        <v xml:space="preserve"> </v>
      </c>
      <c r="ED609" s="1855"/>
      <c r="EE609" s="1855"/>
      <c r="EF609" s="1855"/>
      <c r="EG609" s="1424"/>
      <c r="EH609" s="1423" t="str">
        <f t="shared" si="19"/>
        <v xml:space="preserve"> </v>
      </c>
      <c r="EI609" s="1855"/>
      <c r="EJ609" s="1855"/>
      <c r="EK609" s="1855"/>
      <c r="EL609" s="1424"/>
      <c r="EM609" s="1423">
        <f t="shared" si="20"/>
        <v>1963</v>
      </c>
      <c r="EN609" s="1855"/>
      <c r="EO609" s="1855"/>
      <c r="EP609" s="1855"/>
      <c r="EQ609" s="1424"/>
      <c r="ER609" s="1423" t="str">
        <f t="shared" si="21"/>
        <v xml:space="preserve"> </v>
      </c>
      <c r="ES609" s="1855"/>
      <c r="ET609" s="1855"/>
      <c r="EU609" s="1855"/>
      <c r="EV609" s="1424"/>
      <c r="EW609" s="1423" t="str">
        <f t="shared" si="22"/>
        <v xml:space="preserve"> </v>
      </c>
      <c r="EX609" s="1855"/>
      <c r="EY609" s="1855"/>
      <c r="EZ609" s="1855"/>
      <c r="FA609" s="1424"/>
    </row>
    <row r="610" spans="1:157" ht="12.95" customHeight="1">
      <c r="B610" t="s">
        <v>18</v>
      </c>
      <c r="H610" s="1398"/>
      <c r="I610" s="1398"/>
      <c r="J610" s="1398"/>
      <c r="K610" s="1398"/>
      <c r="L610" s="1398"/>
      <c r="M610" s="1398"/>
      <c r="N610" s="1398"/>
      <c r="O610" s="1398"/>
      <c r="P610" s="1398"/>
      <c r="Q610" s="1398"/>
      <c r="R610" s="1398"/>
      <c r="U610" t="s">
        <v>18</v>
      </c>
      <c r="AA610" s="1398"/>
      <c r="AB610" s="1398"/>
      <c r="AC610" s="1398"/>
      <c r="AD610" s="1398"/>
      <c r="AE610" s="1398"/>
      <c r="AF610" s="1398"/>
      <c r="AG610" s="1398"/>
      <c r="AH610" s="1398"/>
      <c r="AI610" s="1398"/>
      <c r="AJ610" s="1398"/>
      <c r="AK610" s="1398"/>
      <c r="AZ610" s="3"/>
      <c r="BA610" s="3"/>
      <c r="BB610" s="3"/>
      <c r="BC610" s="3"/>
      <c r="BD610" s="3"/>
      <c r="BE610" s="1423">
        <f t="shared" si="1"/>
        <v>0</v>
      </c>
      <c r="BF610" s="1424"/>
      <c r="BG610" s="1501">
        <f t="shared" si="2"/>
        <v>0</v>
      </c>
      <c r="BH610" s="1502"/>
      <c r="BI610" s="1423">
        <f t="shared" si="3"/>
        <v>0</v>
      </c>
      <c r="BJ610" s="1424"/>
      <c r="BK610" s="1501">
        <f t="shared" si="4"/>
        <v>0</v>
      </c>
      <c r="BL610" s="1502"/>
      <c r="BM610" s="3"/>
      <c r="BN610" s="1512">
        <f t="shared" si="5"/>
        <v>0</v>
      </c>
      <c r="BO610" s="1513"/>
      <c r="BP610" s="1513"/>
      <c r="BQ610" s="1513"/>
      <c r="BR610" s="1514"/>
      <c r="BS610" s="1399">
        <f t="shared" si="6"/>
        <v>23</v>
      </c>
      <c r="BT610" s="1399"/>
      <c r="BU610" s="1399"/>
      <c r="BV610" s="1399"/>
      <c r="BW610" s="1399"/>
      <c r="BX610" s="1399">
        <f t="shared" si="7"/>
        <v>0</v>
      </c>
      <c r="BY610" s="1399"/>
      <c r="BZ610" s="1399"/>
      <c r="CA610" s="1399"/>
      <c r="CB610" s="1399"/>
      <c r="CC610" s="1399">
        <f t="shared" si="8"/>
        <v>0</v>
      </c>
      <c r="CD610" s="1399"/>
      <c r="CE610" s="1399"/>
      <c r="CF610" s="1399"/>
      <c r="CG610" s="1399"/>
      <c r="CH610" s="1399">
        <f t="shared" si="9"/>
        <v>0</v>
      </c>
      <c r="CI610" s="1399"/>
      <c r="CJ610" s="1399"/>
      <c r="CK610" s="1399"/>
      <c r="CL610" s="1399"/>
      <c r="CM610" s="1399">
        <f t="shared" si="10"/>
        <v>0</v>
      </c>
      <c r="CN610" s="1399"/>
      <c r="CO610" s="1399"/>
      <c r="CP610" s="1399"/>
      <c r="CQ610" s="1399"/>
      <c r="CR610" s="6"/>
      <c r="CS610" s="1725">
        <f t="shared" si="11"/>
        <v>0</v>
      </c>
      <c r="CT610" s="1725"/>
      <c r="CU610" s="1725"/>
      <c r="CV610" s="1725"/>
      <c r="CW610" s="1725"/>
      <c r="CX610" s="1725">
        <f t="shared" si="12"/>
        <v>0</v>
      </c>
      <c r="CY610" s="1725"/>
      <c r="CZ610" s="1725"/>
      <c r="DA610" s="1725"/>
      <c r="DB610" s="1725"/>
      <c r="DC610" s="1725">
        <f t="shared" si="13"/>
        <v>0</v>
      </c>
      <c r="DD610" s="1725"/>
      <c r="DE610" s="1725"/>
      <c r="DF610" s="1725"/>
      <c r="DG610" s="1725"/>
      <c r="DH610" s="1725">
        <f t="shared" si="14"/>
        <v>0</v>
      </c>
      <c r="DI610" s="1725"/>
      <c r="DJ610" s="1725"/>
      <c r="DK610" s="1725"/>
      <c r="DL610" s="1725"/>
      <c r="DM610" s="1725">
        <f t="shared" si="15"/>
        <v>0</v>
      </c>
      <c r="DN610" s="1725"/>
      <c r="DO610" s="1725"/>
      <c r="DP610" s="1725"/>
      <c r="DQ610" s="1725"/>
      <c r="DR610" s="1725">
        <f t="shared" si="16"/>
        <v>0</v>
      </c>
      <c r="DS610" s="1725"/>
      <c r="DT610" s="1725"/>
      <c r="DU610" s="1725"/>
      <c r="DV610" s="1725"/>
      <c r="DX610" s="1423" t="str">
        <f t="shared" si="17"/>
        <v xml:space="preserve"> </v>
      </c>
      <c r="DY610" s="1855"/>
      <c r="DZ610" s="1855"/>
      <c r="EA610" s="1855"/>
      <c r="EB610" s="1424"/>
      <c r="EC610" s="1423">
        <f t="shared" si="18"/>
        <v>1938</v>
      </c>
      <c r="ED610" s="1855"/>
      <c r="EE610" s="1855"/>
      <c r="EF610" s="1855"/>
      <c r="EG610" s="1424"/>
      <c r="EH610" s="1423" t="str">
        <f t="shared" si="19"/>
        <v xml:space="preserve"> </v>
      </c>
      <c r="EI610" s="1855"/>
      <c r="EJ610" s="1855"/>
      <c r="EK610" s="1855"/>
      <c r="EL610" s="1424"/>
      <c r="EM610" s="1423" t="str">
        <f t="shared" si="20"/>
        <v xml:space="preserve"> </v>
      </c>
      <c r="EN610" s="1855"/>
      <c r="EO610" s="1855"/>
      <c r="EP610" s="1855"/>
      <c r="EQ610" s="1424"/>
      <c r="ER610" s="1423" t="str">
        <f t="shared" si="21"/>
        <v xml:space="preserve"> </v>
      </c>
      <c r="ES610" s="1855"/>
      <c r="ET610" s="1855"/>
      <c r="EU610" s="1855"/>
      <c r="EV610" s="1424"/>
      <c r="EW610" s="1423" t="str">
        <f t="shared" si="22"/>
        <v xml:space="preserve"> </v>
      </c>
      <c r="EX610" s="1855"/>
      <c r="EY610" s="1855"/>
      <c r="EZ610" s="1855"/>
      <c r="FA610" s="1424"/>
    </row>
    <row r="611" spans="1:157" ht="12.95" customHeight="1">
      <c r="B611" t="s">
        <v>20</v>
      </c>
      <c r="N611" s="1376" t="s">
        <v>678</v>
      </c>
      <c r="O611" s="1376"/>
      <c r="U611" t="s">
        <v>20</v>
      </c>
      <c r="AG611" s="1376" t="s">
        <v>678</v>
      </c>
      <c r="AH611" s="1376"/>
      <c r="AZ611" s="3"/>
      <c r="BA611" s="3"/>
      <c r="BB611" s="3"/>
      <c r="BC611" s="3"/>
      <c r="BD611" s="3"/>
      <c r="BE611" s="1423">
        <f t="shared" si="1"/>
        <v>0</v>
      </c>
      <c r="BF611" s="1424"/>
      <c r="BG611" s="1501">
        <f t="shared" si="2"/>
        <v>0</v>
      </c>
      <c r="BH611" s="1502"/>
      <c r="BI611" s="1423">
        <f t="shared" si="3"/>
        <v>0</v>
      </c>
      <c r="BJ611" s="1424"/>
      <c r="BK611" s="1501">
        <f t="shared" si="4"/>
        <v>0</v>
      </c>
      <c r="BL611" s="1502"/>
      <c r="BM611" s="3"/>
      <c r="BN611" s="1512">
        <f t="shared" si="5"/>
        <v>0</v>
      </c>
      <c r="BO611" s="1513"/>
      <c r="BP611" s="1513"/>
      <c r="BQ611" s="1513"/>
      <c r="BR611" s="1514"/>
      <c r="BS611" s="1399">
        <f t="shared" si="6"/>
        <v>0</v>
      </c>
      <c r="BT611" s="1399"/>
      <c r="BU611" s="1399"/>
      <c r="BV611" s="1399"/>
      <c r="BW611" s="1399"/>
      <c r="BX611" s="1399">
        <f t="shared" si="7"/>
        <v>13</v>
      </c>
      <c r="BY611" s="1399"/>
      <c r="BZ611" s="1399"/>
      <c r="CA611" s="1399"/>
      <c r="CB611" s="1399"/>
      <c r="CC611" s="1399">
        <f t="shared" si="8"/>
        <v>0</v>
      </c>
      <c r="CD611" s="1399"/>
      <c r="CE611" s="1399"/>
      <c r="CF611" s="1399"/>
      <c r="CG611" s="1399"/>
      <c r="CH611" s="1399">
        <f t="shared" si="9"/>
        <v>0</v>
      </c>
      <c r="CI611" s="1399"/>
      <c r="CJ611" s="1399"/>
      <c r="CK611" s="1399"/>
      <c r="CL611" s="1399"/>
      <c r="CM611" s="1399">
        <f t="shared" si="10"/>
        <v>0</v>
      </c>
      <c r="CN611" s="1399"/>
      <c r="CO611" s="1399"/>
      <c r="CP611" s="1399"/>
      <c r="CQ611" s="1399"/>
      <c r="CR611" s="6"/>
      <c r="CS611" s="1725">
        <f t="shared" si="11"/>
        <v>0</v>
      </c>
      <c r="CT611" s="1725"/>
      <c r="CU611" s="1725"/>
      <c r="CV611" s="1725"/>
      <c r="CW611" s="1725"/>
      <c r="CX611" s="1725">
        <f t="shared" si="12"/>
        <v>0</v>
      </c>
      <c r="CY611" s="1725"/>
      <c r="CZ611" s="1725"/>
      <c r="DA611" s="1725"/>
      <c r="DB611" s="1725"/>
      <c r="DC611" s="1725">
        <f t="shared" si="13"/>
        <v>0</v>
      </c>
      <c r="DD611" s="1725"/>
      <c r="DE611" s="1725"/>
      <c r="DF611" s="1725"/>
      <c r="DG611" s="1725"/>
      <c r="DH611" s="1725">
        <f t="shared" si="14"/>
        <v>0</v>
      </c>
      <c r="DI611" s="1725"/>
      <c r="DJ611" s="1725"/>
      <c r="DK611" s="1725"/>
      <c r="DL611" s="1725"/>
      <c r="DM611" s="1725">
        <f t="shared" si="15"/>
        <v>0</v>
      </c>
      <c r="DN611" s="1725"/>
      <c r="DO611" s="1725"/>
      <c r="DP611" s="1725"/>
      <c r="DQ611" s="1725"/>
      <c r="DR611" s="1725">
        <f t="shared" si="16"/>
        <v>0</v>
      </c>
      <c r="DS611" s="1725"/>
      <c r="DT611" s="1725"/>
      <c r="DU611" s="1725"/>
      <c r="DV611" s="1725"/>
      <c r="DX611" s="1423" t="str">
        <f t="shared" si="17"/>
        <v xml:space="preserve"> </v>
      </c>
      <c r="DY611" s="1855"/>
      <c r="DZ611" s="1855"/>
      <c r="EA611" s="1855"/>
      <c r="EB611" s="1424"/>
      <c r="EC611" s="1423" t="str">
        <f t="shared" si="18"/>
        <v xml:space="preserve"> </v>
      </c>
      <c r="ED611" s="1855"/>
      <c r="EE611" s="1855"/>
      <c r="EF611" s="1855"/>
      <c r="EG611" s="1424"/>
      <c r="EH611" s="1423">
        <f t="shared" si="19"/>
        <v>2308</v>
      </c>
      <c r="EI611" s="1855"/>
      <c r="EJ611" s="1855"/>
      <c r="EK611" s="1855"/>
      <c r="EL611" s="1424"/>
      <c r="EM611" s="1423" t="str">
        <f t="shared" si="20"/>
        <v xml:space="preserve"> </v>
      </c>
      <c r="EN611" s="1855"/>
      <c r="EO611" s="1855"/>
      <c r="EP611" s="1855"/>
      <c r="EQ611" s="1424"/>
      <c r="ER611" s="1423" t="str">
        <f t="shared" si="21"/>
        <v xml:space="preserve"> </v>
      </c>
      <c r="ES611" s="1855"/>
      <c r="ET611" s="1855"/>
      <c r="EU611" s="1855"/>
      <c r="EV611" s="1424"/>
      <c r="EW611" s="1423" t="str">
        <f t="shared" si="22"/>
        <v xml:space="preserve"> </v>
      </c>
      <c r="EX611" s="1855"/>
      <c r="EY611" s="1855"/>
      <c r="EZ611" s="1855"/>
      <c r="FA611" s="1424"/>
    </row>
    <row r="612" spans="1:157" ht="12.95" customHeight="1">
      <c r="AZ612" s="3"/>
      <c r="BA612" s="3"/>
      <c r="BB612" s="3"/>
      <c r="BC612" s="3"/>
      <c r="BD612" s="3"/>
      <c r="BE612" s="1423">
        <f t="shared" si="1"/>
        <v>0</v>
      </c>
      <c r="BF612" s="1424"/>
      <c r="BG612" s="1501">
        <f t="shared" si="2"/>
        <v>0</v>
      </c>
      <c r="BH612" s="1502"/>
      <c r="BI612" s="1423">
        <f t="shared" si="3"/>
        <v>0</v>
      </c>
      <c r="BJ612" s="1424"/>
      <c r="BK612" s="1501">
        <f t="shared" si="4"/>
        <v>0</v>
      </c>
      <c r="BL612" s="1502"/>
      <c r="BM612" s="3"/>
      <c r="BN612" s="1512">
        <f t="shared" si="5"/>
        <v>0</v>
      </c>
      <c r="BO612" s="1513"/>
      <c r="BP612" s="1513"/>
      <c r="BQ612" s="1513"/>
      <c r="BR612" s="1514"/>
      <c r="BS612" s="1399">
        <f t="shared" si="6"/>
        <v>0</v>
      </c>
      <c r="BT612" s="1399"/>
      <c r="BU612" s="1399"/>
      <c r="BV612" s="1399"/>
      <c r="BW612" s="1399"/>
      <c r="BX612" s="1399">
        <f t="shared" si="7"/>
        <v>0</v>
      </c>
      <c r="BY612" s="1399"/>
      <c r="BZ612" s="1399"/>
      <c r="CA612" s="1399"/>
      <c r="CB612" s="1399"/>
      <c r="CC612" s="1399">
        <f t="shared" si="8"/>
        <v>0</v>
      </c>
      <c r="CD612" s="1399"/>
      <c r="CE612" s="1399"/>
      <c r="CF612" s="1399"/>
      <c r="CG612" s="1399"/>
      <c r="CH612" s="1399">
        <f t="shared" si="9"/>
        <v>0</v>
      </c>
      <c r="CI612" s="1399"/>
      <c r="CJ612" s="1399"/>
      <c r="CK612" s="1399"/>
      <c r="CL612" s="1399"/>
      <c r="CM612" s="1399">
        <f t="shared" si="10"/>
        <v>0</v>
      </c>
      <c r="CN612" s="1399"/>
      <c r="CO612" s="1399"/>
      <c r="CP612" s="1399"/>
      <c r="CQ612" s="1399"/>
      <c r="CR612" s="6"/>
      <c r="CS612" s="1725">
        <f t="shared" si="11"/>
        <v>0</v>
      </c>
      <c r="CT612" s="1725"/>
      <c r="CU612" s="1725"/>
      <c r="CV612" s="1725"/>
      <c r="CW612" s="1725"/>
      <c r="CX612" s="1725">
        <f t="shared" si="12"/>
        <v>0</v>
      </c>
      <c r="CY612" s="1725"/>
      <c r="CZ612" s="1725"/>
      <c r="DA612" s="1725"/>
      <c r="DB612" s="1725"/>
      <c r="DC612" s="1725">
        <f t="shared" si="13"/>
        <v>0</v>
      </c>
      <c r="DD612" s="1725"/>
      <c r="DE612" s="1725"/>
      <c r="DF612" s="1725"/>
      <c r="DG612" s="1725"/>
      <c r="DH612" s="1725">
        <f t="shared" si="14"/>
        <v>0</v>
      </c>
      <c r="DI612" s="1725"/>
      <c r="DJ612" s="1725"/>
      <c r="DK612" s="1725"/>
      <c r="DL612" s="1725"/>
      <c r="DM612" s="1725">
        <f t="shared" si="15"/>
        <v>0</v>
      </c>
      <c r="DN612" s="1725"/>
      <c r="DO612" s="1725"/>
      <c r="DP612" s="1725"/>
      <c r="DQ612" s="1725"/>
      <c r="DR612" s="1725">
        <f t="shared" si="16"/>
        <v>0</v>
      </c>
      <c r="DS612" s="1725"/>
      <c r="DT612" s="1725"/>
      <c r="DU612" s="1725"/>
      <c r="DV612" s="1725"/>
      <c r="DX612" s="1423" t="str">
        <f t="shared" si="17"/>
        <v xml:space="preserve"> </v>
      </c>
      <c r="DY612" s="1855"/>
      <c r="DZ612" s="1855"/>
      <c r="EA612" s="1855"/>
      <c r="EB612" s="1424"/>
      <c r="EC612" s="1423" t="str">
        <f t="shared" si="18"/>
        <v xml:space="preserve"> </v>
      </c>
      <c r="ED612" s="1855"/>
      <c r="EE612" s="1855"/>
      <c r="EF612" s="1855"/>
      <c r="EG612" s="1424"/>
      <c r="EH612" s="1423" t="str">
        <f t="shared" si="19"/>
        <v xml:space="preserve"> </v>
      </c>
      <c r="EI612" s="1855"/>
      <c r="EJ612" s="1855"/>
      <c r="EK612" s="1855"/>
      <c r="EL612" s="1424"/>
      <c r="EM612" s="1423" t="str">
        <f t="shared" si="20"/>
        <v xml:space="preserve"> </v>
      </c>
      <c r="EN612" s="1855"/>
      <c r="EO612" s="1855"/>
      <c r="EP612" s="1855"/>
      <c r="EQ612" s="1424"/>
      <c r="ER612" s="1423" t="str">
        <f t="shared" si="21"/>
        <v xml:space="preserve"> </v>
      </c>
      <c r="ES612" s="1855"/>
      <c r="ET612" s="1855"/>
      <c r="EU612" s="1855"/>
      <c r="EV612" s="1424"/>
      <c r="EW612" s="1423" t="str">
        <f t="shared" si="22"/>
        <v xml:space="preserve"> </v>
      </c>
      <c r="EX612" s="1855"/>
      <c r="EY612" s="1855"/>
      <c r="EZ612" s="1855"/>
      <c r="FA612" s="1424"/>
    </row>
    <row r="613" spans="1:157" ht="12.95" customHeight="1">
      <c r="A613" s="1273" t="s">
        <v>553</v>
      </c>
      <c r="B613" s="1273"/>
      <c r="C613" s="1273"/>
      <c r="D613" s="1273"/>
      <c r="E613" s="1273"/>
      <c r="F613" s="1273"/>
      <c r="G613" s="1273"/>
      <c r="H613" s="1273"/>
      <c r="I613" s="1273"/>
      <c r="J613" s="1273"/>
      <c r="K613" s="1273"/>
      <c r="L613" s="1273"/>
      <c r="M613" s="1273"/>
      <c r="N613" s="1273"/>
      <c r="O613" s="1273"/>
      <c r="P613" s="1273"/>
      <c r="Q613" s="1273"/>
      <c r="R613" s="1273"/>
      <c r="S613" s="1273"/>
      <c r="T613" s="1273"/>
      <c r="U613" s="1273"/>
      <c r="V613" s="1273"/>
      <c r="W613" s="1273"/>
      <c r="X613" s="1273"/>
      <c r="Y613" s="1273"/>
      <c r="Z613" s="1273"/>
      <c r="AA613" s="1273"/>
      <c r="AB613" s="1273"/>
      <c r="AC613" s="1273"/>
      <c r="AD613" s="1273"/>
      <c r="AE613" s="1273"/>
      <c r="AF613" s="1273"/>
      <c r="AG613" s="1273"/>
      <c r="AH613" s="1273"/>
      <c r="AI613" s="1273"/>
      <c r="AJ613" s="1273"/>
      <c r="AK613" s="1273"/>
      <c r="AL613" s="1273"/>
      <c r="AM613" s="1273"/>
      <c r="AN613" s="1273"/>
      <c r="AO613" s="1273"/>
      <c r="AP613" s="1273"/>
      <c r="AQ613" s="1273"/>
      <c r="AR613" s="1273"/>
      <c r="AS613" s="1273"/>
      <c r="AT613" s="936"/>
      <c r="AU613" s="936"/>
      <c r="AV613" s="936"/>
      <c r="AW613" s="936"/>
      <c r="AX613" s="936"/>
      <c r="AY613" s="936"/>
      <c r="AZ613" s="3"/>
      <c r="BA613" s="3"/>
      <c r="BB613" s="3"/>
      <c r="BC613" s="3"/>
      <c r="BD613" s="3"/>
      <c r="BE613" s="1423">
        <f t="shared" si="1"/>
        <v>0</v>
      </c>
      <c r="BF613" s="1424"/>
      <c r="BG613" s="1501">
        <f t="shared" si="2"/>
        <v>0</v>
      </c>
      <c r="BH613" s="1502"/>
      <c r="BI613" s="1423">
        <f t="shared" si="3"/>
        <v>0</v>
      </c>
      <c r="BJ613" s="1424"/>
      <c r="BK613" s="1501">
        <f t="shared" si="4"/>
        <v>0</v>
      </c>
      <c r="BL613" s="1502"/>
      <c r="BM613" s="3"/>
      <c r="BN613" s="1512">
        <f t="shared" si="5"/>
        <v>0</v>
      </c>
      <c r="BO613" s="1513"/>
      <c r="BP613" s="1513"/>
      <c r="BQ613" s="1513"/>
      <c r="BR613" s="1514"/>
      <c r="BS613" s="1399">
        <f t="shared" si="6"/>
        <v>0</v>
      </c>
      <c r="BT613" s="1399"/>
      <c r="BU613" s="1399"/>
      <c r="BV613" s="1399"/>
      <c r="BW613" s="1399"/>
      <c r="BX613" s="1399">
        <f t="shared" si="7"/>
        <v>0</v>
      </c>
      <c r="BY613" s="1399"/>
      <c r="BZ613" s="1399"/>
      <c r="CA613" s="1399"/>
      <c r="CB613" s="1399"/>
      <c r="CC613" s="1399">
        <f t="shared" si="8"/>
        <v>0</v>
      </c>
      <c r="CD613" s="1399"/>
      <c r="CE613" s="1399"/>
      <c r="CF613" s="1399"/>
      <c r="CG613" s="1399"/>
      <c r="CH613" s="1399">
        <f t="shared" si="9"/>
        <v>0</v>
      </c>
      <c r="CI613" s="1399"/>
      <c r="CJ613" s="1399"/>
      <c r="CK613" s="1399"/>
      <c r="CL613" s="1399"/>
      <c r="CM613" s="1399">
        <f t="shared" si="10"/>
        <v>0</v>
      </c>
      <c r="CN613" s="1399"/>
      <c r="CO613" s="1399"/>
      <c r="CP613" s="1399"/>
      <c r="CQ613" s="1399"/>
      <c r="CR613" s="6"/>
      <c r="CS613" s="1725">
        <f t="shared" si="11"/>
        <v>0</v>
      </c>
      <c r="CT613" s="1725"/>
      <c r="CU613" s="1725"/>
      <c r="CV613" s="1725"/>
      <c r="CW613" s="1725"/>
      <c r="CX613" s="1725">
        <f t="shared" si="12"/>
        <v>0</v>
      </c>
      <c r="CY613" s="1725"/>
      <c r="CZ613" s="1725"/>
      <c r="DA613" s="1725"/>
      <c r="DB613" s="1725"/>
      <c r="DC613" s="1725">
        <f t="shared" si="13"/>
        <v>0</v>
      </c>
      <c r="DD613" s="1725"/>
      <c r="DE613" s="1725"/>
      <c r="DF613" s="1725"/>
      <c r="DG613" s="1725"/>
      <c r="DH613" s="1725">
        <f t="shared" si="14"/>
        <v>0</v>
      </c>
      <c r="DI613" s="1725"/>
      <c r="DJ613" s="1725"/>
      <c r="DK613" s="1725"/>
      <c r="DL613" s="1725"/>
      <c r="DM613" s="1725">
        <f t="shared" si="15"/>
        <v>0</v>
      </c>
      <c r="DN613" s="1725"/>
      <c r="DO613" s="1725"/>
      <c r="DP613" s="1725"/>
      <c r="DQ613" s="1725"/>
      <c r="DR613" s="1725">
        <f t="shared" si="16"/>
        <v>0</v>
      </c>
      <c r="DS613" s="1725"/>
      <c r="DT613" s="1725"/>
      <c r="DU613" s="1725"/>
      <c r="DV613" s="1725"/>
      <c r="DX613" s="1423" t="str">
        <f t="shared" si="17"/>
        <v xml:space="preserve"> </v>
      </c>
      <c r="DY613" s="1855"/>
      <c r="DZ613" s="1855"/>
      <c r="EA613" s="1855"/>
      <c r="EB613" s="1424"/>
      <c r="EC613" s="1423" t="str">
        <f t="shared" si="18"/>
        <v xml:space="preserve"> </v>
      </c>
      <c r="ED613" s="1855"/>
      <c r="EE613" s="1855"/>
      <c r="EF613" s="1855"/>
      <c r="EG613" s="1424"/>
      <c r="EH613" s="1423" t="str">
        <f t="shared" si="19"/>
        <v xml:space="preserve"> </v>
      </c>
      <c r="EI613" s="1855"/>
      <c r="EJ613" s="1855"/>
      <c r="EK613" s="1855"/>
      <c r="EL613" s="1424"/>
      <c r="EM613" s="1423" t="str">
        <f t="shared" si="20"/>
        <v xml:space="preserve"> </v>
      </c>
      <c r="EN613" s="1855"/>
      <c r="EO613" s="1855"/>
      <c r="EP613" s="1855"/>
      <c r="EQ613" s="1424"/>
      <c r="ER613" s="1423" t="str">
        <f t="shared" si="21"/>
        <v xml:space="preserve"> </v>
      </c>
      <c r="ES613" s="1855"/>
      <c r="ET613" s="1855"/>
      <c r="EU613" s="1855"/>
      <c r="EV613" s="1424"/>
      <c r="EW613" s="1423" t="str">
        <f t="shared" si="22"/>
        <v xml:space="preserve"> </v>
      </c>
      <c r="EX613" s="1855"/>
      <c r="EY613" s="1855"/>
      <c r="EZ613" s="1855"/>
      <c r="FA613" s="1424"/>
    </row>
    <row r="614" spans="1:157" ht="12.95" customHeight="1">
      <c r="A614" s="1273"/>
      <c r="B614" s="1273"/>
      <c r="C614" s="1273"/>
      <c r="D614" s="1273"/>
      <c r="E614" s="1273"/>
      <c r="F614" s="1273"/>
      <c r="G614" s="1273"/>
      <c r="H614" s="1273"/>
      <c r="I614" s="1273"/>
      <c r="J614" s="1273"/>
      <c r="K614" s="1273"/>
      <c r="L614" s="1273"/>
      <c r="M614" s="1273"/>
      <c r="N614" s="1273"/>
      <c r="O614" s="1273"/>
      <c r="P614" s="1273"/>
      <c r="Q614" s="1273"/>
      <c r="R614" s="1273"/>
      <c r="S614" s="1273"/>
      <c r="T614" s="1273"/>
      <c r="U614" s="1273"/>
      <c r="V614" s="1273"/>
      <c r="W614" s="1273"/>
      <c r="X614" s="1273"/>
      <c r="Y614" s="1273"/>
      <c r="Z614" s="1273"/>
      <c r="AA614" s="1273"/>
      <c r="AB614" s="1273"/>
      <c r="AC614" s="1273"/>
      <c r="AD614" s="1273"/>
      <c r="AE614" s="1273"/>
      <c r="AF614" s="1273"/>
      <c r="AG614" s="1273"/>
      <c r="AH614" s="1273"/>
      <c r="AI614" s="1273"/>
      <c r="AJ614" s="1273"/>
      <c r="AK614" s="1273"/>
      <c r="AL614" s="1273"/>
      <c r="AM614" s="1273"/>
      <c r="AN614" s="1273"/>
      <c r="AO614" s="1273"/>
      <c r="AP614" s="1273"/>
      <c r="AQ614" s="1273"/>
      <c r="AR614" s="1273"/>
      <c r="AS614" s="1273"/>
      <c r="AT614" s="936"/>
      <c r="AU614" s="936"/>
      <c r="AV614" s="936"/>
      <c r="AW614" s="936"/>
      <c r="AX614" s="936"/>
      <c r="AY614" s="936"/>
      <c r="AZ614" s="3"/>
      <c r="BA614" s="3"/>
      <c r="BB614" s="3"/>
      <c r="BC614" s="3"/>
      <c r="BD614" s="3"/>
      <c r="BE614" s="1423">
        <f t="shared" si="1"/>
        <v>0</v>
      </c>
      <c r="BF614" s="1424"/>
      <c r="BG614" s="1501">
        <f t="shared" si="2"/>
        <v>0</v>
      </c>
      <c r="BH614" s="1502"/>
      <c r="BI614" s="1423">
        <f t="shared" si="3"/>
        <v>0</v>
      </c>
      <c r="BJ614" s="1424"/>
      <c r="BK614" s="1501">
        <f t="shared" si="4"/>
        <v>0</v>
      </c>
      <c r="BL614" s="1502"/>
      <c r="BM614" s="3"/>
      <c r="BN614" s="1512">
        <f t="shared" si="5"/>
        <v>0</v>
      </c>
      <c r="BO614" s="1513"/>
      <c r="BP614" s="1513"/>
      <c r="BQ614" s="1513"/>
      <c r="BR614" s="1514"/>
      <c r="BS614" s="1399">
        <f t="shared" si="6"/>
        <v>0</v>
      </c>
      <c r="BT614" s="1399"/>
      <c r="BU614" s="1399"/>
      <c r="BV614" s="1399"/>
      <c r="BW614" s="1399"/>
      <c r="BX614" s="1399">
        <f t="shared" si="7"/>
        <v>0</v>
      </c>
      <c r="BY614" s="1399"/>
      <c r="BZ614" s="1399"/>
      <c r="CA614" s="1399"/>
      <c r="CB614" s="1399"/>
      <c r="CC614" s="1399">
        <f t="shared" si="8"/>
        <v>0</v>
      </c>
      <c r="CD614" s="1399"/>
      <c r="CE614" s="1399"/>
      <c r="CF614" s="1399"/>
      <c r="CG614" s="1399"/>
      <c r="CH614" s="1399">
        <f t="shared" si="9"/>
        <v>0</v>
      </c>
      <c r="CI614" s="1399"/>
      <c r="CJ614" s="1399"/>
      <c r="CK614" s="1399"/>
      <c r="CL614" s="1399"/>
      <c r="CM614" s="1399">
        <f t="shared" si="10"/>
        <v>0</v>
      </c>
      <c r="CN614" s="1399"/>
      <c r="CO614" s="1399"/>
      <c r="CP614" s="1399"/>
      <c r="CQ614" s="1399"/>
      <c r="CR614" s="6"/>
      <c r="CS614" s="1725">
        <f t="shared" si="11"/>
        <v>0</v>
      </c>
      <c r="CT614" s="1725"/>
      <c r="CU614" s="1725"/>
      <c r="CV614" s="1725"/>
      <c r="CW614" s="1725"/>
      <c r="CX614" s="1725">
        <f t="shared" si="12"/>
        <v>0</v>
      </c>
      <c r="CY614" s="1725"/>
      <c r="CZ614" s="1725"/>
      <c r="DA614" s="1725"/>
      <c r="DB614" s="1725"/>
      <c r="DC614" s="1725">
        <f t="shared" si="13"/>
        <v>0</v>
      </c>
      <c r="DD614" s="1725"/>
      <c r="DE614" s="1725"/>
      <c r="DF614" s="1725"/>
      <c r="DG614" s="1725"/>
      <c r="DH614" s="1725">
        <f t="shared" si="14"/>
        <v>0</v>
      </c>
      <c r="DI614" s="1725"/>
      <c r="DJ614" s="1725"/>
      <c r="DK614" s="1725"/>
      <c r="DL614" s="1725"/>
      <c r="DM614" s="1725">
        <f t="shared" si="15"/>
        <v>0</v>
      </c>
      <c r="DN614" s="1725"/>
      <c r="DO614" s="1725"/>
      <c r="DP614" s="1725"/>
      <c r="DQ614" s="1725"/>
      <c r="DR614" s="1725">
        <f t="shared" si="16"/>
        <v>0</v>
      </c>
      <c r="DS614" s="1725"/>
      <c r="DT614" s="1725"/>
      <c r="DU614" s="1725"/>
      <c r="DV614" s="1725"/>
      <c r="DX614" s="1423" t="str">
        <f t="shared" si="17"/>
        <v xml:space="preserve"> </v>
      </c>
      <c r="DY614" s="1855"/>
      <c r="DZ614" s="1855"/>
      <c r="EA614" s="1855"/>
      <c r="EB614" s="1424"/>
      <c r="EC614" s="1423" t="str">
        <f t="shared" si="18"/>
        <v xml:space="preserve"> </v>
      </c>
      <c r="ED614" s="1855"/>
      <c r="EE614" s="1855"/>
      <c r="EF614" s="1855"/>
      <c r="EG614" s="1424"/>
      <c r="EH614" s="1423" t="str">
        <f t="shared" si="19"/>
        <v xml:space="preserve"> </v>
      </c>
      <c r="EI614" s="1855"/>
      <c r="EJ614" s="1855"/>
      <c r="EK614" s="1855"/>
      <c r="EL614" s="1424"/>
      <c r="EM614" s="1423" t="str">
        <f t="shared" si="20"/>
        <v xml:space="preserve"> </v>
      </c>
      <c r="EN614" s="1855"/>
      <c r="EO614" s="1855"/>
      <c r="EP614" s="1855"/>
      <c r="EQ614" s="1424"/>
      <c r="ER614" s="1423" t="str">
        <f t="shared" si="21"/>
        <v xml:space="preserve"> </v>
      </c>
      <c r="ES614" s="1855"/>
      <c r="ET614" s="1855"/>
      <c r="EU614" s="1855"/>
      <c r="EV614" s="1424"/>
      <c r="EW614" s="1423" t="str">
        <f t="shared" si="22"/>
        <v xml:space="preserve"> </v>
      </c>
      <c r="EX614" s="1855"/>
      <c r="EY614" s="1855"/>
      <c r="EZ614" s="1855"/>
      <c r="FA614" s="1424"/>
    </row>
    <row r="615" spans="1:157" ht="12.95" customHeight="1">
      <c r="AZ615" s="3"/>
      <c r="BA615" s="3"/>
      <c r="BB615" s="3"/>
      <c r="BC615" s="3"/>
      <c r="BD615" s="3"/>
      <c r="BE615" s="1423">
        <f t="shared" si="1"/>
        <v>0</v>
      </c>
      <c r="BF615" s="1424"/>
      <c r="BG615" s="1501">
        <f t="shared" si="2"/>
        <v>0</v>
      </c>
      <c r="BH615" s="1502"/>
      <c r="BI615" s="1423">
        <f t="shared" si="3"/>
        <v>0</v>
      </c>
      <c r="BJ615" s="1424"/>
      <c r="BK615" s="1501">
        <f t="shared" si="4"/>
        <v>0</v>
      </c>
      <c r="BL615" s="1502"/>
      <c r="BM615" s="3"/>
      <c r="BN615" s="1512">
        <f t="shared" si="5"/>
        <v>0</v>
      </c>
      <c r="BO615" s="1513"/>
      <c r="BP615" s="1513"/>
      <c r="BQ615" s="1513"/>
      <c r="BR615" s="1514"/>
      <c r="BS615" s="1399">
        <f t="shared" si="6"/>
        <v>0</v>
      </c>
      <c r="BT615" s="1399"/>
      <c r="BU615" s="1399"/>
      <c r="BV615" s="1399"/>
      <c r="BW615" s="1399"/>
      <c r="BX615" s="1399">
        <f t="shared" si="7"/>
        <v>0</v>
      </c>
      <c r="BY615" s="1399"/>
      <c r="BZ615" s="1399"/>
      <c r="CA615" s="1399"/>
      <c r="CB615" s="1399"/>
      <c r="CC615" s="1399">
        <f t="shared" si="8"/>
        <v>0</v>
      </c>
      <c r="CD615" s="1399"/>
      <c r="CE615" s="1399"/>
      <c r="CF615" s="1399"/>
      <c r="CG615" s="1399"/>
      <c r="CH615" s="1399">
        <f t="shared" si="9"/>
        <v>0</v>
      </c>
      <c r="CI615" s="1399"/>
      <c r="CJ615" s="1399"/>
      <c r="CK615" s="1399"/>
      <c r="CL615" s="1399"/>
      <c r="CM615" s="1399">
        <f t="shared" si="10"/>
        <v>0</v>
      </c>
      <c r="CN615" s="1399"/>
      <c r="CO615" s="1399"/>
      <c r="CP615" s="1399"/>
      <c r="CQ615" s="1399"/>
      <c r="CR615" s="6"/>
      <c r="CS615" s="1725">
        <f t="shared" si="11"/>
        <v>0</v>
      </c>
      <c r="CT615" s="1725"/>
      <c r="CU615" s="1725"/>
      <c r="CV615" s="1725"/>
      <c r="CW615" s="1725"/>
      <c r="CX615" s="1725">
        <f t="shared" si="12"/>
        <v>0</v>
      </c>
      <c r="CY615" s="1725"/>
      <c r="CZ615" s="1725"/>
      <c r="DA615" s="1725"/>
      <c r="DB615" s="1725"/>
      <c r="DC615" s="1725">
        <f t="shared" si="13"/>
        <v>0</v>
      </c>
      <c r="DD615" s="1725"/>
      <c r="DE615" s="1725"/>
      <c r="DF615" s="1725"/>
      <c r="DG615" s="1725"/>
      <c r="DH615" s="1725">
        <f t="shared" si="14"/>
        <v>0</v>
      </c>
      <c r="DI615" s="1725"/>
      <c r="DJ615" s="1725"/>
      <c r="DK615" s="1725"/>
      <c r="DL615" s="1725"/>
      <c r="DM615" s="1725">
        <f t="shared" si="15"/>
        <v>0</v>
      </c>
      <c r="DN615" s="1725"/>
      <c r="DO615" s="1725"/>
      <c r="DP615" s="1725"/>
      <c r="DQ615" s="1725"/>
      <c r="DR615" s="1725">
        <f t="shared" si="16"/>
        <v>0</v>
      </c>
      <c r="DS615" s="1725"/>
      <c r="DT615" s="1725"/>
      <c r="DU615" s="1725"/>
      <c r="DV615" s="1725"/>
      <c r="DX615" s="1423" t="str">
        <f t="shared" si="17"/>
        <v xml:space="preserve"> </v>
      </c>
      <c r="DY615" s="1855"/>
      <c r="DZ615" s="1855"/>
      <c r="EA615" s="1855"/>
      <c r="EB615" s="1424"/>
      <c r="EC615" s="1423" t="str">
        <f t="shared" si="18"/>
        <v xml:space="preserve"> </v>
      </c>
      <c r="ED615" s="1855"/>
      <c r="EE615" s="1855"/>
      <c r="EF615" s="1855"/>
      <c r="EG615" s="1424"/>
      <c r="EH615" s="1423" t="str">
        <f t="shared" si="19"/>
        <v xml:space="preserve"> </v>
      </c>
      <c r="EI615" s="1855"/>
      <c r="EJ615" s="1855"/>
      <c r="EK615" s="1855"/>
      <c r="EL615" s="1424"/>
      <c r="EM615" s="1423" t="str">
        <f t="shared" si="20"/>
        <v xml:space="preserve"> </v>
      </c>
      <c r="EN615" s="1855"/>
      <c r="EO615" s="1855"/>
      <c r="EP615" s="1855"/>
      <c r="EQ615" s="1424"/>
      <c r="ER615" s="1423" t="str">
        <f t="shared" si="21"/>
        <v xml:space="preserve"> </v>
      </c>
      <c r="ES615" s="1855"/>
      <c r="ET615" s="1855"/>
      <c r="EU615" s="1855"/>
      <c r="EV615" s="1424"/>
      <c r="EW615" s="1423" t="str">
        <f t="shared" si="22"/>
        <v xml:space="preserve"> </v>
      </c>
      <c r="EX615" s="1855"/>
      <c r="EY615" s="1855"/>
      <c r="EZ615" s="1855"/>
      <c r="FA615" s="1424"/>
    </row>
    <row r="616" spans="1:157" ht="12.95" customHeight="1">
      <c r="A616" s="2" t="s">
        <v>321</v>
      </c>
      <c r="B616" s="2"/>
      <c r="C616" s="2" t="s">
        <v>21</v>
      </c>
      <c r="AZ616" s="3"/>
      <c r="BA616" s="3"/>
      <c r="BB616" s="3"/>
      <c r="BC616" s="3"/>
      <c r="BD616" s="3"/>
      <c r="BE616" s="1423">
        <f t="shared" si="1"/>
        <v>0</v>
      </c>
      <c r="BF616" s="1424"/>
      <c r="BG616" s="1501">
        <f t="shared" si="2"/>
        <v>0</v>
      </c>
      <c r="BH616" s="1502"/>
      <c r="BI616" s="1423">
        <f t="shared" si="3"/>
        <v>0</v>
      </c>
      <c r="BJ616" s="1424"/>
      <c r="BK616" s="1501">
        <f t="shared" si="4"/>
        <v>0</v>
      </c>
      <c r="BL616" s="1502"/>
      <c r="BM616" s="3"/>
      <c r="BN616" s="1512">
        <f t="shared" si="5"/>
        <v>0</v>
      </c>
      <c r="BO616" s="1513"/>
      <c r="BP616" s="1513"/>
      <c r="BQ616" s="1513"/>
      <c r="BR616" s="1514"/>
      <c r="BS616" s="1399">
        <f t="shared" si="6"/>
        <v>0</v>
      </c>
      <c r="BT616" s="1399"/>
      <c r="BU616" s="1399"/>
      <c r="BV616" s="1399"/>
      <c r="BW616" s="1399"/>
      <c r="BX616" s="1399">
        <f t="shared" si="7"/>
        <v>0</v>
      </c>
      <c r="BY616" s="1399"/>
      <c r="BZ616" s="1399"/>
      <c r="CA616" s="1399"/>
      <c r="CB616" s="1399"/>
      <c r="CC616" s="1399">
        <f t="shared" si="8"/>
        <v>0</v>
      </c>
      <c r="CD616" s="1399"/>
      <c r="CE616" s="1399"/>
      <c r="CF616" s="1399"/>
      <c r="CG616" s="1399"/>
      <c r="CH616" s="1399">
        <f t="shared" si="9"/>
        <v>0</v>
      </c>
      <c r="CI616" s="1399"/>
      <c r="CJ616" s="1399"/>
      <c r="CK616" s="1399"/>
      <c r="CL616" s="1399"/>
      <c r="CM616" s="1399">
        <f t="shared" si="10"/>
        <v>0</v>
      </c>
      <c r="CN616" s="1399"/>
      <c r="CO616" s="1399"/>
      <c r="CP616" s="1399"/>
      <c r="CQ616" s="1399"/>
      <c r="CR616" s="6"/>
      <c r="CS616" s="1725">
        <f t="shared" si="11"/>
        <v>0</v>
      </c>
      <c r="CT616" s="1725"/>
      <c r="CU616" s="1725"/>
      <c r="CV616" s="1725"/>
      <c r="CW616" s="1725"/>
      <c r="CX616" s="1725">
        <f t="shared" si="12"/>
        <v>0</v>
      </c>
      <c r="CY616" s="1725"/>
      <c r="CZ616" s="1725"/>
      <c r="DA616" s="1725"/>
      <c r="DB616" s="1725"/>
      <c r="DC616" s="1725">
        <f t="shared" si="13"/>
        <v>0</v>
      </c>
      <c r="DD616" s="1725"/>
      <c r="DE616" s="1725"/>
      <c r="DF616" s="1725"/>
      <c r="DG616" s="1725"/>
      <c r="DH616" s="1725">
        <f t="shared" si="14"/>
        <v>0</v>
      </c>
      <c r="DI616" s="1725"/>
      <c r="DJ616" s="1725"/>
      <c r="DK616" s="1725"/>
      <c r="DL616" s="1725"/>
      <c r="DM616" s="1725">
        <f t="shared" si="15"/>
        <v>0</v>
      </c>
      <c r="DN616" s="1725"/>
      <c r="DO616" s="1725"/>
      <c r="DP616" s="1725"/>
      <c r="DQ616" s="1725"/>
      <c r="DR616" s="1725">
        <f t="shared" si="16"/>
        <v>0</v>
      </c>
      <c r="DS616" s="1725"/>
      <c r="DT616" s="1725"/>
      <c r="DU616" s="1725"/>
      <c r="DV616" s="1725"/>
      <c r="DX616" s="1423" t="str">
        <f t="shared" si="17"/>
        <v xml:space="preserve"> </v>
      </c>
      <c r="DY616" s="1855"/>
      <c r="DZ616" s="1855"/>
      <c r="EA616" s="1855"/>
      <c r="EB616" s="1424"/>
      <c r="EC616" s="1423" t="str">
        <f t="shared" si="18"/>
        <v xml:space="preserve"> </v>
      </c>
      <c r="ED616" s="1855"/>
      <c r="EE616" s="1855"/>
      <c r="EF616" s="1855"/>
      <c r="EG616" s="1424"/>
      <c r="EH616" s="1423" t="str">
        <f t="shared" si="19"/>
        <v xml:space="preserve"> </v>
      </c>
      <c r="EI616" s="1855"/>
      <c r="EJ616" s="1855"/>
      <c r="EK616" s="1855"/>
      <c r="EL616" s="1424"/>
      <c r="EM616" s="1423" t="str">
        <f t="shared" si="20"/>
        <v xml:space="preserve"> </v>
      </c>
      <c r="EN616" s="1855"/>
      <c r="EO616" s="1855"/>
      <c r="EP616" s="1855"/>
      <c r="EQ616" s="1424"/>
      <c r="ER616" s="1423" t="str">
        <f t="shared" si="21"/>
        <v xml:space="preserve"> </v>
      </c>
      <c r="ES616" s="1855"/>
      <c r="ET616" s="1855"/>
      <c r="EU616" s="1855"/>
      <c r="EV616" s="1424"/>
      <c r="EW616" s="1423" t="str">
        <f t="shared" si="22"/>
        <v xml:space="preserve"> </v>
      </c>
      <c r="EX616" s="1855"/>
      <c r="EY616" s="1855"/>
      <c r="EZ616" s="1855"/>
      <c r="FA616" s="1424"/>
    </row>
    <row r="617" spans="1:157" ht="12.95" customHeight="1">
      <c r="A617" s="2"/>
      <c r="B617" s="2"/>
      <c r="C617" s="2"/>
      <c r="AZ617" s="3"/>
      <c r="BA617" s="3"/>
      <c r="BB617" s="3"/>
      <c r="BC617" s="3"/>
      <c r="BD617" s="3"/>
      <c r="BE617" s="1423">
        <f t="shared" si="1"/>
        <v>0</v>
      </c>
      <c r="BF617" s="1424"/>
      <c r="BG617" s="1501">
        <f t="shared" si="2"/>
        <v>0</v>
      </c>
      <c r="BH617" s="1502"/>
      <c r="BI617" s="1423">
        <f t="shared" si="3"/>
        <v>0</v>
      </c>
      <c r="BJ617" s="1424"/>
      <c r="BK617" s="1501">
        <f t="shared" si="4"/>
        <v>0</v>
      </c>
      <c r="BL617" s="1502"/>
      <c r="BM617" s="3"/>
      <c r="BN617" s="1512">
        <f t="shared" si="5"/>
        <v>0</v>
      </c>
      <c r="BO617" s="1513"/>
      <c r="BP617" s="1513"/>
      <c r="BQ617" s="1513"/>
      <c r="BR617" s="1514"/>
      <c r="BS617" s="1399">
        <f t="shared" si="6"/>
        <v>0</v>
      </c>
      <c r="BT617" s="1399"/>
      <c r="BU617" s="1399"/>
      <c r="BV617" s="1399"/>
      <c r="BW617" s="1399"/>
      <c r="BX617" s="1399">
        <f t="shared" si="7"/>
        <v>0</v>
      </c>
      <c r="BY617" s="1399"/>
      <c r="BZ617" s="1399"/>
      <c r="CA617" s="1399"/>
      <c r="CB617" s="1399"/>
      <c r="CC617" s="1399">
        <f t="shared" si="8"/>
        <v>0</v>
      </c>
      <c r="CD617" s="1399"/>
      <c r="CE617" s="1399"/>
      <c r="CF617" s="1399"/>
      <c r="CG617" s="1399"/>
      <c r="CH617" s="1399">
        <f t="shared" si="9"/>
        <v>0</v>
      </c>
      <c r="CI617" s="1399"/>
      <c r="CJ617" s="1399"/>
      <c r="CK617" s="1399"/>
      <c r="CL617" s="1399"/>
      <c r="CM617" s="1399">
        <f t="shared" si="10"/>
        <v>0</v>
      </c>
      <c r="CN617" s="1399"/>
      <c r="CO617" s="1399"/>
      <c r="CP617" s="1399"/>
      <c r="CQ617" s="1399"/>
      <c r="CR617" s="6"/>
      <c r="CS617" s="1725">
        <f t="shared" si="11"/>
        <v>0</v>
      </c>
      <c r="CT617" s="1725"/>
      <c r="CU617" s="1725"/>
      <c r="CV617" s="1725"/>
      <c r="CW617" s="1725"/>
      <c r="CX617" s="1725">
        <f t="shared" si="12"/>
        <v>0</v>
      </c>
      <c r="CY617" s="1725"/>
      <c r="CZ617" s="1725"/>
      <c r="DA617" s="1725"/>
      <c r="DB617" s="1725"/>
      <c r="DC617" s="1725">
        <f t="shared" si="13"/>
        <v>0</v>
      </c>
      <c r="DD617" s="1725"/>
      <c r="DE617" s="1725"/>
      <c r="DF617" s="1725"/>
      <c r="DG617" s="1725"/>
      <c r="DH617" s="1725">
        <f t="shared" si="14"/>
        <v>0</v>
      </c>
      <c r="DI617" s="1725"/>
      <c r="DJ617" s="1725"/>
      <c r="DK617" s="1725"/>
      <c r="DL617" s="1725"/>
      <c r="DM617" s="1725">
        <f t="shared" si="15"/>
        <v>0</v>
      </c>
      <c r="DN617" s="1725"/>
      <c r="DO617" s="1725"/>
      <c r="DP617" s="1725"/>
      <c r="DQ617" s="1725"/>
      <c r="DR617" s="1725">
        <f t="shared" si="16"/>
        <v>0</v>
      </c>
      <c r="DS617" s="1725"/>
      <c r="DT617" s="1725"/>
      <c r="DU617" s="1725"/>
      <c r="DV617" s="1725"/>
      <c r="DX617" s="1423" t="str">
        <f t="shared" si="17"/>
        <v xml:space="preserve"> </v>
      </c>
      <c r="DY617" s="1855"/>
      <c r="DZ617" s="1855"/>
      <c r="EA617" s="1855"/>
      <c r="EB617" s="1424"/>
      <c r="EC617" s="1423" t="str">
        <f t="shared" si="18"/>
        <v xml:space="preserve"> </v>
      </c>
      <c r="ED617" s="1855"/>
      <c r="EE617" s="1855"/>
      <c r="EF617" s="1855"/>
      <c r="EG617" s="1424"/>
      <c r="EH617" s="1423" t="str">
        <f t="shared" si="19"/>
        <v xml:space="preserve"> </v>
      </c>
      <c r="EI617" s="1855"/>
      <c r="EJ617" s="1855"/>
      <c r="EK617" s="1855"/>
      <c r="EL617" s="1424"/>
      <c r="EM617" s="1423" t="str">
        <f t="shared" si="20"/>
        <v xml:space="preserve"> </v>
      </c>
      <c r="EN617" s="1855"/>
      <c r="EO617" s="1855"/>
      <c r="EP617" s="1855"/>
      <c r="EQ617" s="1424"/>
      <c r="ER617" s="1423" t="str">
        <f t="shared" si="21"/>
        <v xml:space="preserve"> </v>
      </c>
      <c r="ES617" s="1855"/>
      <c r="ET617" s="1855"/>
      <c r="EU617" s="1855"/>
      <c r="EV617" s="1424"/>
      <c r="EW617" s="1423" t="str">
        <f t="shared" si="22"/>
        <v xml:space="preserve"> </v>
      </c>
      <c r="EX617" s="1855"/>
      <c r="EY617" s="1855"/>
      <c r="EZ617" s="1855"/>
      <c r="FA617" s="1424"/>
    </row>
    <row r="618" spans="1:157" ht="12.95" customHeight="1">
      <c r="C618" s="2" t="s">
        <v>2521</v>
      </c>
      <c r="AZ618" s="3"/>
      <c r="BA618" s="3"/>
      <c r="BB618" s="3"/>
      <c r="BC618" s="3"/>
      <c r="BD618" s="3"/>
      <c r="BE618" s="1423">
        <f t="shared" si="1"/>
        <v>0</v>
      </c>
      <c r="BF618" s="1424"/>
      <c r="BG618" s="1501">
        <f t="shared" si="2"/>
        <v>0</v>
      </c>
      <c r="BH618" s="1502"/>
      <c r="BI618" s="1423">
        <f t="shared" si="3"/>
        <v>0</v>
      </c>
      <c r="BJ618" s="1424"/>
      <c r="BK618" s="1501">
        <f t="shared" si="4"/>
        <v>0</v>
      </c>
      <c r="BL618" s="1502"/>
      <c r="BM618" s="3"/>
      <c r="BN618" s="1512">
        <f t="shared" si="5"/>
        <v>0</v>
      </c>
      <c r="BO618" s="1513"/>
      <c r="BP618" s="1513"/>
      <c r="BQ618" s="1513"/>
      <c r="BR618" s="1514"/>
      <c r="BS618" s="1399">
        <f t="shared" si="6"/>
        <v>0</v>
      </c>
      <c r="BT618" s="1399"/>
      <c r="BU618" s="1399"/>
      <c r="BV618" s="1399"/>
      <c r="BW618" s="1399"/>
      <c r="BX618" s="1399">
        <f t="shared" si="7"/>
        <v>0</v>
      </c>
      <c r="BY618" s="1399"/>
      <c r="BZ618" s="1399"/>
      <c r="CA618" s="1399"/>
      <c r="CB618" s="1399"/>
      <c r="CC618" s="1399">
        <f t="shared" si="8"/>
        <v>0</v>
      </c>
      <c r="CD618" s="1399"/>
      <c r="CE618" s="1399"/>
      <c r="CF618" s="1399"/>
      <c r="CG618" s="1399"/>
      <c r="CH618" s="1399">
        <f t="shared" si="9"/>
        <v>0</v>
      </c>
      <c r="CI618" s="1399"/>
      <c r="CJ618" s="1399"/>
      <c r="CK618" s="1399"/>
      <c r="CL618" s="1399"/>
      <c r="CM618" s="1399">
        <f t="shared" si="10"/>
        <v>0</v>
      </c>
      <c r="CN618" s="1399"/>
      <c r="CO618" s="1399"/>
      <c r="CP618" s="1399"/>
      <c r="CQ618" s="1399"/>
      <c r="CR618" s="6"/>
      <c r="CS618" s="1725">
        <f t="shared" si="11"/>
        <v>0</v>
      </c>
      <c r="CT618" s="1725"/>
      <c r="CU618" s="1725"/>
      <c r="CV618" s="1725"/>
      <c r="CW618" s="1725"/>
      <c r="CX618" s="1725">
        <f t="shared" si="12"/>
        <v>0</v>
      </c>
      <c r="CY618" s="1725"/>
      <c r="CZ618" s="1725"/>
      <c r="DA618" s="1725"/>
      <c r="DB618" s="1725"/>
      <c r="DC618" s="1725">
        <f t="shared" si="13"/>
        <v>0</v>
      </c>
      <c r="DD618" s="1725"/>
      <c r="DE618" s="1725"/>
      <c r="DF618" s="1725"/>
      <c r="DG618" s="1725"/>
      <c r="DH618" s="1725">
        <f t="shared" si="14"/>
        <v>0</v>
      </c>
      <c r="DI618" s="1725"/>
      <c r="DJ618" s="1725"/>
      <c r="DK618" s="1725"/>
      <c r="DL618" s="1725"/>
      <c r="DM618" s="1725">
        <f t="shared" si="15"/>
        <v>0</v>
      </c>
      <c r="DN618" s="1725"/>
      <c r="DO618" s="1725"/>
      <c r="DP618" s="1725"/>
      <c r="DQ618" s="1725"/>
      <c r="DR618" s="1725">
        <f t="shared" si="16"/>
        <v>0</v>
      </c>
      <c r="DS618" s="1725"/>
      <c r="DT618" s="1725"/>
      <c r="DU618" s="1725"/>
      <c r="DV618" s="1725"/>
      <c r="DX618" s="1423" t="str">
        <f t="shared" si="17"/>
        <v xml:space="preserve"> </v>
      </c>
      <c r="DY618" s="1855"/>
      <c r="DZ618" s="1855"/>
      <c r="EA618" s="1855"/>
      <c r="EB618" s="1424"/>
      <c r="EC618" s="1423" t="str">
        <f t="shared" si="18"/>
        <v xml:space="preserve"> </v>
      </c>
      <c r="ED618" s="1855"/>
      <c r="EE618" s="1855"/>
      <c r="EF618" s="1855"/>
      <c r="EG618" s="1424"/>
      <c r="EH618" s="1423" t="str">
        <f t="shared" si="19"/>
        <v xml:space="preserve"> </v>
      </c>
      <c r="EI618" s="1855"/>
      <c r="EJ618" s="1855"/>
      <c r="EK618" s="1855"/>
      <c r="EL618" s="1424"/>
      <c r="EM618" s="1423" t="str">
        <f t="shared" si="20"/>
        <v xml:space="preserve"> </v>
      </c>
      <c r="EN618" s="1855"/>
      <c r="EO618" s="1855"/>
      <c r="EP618" s="1855"/>
      <c r="EQ618" s="1424"/>
      <c r="ER618" s="1423" t="str">
        <f t="shared" si="21"/>
        <v xml:space="preserve"> </v>
      </c>
      <c r="ES618" s="1855"/>
      <c r="ET618" s="1855"/>
      <c r="EU618" s="1855"/>
      <c r="EV618" s="1424"/>
      <c r="EW618" s="1423" t="str">
        <f t="shared" si="22"/>
        <v xml:space="preserve"> </v>
      </c>
      <c r="EX618" s="1855"/>
      <c r="EY618" s="1855"/>
      <c r="EZ618" s="1855"/>
      <c r="FA618" s="1424"/>
    </row>
    <row r="619" spans="1:157" ht="12.95" customHeight="1">
      <c r="B619" s="547"/>
      <c r="C619" s="2"/>
      <c r="AZ619" s="3"/>
      <c r="BA619" s="3"/>
      <c r="BB619" s="3"/>
      <c r="BC619" s="3"/>
      <c r="BD619" s="3"/>
      <c r="BE619" s="1423">
        <f t="shared" si="1"/>
        <v>0</v>
      </c>
      <c r="BF619" s="1424"/>
      <c r="BG619" s="1501">
        <f t="shared" si="2"/>
        <v>0</v>
      </c>
      <c r="BH619" s="1502"/>
      <c r="BI619" s="1423">
        <f t="shared" si="3"/>
        <v>0</v>
      </c>
      <c r="BJ619" s="1424"/>
      <c r="BK619" s="1501">
        <f t="shared" si="4"/>
        <v>0</v>
      </c>
      <c r="BL619" s="1502"/>
      <c r="BM619" s="3"/>
      <c r="BN619" s="1512">
        <f t="shared" si="5"/>
        <v>0</v>
      </c>
      <c r="BO619" s="1513"/>
      <c r="BP619" s="1513"/>
      <c r="BQ619" s="1513"/>
      <c r="BR619" s="1514"/>
      <c r="BS619" s="1399">
        <f t="shared" si="6"/>
        <v>0</v>
      </c>
      <c r="BT619" s="1399"/>
      <c r="BU619" s="1399"/>
      <c r="BV619" s="1399"/>
      <c r="BW619" s="1399"/>
      <c r="BX619" s="1399">
        <f t="shared" si="7"/>
        <v>0</v>
      </c>
      <c r="BY619" s="1399"/>
      <c r="BZ619" s="1399"/>
      <c r="CA619" s="1399"/>
      <c r="CB619" s="1399"/>
      <c r="CC619" s="1399">
        <f t="shared" si="8"/>
        <v>0</v>
      </c>
      <c r="CD619" s="1399"/>
      <c r="CE619" s="1399"/>
      <c r="CF619" s="1399"/>
      <c r="CG619" s="1399"/>
      <c r="CH619" s="1399">
        <f t="shared" si="9"/>
        <v>0</v>
      </c>
      <c r="CI619" s="1399"/>
      <c r="CJ619" s="1399"/>
      <c r="CK619" s="1399"/>
      <c r="CL619" s="1399"/>
      <c r="CM619" s="1399">
        <f t="shared" si="10"/>
        <v>0</v>
      </c>
      <c r="CN619" s="1399"/>
      <c r="CO619" s="1399"/>
      <c r="CP619" s="1399"/>
      <c r="CQ619" s="1399"/>
      <c r="CR619" s="6"/>
      <c r="CS619" s="1725">
        <f t="shared" si="11"/>
        <v>0</v>
      </c>
      <c r="CT619" s="1725"/>
      <c r="CU619" s="1725"/>
      <c r="CV619" s="1725"/>
      <c r="CW619" s="1725"/>
      <c r="CX619" s="1725">
        <f t="shared" si="12"/>
        <v>0</v>
      </c>
      <c r="CY619" s="1725"/>
      <c r="CZ619" s="1725"/>
      <c r="DA619" s="1725"/>
      <c r="DB619" s="1725"/>
      <c r="DC619" s="1725">
        <f t="shared" si="13"/>
        <v>0</v>
      </c>
      <c r="DD619" s="1725"/>
      <c r="DE619" s="1725"/>
      <c r="DF619" s="1725"/>
      <c r="DG619" s="1725"/>
      <c r="DH619" s="1725">
        <f t="shared" si="14"/>
        <v>0</v>
      </c>
      <c r="DI619" s="1725"/>
      <c r="DJ619" s="1725"/>
      <c r="DK619" s="1725"/>
      <c r="DL619" s="1725"/>
      <c r="DM619" s="1725">
        <f t="shared" si="15"/>
        <v>0</v>
      </c>
      <c r="DN619" s="1725"/>
      <c r="DO619" s="1725"/>
      <c r="DP619" s="1725"/>
      <c r="DQ619" s="1725"/>
      <c r="DR619" s="1725">
        <f t="shared" si="16"/>
        <v>0</v>
      </c>
      <c r="DS619" s="1725"/>
      <c r="DT619" s="1725"/>
      <c r="DU619" s="1725"/>
      <c r="DV619" s="1725"/>
      <c r="DX619" s="1423" t="str">
        <f t="shared" si="17"/>
        <v xml:space="preserve"> </v>
      </c>
      <c r="DY619" s="1855"/>
      <c r="DZ619" s="1855"/>
      <c r="EA619" s="1855"/>
      <c r="EB619" s="1424"/>
      <c r="EC619" s="1423" t="str">
        <f t="shared" si="18"/>
        <v xml:space="preserve"> </v>
      </c>
      <c r="ED619" s="1855"/>
      <c r="EE619" s="1855"/>
      <c r="EF619" s="1855"/>
      <c r="EG619" s="1424"/>
      <c r="EH619" s="1423" t="str">
        <f t="shared" si="19"/>
        <v xml:space="preserve"> </v>
      </c>
      <c r="EI619" s="1855"/>
      <c r="EJ619" s="1855"/>
      <c r="EK619" s="1855"/>
      <c r="EL619" s="1424"/>
      <c r="EM619" s="1423" t="str">
        <f t="shared" si="20"/>
        <v xml:space="preserve"> </v>
      </c>
      <c r="EN619" s="1855"/>
      <c r="EO619" s="1855"/>
      <c r="EP619" s="1855"/>
      <c r="EQ619" s="1424"/>
      <c r="ER619" s="1423" t="str">
        <f t="shared" si="21"/>
        <v xml:space="preserve"> </v>
      </c>
      <c r="ES619" s="1855"/>
      <c r="ET619" s="1855"/>
      <c r="EU619" s="1855"/>
      <c r="EV619" s="1424"/>
      <c r="EW619" s="1423" t="str">
        <f t="shared" si="22"/>
        <v xml:space="preserve"> </v>
      </c>
      <c r="EX619" s="1855"/>
      <c r="EY619" s="1855"/>
      <c r="EZ619" s="1855"/>
      <c r="FA619" s="1424"/>
    </row>
    <row r="620" spans="1:157" ht="12.95" customHeight="1">
      <c r="B620" s="1862" t="s">
        <v>2523</v>
      </c>
      <c r="C620" s="1862"/>
      <c r="D620" s="1862"/>
      <c r="E620" s="1862"/>
      <c r="F620" s="1862"/>
      <c r="G620" s="1862"/>
      <c r="H620" s="1862"/>
      <c r="I620" s="1862"/>
      <c r="J620" s="1862"/>
      <c r="K620" s="1862"/>
      <c r="L620" s="1862"/>
      <c r="M620" s="1519" t="s">
        <v>2524</v>
      </c>
      <c r="N620" s="1519"/>
      <c r="O620" s="1519"/>
      <c r="P620" s="1519"/>
      <c r="Q620" s="1519" t="s">
        <v>2114</v>
      </c>
      <c r="R620" s="1519"/>
      <c r="S620" s="1519"/>
      <c r="T620" s="1519" t="s">
        <v>2112</v>
      </c>
      <c r="U620" s="1519"/>
      <c r="V620" s="1519"/>
      <c r="W620" s="1861" t="s">
        <v>462</v>
      </c>
      <c r="X620" s="1861"/>
      <c r="Y620" s="1861"/>
      <c r="Z620" s="1413" t="s">
        <v>2553</v>
      </c>
      <c r="AA620" s="1413"/>
      <c r="AB620" s="1414"/>
      <c r="AC620" s="1748" t="s">
        <v>1934</v>
      </c>
      <c r="AD620" s="1749"/>
      <c r="AE620" s="1750"/>
      <c r="AF620" s="1412" t="s">
        <v>2311</v>
      </c>
      <c r="AG620" s="1413"/>
      <c r="AH620" s="1413"/>
      <c r="AI620" s="1413"/>
      <c r="AJ620" s="1414"/>
      <c r="AK620" s="1738" t="s">
        <v>2312</v>
      </c>
      <c r="AL620" s="1739"/>
      <c r="AM620" s="1739"/>
      <c r="AN620" s="1740"/>
      <c r="AO620" s="1519" t="s">
        <v>463</v>
      </c>
      <c r="AP620" s="1519"/>
      <c r="AQ620" s="1519"/>
      <c r="AR620" s="1519"/>
      <c r="AS620" s="1519"/>
      <c r="AZ620" s="3"/>
      <c r="BA620" s="3"/>
      <c r="BB620" s="3"/>
      <c r="BC620" s="3"/>
      <c r="BD620" s="3"/>
      <c r="BE620" s="1423">
        <f t="shared" si="1"/>
        <v>0</v>
      </c>
      <c r="BF620" s="1424"/>
      <c r="BG620" s="1501">
        <f t="shared" si="2"/>
        <v>0</v>
      </c>
      <c r="BH620" s="1502"/>
      <c r="BI620" s="1423">
        <f t="shared" si="3"/>
        <v>0</v>
      </c>
      <c r="BJ620" s="1424"/>
      <c r="BK620" s="1501">
        <f t="shared" si="4"/>
        <v>0</v>
      </c>
      <c r="BL620" s="1502"/>
      <c r="BM620" s="3"/>
      <c r="BN620" s="1512">
        <f t="shared" si="5"/>
        <v>0</v>
      </c>
      <c r="BO620" s="1513"/>
      <c r="BP620" s="1513"/>
      <c r="BQ620" s="1513"/>
      <c r="BR620" s="1514"/>
      <c r="BS620" s="1399">
        <f t="shared" si="6"/>
        <v>0</v>
      </c>
      <c r="BT620" s="1399"/>
      <c r="BU620" s="1399"/>
      <c r="BV620" s="1399"/>
      <c r="BW620" s="1399"/>
      <c r="BX620" s="1399">
        <f t="shared" si="7"/>
        <v>0</v>
      </c>
      <c r="BY620" s="1399"/>
      <c r="BZ620" s="1399"/>
      <c r="CA620" s="1399"/>
      <c r="CB620" s="1399"/>
      <c r="CC620" s="1399">
        <f t="shared" si="8"/>
        <v>0</v>
      </c>
      <c r="CD620" s="1399"/>
      <c r="CE620" s="1399"/>
      <c r="CF620" s="1399"/>
      <c r="CG620" s="1399"/>
      <c r="CH620" s="1399">
        <f t="shared" si="9"/>
        <v>0</v>
      </c>
      <c r="CI620" s="1399"/>
      <c r="CJ620" s="1399"/>
      <c r="CK620" s="1399"/>
      <c r="CL620" s="1399"/>
      <c r="CM620" s="1399">
        <f t="shared" si="10"/>
        <v>0</v>
      </c>
      <c r="CN620" s="1399"/>
      <c r="CO620" s="1399"/>
      <c r="CP620" s="1399"/>
      <c r="CQ620" s="1399"/>
      <c r="CR620" s="6"/>
      <c r="CS620" s="1725">
        <f t="shared" si="11"/>
        <v>0</v>
      </c>
      <c r="CT620" s="1725"/>
      <c r="CU620" s="1725"/>
      <c r="CV620" s="1725"/>
      <c r="CW620" s="1725"/>
      <c r="CX620" s="1725">
        <f t="shared" si="12"/>
        <v>0</v>
      </c>
      <c r="CY620" s="1725"/>
      <c r="CZ620" s="1725"/>
      <c r="DA620" s="1725"/>
      <c r="DB620" s="1725"/>
      <c r="DC620" s="1725">
        <f t="shared" si="13"/>
        <v>0</v>
      </c>
      <c r="DD620" s="1725"/>
      <c r="DE620" s="1725"/>
      <c r="DF620" s="1725"/>
      <c r="DG620" s="1725"/>
      <c r="DH620" s="1725">
        <f t="shared" si="14"/>
        <v>0</v>
      </c>
      <c r="DI620" s="1725"/>
      <c r="DJ620" s="1725"/>
      <c r="DK620" s="1725"/>
      <c r="DL620" s="1725"/>
      <c r="DM620" s="1725">
        <f t="shared" si="15"/>
        <v>0</v>
      </c>
      <c r="DN620" s="1725"/>
      <c r="DO620" s="1725"/>
      <c r="DP620" s="1725"/>
      <c r="DQ620" s="1725"/>
      <c r="DR620" s="1725">
        <f t="shared" si="16"/>
        <v>0</v>
      </c>
      <c r="DS620" s="1725"/>
      <c r="DT620" s="1725"/>
      <c r="DU620" s="1725"/>
      <c r="DV620" s="1725"/>
      <c r="DX620" s="1423" t="str">
        <f t="shared" si="17"/>
        <v xml:space="preserve"> </v>
      </c>
      <c r="DY620" s="1855"/>
      <c r="DZ620" s="1855"/>
      <c r="EA620" s="1855"/>
      <c r="EB620" s="1424"/>
      <c r="EC620" s="1423" t="str">
        <f t="shared" si="18"/>
        <v xml:space="preserve"> </v>
      </c>
      <c r="ED620" s="1855"/>
      <c r="EE620" s="1855"/>
      <c r="EF620" s="1855"/>
      <c r="EG620" s="1424"/>
      <c r="EH620" s="1423" t="str">
        <f t="shared" si="19"/>
        <v xml:space="preserve"> </v>
      </c>
      <c r="EI620" s="1855"/>
      <c r="EJ620" s="1855"/>
      <c r="EK620" s="1855"/>
      <c r="EL620" s="1424"/>
      <c r="EM620" s="1423" t="str">
        <f t="shared" si="20"/>
        <v xml:space="preserve"> </v>
      </c>
      <c r="EN620" s="1855"/>
      <c r="EO620" s="1855"/>
      <c r="EP620" s="1855"/>
      <c r="EQ620" s="1424"/>
      <c r="ER620" s="1423" t="str">
        <f t="shared" si="21"/>
        <v xml:space="preserve"> </v>
      </c>
      <c r="ES620" s="1855"/>
      <c r="ET620" s="1855"/>
      <c r="EU620" s="1855"/>
      <c r="EV620" s="1424"/>
      <c r="EW620" s="1423" t="str">
        <f t="shared" si="22"/>
        <v xml:space="preserve"> </v>
      </c>
      <c r="EX620" s="1855"/>
      <c r="EY620" s="1855"/>
      <c r="EZ620" s="1855"/>
      <c r="FA620" s="1424"/>
    </row>
    <row r="621" spans="1:157" ht="12.95" customHeight="1">
      <c r="B621" s="1862"/>
      <c r="C621" s="1862"/>
      <c r="D621" s="1862"/>
      <c r="E621" s="1862"/>
      <c r="F621" s="1862"/>
      <c r="G621" s="1862"/>
      <c r="H621" s="1862"/>
      <c r="I621" s="1862"/>
      <c r="J621" s="1862"/>
      <c r="K621" s="1862"/>
      <c r="L621" s="1862"/>
      <c r="M621" s="1519"/>
      <c r="N621" s="1519"/>
      <c r="O621" s="1519"/>
      <c r="P621" s="1519"/>
      <c r="Q621" s="1519"/>
      <c r="R621" s="1519"/>
      <c r="S621" s="1519"/>
      <c r="T621" s="1519"/>
      <c r="U621" s="1519"/>
      <c r="V621" s="1519"/>
      <c r="W621" s="1861"/>
      <c r="X621" s="1861"/>
      <c r="Y621" s="1861"/>
      <c r="Z621" s="1416"/>
      <c r="AA621" s="1416"/>
      <c r="AB621" s="1417"/>
      <c r="AC621" s="1751"/>
      <c r="AD621" s="1752"/>
      <c r="AE621" s="1753"/>
      <c r="AF621" s="1415"/>
      <c r="AG621" s="1416"/>
      <c r="AH621" s="1416"/>
      <c r="AI621" s="1416"/>
      <c r="AJ621" s="1417"/>
      <c r="AK621" s="1741"/>
      <c r="AL621" s="1742"/>
      <c r="AM621" s="1742"/>
      <c r="AN621" s="1743"/>
      <c r="AO621" s="1519"/>
      <c r="AP621" s="1519"/>
      <c r="AQ621" s="1519"/>
      <c r="AR621" s="1519"/>
      <c r="AS621" s="1519"/>
      <c r="AZ621" s="3"/>
      <c r="BA621" s="3"/>
      <c r="BB621" s="3"/>
      <c r="BC621" s="3"/>
      <c r="BD621" s="3"/>
      <c r="BE621" s="3"/>
      <c r="BF621" s="3"/>
      <c r="BG621" s="1423">
        <f>SUM(BG596:BH620)</f>
        <v>95</v>
      </c>
      <c r="BH621" s="1424"/>
      <c r="BI621" s="3"/>
      <c r="BJ621" s="3"/>
      <c r="BK621" s="1423">
        <f>SUM(BK596:BL620)</f>
        <v>51</v>
      </c>
      <c r="BL621" s="1424"/>
      <c r="BM621" s="3"/>
      <c r="BN621" s="1423">
        <f>SUM(BN596:BR620)</f>
        <v>17</v>
      </c>
      <c r="BO621" s="1855"/>
      <c r="BP621" s="1855"/>
      <c r="BQ621" s="1855"/>
      <c r="BR621" s="1424"/>
      <c r="BS621" s="1696">
        <f>SUM(BS596:BW620)</f>
        <v>75</v>
      </c>
      <c r="BT621" s="1696"/>
      <c r="BU621" s="1696"/>
      <c r="BV621" s="1696"/>
      <c r="BW621" s="1696"/>
      <c r="BX621" s="1696">
        <f>SUM(BX596:CB620)</f>
        <v>53</v>
      </c>
      <c r="BY621" s="1696"/>
      <c r="BZ621" s="1696"/>
      <c r="CA621" s="1696"/>
      <c r="CB621" s="1696"/>
      <c r="CC621" s="1696">
        <f>SUM(CC596:CG620)</f>
        <v>37</v>
      </c>
      <c r="CD621" s="1696"/>
      <c r="CE621" s="1696"/>
      <c r="CF621" s="1696"/>
      <c r="CG621" s="1696"/>
      <c r="CH621" s="1696">
        <f>SUM(CH596:CL620)</f>
        <v>0</v>
      </c>
      <c r="CI621" s="1696"/>
      <c r="CJ621" s="1696"/>
      <c r="CK621" s="1696"/>
      <c r="CL621" s="1696"/>
      <c r="CM621" s="1696">
        <f>SUM(CM596:CQ620)</f>
        <v>0</v>
      </c>
      <c r="CN621" s="1696"/>
      <c r="CO621" s="1696"/>
      <c r="CP621" s="1696"/>
      <c r="CQ621" s="1696"/>
      <c r="CR621" s="386"/>
      <c r="CS621" s="1696">
        <f>SUM(CS596:CW620)</f>
        <v>2</v>
      </c>
      <c r="CT621" s="1696"/>
      <c r="CU621" s="1696"/>
      <c r="CV621" s="1696"/>
      <c r="CW621" s="1696"/>
      <c r="CX621" s="1696">
        <f>SUM(CX596:DB620)</f>
        <v>13</v>
      </c>
      <c r="CY621" s="1696"/>
      <c r="CZ621" s="1696"/>
      <c r="DA621" s="1696"/>
      <c r="DB621" s="1696"/>
      <c r="DC621" s="1696">
        <f>SUM(DC596:DG620)</f>
        <v>24</v>
      </c>
      <c r="DD621" s="1696"/>
      <c r="DE621" s="1696"/>
      <c r="DF621" s="1696"/>
      <c r="DG621" s="1696"/>
      <c r="DH621" s="1696">
        <f>SUM(DH596:DL620)</f>
        <v>12</v>
      </c>
      <c r="DI621" s="1696"/>
      <c r="DJ621" s="1696"/>
      <c r="DK621" s="1696"/>
      <c r="DL621" s="1696"/>
      <c r="DM621" s="1696">
        <f>SUM(DM596:DQ620)</f>
        <v>0</v>
      </c>
      <c r="DN621" s="1696"/>
      <c r="DO621" s="1696"/>
      <c r="DP621" s="1696"/>
      <c r="DQ621" s="1696"/>
      <c r="DR621" s="1696">
        <f>SUM(DR596:DV620)</f>
        <v>0</v>
      </c>
      <c r="DS621" s="1696"/>
      <c r="DT621" s="1696"/>
      <c r="DU621" s="1696"/>
      <c r="DV621" s="1696"/>
      <c r="DX621" s="1696">
        <f>SUM(DX596:EB620)</f>
        <v>2295</v>
      </c>
      <c r="DY621" s="1696"/>
      <c r="DZ621" s="1696"/>
      <c r="EA621" s="1696"/>
      <c r="EB621" s="1696"/>
      <c r="EC621" s="1696">
        <f>SUM(EC596:EG620)</f>
        <v>5019</v>
      </c>
      <c r="ED621" s="1696"/>
      <c r="EE621" s="1696"/>
      <c r="EF621" s="1696"/>
      <c r="EG621" s="1696"/>
      <c r="EH621" s="1696">
        <f>SUM(EH596:EL620)</f>
        <v>5853</v>
      </c>
      <c r="EI621" s="1696"/>
      <c r="EJ621" s="1696"/>
      <c r="EK621" s="1696"/>
      <c r="EL621" s="1696"/>
      <c r="EM621" s="1696">
        <f>SUM(EM596:EQ620)</f>
        <v>3966</v>
      </c>
      <c r="EN621" s="1696"/>
      <c r="EO621" s="1696"/>
      <c r="EP621" s="1696"/>
      <c r="EQ621" s="1696"/>
      <c r="ER621" s="1696">
        <f>SUM(ER596:EV620)</f>
        <v>0</v>
      </c>
      <c r="ES621" s="1696"/>
      <c r="ET621" s="1696"/>
      <c r="EU621" s="1696"/>
      <c r="EV621" s="1696"/>
      <c r="EW621" s="1696">
        <f>SUM(EW596:FA620)</f>
        <v>0</v>
      </c>
      <c r="EX621" s="1696"/>
      <c r="EY621" s="1696"/>
      <c r="EZ621" s="1696"/>
      <c r="FA621" s="1696"/>
    </row>
    <row r="622" spans="1:157" ht="12.95" customHeight="1">
      <c r="B622" s="1862"/>
      <c r="C622" s="1862"/>
      <c r="D622" s="1862"/>
      <c r="E622" s="1862"/>
      <c r="F622" s="1862"/>
      <c r="G622" s="1862"/>
      <c r="H622" s="1862"/>
      <c r="I622" s="1862"/>
      <c r="J622" s="1862"/>
      <c r="K622" s="1862"/>
      <c r="L622" s="1862"/>
      <c r="M622" s="1519"/>
      <c r="N622" s="1519"/>
      <c r="O622" s="1519"/>
      <c r="P622" s="1519"/>
      <c r="Q622" s="1519"/>
      <c r="R622" s="1519"/>
      <c r="S622" s="1519"/>
      <c r="T622" s="1519"/>
      <c r="U622" s="1519"/>
      <c r="V622" s="1519"/>
      <c r="W622" s="1861"/>
      <c r="X622" s="1861"/>
      <c r="Y622" s="1861"/>
      <c r="Z622" s="1419"/>
      <c r="AA622" s="1419"/>
      <c r="AB622" s="1420"/>
      <c r="AC622" s="1754"/>
      <c r="AD622" s="1755"/>
      <c r="AE622" s="1756"/>
      <c r="AF622" s="1418"/>
      <c r="AG622" s="1419"/>
      <c r="AH622" s="1419"/>
      <c r="AI622" s="1419"/>
      <c r="AJ622" s="1420"/>
      <c r="AK622" s="1744"/>
      <c r="AL622" s="1745"/>
      <c r="AM622" s="1745"/>
      <c r="AN622" s="1746"/>
      <c r="AO622" s="1519"/>
      <c r="AP622" s="1519"/>
      <c r="AQ622" s="1519"/>
      <c r="AR622" s="1519"/>
      <c r="AS622" s="1519"/>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2122</v>
      </c>
      <c r="CM622" s="1423">
        <f>BN621+BS621+BX621+CC621+CH621+CM621</f>
        <v>182</v>
      </c>
      <c r="CN622" s="1855"/>
      <c r="CO622" s="1855"/>
      <c r="CP622" s="1855"/>
      <c r="CQ622" s="1424"/>
      <c r="CR622" s="386"/>
      <c r="CS622" s="3"/>
      <c r="CT622" s="3"/>
      <c r="CU622" s="3"/>
      <c r="CV622" s="3"/>
      <c r="CW622" s="3"/>
      <c r="CX622" s="3"/>
      <c r="CY622" s="3"/>
      <c r="CZ622" s="3"/>
      <c r="DA622" s="3"/>
      <c r="DB622" s="3"/>
      <c r="DC622" s="3"/>
      <c r="DD622" s="3"/>
      <c r="DE622" s="3"/>
      <c r="DF622" s="3"/>
    </row>
    <row r="623" spans="1:157" ht="12.95" customHeight="1">
      <c r="B623" s="51" t="s">
        <v>113</v>
      </c>
      <c r="C623" s="1716" t="s">
        <v>2719</v>
      </c>
      <c r="D623" s="1716"/>
      <c r="E623" s="1716"/>
      <c r="F623" s="1716"/>
      <c r="G623" s="1716"/>
      <c r="H623" s="1716"/>
      <c r="I623" s="1716"/>
      <c r="J623" s="1716"/>
      <c r="K623" s="1716"/>
      <c r="L623" s="1716"/>
      <c r="M623" s="1860" t="s">
        <v>2534</v>
      </c>
      <c r="N623" s="1860"/>
      <c r="O623" s="1860"/>
      <c r="P623" s="1860"/>
      <c r="Q623" s="1551">
        <v>15</v>
      </c>
      <c r="R623" s="1551"/>
      <c r="S623" s="1759"/>
      <c r="T623" s="1758">
        <v>15</v>
      </c>
      <c r="U623" s="1551"/>
      <c r="V623" s="1759"/>
      <c r="W623" s="1603">
        <v>6.8699999999999997E-2</v>
      </c>
      <c r="X623" s="1604"/>
      <c r="Y623" s="1605"/>
      <c r="Z623" s="1718" t="s">
        <v>2552</v>
      </c>
      <c r="AA623" s="1719"/>
      <c r="AB623" s="1720"/>
      <c r="AC623" s="1435">
        <v>1</v>
      </c>
      <c r="AD623" s="1433"/>
      <c r="AE623" s="1434"/>
      <c r="AF623" s="1588">
        <f>PMT((W623/12),(T623*12),-AO623)*12</f>
        <v>196859.97644082521</v>
      </c>
      <c r="AG623" s="1589"/>
      <c r="AH623" s="1589"/>
      <c r="AI623" s="1589"/>
      <c r="AJ623" s="1590"/>
      <c r="AK623" s="1606"/>
      <c r="AL623" s="1607"/>
      <c r="AM623" s="1607"/>
      <c r="AN623" s="1608"/>
      <c r="AO623" s="1629">
        <v>1840000</v>
      </c>
      <c r="AP623" s="1629"/>
      <c r="AQ623" s="1629"/>
      <c r="AR623" s="1629"/>
      <c r="AS623" s="1629"/>
      <c r="AT623" s="3"/>
      <c r="AU623" s="3"/>
      <c r="AV623" s="3"/>
      <c r="AW623" s="3"/>
      <c r="AX623" s="3"/>
      <c r="AY623" s="3"/>
      <c r="AZ623" s="3"/>
      <c r="BA623" s="3" t="s">
        <v>1326</v>
      </c>
      <c r="BB623" s="3"/>
      <c r="BC623" s="3"/>
      <c r="BD623" s="3"/>
      <c r="BE623" s="3"/>
      <c r="BF623" s="3"/>
      <c r="BG623" s="3"/>
      <c r="BH623" s="3"/>
      <c r="BI623" s="3"/>
      <c r="BJ623" s="3"/>
      <c r="BK623" s="3"/>
      <c r="BL623" s="3"/>
      <c r="BM623" s="3"/>
      <c r="BR623" s="897">
        <f>BN621*1</f>
        <v>17</v>
      </c>
      <c r="BS623" s="3"/>
      <c r="BT623" s="3"/>
      <c r="BU623" s="3"/>
      <c r="BV623" s="3"/>
      <c r="BW623" s="897">
        <f>BS621*1</f>
        <v>75</v>
      </c>
      <c r="BX623" s="3"/>
      <c r="BY623" s="3"/>
      <c r="BZ623" s="3"/>
      <c r="CA623" s="3"/>
      <c r="CB623" s="897">
        <f>BX621*2</f>
        <v>106</v>
      </c>
      <c r="CC623" s="3"/>
      <c r="CD623" s="3"/>
      <c r="CE623" s="3"/>
      <c r="CF623" s="3"/>
      <c r="CG623" s="897">
        <f>CC621*3</f>
        <v>111</v>
      </c>
      <c r="CH623" s="3"/>
      <c r="CI623" s="3"/>
      <c r="CJ623" s="3"/>
      <c r="CK623" s="3"/>
      <c r="CL623" s="897">
        <f>CH621*4</f>
        <v>0</v>
      </c>
      <c r="CM623" s="3"/>
      <c r="CN623" s="3"/>
      <c r="CO623" s="3"/>
      <c r="CP623" s="3"/>
      <c r="CQ623" s="897">
        <f>CM621*5</f>
        <v>0</v>
      </c>
      <c r="CS623" s="897">
        <f>BR623+BW623+CB623+CG623+CL623+CQ623</f>
        <v>309</v>
      </c>
      <c r="CT623" s="57" t="s">
        <v>2124</v>
      </c>
      <c r="CU623" s="3"/>
      <c r="CV623" s="3"/>
      <c r="CW623" s="3"/>
      <c r="CX623" s="3"/>
      <c r="CY623" s="3"/>
      <c r="CZ623" s="3"/>
      <c r="DA623" s="3"/>
      <c r="DB623" s="3"/>
      <c r="DC623" s="3"/>
      <c r="DD623" s="3"/>
      <c r="DE623" s="3"/>
      <c r="DF623" s="3"/>
    </row>
    <row r="624" spans="1:157" ht="12.95" customHeight="1">
      <c r="B624" s="52" t="s">
        <v>114</v>
      </c>
      <c r="C624" s="1716" t="s">
        <v>2700</v>
      </c>
      <c r="D624" s="1716"/>
      <c r="E624" s="1716"/>
      <c r="F624" s="1716"/>
      <c r="G624" s="1716"/>
      <c r="H624" s="1716"/>
      <c r="I624" s="1716"/>
      <c r="J624" s="1716"/>
      <c r="K624" s="1716"/>
      <c r="L624" s="1716"/>
      <c r="M624" s="1860" t="s">
        <v>2536</v>
      </c>
      <c r="N624" s="1860"/>
      <c r="O624" s="1860"/>
      <c r="P624" s="1860"/>
      <c r="Q624" s="1758">
        <v>55</v>
      </c>
      <c r="R624" s="1551"/>
      <c r="S624" s="1759"/>
      <c r="T624" s="1758">
        <v>55</v>
      </c>
      <c r="U624" s="1551"/>
      <c r="V624" s="1759"/>
      <c r="W624" s="1603">
        <v>0.03</v>
      </c>
      <c r="X624" s="1604"/>
      <c r="Y624" s="1605"/>
      <c r="Z624" s="1718" t="s">
        <v>466</v>
      </c>
      <c r="AA624" s="1719"/>
      <c r="AB624" s="1720"/>
      <c r="AC624" s="1435">
        <v>3</v>
      </c>
      <c r="AD624" s="1433"/>
      <c r="AE624" s="1434"/>
      <c r="AF624" s="1588"/>
      <c r="AG624" s="1589"/>
      <c r="AH624" s="1589"/>
      <c r="AI624" s="1589"/>
      <c r="AJ624" s="1590"/>
      <c r="AK624" s="1606"/>
      <c r="AL624" s="1607"/>
      <c r="AM624" s="1607"/>
      <c r="AN624" s="1608"/>
      <c r="AO624" s="1609">
        <f>AM552</f>
        <v>65968539</v>
      </c>
      <c r="AP624" s="1610"/>
      <c r="AQ624" s="1610"/>
      <c r="AR624" s="1610"/>
      <c r="AS624" s="1611"/>
      <c r="AT624" s="1201" t="str">
        <f>IF(AND(NOT(C623=""),C624="",NOT(C625="")),"!","")</f>
        <v/>
      </c>
      <c r="AU624" s="3"/>
      <c r="AV624" s="3"/>
      <c r="AW624" s="3"/>
      <c r="AX624" s="3"/>
      <c r="AY624" s="3"/>
      <c r="AZ624" s="34"/>
      <c r="BA624" s="3" t="s">
        <v>467</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859" t="e">
        <f t="shared" ref="DX624:DX648" si="23">DX596*(BN596/$BN$621)</f>
        <v>#VALUE!</v>
      </c>
      <c r="DY624" s="1859"/>
      <c r="DZ624" s="1859"/>
      <c r="EA624" s="1859"/>
      <c r="EB624" s="1859"/>
      <c r="EC624" s="1859">
        <f t="shared" ref="EC624:EC648" si="24">EC596*(BS596/$BS$621)</f>
        <v>24</v>
      </c>
      <c r="ED624" s="1859"/>
      <c r="EE624" s="1859"/>
      <c r="EF624" s="1859"/>
      <c r="EG624" s="1859"/>
      <c r="EH624" s="1859" t="e">
        <f t="shared" ref="EH624:EH648" si="25">EH596*(BX596/$BX$621)</f>
        <v>#VALUE!</v>
      </c>
      <c r="EI624" s="1859"/>
      <c r="EJ624" s="1859"/>
      <c r="EK624" s="1859"/>
      <c r="EL624" s="1859"/>
      <c r="EM624" s="1859" t="e">
        <f t="shared" ref="EM624:EM648" si="26">EM596*(CC596/$CC$621)</f>
        <v>#VALUE!</v>
      </c>
      <c r="EN624" s="1859"/>
      <c r="EO624" s="1859"/>
      <c r="EP624" s="1859"/>
      <c r="EQ624" s="1859"/>
      <c r="ER624" s="1859" t="e">
        <f t="shared" ref="ER624:ER648" si="27">ER596*(CH596/$CH$621)</f>
        <v>#VALUE!</v>
      </c>
      <c r="ES624" s="1859"/>
      <c r="ET624" s="1859"/>
      <c r="EU624" s="1859"/>
      <c r="EV624" s="1859"/>
      <c r="EW624" s="1859" t="e">
        <f t="shared" ref="EW624:EW648" si="28">EW596*(CM596/$CM$621)</f>
        <v>#VALUE!</v>
      </c>
      <c r="EX624" s="1859"/>
      <c r="EY624" s="1859"/>
      <c r="EZ624" s="1859"/>
      <c r="FA624" s="1859"/>
    </row>
    <row r="625" spans="1:157" ht="12.95" customHeight="1">
      <c r="B625" s="52" t="s">
        <v>120</v>
      </c>
      <c r="C625" s="1716" t="s">
        <v>2729</v>
      </c>
      <c r="D625" s="1716"/>
      <c r="E625" s="1716"/>
      <c r="F625" s="1716"/>
      <c r="G625" s="1716"/>
      <c r="H625" s="1716"/>
      <c r="I625" s="1716"/>
      <c r="J625" s="1716"/>
      <c r="K625" s="1716"/>
      <c r="L625" s="1716"/>
      <c r="M625" s="1860" t="s">
        <v>2536</v>
      </c>
      <c r="N625" s="1860"/>
      <c r="O625" s="1860"/>
      <c r="P625" s="1860"/>
      <c r="Q625" s="1758">
        <v>55</v>
      </c>
      <c r="R625" s="1551"/>
      <c r="S625" s="1759"/>
      <c r="T625" s="1758">
        <v>55</v>
      </c>
      <c r="U625" s="1551"/>
      <c r="V625" s="1759"/>
      <c r="W625" s="1603">
        <v>0.03</v>
      </c>
      <c r="X625" s="1604"/>
      <c r="Y625" s="1605"/>
      <c r="Z625" s="1718" t="s">
        <v>466</v>
      </c>
      <c r="AA625" s="1719"/>
      <c r="AB625" s="1720"/>
      <c r="AC625" s="1435">
        <v>2</v>
      </c>
      <c r="AD625" s="1433"/>
      <c r="AE625" s="1434"/>
      <c r="AF625" s="1588">
        <f>AO625*0.0042</f>
        <v>117600</v>
      </c>
      <c r="AG625" s="1589"/>
      <c r="AH625" s="1589"/>
      <c r="AI625" s="1589"/>
      <c r="AJ625" s="1590"/>
      <c r="AK625" s="1606"/>
      <c r="AL625" s="1607"/>
      <c r="AM625" s="1607"/>
      <c r="AN625" s="1608"/>
      <c r="AO625" s="1609">
        <v>28000000</v>
      </c>
      <c r="AP625" s="1610"/>
      <c r="AQ625" s="1610"/>
      <c r="AR625" s="1610"/>
      <c r="AS625" s="1611"/>
      <c r="AT625" s="1201" t="str">
        <f t="shared" ref="AT625:AT634" si="29">IF(AND(NOT(C624=""),C625="",NOT(C626="")),"!","")</f>
        <v/>
      </c>
      <c r="AU625" s="3"/>
      <c r="AV625" s="3"/>
      <c r="AW625" s="3"/>
      <c r="AX625" s="3"/>
      <c r="AY625" s="3"/>
      <c r="AZ625" s="34"/>
      <c r="BA625" s="3" t="s">
        <v>466</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859" t="e">
        <f t="shared" si="23"/>
        <v>#VALUE!</v>
      </c>
      <c r="DY625" s="1859"/>
      <c r="DZ625" s="1859"/>
      <c r="EA625" s="1859"/>
      <c r="EB625" s="1859"/>
      <c r="EC625" s="1859" t="e">
        <f t="shared" si="24"/>
        <v>#VALUE!</v>
      </c>
      <c r="ED625" s="1859"/>
      <c r="EE625" s="1859"/>
      <c r="EF625" s="1859"/>
      <c r="EG625" s="1859"/>
      <c r="EH625" s="1859">
        <f t="shared" si="25"/>
        <v>118.86792452830188</v>
      </c>
      <c r="EI625" s="1859"/>
      <c r="EJ625" s="1859"/>
      <c r="EK625" s="1859"/>
      <c r="EL625" s="1859"/>
      <c r="EM625" s="1859" t="e">
        <f t="shared" si="26"/>
        <v>#VALUE!</v>
      </c>
      <c r="EN625" s="1859"/>
      <c r="EO625" s="1859"/>
      <c r="EP625" s="1859"/>
      <c r="EQ625" s="1859"/>
      <c r="ER625" s="1859" t="e">
        <f t="shared" si="27"/>
        <v>#VALUE!</v>
      </c>
      <c r="ES625" s="1859"/>
      <c r="ET625" s="1859"/>
      <c r="EU625" s="1859"/>
      <c r="EV625" s="1859"/>
      <c r="EW625" s="1859" t="e">
        <f t="shared" si="28"/>
        <v>#VALUE!</v>
      </c>
      <c r="EX625" s="1859"/>
      <c r="EY625" s="1859"/>
      <c r="EZ625" s="1859"/>
      <c r="FA625" s="1859"/>
    </row>
    <row r="626" spans="1:157" ht="12.95" customHeight="1">
      <c r="B626" s="52" t="s">
        <v>590</v>
      </c>
      <c r="C626" s="1716" t="str">
        <f>C553</f>
        <v>Deferred Developer Fee</v>
      </c>
      <c r="D626" s="1717"/>
      <c r="E626" s="1717"/>
      <c r="F626" s="1717"/>
      <c r="G626" s="1717"/>
      <c r="H626" s="1717"/>
      <c r="I626" s="1717"/>
      <c r="J626" s="1717"/>
      <c r="K626" s="1717"/>
      <c r="L626" s="1717"/>
      <c r="M626" s="1860" t="s">
        <v>2527</v>
      </c>
      <c r="N626" s="1860"/>
      <c r="O626" s="1860"/>
      <c r="P626" s="1860"/>
      <c r="Q626" s="1758"/>
      <c r="R626" s="1551"/>
      <c r="S626" s="1759"/>
      <c r="T626" s="1758"/>
      <c r="U626" s="1551"/>
      <c r="V626" s="1759"/>
      <c r="W626" s="1603"/>
      <c r="X626" s="1604"/>
      <c r="Y626" s="1605"/>
      <c r="Z626" s="1718" t="s">
        <v>467</v>
      </c>
      <c r="AA626" s="1719"/>
      <c r="AB626" s="1720"/>
      <c r="AC626" s="1435"/>
      <c r="AD626" s="1433"/>
      <c r="AE626" s="1434"/>
      <c r="AF626" s="1588"/>
      <c r="AG626" s="1589"/>
      <c r="AH626" s="1589"/>
      <c r="AI626" s="1589"/>
      <c r="AJ626" s="1590"/>
      <c r="AK626" s="1606"/>
      <c r="AL626" s="1607"/>
      <c r="AM626" s="1607"/>
      <c r="AN626" s="1608"/>
      <c r="AO626" s="1609">
        <f>AM553</f>
        <v>840000</v>
      </c>
      <c r="AP626" s="1610"/>
      <c r="AQ626" s="1610"/>
      <c r="AR626" s="1610"/>
      <c r="AS626" s="1611"/>
      <c r="AT626" s="1201" t="str">
        <f t="shared" si="29"/>
        <v/>
      </c>
      <c r="AU626" s="3"/>
      <c r="AV626" s="3"/>
      <c r="AW626" s="3"/>
      <c r="AX626" s="3"/>
      <c r="AY626" s="3"/>
      <c r="AZ626" s="34"/>
      <c r="BA626" s="3" t="s">
        <v>2552</v>
      </c>
      <c r="BB626" s="34"/>
      <c r="BC626" s="34"/>
      <c r="BD626" s="34"/>
      <c r="BE626" s="34"/>
      <c r="BF626" s="34"/>
      <c r="BG626" s="34"/>
      <c r="BH626" s="34"/>
      <c r="BI626" s="34"/>
      <c r="BJ626" s="34"/>
      <c r="BK626" s="34"/>
      <c r="BL626" s="34"/>
      <c r="BM626" s="34"/>
      <c r="BN626" s="1512">
        <f>IF(J758="SRO/Studio",O758,0)</f>
        <v>0</v>
      </c>
      <c r="BO626" s="1513"/>
      <c r="BP626" s="1513"/>
      <c r="BQ626" s="1513"/>
      <c r="BR626" s="1514"/>
      <c r="BS626" s="1399">
        <f>IF(J758="1 Bedroom",O758,0)</f>
        <v>1</v>
      </c>
      <c r="BT626" s="1399"/>
      <c r="BU626" s="1399"/>
      <c r="BV626" s="1399"/>
      <c r="BW626" s="1399"/>
      <c r="BX626" s="1399">
        <f>IF(J758="2 Bedrooms",O758,0)</f>
        <v>0</v>
      </c>
      <c r="BY626" s="1399"/>
      <c r="BZ626" s="1399"/>
      <c r="CA626" s="1399"/>
      <c r="CB626" s="1399"/>
      <c r="CC626" s="1399">
        <f>IF(J758="3 Bedrooms",O758,0)</f>
        <v>0</v>
      </c>
      <c r="CD626" s="1399"/>
      <c r="CE626" s="1399"/>
      <c r="CF626" s="1399"/>
      <c r="CG626" s="1399"/>
      <c r="CH626" s="1399">
        <f>IF(J758="4 Bedrooms",O758,0)</f>
        <v>0</v>
      </c>
      <c r="CI626" s="1399"/>
      <c r="CJ626" s="1399"/>
      <c r="CK626" s="1399"/>
      <c r="CL626" s="1399"/>
      <c r="CM626" s="1399">
        <f>IF(J758="5 Bedrooms",O758,0)</f>
        <v>0</v>
      </c>
      <c r="CN626" s="1399"/>
      <c r="CO626" s="1399"/>
      <c r="CP626" s="1399"/>
      <c r="CQ626" s="1399"/>
      <c r="CR626" s="6"/>
      <c r="CS626" s="3"/>
      <c r="CT626" s="3"/>
      <c r="CU626" s="3"/>
      <c r="CV626" s="3"/>
      <c r="CW626" s="3"/>
      <c r="CX626" s="3"/>
      <c r="CY626" s="3"/>
      <c r="CZ626" s="3"/>
      <c r="DA626" s="3"/>
      <c r="DB626" s="3"/>
      <c r="DC626" s="3"/>
      <c r="DD626" s="3"/>
      <c r="DE626" s="3"/>
      <c r="DF626" s="3"/>
      <c r="DX626" s="1859" t="e">
        <f t="shared" si="23"/>
        <v>#VALUE!</v>
      </c>
      <c r="DY626" s="1859"/>
      <c r="DZ626" s="1859"/>
      <c r="EA626" s="1859"/>
      <c r="EB626" s="1859"/>
      <c r="EC626" s="1859" t="e">
        <f t="shared" si="24"/>
        <v>#VALUE!</v>
      </c>
      <c r="ED626" s="1859"/>
      <c r="EE626" s="1859"/>
      <c r="EF626" s="1859"/>
      <c r="EG626" s="1859"/>
      <c r="EH626" s="1859" t="e">
        <f t="shared" si="25"/>
        <v>#VALUE!</v>
      </c>
      <c r="EI626" s="1859"/>
      <c r="EJ626" s="1859"/>
      <c r="EK626" s="1859"/>
      <c r="EL626" s="1859"/>
      <c r="EM626" s="1859">
        <f t="shared" si="26"/>
        <v>86.486486486486484</v>
      </c>
      <c r="EN626" s="1859"/>
      <c r="EO626" s="1859"/>
      <c r="EP626" s="1859"/>
      <c r="EQ626" s="1859"/>
      <c r="ER626" s="1859" t="e">
        <f t="shared" si="27"/>
        <v>#VALUE!</v>
      </c>
      <c r="ES626" s="1859"/>
      <c r="ET626" s="1859"/>
      <c r="EU626" s="1859"/>
      <c r="EV626" s="1859"/>
      <c r="EW626" s="1859" t="e">
        <f t="shared" si="28"/>
        <v>#VALUE!</v>
      </c>
      <c r="EX626" s="1859"/>
      <c r="EY626" s="1859"/>
      <c r="EZ626" s="1859"/>
      <c r="FA626" s="1859"/>
    </row>
    <row r="627" spans="1:157" ht="12.95" customHeight="1">
      <c r="B627" s="52" t="s">
        <v>787</v>
      </c>
      <c r="C627" s="1717"/>
      <c r="D627" s="1717"/>
      <c r="E627" s="1717"/>
      <c r="F627" s="1717"/>
      <c r="G627" s="1717"/>
      <c r="H627" s="1717"/>
      <c r="I627" s="1717"/>
      <c r="J627" s="1717"/>
      <c r="K627" s="1717"/>
      <c r="L627" s="1717"/>
      <c r="M627" s="1860" t="s">
        <v>1326</v>
      </c>
      <c r="N627" s="1860"/>
      <c r="O627" s="1860"/>
      <c r="P627" s="1860"/>
      <c r="Q627" s="1758"/>
      <c r="R627" s="1551"/>
      <c r="S627" s="1759"/>
      <c r="T627" s="1758"/>
      <c r="U627" s="1551"/>
      <c r="V627" s="1759"/>
      <c r="W627" s="1603"/>
      <c r="X627" s="1604"/>
      <c r="Y627" s="1605"/>
      <c r="Z627" s="1718" t="s">
        <v>1326</v>
      </c>
      <c r="AA627" s="1719"/>
      <c r="AB627" s="1720"/>
      <c r="AC627" s="1435"/>
      <c r="AD627" s="1433"/>
      <c r="AE627" s="1434"/>
      <c r="AF627" s="1588"/>
      <c r="AG627" s="1589"/>
      <c r="AH627" s="1589"/>
      <c r="AI627" s="1589"/>
      <c r="AJ627" s="1590"/>
      <c r="AK627" s="1606"/>
      <c r="AL627" s="1607"/>
      <c r="AM627" s="1607"/>
      <c r="AN627" s="1608"/>
      <c r="AO627" s="1609"/>
      <c r="AP627" s="1610"/>
      <c r="AQ627" s="1610"/>
      <c r="AR627" s="1610"/>
      <c r="AS627" s="1611"/>
      <c r="AT627" s="1201" t="str">
        <f t="shared" si="29"/>
        <v/>
      </c>
      <c r="AU627" s="3"/>
      <c r="AV627" s="3"/>
      <c r="AW627" s="3"/>
      <c r="AX627" s="3"/>
      <c r="AY627" s="3"/>
      <c r="AZ627" s="34"/>
      <c r="BA627" s="3" t="s">
        <v>302</v>
      </c>
      <c r="BB627" s="34"/>
      <c r="BC627" s="34"/>
      <c r="BD627" s="34"/>
      <c r="BE627" s="34"/>
      <c r="BF627" s="34"/>
      <c r="BG627" s="34"/>
      <c r="BH627" s="34"/>
      <c r="BI627" s="34"/>
      <c r="BJ627" s="34"/>
      <c r="BK627" s="34"/>
      <c r="BL627" s="34"/>
      <c r="BM627" s="34"/>
      <c r="BN627" s="1512">
        <f>IF(J759="SRO/Studio",O759,0)</f>
        <v>0</v>
      </c>
      <c r="BO627" s="1513"/>
      <c r="BP627" s="1513"/>
      <c r="BQ627" s="1513"/>
      <c r="BR627" s="1514"/>
      <c r="BS627" s="1399">
        <f>IF(J759="1 Bedroom",O759,0)</f>
        <v>0</v>
      </c>
      <c r="BT627" s="1399"/>
      <c r="BU627" s="1399"/>
      <c r="BV627" s="1399"/>
      <c r="BW627" s="1399"/>
      <c r="BX627" s="1399">
        <f>IF(J759="2 Bedrooms",O759,0)</f>
        <v>1</v>
      </c>
      <c r="BY627" s="1399"/>
      <c r="BZ627" s="1399"/>
      <c r="CA627" s="1399"/>
      <c r="CB627" s="1399"/>
      <c r="CC627" s="1399">
        <f>IF(J759="3 Bedrooms",O759,0)</f>
        <v>0</v>
      </c>
      <c r="CD627" s="1399"/>
      <c r="CE627" s="1399"/>
      <c r="CF627" s="1399"/>
      <c r="CG627" s="1399"/>
      <c r="CH627" s="1399">
        <f>IF(J759="4 Bedrooms",O759,0)</f>
        <v>0</v>
      </c>
      <c r="CI627" s="1399"/>
      <c r="CJ627" s="1399"/>
      <c r="CK627" s="1399"/>
      <c r="CL627" s="1399"/>
      <c r="CM627" s="1399">
        <f>IF(J759="5 Bedrooms",O759,0)</f>
        <v>0</v>
      </c>
      <c r="CN627" s="1399"/>
      <c r="CO627" s="1399"/>
      <c r="CP627" s="1399"/>
      <c r="CQ627" s="1399"/>
      <c r="CR627" s="6"/>
      <c r="CS627" s="3"/>
      <c r="CT627" s="3"/>
      <c r="CU627" s="3"/>
      <c r="CV627" s="3"/>
      <c r="CW627" s="3"/>
      <c r="CX627" s="3"/>
      <c r="CY627" s="3"/>
      <c r="CZ627" s="3"/>
      <c r="DA627" s="3"/>
      <c r="DB627" s="3"/>
      <c r="DC627" s="3"/>
      <c r="DD627" s="3"/>
      <c r="DE627" s="3"/>
      <c r="DF627" s="3"/>
      <c r="DX627" s="1859" t="e">
        <f t="shared" si="23"/>
        <v>#VALUE!</v>
      </c>
      <c r="DY627" s="1859"/>
      <c r="DZ627" s="1859"/>
      <c r="EA627" s="1859"/>
      <c r="EB627" s="1859"/>
      <c r="EC627" s="1859">
        <f t="shared" si="24"/>
        <v>8</v>
      </c>
      <c r="ED627" s="1859"/>
      <c r="EE627" s="1859"/>
      <c r="EF627" s="1859"/>
      <c r="EG627" s="1859"/>
      <c r="EH627" s="1859" t="e">
        <f t="shared" si="25"/>
        <v>#VALUE!</v>
      </c>
      <c r="EI627" s="1859"/>
      <c r="EJ627" s="1859"/>
      <c r="EK627" s="1859"/>
      <c r="EL627" s="1859"/>
      <c r="EM627" s="1859" t="e">
        <f t="shared" si="26"/>
        <v>#VALUE!</v>
      </c>
      <c r="EN627" s="1859"/>
      <c r="EO627" s="1859"/>
      <c r="EP627" s="1859"/>
      <c r="EQ627" s="1859"/>
      <c r="ER627" s="1859" t="e">
        <f t="shared" si="27"/>
        <v>#VALUE!</v>
      </c>
      <c r="ES627" s="1859"/>
      <c r="ET627" s="1859"/>
      <c r="EU627" s="1859"/>
      <c r="EV627" s="1859"/>
      <c r="EW627" s="1859" t="e">
        <f t="shared" si="28"/>
        <v>#VALUE!</v>
      </c>
      <c r="EX627" s="1859"/>
      <c r="EY627" s="1859"/>
      <c r="EZ627" s="1859"/>
      <c r="FA627" s="1859"/>
    </row>
    <row r="628" spans="1:157" ht="12.95" customHeight="1">
      <c r="B628" s="52" t="s">
        <v>593</v>
      </c>
      <c r="C628" s="1717"/>
      <c r="D628" s="1717"/>
      <c r="E628" s="1717"/>
      <c r="F628" s="1717"/>
      <c r="G628" s="1717"/>
      <c r="H628" s="1717"/>
      <c r="I628" s="1717"/>
      <c r="J628" s="1717"/>
      <c r="K628" s="1717"/>
      <c r="L628" s="1717"/>
      <c r="M628" s="1860" t="s">
        <v>1326</v>
      </c>
      <c r="N628" s="1860"/>
      <c r="O628" s="1860"/>
      <c r="P628" s="1860"/>
      <c r="Q628" s="1758"/>
      <c r="R628" s="1551"/>
      <c r="S628" s="1759"/>
      <c r="T628" s="1758"/>
      <c r="U628" s="1551"/>
      <c r="V628" s="1759"/>
      <c r="W628" s="1603"/>
      <c r="X628" s="1604"/>
      <c r="Y628" s="1605"/>
      <c r="Z628" s="1718" t="s">
        <v>1326</v>
      </c>
      <c r="AA628" s="1719"/>
      <c r="AB628" s="1720"/>
      <c r="AC628" s="1435"/>
      <c r="AD628" s="1433"/>
      <c r="AE628" s="1434"/>
      <c r="AF628" s="1588"/>
      <c r="AG628" s="1589"/>
      <c r="AH628" s="1589"/>
      <c r="AI628" s="1589"/>
      <c r="AJ628" s="1590"/>
      <c r="AK628" s="1606"/>
      <c r="AL628" s="1607"/>
      <c r="AM628" s="1607"/>
      <c r="AN628" s="1608"/>
      <c r="AO628" s="1609"/>
      <c r="AP628" s="1610"/>
      <c r="AQ628" s="1610"/>
      <c r="AR628" s="1610"/>
      <c r="AS628" s="1611"/>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512">
        <f>IF(J760="SRO/Studio",O760,0)</f>
        <v>0</v>
      </c>
      <c r="BO628" s="1513"/>
      <c r="BP628" s="1513"/>
      <c r="BQ628" s="1513"/>
      <c r="BR628" s="1514"/>
      <c r="BS628" s="1399">
        <f>IF(J760="1 Bedroom",O760,0)</f>
        <v>0</v>
      </c>
      <c r="BT628" s="1399"/>
      <c r="BU628" s="1399"/>
      <c r="BV628" s="1399"/>
      <c r="BW628" s="1399"/>
      <c r="BX628" s="1399">
        <f>IF(J760="2 Bedrooms",O760,0)</f>
        <v>0</v>
      </c>
      <c r="BY628" s="1399"/>
      <c r="BZ628" s="1399"/>
      <c r="CA628" s="1399"/>
      <c r="CB628" s="1399"/>
      <c r="CC628" s="1399">
        <f>IF(J760="3 Bedrooms",O760,0)</f>
        <v>0</v>
      </c>
      <c r="CD628" s="1399"/>
      <c r="CE628" s="1399"/>
      <c r="CF628" s="1399"/>
      <c r="CG628" s="1399"/>
      <c r="CH628" s="1399">
        <f>IF(J760="4 Bedrooms",O760,0)</f>
        <v>0</v>
      </c>
      <c r="CI628" s="1399"/>
      <c r="CJ628" s="1399"/>
      <c r="CK628" s="1399"/>
      <c r="CL628" s="1399"/>
      <c r="CM628" s="1399">
        <f>IF(J760="5 Bedrooms",O760,0)</f>
        <v>0</v>
      </c>
      <c r="CN628" s="1399"/>
      <c r="CO628" s="1399"/>
      <c r="CP628" s="1399"/>
      <c r="CQ628" s="1399"/>
      <c r="CR628" s="1049"/>
      <c r="CV628" s="3"/>
      <c r="CW628" s="3"/>
      <c r="CX628" s="3"/>
      <c r="CY628" s="3"/>
      <c r="CZ628" s="3"/>
      <c r="DA628" s="3"/>
      <c r="DB628" s="3"/>
      <c r="DC628" s="3"/>
      <c r="DD628" s="3"/>
      <c r="DE628" s="3"/>
      <c r="DF628" s="3"/>
      <c r="DX628" s="1859" t="e">
        <f t="shared" si="23"/>
        <v>#VALUE!</v>
      </c>
      <c r="DY628" s="1859"/>
      <c r="DZ628" s="1859"/>
      <c r="EA628" s="1859"/>
      <c r="EB628" s="1859"/>
      <c r="EC628" s="1859" t="e">
        <f t="shared" si="24"/>
        <v>#VALUE!</v>
      </c>
      <c r="ED628" s="1859"/>
      <c r="EE628" s="1859"/>
      <c r="EF628" s="1859"/>
      <c r="EG628" s="1859"/>
      <c r="EH628" s="1859">
        <f t="shared" si="25"/>
        <v>26.415094339622641</v>
      </c>
      <c r="EI628" s="1859"/>
      <c r="EJ628" s="1859"/>
      <c r="EK628" s="1859"/>
      <c r="EL628" s="1859"/>
      <c r="EM628" s="1859" t="e">
        <f t="shared" si="26"/>
        <v>#VALUE!</v>
      </c>
      <c r="EN628" s="1859"/>
      <c r="EO628" s="1859"/>
      <c r="EP628" s="1859"/>
      <c r="EQ628" s="1859"/>
      <c r="ER628" s="1859" t="e">
        <f t="shared" si="27"/>
        <v>#VALUE!</v>
      </c>
      <c r="ES628" s="1859"/>
      <c r="ET628" s="1859"/>
      <c r="EU628" s="1859"/>
      <c r="EV628" s="1859"/>
      <c r="EW628" s="1859" t="e">
        <f t="shared" si="28"/>
        <v>#VALUE!</v>
      </c>
      <c r="EX628" s="1859"/>
      <c r="EY628" s="1859"/>
      <c r="EZ628" s="1859"/>
      <c r="FA628" s="1859"/>
    </row>
    <row r="629" spans="1:157" ht="12.95" customHeight="1">
      <c r="B629" s="52" t="s">
        <v>464</v>
      </c>
      <c r="C629" s="1717"/>
      <c r="D629" s="1717"/>
      <c r="E629" s="1717"/>
      <c r="F629" s="1717"/>
      <c r="G629" s="1717"/>
      <c r="H629" s="1717"/>
      <c r="I629" s="1717"/>
      <c r="J629" s="1717"/>
      <c r="K629" s="1717"/>
      <c r="L629" s="1717"/>
      <c r="M629" s="1860" t="s">
        <v>1326</v>
      </c>
      <c r="N629" s="1860"/>
      <c r="O629" s="1860"/>
      <c r="P629" s="1860"/>
      <c r="Q629" s="1758"/>
      <c r="R629" s="1551"/>
      <c r="S629" s="1759"/>
      <c r="T629" s="1758"/>
      <c r="U629" s="1551"/>
      <c r="V629" s="1759"/>
      <c r="W629" s="1603"/>
      <c r="X629" s="1604"/>
      <c r="Y629" s="1605"/>
      <c r="Z629" s="1718" t="s">
        <v>1326</v>
      </c>
      <c r="AA629" s="1719"/>
      <c r="AB629" s="1720"/>
      <c r="AC629" s="1435"/>
      <c r="AD629" s="1433"/>
      <c r="AE629" s="1434"/>
      <c r="AF629" s="1588"/>
      <c r="AG629" s="1589"/>
      <c r="AH629" s="1589"/>
      <c r="AI629" s="1589"/>
      <c r="AJ629" s="1590"/>
      <c r="AK629" s="1606"/>
      <c r="AL629" s="1607"/>
      <c r="AM629" s="1607"/>
      <c r="AN629" s="1608"/>
      <c r="AO629" s="1609"/>
      <c r="AP629" s="1610"/>
      <c r="AQ629" s="1610"/>
      <c r="AR629" s="1610"/>
      <c r="AS629" s="1611"/>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512">
        <f>IF(J761="SRO/Studio",O761,0)</f>
        <v>0</v>
      </c>
      <c r="BO629" s="1513"/>
      <c r="BP629" s="1513"/>
      <c r="BQ629" s="1513"/>
      <c r="BR629" s="1514"/>
      <c r="BS629" s="1399">
        <f>IF(J761="1 Bedroom",O761,0)</f>
        <v>0</v>
      </c>
      <c r="BT629" s="1399"/>
      <c r="BU629" s="1399"/>
      <c r="BV629" s="1399"/>
      <c r="BW629" s="1399"/>
      <c r="BX629" s="1399">
        <f>IF(J761="2 Bedrooms",O761,0)</f>
        <v>0</v>
      </c>
      <c r="BY629" s="1399"/>
      <c r="BZ629" s="1399"/>
      <c r="CA629" s="1399"/>
      <c r="CB629" s="1399"/>
      <c r="CC629" s="1399">
        <f>IF(J761="3 Bedrooms",O761,0)</f>
        <v>0</v>
      </c>
      <c r="CD629" s="1399"/>
      <c r="CE629" s="1399"/>
      <c r="CF629" s="1399"/>
      <c r="CG629" s="1399"/>
      <c r="CH629" s="1399">
        <f>IF(J761="4 Bedrooms",O761,0)</f>
        <v>0</v>
      </c>
      <c r="CI629" s="1399"/>
      <c r="CJ629" s="1399"/>
      <c r="CK629" s="1399"/>
      <c r="CL629" s="1399"/>
      <c r="CM629" s="1399">
        <f>IF(J761="5 Bedrooms",O761,0)</f>
        <v>0</v>
      </c>
      <c r="CN629" s="1399"/>
      <c r="CO629" s="1399"/>
      <c r="CP629" s="1399"/>
      <c r="CQ629" s="1399"/>
      <c r="CV629" s="3"/>
      <c r="CW629" s="3"/>
      <c r="CX629" s="3"/>
      <c r="CY629" s="3"/>
      <c r="CZ629" s="3"/>
      <c r="DA629" s="3"/>
      <c r="DB629" s="3"/>
      <c r="DC629" s="3"/>
      <c r="DD629" s="3"/>
      <c r="DE629" s="3"/>
      <c r="DF629" s="3"/>
      <c r="DX629" s="1859" t="e">
        <f t="shared" si="23"/>
        <v>#VALUE!</v>
      </c>
      <c r="DY629" s="1859"/>
      <c r="DZ629" s="1859"/>
      <c r="EA629" s="1859"/>
      <c r="EB629" s="1859"/>
      <c r="EC629" s="1859" t="e">
        <f t="shared" si="24"/>
        <v>#VALUE!</v>
      </c>
      <c r="ED629" s="1859"/>
      <c r="EE629" s="1859"/>
      <c r="EF629" s="1859"/>
      <c r="EG629" s="1859"/>
      <c r="EH629" s="1859" t="e">
        <f t="shared" si="25"/>
        <v>#VALUE!</v>
      </c>
      <c r="EI629" s="1859"/>
      <c r="EJ629" s="1859"/>
      <c r="EK629" s="1859"/>
      <c r="EL629" s="1859"/>
      <c r="EM629" s="1859">
        <f t="shared" si="26"/>
        <v>21.621621621621621</v>
      </c>
      <c r="EN629" s="1859"/>
      <c r="EO629" s="1859"/>
      <c r="EP629" s="1859"/>
      <c r="EQ629" s="1859"/>
      <c r="ER629" s="1859" t="e">
        <f t="shared" si="27"/>
        <v>#VALUE!</v>
      </c>
      <c r="ES629" s="1859"/>
      <c r="ET629" s="1859"/>
      <c r="EU629" s="1859"/>
      <c r="EV629" s="1859"/>
      <c r="EW629" s="1859" t="e">
        <f t="shared" si="28"/>
        <v>#VALUE!</v>
      </c>
      <c r="EX629" s="1859"/>
      <c r="EY629" s="1859"/>
      <c r="EZ629" s="1859"/>
      <c r="FA629" s="1859"/>
    </row>
    <row r="630" spans="1:157" ht="12.95" customHeight="1">
      <c r="B630" s="52" t="s">
        <v>465</v>
      </c>
      <c r="C630" s="1717"/>
      <c r="D630" s="1717"/>
      <c r="E630" s="1717"/>
      <c r="F630" s="1717"/>
      <c r="G630" s="1717"/>
      <c r="H630" s="1717"/>
      <c r="I630" s="1717"/>
      <c r="J630" s="1717"/>
      <c r="K630" s="1717"/>
      <c r="L630" s="1717"/>
      <c r="M630" s="1860" t="s">
        <v>1326</v>
      </c>
      <c r="N630" s="1860"/>
      <c r="O630" s="1860"/>
      <c r="P630" s="1860"/>
      <c r="Q630" s="1758"/>
      <c r="R630" s="1551"/>
      <c r="S630" s="1759"/>
      <c r="T630" s="1758"/>
      <c r="U630" s="1551"/>
      <c r="V630" s="1759"/>
      <c r="W630" s="1603"/>
      <c r="X630" s="1604"/>
      <c r="Y630" s="1605"/>
      <c r="Z630" s="1718" t="s">
        <v>1326</v>
      </c>
      <c r="AA630" s="1719"/>
      <c r="AB630" s="1720"/>
      <c r="AC630" s="1435"/>
      <c r="AD630" s="1433"/>
      <c r="AE630" s="1434"/>
      <c r="AF630" s="1588"/>
      <c r="AG630" s="1589"/>
      <c r="AH630" s="1589"/>
      <c r="AI630" s="1589"/>
      <c r="AJ630" s="1590"/>
      <c r="AK630" s="1606"/>
      <c r="AL630" s="1607"/>
      <c r="AM630" s="1607"/>
      <c r="AN630" s="1608"/>
      <c r="AO630" s="1609"/>
      <c r="AP630" s="1610"/>
      <c r="AQ630" s="1610"/>
      <c r="AR630" s="1610"/>
      <c r="AS630" s="1611"/>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501">
        <f>SUM(BN626:BR629)</f>
        <v>0</v>
      </c>
      <c r="BO630" s="1515"/>
      <c r="BP630" s="1515"/>
      <c r="BQ630" s="1515"/>
      <c r="BR630" s="1502"/>
      <c r="BS630" s="1709">
        <f>SUM(BS626:BW629)</f>
        <v>1</v>
      </c>
      <c r="BT630" s="1710"/>
      <c r="BU630" s="1710"/>
      <c r="BV630" s="1710"/>
      <c r="BW630" s="1711"/>
      <c r="BX630" s="1709">
        <f>SUM(BX626:CB629)</f>
        <v>1</v>
      </c>
      <c r="BY630" s="1710"/>
      <c r="BZ630" s="1710"/>
      <c r="CA630" s="1710"/>
      <c r="CB630" s="1711"/>
      <c r="CC630" s="1709">
        <f>SUM(CC626:CG629)</f>
        <v>0</v>
      </c>
      <c r="CD630" s="1710"/>
      <c r="CE630" s="1710"/>
      <c r="CF630" s="1710"/>
      <c r="CG630" s="1711"/>
      <c r="CH630" s="1709">
        <f>SUM(CH626:CL629)</f>
        <v>0</v>
      </c>
      <c r="CI630" s="1710"/>
      <c r="CJ630" s="1710"/>
      <c r="CK630" s="1710"/>
      <c r="CL630" s="1711"/>
      <c r="CM630" s="1709">
        <f>SUM(CM626:CQ629)</f>
        <v>0</v>
      </c>
      <c r="CN630" s="1710"/>
      <c r="CO630" s="1710"/>
      <c r="CP630" s="1710"/>
      <c r="CQ630" s="1711"/>
      <c r="CS630" s="897">
        <f>BN630+BS630+BX630+CC630+CH630+CM630</f>
        <v>2</v>
      </c>
      <c r="CT630" s="57" t="s">
        <v>2121</v>
      </c>
      <c r="CU630" s="3"/>
      <c r="CV630" s="3"/>
      <c r="CW630" s="3"/>
      <c r="CX630" s="3"/>
      <c r="CY630" s="3"/>
      <c r="CZ630" s="3"/>
      <c r="DA630" s="3"/>
      <c r="DB630" s="3"/>
      <c r="DC630" s="3"/>
      <c r="DD630" s="3"/>
      <c r="DE630" s="3"/>
      <c r="DF630" s="3"/>
      <c r="DX630" s="1859">
        <f t="shared" si="23"/>
        <v>102.70588235294117</v>
      </c>
      <c r="DY630" s="1859"/>
      <c r="DZ630" s="1859"/>
      <c r="EA630" s="1859"/>
      <c r="EB630" s="1859"/>
      <c r="EC630" s="1859" t="e">
        <f t="shared" si="24"/>
        <v>#VALUE!</v>
      </c>
      <c r="ED630" s="1859"/>
      <c r="EE630" s="1859"/>
      <c r="EF630" s="1859"/>
      <c r="EG630" s="1859"/>
      <c r="EH630" s="1859" t="e">
        <f t="shared" si="25"/>
        <v>#VALUE!</v>
      </c>
      <c r="EI630" s="1859"/>
      <c r="EJ630" s="1859"/>
      <c r="EK630" s="1859"/>
      <c r="EL630" s="1859"/>
      <c r="EM630" s="1859" t="e">
        <f t="shared" si="26"/>
        <v>#VALUE!</v>
      </c>
      <c r="EN630" s="1859"/>
      <c r="EO630" s="1859"/>
      <c r="EP630" s="1859"/>
      <c r="EQ630" s="1859"/>
      <c r="ER630" s="1859" t="e">
        <f t="shared" si="27"/>
        <v>#VALUE!</v>
      </c>
      <c r="ES630" s="1859"/>
      <c r="ET630" s="1859"/>
      <c r="EU630" s="1859"/>
      <c r="EV630" s="1859"/>
      <c r="EW630" s="1859" t="e">
        <f t="shared" si="28"/>
        <v>#VALUE!</v>
      </c>
      <c r="EX630" s="1859"/>
      <c r="EY630" s="1859"/>
      <c r="EZ630" s="1859"/>
      <c r="FA630" s="1859"/>
    </row>
    <row r="631" spans="1:157" ht="12.95" customHeight="1">
      <c r="B631" s="52" t="s">
        <v>470</v>
      </c>
      <c r="C631" s="1717"/>
      <c r="D631" s="1717"/>
      <c r="E631" s="1717"/>
      <c r="F631" s="1717"/>
      <c r="G631" s="1717"/>
      <c r="H631" s="1717"/>
      <c r="I631" s="1717"/>
      <c r="J631" s="1717"/>
      <c r="K631" s="1717"/>
      <c r="L631" s="1717"/>
      <c r="M631" s="1860" t="s">
        <v>1326</v>
      </c>
      <c r="N631" s="1860"/>
      <c r="O631" s="1860"/>
      <c r="P631" s="1860"/>
      <c r="Q631" s="1758"/>
      <c r="R631" s="1551"/>
      <c r="S631" s="1759"/>
      <c r="T631" s="1758"/>
      <c r="U631" s="1551"/>
      <c r="V631" s="1759"/>
      <c r="W631" s="1603"/>
      <c r="X631" s="1604"/>
      <c r="Y631" s="1605"/>
      <c r="Z631" s="1718" t="s">
        <v>1326</v>
      </c>
      <c r="AA631" s="1719"/>
      <c r="AB631" s="1720"/>
      <c r="AC631" s="1435"/>
      <c r="AD631" s="1433"/>
      <c r="AE631" s="1434"/>
      <c r="AF631" s="1588"/>
      <c r="AG631" s="1589"/>
      <c r="AH631" s="1589"/>
      <c r="AI631" s="1589"/>
      <c r="AJ631" s="1590"/>
      <c r="AK631" s="1606"/>
      <c r="AL631" s="1607"/>
      <c r="AM631" s="1607"/>
      <c r="AN631" s="1608"/>
      <c r="AO631" s="1609"/>
      <c r="AP631" s="1610"/>
      <c r="AQ631" s="1610"/>
      <c r="AR631" s="1610"/>
      <c r="AS631" s="1611"/>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1</v>
      </c>
      <c r="BX631" s="3"/>
      <c r="BY631" s="3"/>
      <c r="BZ631" s="3"/>
      <c r="CA631" s="3"/>
      <c r="CB631" s="897">
        <f>BX630*2</f>
        <v>2</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3</v>
      </c>
      <c r="CT631" s="57" t="s">
        <v>2123</v>
      </c>
      <c r="CU631" s="3"/>
      <c r="CV631" s="3"/>
      <c r="CW631" s="3"/>
      <c r="CX631" s="3"/>
      <c r="CY631" s="3"/>
      <c r="CZ631" s="3"/>
      <c r="DA631" s="3"/>
      <c r="DB631" s="3"/>
      <c r="DC631" s="3"/>
      <c r="DD631" s="3"/>
      <c r="DE631" s="3"/>
      <c r="DF631" s="3"/>
      <c r="DX631" s="1859" t="e">
        <f t="shared" si="23"/>
        <v>#VALUE!</v>
      </c>
      <c r="DY631" s="1859"/>
      <c r="DZ631" s="1859"/>
      <c r="EA631" s="1859"/>
      <c r="EB631" s="1859"/>
      <c r="EC631" s="1859">
        <f t="shared" si="24"/>
        <v>59.466666666666669</v>
      </c>
      <c r="ED631" s="1859"/>
      <c r="EE631" s="1859"/>
      <c r="EF631" s="1859"/>
      <c r="EG631" s="1859"/>
      <c r="EH631" s="1859" t="e">
        <f t="shared" si="25"/>
        <v>#VALUE!</v>
      </c>
      <c r="EI631" s="1859"/>
      <c r="EJ631" s="1859"/>
      <c r="EK631" s="1859"/>
      <c r="EL631" s="1859"/>
      <c r="EM631" s="1859" t="e">
        <f t="shared" si="26"/>
        <v>#VALUE!</v>
      </c>
      <c r="EN631" s="1859"/>
      <c r="EO631" s="1859"/>
      <c r="EP631" s="1859"/>
      <c r="EQ631" s="1859"/>
      <c r="ER631" s="1859" t="e">
        <f t="shared" si="27"/>
        <v>#VALUE!</v>
      </c>
      <c r="ES631" s="1859"/>
      <c r="ET631" s="1859"/>
      <c r="EU631" s="1859"/>
      <c r="EV631" s="1859"/>
      <c r="EW631" s="1859" t="e">
        <f t="shared" si="28"/>
        <v>#VALUE!</v>
      </c>
      <c r="EX631" s="1859"/>
      <c r="EY631" s="1859"/>
      <c r="EZ631" s="1859"/>
      <c r="FA631" s="1859"/>
    </row>
    <row r="632" spans="1:157" ht="12.95" customHeight="1">
      <c r="B632" s="52" t="s">
        <v>655</v>
      </c>
      <c r="C632" s="1717"/>
      <c r="D632" s="1717"/>
      <c r="E632" s="1717"/>
      <c r="F632" s="1717"/>
      <c r="G632" s="1717"/>
      <c r="H632" s="1717"/>
      <c r="I632" s="1717"/>
      <c r="J632" s="1717"/>
      <c r="K632" s="1717"/>
      <c r="L632" s="1717"/>
      <c r="M632" s="1860" t="s">
        <v>1326</v>
      </c>
      <c r="N632" s="1860"/>
      <c r="O632" s="1860"/>
      <c r="P632" s="1860"/>
      <c r="Q632" s="1758"/>
      <c r="R632" s="1551"/>
      <c r="S632" s="1759"/>
      <c r="T632" s="1758"/>
      <c r="U632" s="1551"/>
      <c r="V632" s="1759"/>
      <c r="W632" s="1603"/>
      <c r="X632" s="1604"/>
      <c r="Y632" s="1605"/>
      <c r="Z632" s="1718" t="s">
        <v>1326</v>
      </c>
      <c r="AA632" s="1719"/>
      <c r="AB632" s="1720"/>
      <c r="AC632" s="1435"/>
      <c r="AD632" s="1433"/>
      <c r="AE632" s="1434"/>
      <c r="AF632" s="1588"/>
      <c r="AG632" s="1589"/>
      <c r="AH632" s="1589"/>
      <c r="AI632" s="1589"/>
      <c r="AJ632" s="1590"/>
      <c r="AK632" s="1606"/>
      <c r="AL632" s="1607"/>
      <c r="AM632" s="1607"/>
      <c r="AN632" s="1608"/>
      <c r="AO632" s="1609"/>
      <c r="AP632" s="1610"/>
      <c r="AQ632" s="1610"/>
      <c r="AR632" s="1610"/>
      <c r="AS632" s="1611"/>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859" t="e">
        <f t="shared" si="23"/>
        <v>#VALUE!</v>
      </c>
      <c r="DY632" s="1859"/>
      <c r="DZ632" s="1859"/>
      <c r="EA632" s="1859"/>
      <c r="EB632" s="1859"/>
      <c r="EC632" s="1859" t="e">
        <f t="shared" si="24"/>
        <v>#VALUE!</v>
      </c>
      <c r="ED632" s="1859"/>
      <c r="EE632" s="1859"/>
      <c r="EF632" s="1859"/>
      <c r="EG632" s="1859"/>
      <c r="EH632" s="1859">
        <f t="shared" si="25"/>
        <v>39.735849056603769</v>
      </c>
      <c r="EI632" s="1859"/>
      <c r="EJ632" s="1859"/>
      <c r="EK632" s="1859"/>
      <c r="EL632" s="1859"/>
      <c r="EM632" s="1859" t="e">
        <f t="shared" si="26"/>
        <v>#VALUE!</v>
      </c>
      <c r="EN632" s="1859"/>
      <c r="EO632" s="1859"/>
      <c r="EP632" s="1859"/>
      <c r="EQ632" s="1859"/>
      <c r="ER632" s="1859" t="e">
        <f t="shared" si="27"/>
        <v>#VALUE!</v>
      </c>
      <c r="ES632" s="1859"/>
      <c r="ET632" s="1859"/>
      <c r="EU632" s="1859"/>
      <c r="EV632" s="1859"/>
      <c r="EW632" s="1859" t="e">
        <f t="shared" si="28"/>
        <v>#VALUE!</v>
      </c>
      <c r="EX632" s="1859"/>
      <c r="EY632" s="1859"/>
      <c r="EZ632" s="1859"/>
      <c r="FA632" s="1859"/>
    </row>
    <row r="633" spans="1:157" ht="12.95" customHeight="1">
      <c r="B633" s="52" t="s">
        <v>364</v>
      </c>
      <c r="C633" s="1717"/>
      <c r="D633" s="1717"/>
      <c r="E633" s="1717"/>
      <c r="F633" s="1717"/>
      <c r="G633" s="1717"/>
      <c r="H633" s="1717"/>
      <c r="I633" s="1717"/>
      <c r="J633" s="1717"/>
      <c r="K633" s="1717"/>
      <c r="L633" s="1717"/>
      <c r="M633" s="1860" t="s">
        <v>1326</v>
      </c>
      <c r="N633" s="1860"/>
      <c r="O633" s="1860"/>
      <c r="P633" s="1860"/>
      <c r="Q633" s="1758"/>
      <c r="R633" s="1551"/>
      <c r="S633" s="1759"/>
      <c r="T633" s="1758"/>
      <c r="U633" s="1551"/>
      <c r="V633" s="1759"/>
      <c r="W633" s="1603"/>
      <c r="X633" s="1604"/>
      <c r="Y633" s="1605"/>
      <c r="Z633" s="1718" t="s">
        <v>1326</v>
      </c>
      <c r="AA633" s="1719"/>
      <c r="AB633" s="1720"/>
      <c r="AC633" s="1435"/>
      <c r="AD633" s="1433"/>
      <c r="AE633" s="1434"/>
      <c r="AF633" s="1588"/>
      <c r="AG633" s="1589"/>
      <c r="AH633" s="1589"/>
      <c r="AI633" s="1589"/>
      <c r="AJ633" s="1590"/>
      <c r="AK633" s="1606"/>
      <c r="AL633" s="1607"/>
      <c r="AM633" s="1607"/>
      <c r="AN633" s="1608"/>
      <c r="AO633" s="1609"/>
      <c r="AP633" s="1610"/>
      <c r="AQ633" s="1610"/>
      <c r="AR633" s="1610"/>
      <c r="AS633" s="1611"/>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2131</v>
      </c>
      <c r="CT633" s="3"/>
      <c r="CU633" s="3"/>
      <c r="CV633" s="3"/>
      <c r="CW633" s="3"/>
      <c r="CX633" s="3"/>
      <c r="CY633" s="3"/>
      <c r="CZ633" s="3"/>
      <c r="DA633" s="3"/>
      <c r="DB633" s="3"/>
      <c r="DC633" s="3"/>
      <c r="DD633" s="3"/>
      <c r="DE633" s="3"/>
      <c r="DF633" s="3"/>
      <c r="DX633" s="1859" t="e">
        <f t="shared" si="23"/>
        <v>#VALUE!</v>
      </c>
      <c r="DY633" s="1859"/>
      <c r="DZ633" s="1859"/>
      <c r="EA633" s="1859"/>
      <c r="EB633" s="1859"/>
      <c r="EC633" s="1859" t="e">
        <f t="shared" si="24"/>
        <v>#VALUE!</v>
      </c>
      <c r="ED633" s="1859"/>
      <c r="EE633" s="1859"/>
      <c r="EF633" s="1859"/>
      <c r="EG633" s="1859"/>
      <c r="EH633" s="1859" t="e">
        <f t="shared" si="25"/>
        <v>#VALUE!</v>
      </c>
      <c r="EI633" s="1859"/>
      <c r="EJ633" s="1859"/>
      <c r="EK633" s="1859"/>
      <c r="EL633" s="1859"/>
      <c r="EM633" s="1859">
        <f t="shared" si="26"/>
        <v>65.027027027027032</v>
      </c>
      <c r="EN633" s="1859"/>
      <c r="EO633" s="1859"/>
      <c r="EP633" s="1859"/>
      <c r="EQ633" s="1859"/>
      <c r="ER633" s="1859" t="e">
        <f t="shared" si="27"/>
        <v>#VALUE!</v>
      </c>
      <c r="ES633" s="1859"/>
      <c r="ET633" s="1859"/>
      <c r="EU633" s="1859"/>
      <c r="EV633" s="1859"/>
      <c r="EW633" s="1859" t="e">
        <f t="shared" si="28"/>
        <v>#VALUE!</v>
      </c>
      <c r="EX633" s="1859"/>
      <c r="EY633" s="1859"/>
      <c r="EZ633" s="1859"/>
      <c r="FA633" s="1859"/>
    </row>
    <row r="634" spans="1:157" ht="12.95" customHeight="1">
      <c r="B634" s="52" t="s">
        <v>365</v>
      </c>
      <c r="C634" s="1717"/>
      <c r="D634" s="1717"/>
      <c r="E634" s="1717"/>
      <c r="F634" s="1717"/>
      <c r="G634" s="1717"/>
      <c r="H634" s="1717"/>
      <c r="I634" s="1717"/>
      <c r="J634" s="1717"/>
      <c r="K634" s="1717"/>
      <c r="L634" s="1717"/>
      <c r="M634" s="1860" t="s">
        <v>1326</v>
      </c>
      <c r="N634" s="1860"/>
      <c r="O634" s="1860"/>
      <c r="P634" s="1860"/>
      <c r="Q634" s="1758"/>
      <c r="R634" s="1551"/>
      <c r="S634" s="1759"/>
      <c r="T634" s="1758"/>
      <c r="U634" s="1551"/>
      <c r="V634" s="1759"/>
      <c r="W634" s="1603"/>
      <c r="X634" s="1604"/>
      <c r="Y634" s="1605"/>
      <c r="Z634" s="1718" t="s">
        <v>1326</v>
      </c>
      <c r="AA634" s="1719"/>
      <c r="AB634" s="1720"/>
      <c r="AC634" s="1435"/>
      <c r="AD634" s="1433"/>
      <c r="AE634" s="1434"/>
      <c r="AF634" s="1588"/>
      <c r="AG634" s="1589"/>
      <c r="AH634" s="1589"/>
      <c r="AI634" s="1589"/>
      <c r="AJ634" s="1590"/>
      <c r="AK634" s="1606"/>
      <c r="AL634" s="1607"/>
      <c r="AM634" s="1607"/>
      <c r="AN634" s="1608"/>
      <c r="AO634" s="1609"/>
      <c r="AP634" s="1610"/>
      <c r="AQ634" s="1610"/>
      <c r="AR634" s="1610"/>
      <c r="AS634" s="1611"/>
      <c r="AT634" s="1201" t="str">
        <f t="shared" si="29"/>
        <v/>
      </c>
      <c r="AU634" s="3"/>
      <c r="AV634" s="3"/>
      <c r="AW634" s="3"/>
      <c r="AX634" s="3"/>
      <c r="AY634" s="3"/>
      <c r="AZ634" s="3"/>
      <c r="BA634" s="3"/>
      <c r="BB634" s="3"/>
      <c r="BC634" s="3"/>
      <c r="BD634" s="3"/>
      <c r="BE634" s="3"/>
      <c r="BF634" s="3"/>
      <c r="BG634" s="3"/>
      <c r="BH634" s="3"/>
      <c r="BI634" s="3"/>
      <c r="BJ634" s="3"/>
      <c r="BK634" s="3"/>
      <c r="BL634" s="3"/>
      <c r="BM634" s="3"/>
      <c r="BN634" s="1512">
        <f t="shared" ref="BN634:BN643" si="30">IF(J772="SRO/Studio",O772,0)</f>
        <v>0</v>
      </c>
      <c r="BO634" s="1513"/>
      <c r="BP634" s="1513"/>
      <c r="BQ634" s="1513"/>
      <c r="BR634" s="1514"/>
      <c r="BS634" s="1399">
        <f t="shared" ref="BS634:BS643" si="31">IF(J772="1 Bedroom",O772,0)</f>
        <v>0</v>
      </c>
      <c r="BT634" s="1399"/>
      <c r="BU634" s="1399"/>
      <c r="BV634" s="1399"/>
      <c r="BW634" s="1399"/>
      <c r="BX634" s="1399">
        <f t="shared" ref="BX634:BX643" si="32">IF(J772="2 Bedrooms",O772,0)</f>
        <v>0</v>
      </c>
      <c r="BY634" s="1399"/>
      <c r="BZ634" s="1399"/>
      <c r="CA634" s="1399"/>
      <c r="CB634" s="1399"/>
      <c r="CC634" s="1399">
        <f t="shared" ref="CC634:CC643" si="33">IF(J772="3 Bedrooms",O772,0)</f>
        <v>0</v>
      </c>
      <c r="CD634" s="1399"/>
      <c r="CE634" s="1399"/>
      <c r="CF634" s="1399"/>
      <c r="CG634" s="1399"/>
      <c r="CH634" s="1399">
        <f t="shared" ref="CH634:CH643" si="34">IF(J772="4 Bedrooms",O772,0)</f>
        <v>0</v>
      </c>
      <c r="CI634" s="1399"/>
      <c r="CJ634" s="1399"/>
      <c r="CK634" s="1399"/>
      <c r="CL634" s="1399"/>
      <c r="CM634" s="1399">
        <f t="shared" ref="CM634:CM643" si="35">IF(J772="5 Bedrooms",O772,0)</f>
        <v>0</v>
      </c>
      <c r="CN634" s="1399"/>
      <c r="CO634" s="1399"/>
      <c r="CP634" s="1399"/>
      <c r="CQ634" s="1399"/>
      <c r="CR634" s="6"/>
      <c r="CS634" s="1512">
        <f>IF(AND(BN634&gt;=1,AH772&gt;=0.1,AH772&lt;=1),O772,0)</f>
        <v>0</v>
      </c>
      <c r="CT634" s="1513"/>
      <c r="CU634" s="1513"/>
      <c r="CV634" s="1513"/>
      <c r="CW634" s="1514"/>
      <c r="CX634" s="1512">
        <f>IF(AND(BS634&gt;=1,AH772&gt;=0.1,AH772&lt;=1),O772,0)</f>
        <v>0</v>
      </c>
      <c r="CY634" s="1513"/>
      <c r="CZ634" s="1513"/>
      <c r="DA634" s="1513"/>
      <c r="DB634" s="1514"/>
      <c r="DC634" s="1512">
        <f>IF(AND(BX634&gt;=1,AH772&gt;=0.1,AH772&lt;=1),O772,0)</f>
        <v>0</v>
      </c>
      <c r="DD634" s="1513"/>
      <c r="DE634" s="1513"/>
      <c r="DF634" s="1513"/>
      <c r="DG634" s="1514"/>
      <c r="DH634" s="1512">
        <f>IF(AND(CC634&gt;=1,AH772&gt;=0.1,AH772&lt;=1),O772,0)</f>
        <v>0</v>
      </c>
      <c r="DI634" s="1513"/>
      <c r="DJ634" s="1513"/>
      <c r="DK634" s="1513"/>
      <c r="DL634" s="1514"/>
      <c r="DM634" s="1512">
        <f>IF(AND(CH634&gt;=1,AH772&gt;=0.1,AH772&lt;=1),O772,0)</f>
        <v>0</v>
      </c>
      <c r="DN634" s="1513"/>
      <c r="DO634" s="1513"/>
      <c r="DP634" s="1513"/>
      <c r="DQ634" s="1514"/>
      <c r="DR634" s="1512">
        <f>IF(AND(CM634&gt;=1,AH772&gt;=0.1,AH772&lt;=1),O772,0)</f>
        <v>0</v>
      </c>
      <c r="DS634" s="1513"/>
      <c r="DT634" s="1513"/>
      <c r="DU634" s="1513"/>
      <c r="DV634" s="1514"/>
      <c r="DX634" s="1859">
        <f t="shared" si="23"/>
        <v>1254.7058823529412</v>
      </c>
      <c r="DY634" s="1859"/>
      <c r="DZ634" s="1859"/>
      <c r="EA634" s="1859"/>
      <c r="EB634" s="1859"/>
      <c r="EC634" s="1859" t="e">
        <f t="shared" si="24"/>
        <v>#VALUE!</v>
      </c>
      <c r="ED634" s="1859"/>
      <c r="EE634" s="1859"/>
      <c r="EF634" s="1859"/>
      <c r="EG634" s="1859"/>
      <c r="EH634" s="1859" t="e">
        <f t="shared" si="25"/>
        <v>#VALUE!</v>
      </c>
      <c r="EI634" s="1859"/>
      <c r="EJ634" s="1859"/>
      <c r="EK634" s="1859"/>
      <c r="EL634" s="1859"/>
      <c r="EM634" s="1859" t="e">
        <f t="shared" si="26"/>
        <v>#VALUE!</v>
      </c>
      <c r="EN634" s="1859"/>
      <c r="EO634" s="1859"/>
      <c r="EP634" s="1859"/>
      <c r="EQ634" s="1859"/>
      <c r="ER634" s="1859" t="e">
        <f t="shared" si="27"/>
        <v>#VALUE!</v>
      </c>
      <c r="ES634" s="1859"/>
      <c r="ET634" s="1859"/>
      <c r="EU634" s="1859"/>
      <c r="EV634" s="1859"/>
      <c r="EW634" s="1859" t="e">
        <f t="shared" si="28"/>
        <v>#VALUE!</v>
      </c>
      <c r="EX634" s="1859"/>
      <c r="EY634" s="1859"/>
      <c r="EZ634" s="1859"/>
      <c r="FA634" s="1859"/>
    </row>
    <row r="635" spans="1:157" ht="12.95" customHeight="1">
      <c r="B635" s="1523" t="s">
        <v>129</v>
      </c>
      <c r="C635" s="1524"/>
      <c r="D635" s="1524"/>
      <c r="E635" s="1524"/>
      <c r="F635" s="1524"/>
      <c r="G635" s="1524"/>
      <c r="H635" s="1524"/>
      <c r="I635" s="1524"/>
      <c r="J635" s="1524"/>
      <c r="K635" s="1524"/>
      <c r="L635" s="1524"/>
      <c r="M635" s="1524"/>
      <c r="N635" s="1524"/>
      <c r="O635" s="1524"/>
      <c r="P635" s="1524"/>
      <c r="Q635" s="1524"/>
      <c r="R635" s="1524"/>
      <c r="S635" s="1524"/>
      <c r="T635" s="1524"/>
      <c r="U635" s="1524"/>
      <c r="V635" s="1524"/>
      <c r="W635" s="1524"/>
      <c r="X635" s="1524"/>
      <c r="Y635" s="1524"/>
      <c r="Z635" s="1524"/>
      <c r="AA635" s="1524"/>
      <c r="AB635" s="1524"/>
      <c r="AC635" s="1524"/>
      <c r="AD635" s="1524"/>
      <c r="AE635" s="1524"/>
      <c r="AF635" s="1524"/>
      <c r="AG635" s="1524"/>
      <c r="AH635" s="1524"/>
      <c r="AI635" s="1524"/>
      <c r="AJ635" s="1524"/>
      <c r="AK635" s="1524"/>
      <c r="AL635" s="1524"/>
      <c r="AM635" s="1524"/>
      <c r="AN635" s="1526"/>
      <c r="AO635" s="1520">
        <f>SUM(AO623:AR634)</f>
        <v>96648539</v>
      </c>
      <c r="AP635" s="1521"/>
      <c r="AQ635" s="1521"/>
      <c r="AR635" s="1521"/>
      <c r="AS635" s="1522"/>
      <c r="AZ635" s="3"/>
      <c r="BA635" s="3"/>
      <c r="BB635" s="3"/>
      <c r="BC635" s="3"/>
      <c r="BD635" s="3"/>
      <c r="BE635" s="3"/>
      <c r="BF635" s="3"/>
      <c r="BG635" s="3"/>
      <c r="BH635" s="3"/>
      <c r="BI635" s="3"/>
      <c r="BJ635" s="3"/>
      <c r="BK635" s="3"/>
      <c r="BL635" s="3"/>
      <c r="BM635" s="3"/>
      <c r="BN635" s="1512">
        <f t="shared" si="30"/>
        <v>0</v>
      </c>
      <c r="BO635" s="1513"/>
      <c r="BP635" s="1513"/>
      <c r="BQ635" s="1513"/>
      <c r="BR635" s="1514"/>
      <c r="BS635" s="1399">
        <f t="shared" si="31"/>
        <v>0</v>
      </c>
      <c r="BT635" s="1399"/>
      <c r="BU635" s="1399"/>
      <c r="BV635" s="1399"/>
      <c r="BW635" s="1399"/>
      <c r="BX635" s="1399">
        <f t="shared" si="32"/>
        <v>0</v>
      </c>
      <c r="BY635" s="1399"/>
      <c r="BZ635" s="1399"/>
      <c r="CA635" s="1399"/>
      <c r="CB635" s="1399"/>
      <c r="CC635" s="1399">
        <f t="shared" si="33"/>
        <v>0</v>
      </c>
      <c r="CD635" s="1399"/>
      <c r="CE635" s="1399"/>
      <c r="CF635" s="1399"/>
      <c r="CG635" s="1399"/>
      <c r="CH635" s="1399">
        <f t="shared" si="34"/>
        <v>0</v>
      </c>
      <c r="CI635" s="1399"/>
      <c r="CJ635" s="1399"/>
      <c r="CK635" s="1399"/>
      <c r="CL635" s="1399"/>
      <c r="CM635" s="1399">
        <f t="shared" si="35"/>
        <v>0</v>
      </c>
      <c r="CN635" s="1399"/>
      <c r="CO635" s="1399"/>
      <c r="CP635" s="1399"/>
      <c r="CQ635" s="1399"/>
      <c r="CR635" s="6"/>
      <c r="CS635" s="1512">
        <f t="shared" ref="CS635:CS643" si="36">IF(AND(BN635&gt;=1,AH773&gt;=0.1,AH773&lt;=1),O773,0)</f>
        <v>0</v>
      </c>
      <c r="CT635" s="1513"/>
      <c r="CU635" s="1513"/>
      <c r="CV635" s="1513"/>
      <c r="CW635" s="1514"/>
      <c r="CX635" s="1512">
        <f t="shared" ref="CX635:CX643" si="37">IF(AND(BS635&gt;=1,AH773&gt;=0.1,AH773&lt;=1),O773,0)</f>
        <v>0</v>
      </c>
      <c r="CY635" s="1513"/>
      <c r="CZ635" s="1513"/>
      <c r="DA635" s="1513"/>
      <c r="DB635" s="1514"/>
      <c r="DC635" s="1512">
        <f t="shared" ref="DC635:DC643" si="38">IF(AND(BX635&gt;=1,AH773&gt;=0.1,AH773&lt;=1),O773,0)</f>
        <v>0</v>
      </c>
      <c r="DD635" s="1513"/>
      <c r="DE635" s="1513"/>
      <c r="DF635" s="1513"/>
      <c r="DG635" s="1514"/>
      <c r="DH635" s="1512">
        <f t="shared" ref="DH635:DH643" si="39">IF(AND(CC635&gt;=1,AH773&gt;=0.1,AH773&lt;=1),O773,0)</f>
        <v>0</v>
      </c>
      <c r="DI635" s="1513"/>
      <c r="DJ635" s="1513"/>
      <c r="DK635" s="1513"/>
      <c r="DL635" s="1514"/>
      <c r="DM635" s="1512">
        <f t="shared" ref="DM635:DM643" si="40">IF(AND(CH635&gt;=1,AH773&gt;=0.1,AH773&lt;=1),O773,0)</f>
        <v>0</v>
      </c>
      <c r="DN635" s="1513"/>
      <c r="DO635" s="1513"/>
      <c r="DP635" s="1513"/>
      <c r="DQ635" s="1514"/>
      <c r="DR635" s="1512">
        <f t="shared" ref="DR635:DR643" si="41">IF(AND(CM635&gt;=1,AH773&gt;=0.1,AH773&lt;=1),O773,0)</f>
        <v>0</v>
      </c>
      <c r="DS635" s="1513"/>
      <c r="DT635" s="1513"/>
      <c r="DU635" s="1513"/>
      <c r="DV635" s="1514"/>
      <c r="DX635" s="1859" t="e">
        <f t="shared" si="23"/>
        <v>#VALUE!</v>
      </c>
      <c r="DY635" s="1859"/>
      <c r="DZ635" s="1859"/>
      <c r="EA635" s="1859"/>
      <c r="EB635" s="1859"/>
      <c r="EC635" s="1859">
        <f t="shared" si="24"/>
        <v>826.28</v>
      </c>
      <c r="ED635" s="1859"/>
      <c r="EE635" s="1859"/>
      <c r="EF635" s="1859"/>
      <c r="EG635" s="1859"/>
      <c r="EH635" s="1859" t="e">
        <f t="shared" si="25"/>
        <v>#VALUE!</v>
      </c>
      <c r="EI635" s="1859"/>
      <c r="EJ635" s="1859"/>
      <c r="EK635" s="1859"/>
      <c r="EL635" s="1859"/>
      <c r="EM635" s="1859" t="e">
        <f t="shared" si="26"/>
        <v>#VALUE!</v>
      </c>
      <c r="EN635" s="1859"/>
      <c r="EO635" s="1859"/>
      <c r="EP635" s="1859"/>
      <c r="EQ635" s="1859"/>
      <c r="ER635" s="1859" t="e">
        <f t="shared" si="27"/>
        <v>#VALUE!</v>
      </c>
      <c r="ES635" s="1859"/>
      <c r="ET635" s="1859"/>
      <c r="EU635" s="1859"/>
      <c r="EV635" s="1859"/>
      <c r="EW635" s="1859" t="e">
        <f t="shared" si="28"/>
        <v>#VALUE!</v>
      </c>
      <c r="EX635" s="1859"/>
      <c r="EY635" s="1859"/>
      <c r="EZ635" s="1859"/>
      <c r="FA635" s="1859"/>
    </row>
    <row r="636" spans="1:157" ht="12.95" customHeight="1">
      <c r="B636" s="1523" t="s">
        <v>269</v>
      </c>
      <c r="C636" s="1524"/>
      <c r="D636" s="1524"/>
      <c r="E636" s="1524"/>
      <c r="F636" s="1524"/>
      <c r="G636" s="1524"/>
      <c r="H636" s="1524"/>
      <c r="I636" s="1524"/>
      <c r="J636" s="1524"/>
      <c r="K636" s="1524"/>
      <c r="L636" s="1524"/>
      <c r="M636" s="1524"/>
      <c r="N636" s="1524"/>
      <c r="O636" s="1524"/>
      <c r="P636" s="1524"/>
      <c r="Q636" s="1524"/>
      <c r="R636" s="1524"/>
      <c r="S636" s="1524"/>
      <c r="T636" s="1524"/>
      <c r="U636" s="1524"/>
      <c r="V636" s="1524"/>
      <c r="W636" s="1524"/>
      <c r="X636" s="1524"/>
      <c r="Y636" s="1524"/>
      <c r="Z636" s="1524"/>
      <c r="AA636" s="1524"/>
      <c r="AB636" s="1524"/>
      <c r="AC636" s="1524"/>
      <c r="AD636" s="1524"/>
      <c r="AE636" s="1524"/>
      <c r="AF636" s="1524"/>
      <c r="AG636" s="1524"/>
      <c r="AH636" s="1524"/>
      <c r="AI636" s="1524"/>
      <c r="AJ636" s="1524"/>
      <c r="AK636" s="1524"/>
      <c r="AL636" s="1524"/>
      <c r="AM636" s="1524"/>
      <c r="AN636" s="1526"/>
      <c r="AO636" s="1609">
        <f>87074337-235000-300000</f>
        <v>86539337</v>
      </c>
      <c r="AP636" s="1610"/>
      <c r="AQ636" s="1610"/>
      <c r="AR636" s="1610"/>
      <c r="AS636" s="1611"/>
      <c r="AZ636" s="34"/>
      <c r="BA636" s="34"/>
      <c r="BB636" s="34"/>
      <c r="BC636" s="34"/>
      <c r="BD636" s="34"/>
      <c r="BE636" s="34"/>
      <c r="BF636" s="34"/>
      <c r="BG636" s="34"/>
      <c r="BH636" s="34"/>
      <c r="BI636" s="34"/>
      <c r="BJ636" s="34"/>
      <c r="BK636" s="34"/>
      <c r="BL636" s="34"/>
      <c r="BM636" s="34"/>
      <c r="BN636" s="1512">
        <f t="shared" si="30"/>
        <v>0</v>
      </c>
      <c r="BO636" s="1513"/>
      <c r="BP636" s="1513"/>
      <c r="BQ636" s="1513"/>
      <c r="BR636" s="1514"/>
      <c r="BS636" s="1399">
        <f t="shared" si="31"/>
        <v>0</v>
      </c>
      <c r="BT636" s="1399"/>
      <c r="BU636" s="1399"/>
      <c r="BV636" s="1399"/>
      <c r="BW636" s="1399"/>
      <c r="BX636" s="1399">
        <f t="shared" si="32"/>
        <v>0</v>
      </c>
      <c r="BY636" s="1399"/>
      <c r="BZ636" s="1399"/>
      <c r="CA636" s="1399"/>
      <c r="CB636" s="1399"/>
      <c r="CC636" s="1399">
        <f t="shared" si="33"/>
        <v>0</v>
      </c>
      <c r="CD636" s="1399"/>
      <c r="CE636" s="1399"/>
      <c r="CF636" s="1399"/>
      <c r="CG636" s="1399"/>
      <c r="CH636" s="1399">
        <f t="shared" si="34"/>
        <v>0</v>
      </c>
      <c r="CI636" s="1399"/>
      <c r="CJ636" s="1399"/>
      <c r="CK636" s="1399"/>
      <c r="CL636" s="1399"/>
      <c r="CM636" s="1399">
        <f t="shared" si="35"/>
        <v>0</v>
      </c>
      <c r="CN636" s="1399"/>
      <c r="CO636" s="1399"/>
      <c r="CP636" s="1399"/>
      <c r="CQ636" s="1399"/>
      <c r="CR636" s="6"/>
      <c r="CS636" s="1512">
        <f t="shared" si="36"/>
        <v>0</v>
      </c>
      <c r="CT636" s="1513"/>
      <c r="CU636" s="1513"/>
      <c r="CV636" s="1513"/>
      <c r="CW636" s="1514"/>
      <c r="CX636" s="1512">
        <f t="shared" si="37"/>
        <v>0</v>
      </c>
      <c r="CY636" s="1513"/>
      <c r="CZ636" s="1513"/>
      <c r="DA636" s="1513"/>
      <c r="DB636" s="1514"/>
      <c r="DC636" s="1512">
        <f t="shared" si="38"/>
        <v>0</v>
      </c>
      <c r="DD636" s="1513"/>
      <c r="DE636" s="1513"/>
      <c r="DF636" s="1513"/>
      <c r="DG636" s="1514"/>
      <c r="DH636" s="1512">
        <f t="shared" si="39"/>
        <v>0</v>
      </c>
      <c r="DI636" s="1513"/>
      <c r="DJ636" s="1513"/>
      <c r="DK636" s="1513"/>
      <c r="DL636" s="1514"/>
      <c r="DM636" s="1512">
        <f t="shared" si="40"/>
        <v>0</v>
      </c>
      <c r="DN636" s="1513"/>
      <c r="DO636" s="1513"/>
      <c r="DP636" s="1513"/>
      <c r="DQ636" s="1514"/>
      <c r="DR636" s="1512">
        <f t="shared" si="41"/>
        <v>0</v>
      </c>
      <c r="DS636" s="1513"/>
      <c r="DT636" s="1513"/>
      <c r="DU636" s="1513"/>
      <c r="DV636" s="1514"/>
      <c r="DX636" s="1859" t="e">
        <f t="shared" si="23"/>
        <v>#VALUE!</v>
      </c>
      <c r="DY636" s="1859"/>
      <c r="DZ636" s="1859"/>
      <c r="EA636" s="1859"/>
      <c r="EB636" s="1859"/>
      <c r="EC636" s="1859" t="e">
        <f t="shared" si="24"/>
        <v>#VALUE!</v>
      </c>
      <c r="ED636" s="1859"/>
      <c r="EE636" s="1859"/>
      <c r="EF636" s="1859"/>
      <c r="EG636" s="1859"/>
      <c r="EH636" s="1859">
        <f t="shared" si="25"/>
        <v>540.98113207547169</v>
      </c>
      <c r="EI636" s="1859"/>
      <c r="EJ636" s="1859"/>
      <c r="EK636" s="1859"/>
      <c r="EL636" s="1859"/>
      <c r="EM636" s="1859" t="e">
        <f t="shared" si="26"/>
        <v>#VALUE!</v>
      </c>
      <c r="EN636" s="1859"/>
      <c r="EO636" s="1859"/>
      <c r="EP636" s="1859"/>
      <c r="EQ636" s="1859"/>
      <c r="ER636" s="1859" t="e">
        <f t="shared" si="27"/>
        <v>#VALUE!</v>
      </c>
      <c r="ES636" s="1859"/>
      <c r="ET636" s="1859"/>
      <c r="EU636" s="1859"/>
      <c r="EV636" s="1859"/>
      <c r="EW636" s="1859" t="e">
        <f t="shared" si="28"/>
        <v>#VALUE!</v>
      </c>
      <c r="EX636" s="1859"/>
      <c r="EY636" s="1859"/>
      <c r="EZ636" s="1859"/>
      <c r="FA636" s="1859"/>
    </row>
    <row r="637" spans="1:157" ht="12.95" customHeight="1">
      <c r="B637" s="1586" t="s">
        <v>270</v>
      </c>
      <c r="C637" s="1525"/>
      <c r="D637" s="1525"/>
      <c r="E637" s="1525"/>
      <c r="F637" s="1525"/>
      <c r="G637" s="1525"/>
      <c r="H637" s="1525"/>
      <c r="I637" s="1525"/>
      <c r="J637" s="1525"/>
      <c r="K637" s="1525"/>
      <c r="L637" s="1525"/>
      <c r="M637" s="1525"/>
      <c r="N637" s="1525"/>
      <c r="O637" s="1525"/>
      <c r="P637" s="1525"/>
      <c r="Q637" s="1525"/>
      <c r="R637" s="1525"/>
      <c r="S637" s="1525"/>
      <c r="T637" s="1525"/>
      <c r="U637" s="1525"/>
      <c r="V637" s="1525"/>
      <c r="W637" s="1525"/>
      <c r="X637" s="1525"/>
      <c r="Y637" s="1525"/>
      <c r="Z637" s="1525"/>
      <c r="AA637" s="1525"/>
      <c r="AB637" s="1525"/>
      <c r="AC637" s="1525"/>
      <c r="AD637" s="1525"/>
      <c r="AE637" s="1525"/>
      <c r="AF637" s="1525"/>
      <c r="AG637" s="1525"/>
      <c r="AH637" s="1525"/>
      <c r="AI637" s="1525"/>
      <c r="AJ637" s="1525"/>
      <c r="AK637" s="1525"/>
      <c r="AL637" s="1525"/>
      <c r="AM637" s="1525"/>
      <c r="AN637" s="1587"/>
      <c r="AO637" s="1520">
        <f>AO635+AO636</f>
        <v>183187876</v>
      </c>
      <c r="AP637" s="1521"/>
      <c r="AQ637" s="1521"/>
      <c r="AR637" s="1521"/>
      <c r="AS637" s="1522"/>
      <c r="AZ637" s="34"/>
      <c r="BA637" s="34"/>
      <c r="BB637" s="34"/>
      <c r="BC637" s="34"/>
      <c r="BD637" s="34"/>
      <c r="BE637" s="34"/>
      <c r="BF637" s="34"/>
      <c r="BG637" s="34"/>
      <c r="BH637" s="34"/>
      <c r="BI637" s="34"/>
      <c r="BJ637" s="34"/>
      <c r="BK637" s="34"/>
      <c r="BL637" s="34"/>
      <c r="BM637" s="34"/>
      <c r="BN637" s="1512">
        <f t="shared" si="30"/>
        <v>0</v>
      </c>
      <c r="BO637" s="1513"/>
      <c r="BP637" s="1513"/>
      <c r="BQ637" s="1513"/>
      <c r="BR637" s="1514"/>
      <c r="BS637" s="1399">
        <f t="shared" si="31"/>
        <v>0</v>
      </c>
      <c r="BT637" s="1399"/>
      <c r="BU637" s="1399"/>
      <c r="BV637" s="1399"/>
      <c r="BW637" s="1399"/>
      <c r="BX637" s="1399">
        <f t="shared" si="32"/>
        <v>0</v>
      </c>
      <c r="BY637" s="1399"/>
      <c r="BZ637" s="1399"/>
      <c r="CA637" s="1399"/>
      <c r="CB637" s="1399"/>
      <c r="CC637" s="1399">
        <f t="shared" si="33"/>
        <v>0</v>
      </c>
      <c r="CD637" s="1399"/>
      <c r="CE637" s="1399"/>
      <c r="CF637" s="1399"/>
      <c r="CG637" s="1399"/>
      <c r="CH637" s="1399">
        <f t="shared" si="34"/>
        <v>0</v>
      </c>
      <c r="CI637" s="1399"/>
      <c r="CJ637" s="1399"/>
      <c r="CK637" s="1399"/>
      <c r="CL637" s="1399"/>
      <c r="CM637" s="1399">
        <f t="shared" si="35"/>
        <v>0</v>
      </c>
      <c r="CN637" s="1399"/>
      <c r="CO637" s="1399"/>
      <c r="CP637" s="1399"/>
      <c r="CQ637" s="1399"/>
      <c r="CR637" s="6"/>
      <c r="CS637" s="1512">
        <f t="shared" si="36"/>
        <v>0</v>
      </c>
      <c r="CT637" s="1513"/>
      <c r="CU637" s="1513"/>
      <c r="CV637" s="1513"/>
      <c r="CW637" s="1514"/>
      <c r="CX637" s="1512">
        <f t="shared" si="37"/>
        <v>0</v>
      </c>
      <c r="CY637" s="1513"/>
      <c r="CZ637" s="1513"/>
      <c r="DA637" s="1513"/>
      <c r="DB637" s="1514"/>
      <c r="DC637" s="1512">
        <f t="shared" si="38"/>
        <v>0</v>
      </c>
      <c r="DD637" s="1513"/>
      <c r="DE637" s="1513"/>
      <c r="DF637" s="1513"/>
      <c r="DG637" s="1514"/>
      <c r="DH637" s="1512">
        <f t="shared" si="39"/>
        <v>0</v>
      </c>
      <c r="DI637" s="1513"/>
      <c r="DJ637" s="1513"/>
      <c r="DK637" s="1513"/>
      <c r="DL637" s="1514"/>
      <c r="DM637" s="1512">
        <f t="shared" si="40"/>
        <v>0</v>
      </c>
      <c r="DN637" s="1513"/>
      <c r="DO637" s="1513"/>
      <c r="DP637" s="1513"/>
      <c r="DQ637" s="1514"/>
      <c r="DR637" s="1512">
        <f t="shared" si="41"/>
        <v>0</v>
      </c>
      <c r="DS637" s="1513"/>
      <c r="DT637" s="1513"/>
      <c r="DU637" s="1513"/>
      <c r="DV637" s="1514"/>
      <c r="DX637" s="1859" t="e">
        <f t="shared" si="23"/>
        <v>#VALUE!</v>
      </c>
      <c r="DY637" s="1859"/>
      <c r="DZ637" s="1859"/>
      <c r="EA637" s="1859"/>
      <c r="EB637" s="1859"/>
      <c r="EC637" s="1859" t="e">
        <f t="shared" si="24"/>
        <v>#VALUE!</v>
      </c>
      <c r="ED637" s="1859"/>
      <c r="EE637" s="1859"/>
      <c r="EF637" s="1859"/>
      <c r="EG637" s="1859"/>
      <c r="EH637" s="1859" t="e">
        <f t="shared" si="25"/>
        <v>#VALUE!</v>
      </c>
      <c r="EI637" s="1859"/>
      <c r="EJ637" s="1859"/>
      <c r="EK637" s="1859"/>
      <c r="EL637" s="1859"/>
      <c r="EM637" s="1859">
        <f t="shared" si="26"/>
        <v>1326.3513513513512</v>
      </c>
      <c r="EN637" s="1859"/>
      <c r="EO637" s="1859"/>
      <c r="EP637" s="1859"/>
      <c r="EQ637" s="1859"/>
      <c r="ER637" s="1859" t="e">
        <f t="shared" si="27"/>
        <v>#VALUE!</v>
      </c>
      <c r="ES637" s="1859"/>
      <c r="ET637" s="1859"/>
      <c r="EU637" s="1859"/>
      <c r="EV637" s="1859"/>
      <c r="EW637" s="1859" t="e">
        <f t="shared" si="28"/>
        <v>#VALUE!</v>
      </c>
      <c r="EX637" s="1859"/>
      <c r="EY637" s="1859"/>
      <c r="EZ637" s="1859"/>
      <c r="FA637" s="1859"/>
    </row>
    <row r="638" spans="1:157" ht="12.95"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512">
        <f t="shared" si="30"/>
        <v>0</v>
      </c>
      <c r="BO638" s="1513"/>
      <c r="BP638" s="1513"/>
      <c r="BQ638" s="1513"/>
      <c r="BR638" s="1514"/>
      <c r="BS638" s="1399">
        <f t="shared" si="31"/>
        <v>0</v>
      </c>
      <c r="BT638" s="1399"/>
      <c r="BU638" s="1399"/>
      <c r="BV638" s="1399"/>
      <c r="BW638" s="1399"/>
      <c r="BX638" s="1399">
        <f t="shared" si="32"/>
        <v>0</v>
      </c>
      <c r="BY638" s="1399"/>
      <c r="BZ638" s="1399"/>
      <c r="CA638" s="1399"/>
      <c r="CB638" s="1399"/>
      <c r="CC638" s="1399">
        <f t="shared" si="33"/>
        <v>0</v>
      </c>
      <c r="CD638" s="1399"/>
      <c r="CE638" s="1399"/>
      <c r="CF638" s="1399"/>
      <c r="CG638" s="1399"/>
      <c r="CH638" s="1399">
        <f t="shared" si="34"/>
        <v>0</v>
      </c>
      <c r="CI638" s="1399"/>
      <c r="CJ638" s="1399"/>
      <c r="CK638" s="1399"/>
      <c r="CL638" s="1399"/>
      <c r="CM638" s="1399">
        <f t="shared" si="35"/>
        <v>0</v>
      </c>
      <c r="CN638" s="1399"/>
      <c r="CO638" s="1399"/>
      <c r="CP638" s="1399"/>
      <c r="CQ638" s="1399"/>
      <c r="CR638" s="6"/>
      <c r="CS638" s="1512">
        <f t="shared" si="36"/>
        <v>0</v>
      </c>
      <c r="CT638" s="1513"/>
      <c r="CU638" s="1513"/>
      <c r="CV638" s="1513"/>
      <c r="CW638" s="1514"/>
      <c r="CX638" s="1512">
        <f t="shared" si="37"/>
        <v>0</v>
      </c>
      <c r="CY638" s="1513"/>
      <c r="CZ638" s="1513"/>
      <c r="DA638" s="1513"/>
      <c r="DB638" s="1514"/>
      <c r="DC638" s="1512">
        <f t="shared" si="38"/>
        <v>0</v>
      </c>
      <c r="DD638" s="1513"/>
      <c r="DE638" s="1513"/>
      <c r="DF638" s="1513"/>
      <c r="DG638" s="1514"/>
      <c r="DH638" s="1512">
        <f t="shared" si="39"/>
        <v>0</v>
      </c>
      <c r="DI638" s="1513"/>
      <c r="DJ638" s="1513"/>
      <c r="DK638" s="1513"/>
      <c r="DL638" s="1514"/>
      <c r="DM638" s="1512">
        <f t="shared" si="40"/>
        <v>0</v>
      </c>
      <c r="DN638" s="1513"/>
      <c r="DO638" s="1513"/>
      <c r="DP638" s="1513"/>
      <c r="DQ638" s="1514"/>
      <c r="DR638" s="1512">
        <f t="shared" si="41"/>
        <v>0</v>
      </c>
      <c r="DS638" s="1513"/>
      <c r="DT638" s="1513"/>
      <c r="DU638" s="1513"/>
      <c r="DV638" s="1514"/>
      <c r="DX638" s="1859" t="e">
        <f t="shared" si="23"/>
        <v>#VALUE!</v>
      </c>
      <c r="DY638" s="1859"/>
      <c r="DZ638" s="1859"/>
      <c r="EA638" s="1859"/>
      <c r="EB638" s="1859"/>
      <c r="EC638" s="1859">
        <f t="shared" si="24"/>
        <v>594.31999999999994</v>
      </c>
      <c r="ED638" s="1859"/>
      <c r="EE638" s="1859"/>
      <c r="EF638" s="1859"/>
      <c r="EG638" s="1859"/>
      <c r="EH638" s="1859" t="e">
        <f t="shared" si="25"/>
        <v>#VALUE!</v>
      </c>
      <c r="EI638" s="1859"/>
      <c r="EJ638" s="1859"/>
      <c r="EK638" s="1859"/>
      <c r="EL638" s="1859"/>
      <c r="EM638" s="1859" t="e">
        <f t="shared" si="26"/>
        <v>#VALUE!</v>
      </c>
      <c r="EN638" s="1859"/>
      <c r="EO638" s="1859"/>
      <c r="EP638" s="1859"/>
      <c r="EQ638" s="1859"/>
      <c r="ER638" s="1859" t="e">
        <f t="shared" si="27"/>
        <v>#VALUE!</v>
      </c>
      <c r="ES638" s="1859"/>
      <c r="ET638" s="1859"/>
      <c r="EU638" s="1859"/>
      <c r="EV638" s="1859"/>
      <c r="EW638" s="1859" t="e">
        <f t="shared" si="28"/>
        <v>#VALUE!</v>
      </c>
      <c r="EX638" s="1859"/>
      <c r="EY638" s="1859"/>
      <c r="EZ638" s="1859"/>
      <c r="FA638" s="1859"/>
    </row>
    <row r="639" spans="1:157" ht="12.95" customHeight="1">
      <c r="A639" s="55" t="s">
        <v>113</v>
      </c>
      <c r="B639" t="s">
        <v>472</v>
      </c>
      <c r="G639" s="1517" t="str">
        <f>C623</f>
        <v>US Bank Permanent Loan</v>
      </c>
      <c r="H639" s="1517"/>
      <c r="I639" s="1517"/>
      <c r="J639" s="1517"/>
      <c r="K639" s="1517"/>
      <c r="L639" s="1517"/>
      <c r="M639" s="1517"/>
      <c r="N639" s="1517"/>
      <c r="O639" s="1517"/>
      <c r="P639" s="1517"/>
      <c r="Q639" s="1517"/>
      <c r="R639" s="1517"/>
      <c r="S639" s="8"/>
      <c r="T639" s="55" t="s">
        <v>114</v>
      </c>
      <c r="U639" t="s">
        <v>472</v>
      </c>
      <c r="Z639" s="1517" t="str">
        <f>C624</f>
        <v>Office of Community Investment and Infrastructure</v>
      </c>
      <c r="AA639" s="1517"/>
      <c r="AB639" s="1517"/>
      <c r="AC639" s="1517"/>
      <c r="AD639" s="1517"/>
      <c r="AE639" s="1517"/>
      <c r="AF639" s="1517"/>
      <c r="AG639" s="1517"/>
      <c r="AH639" s="1517"/>
      <c r="AI639" s="1517"/>
      <c r="AJ639" s="1517"/>
      <c r="AK639" s="1517"/>
      <c r="AZ639" s="34"/>
      <c r="BA639" s="34"/>
      <c r="BB639" s="34"/>
      <c r="BC639" s="34"/>
      <c r="BD639" s="34"/>
      <c r="BE639" s="34"/>
      <c r="BF639" s="34"/>
      <c r="BG639" s="34"/>
      <c r="BH639" s="34"/>
      <c r="BI639" s="34"/>
      <c r="BJ639" s="34"/>
      <c r="BK639" s="34"/>
      <c r="BL639" s="34"/>
      <c r="BM639" s="34"/>
      <c r="BN639" s="1512">
        <f t="shared" si="30"/>
        <v>0</v>
      </c>
      <c r="BO639" s="1513"/>
      <c r="BP639" s="1513"/>
      <c r="BQ639" s="1513"/>
      <c r="BR639" s="1514"/>
      <c r="BS639" s="1399">
        <f t="shared" si="31"/>
        <v>0</v>
      </c>
      <c r="BT639" s="1399"/>
      <c r="BU639" s="1399"/>
      <c r="BV639" s="1399"/>
      <c r="BW639" s="1399"/>
      <c r="BX639" s="1399">
        <f t="shared" si="32"/>
        <v>0</v>
      </c>
      <c r="BY639" s="1399"/>
      <c r="BZ639" s="1399"/>
      <c r="CA639" s="1399"/>
      <c r="CB639" s="1399"/>
      <c r="CC639" s="1399">
        <f t="shared" si="33"/>
        <v>0</v>
      </c>
      <c r="CD639" s="1399"/>
      <c r="CE639" s="1399"/>
      <c r="CF639" s="1399"/>
      <c r="CG639" s="1399"/>
      <c r="CH639" s="1399">
        <f t="shared" si="34"/>
        <v>0</v>
      </c>
      <c r="CI639" s="1399"/>
      <c r="CJ639" s="1399"/>
      <c r="CK639" s="1399"/>
      <c r="CL639" s="1399"/>
      <c r="CM639" s="1399">
        <f t="shared" si="35"/>
        <v>0</v>
      </c>
      <c r="CN639" s="1399"/>
      <c r="CO639" s="1399"/>
      <c r="CP639" s="1399"/>
      <c r="CQ639" s="1399"/>
      <c r="CR639" s="6"/>
      <c r="CS639" s="1512">
        <f t="shared" si="36"/>
        <v>0</v>
      </c>
      <c r="CT639" s="1513"/>
      <c r="CU639" s="1513"/>
      <c r="CV639" s="1513"/>
      <c r="CW639" s="1514"/>
      <c r="CX639" s="1512">
        <f t="shared" si="37"/>
        <v>0</v>
      </c>
      <c r="CY639" s="1513"/>
      <c r="CZ639" s="1513"/>
      <c r="DA639" s="1513"/>
      <c r="DB639" s="1514"/>
      <c r="DC639" s="1512">
        <f t="shared" si="38"/>
        <v>0</v>
      </c>
      <c r="DD639" s="1513"/>
      <c r="DE639" s="1513"/>
      <c r="DF639" s="1513"/>
      <c r="DG639" s="1514"/>
      <c r="DH639" s="1512">
        <f t="shared" si="39"/>
        <v>0</v>
      </c>
      <c r="DI639" s="1513"/>
      <c r="DJ639" s="1513"/>
      <c r="DK639" s="1513"/>
      <c r="DL639" s="1514"/>
      <c r="DM639" s="1512">
        <f t="shared" si="40"/>
        <v>0</v>
      </c>
      <c r="DN639" s="1513"/>
      <c r="DO639" s="1513"/>
      <c r="DP639" s="1513"/>
      <c r="DQ639" s="1514"/>
      <c r="DR639" s="1512">
        <f t="shared" si="41"/>
        <v>0</v>
      </c>
      <c r="DS639" s="1513"/>
      <c r="DT639" s="1513"/>
      <c r="DU639" s="1513"/>
      <c r="DV639" s="1514"/>
      <c r="DX639" s="1859" t="e">
        <f t="shared" si="23"/>
        <v>#VALUE!</v>
      </c>
      <c r="DY639" s="1859"/>
      <c r="DZ639" s="1859"/>
      <c r="EA639" s="1859"/>
      <c r="EB639" s="1859"/>
      <c r="EC639" s="1859" t="e">
        <f t="shared" si="24"/>
        <v>#VALUE!</v>
      </c>
      <c r="ED639" s="1859"/>
      <c r="EE639" s="1859"/>
      <c r="EF639" s="1859"/>
      <c r="EG639" s="1859"/>
      <c r="EH639" s="1859">
        <f t="shared" si="25"/>
        <v>566.11320754716985</v>
      </c>
      <c r="EI639" s="1859"/>
      <c r="EJ639" s="1859"/>
      <c r="EK639" s="1859"/>
      <c r="EL639" s="1859"/>
      <c r="EM639" s="1859" t="e">
        <f t="shared" si="26"/>
        <v>#VALUE!</v>
      </c>
      <c r="EN639" s="1859"/>
      <c r="EO639" s="1859"/>
      <c r="EP639" s="1859"/>
      <c r="EQ639" s="1859"/>
      <c r="ER639" s="1859" t="e">
        <f t="shared" si="27"/>
        <v>#VALUE!</v>
      </c>
      <c r="ES639" s="1859"/>
      <c r="ET639" s="1859"/>
      <c r="EU639" s="1859"/>
      <c r="EV639" s="1859"/>
      <c r="EW639" s="1859" t="e">
        <f t="shared" si="28"/>
        <v>#VALUE!</v>
      </c>
      <c r="EX639" s="1859"/>
      <c r="EY639" s="1859"/>
      <c r="EZ639" s="1859"/>
      <c r="FA639" s="1859"/>
    </row>
    <row r="640" spans="1:157" ht="12.95" customHeight="1">
      <c r="A640" s="22"/>
      <c r="B640" t="s">
        <v>86</v>
      </c>
      <c r="G640" s="1398" t="s">
        <v>2775</v>
      </c>
      <c r="H640" s="1398"/>
      <c r="I640" s="1398"/>
      <c r="J640" s="1398"/>
      <c r="K640" s="1398"/>
      <c r="L640" s="1398"/>
      <c r="M640" s="1398"/>
      <c r="N640" s="1398"/>
      <c r="O640" s="1398"/>
      <c r="P640" s="1398"/>
      <c r="Q640" s="1398"/>
      <c r="R640" s="1398"/>
      <c r="S640" s="8"/>
      <c r="T640" s="22"/>
      <c r="U640" t="s">
        <v>86</v>
      </c>
      <c r="Z640" s="1398" t="s">
        <v>2709</v>
      </c>
      <c r="AA640" s="1398"/>
      <c r="AB640" s="1398"/>
      <c r="AC640" s="1398"/>
      <c r="AD640" s="1398"/>
      <c r="AE640" s="1398"/>
      <c r="AF640" s="1398"/>
      <c r="AG640" s="1398"/>
      <c r="AH640" s="1398"/>
      <c r="AI640" s="1398"/>
      <c r="AJ640" s="1398"/>
      <c r="AK640" s="1398"/>
      <c r="AZ640" s="34"/>
      <c r="BA640" s="34"/>
      <c r="BB640" s="34"/>
      <c r="BC640" s="34"/>
      <c r="BD640" s="34"/>
      <c r="BE640" s="34"/>
      <c r="BF640" s="34"/>
      <c r="BG640" s="34"/>
      <c r="BH640" s="34"/>
      <c r="BI640" s="34"/>
      <c r="BJ640" s="34"/>
      <c r="BK640" s="34"/>
      <c r="BL640" s="34"/>
      <c r="BM640" s="34"/>
      <c r="BN640" s="1512">
        <f t="shared" si="30"/>
        <v>0</v>
      </c>
      <c r="BO640" s="1513"/>
      <c r="BP640" s="1513"/>
      <c r="BQ640" s="1513"/>
      <c r="BR640" s="1514"/>
      <c r="BS640" s="1399">
        <f t="shared" si="31"/>
        <v>0</v>
      </c>
      <c r="BT640" s="1399"/>
      <c r="BU640" s="1399"/>
      <c r="BV640" s="1399"/>
      <c r="BW640" s="1399"/>
      <c r="BX640" s="1399">
        <f t="shared" si="32"/>
        <v>0</v>
      </c>
      <c r="BY640" s="1399"/>
      <c r="BZ640" s="1399"/>
      <c r="CA640" s="1399"/>
      <c r="CB640" s="1399"/>
      <c r="CC640" s="1399">
        <f t="shared" si="33"/>
        <v>0</v>
      </c>
      <c r="CD640" s="1399"/>
      <c r="CE640" s="1399"/>
      <c r="CF640" s="1399"/>
      <c r="CG640" s="1399"/>
      <c r="CH640" s="1399">
        <f t="shared" si="34"/>
        <v>0</v>
      </c>
      <c r="CI640" s="1399"/>
      <c r="CJ640" s="1399"/>
      <c r="CK640" s="1399"/>
      <c r="CL640" s="1399"/>
      <c r="CM640" s="1399">
        <f t="shared" si="35"/>
        <v>0</v>
      </c>
      <c r="CN640" s="1399"/>
      <c r="CO640" s="1399"/>
      <c r="CP640" s="1399"/>
      <c r="CQ640" s="1399"/>
      <c r="CR640" s="6"/>
      <c r="CS640" s="1512">
        <f t="shared" si="36"/>
        <v>0</v>
      </c>
      <c r="CT640" s="1513"/>
      <c r="CU640" s="1513"/>
      <c r="CV640" s="1513"/>
      <c r="CW640" s="1514"/>
      <c r="CX640" s="1512">
        <f t="shared" si="37"/>
        <v>0</v>
      </c>
      <c r="CY640" s="1513"/>
      <c r="CZ640" s="1513"/>
      <c r="DA640" s="1513"/>
      <c r="DB640" s="1514"/>
      <c r="DC640" s="1512">
        <f t="shared" si="38"/>
        <v>0</v>
      </c>
      <c r="DD640" s="1513"/>
      <c r="DE640" s="1513"/>
      <c r="DF640" s="1513"/>
      <c r="DG640" s="1514"/>
      <c r="DH640" s="1512">
        <f t="shared" si="39"/>
        <v>0</v>
      </c>
      <c r="DI640" s="1513"/>
      <c r="DJ640" s="1513"/>
      <c r="DK640" s="1513"/>
      <c r="DL640" s="1514"/>
      <c r="DM640" s="1512">
        <f t="shared" si="40"/>
        <v>0</v>
      </c>
      <c r="DN640" s="1513"/>
      <c r="DO640" s="1513"/>
      <c r="DP640" s="1513"/>
      <c r="DQ640" s="1514"/>
      <c r="DR640" s="1512">
        <f t="shared" si="41"/>
        <v>0</v>
      </c>
      <c r="DS640" s="1513"/>
      <c r="DT640" s="1513"/>
      <c r="DU640" s="1513"/>
      <c r="DV640" s="1514"/>
      <c r="DX640" s="1859" t="e">
        <f t="shared" si="23"/>
        <v>#VALUE!</v>
      </c>
      <c r="DY640" s="1859"/>
      <c r="DZ640" s="1859"/>
      <c r="EA640" s="1859"/>
      <c r="EB640" s="1859"/>
      <c r="EC640" s="1859" t="e">
        <f t="shared" si="24"/>
        <v>#VALUE!</v>
      </c>
      <c r="ED640" s="1859"/>
      <c r="EE640" s="1859"/>
      <c r="EF640" s="1859"/>
      <c r="EG640" s="1859"/>
      <c r="EH640" s="1859" t="e">
        <f t="shared" si="25"/>
        <v>#VALUE!</v>
      </c>
      <c r="EI640" s="1859"/>
      <c r="EJ640" s="1859"/>
      <c r="EK640" s="1859"/>
      <c r="EL640" s="1859"/>
      <c r="EM640" s="1859" t="e">
        <f t="shared" si="26"/>
        <v>#VALUE!</v>
      </c>
      <c r="EN640" s="1859"/>
      <c r="EO640" s="1859"/>
      <c r="EP640" s="1859"/>
      <c r="EQ640" s="1859"/>
      <c r="ER640" s="1859" t="e">
        <f t="shared" si="27"/>
        <v>#VALUE!</v>
      </c>
      <c r="ES640" s="1859"/>
      <c r="ET640" s="1859"/>
      <c r="EU640" s="1859"/>
      <c r="EV640" s="1859"/>
      <c r="EW640" s="1859" t="e">
        <f t="shared" si="28"/>
        <v>#VALUE!</v>
      </c>
      <c r="EX640" s="1859"/>
      <c r="EY640" s="1859"/>
      <c r="EZ640" s="1859"/>
      <c r="FA640" s="1859"/>
    </row>
    <row r="641" spans="1:157" ht="12.95" customHeight="1">
      <c r="A641" s="22"/>
      <c r="B641" t="s">
        <v>589</v>
      </c>
      <c r="G641" s="1398" t="s">
        <v>2776</v>
      </c>
      <c r="H641" s="1398"/>
      <c r="I641" s="1398"/>
      <c r="J641" s="1398"/>
      <c r="K641" s="1398"/>
      <c r="L641" s="1398"/>
      <c r="M641" s="1398"/>
      <c r="N641" s="1398"/>
      <c r="O641" s="1398"/>
      <c r="P641" s="1398"/>
      <c r="Q641" s="1398"/>
      <c r="R641" s="1398"/>
      <c r="T641" s="22"/>
      <c r="U641" t="s">
        <v>589</v>
      </c>
      <c r="Z641" s="1369" t="s">
        <v>742</v>
      </c>
      <c r="AA641" s="1369"/>
      <c r="AB641" s="1369"/>
      <c r="AC641" s="1369"/>
      <c r="AD641" s="1369"/>
      <c r="AE641" s="1369"/>
      <c r="AF641" s="1369"/>
      <c r="AG641" s="1369"/>
      <c r="AH641" s="1369"/>
      <c r="AI641" s="1369"/>
      <c r="AJ641" s="1369"/>
      <c r="AK641" s="1369"/>
      <c r="AZ641" s="34"/>
      <c r="BA641" s="34"/>
      <c r="BB641" s="34"/>
      <c r="BC641" s="34"/>
      <c r="BD641" s="34"/>
      <c r="BE641" s="34"/>
      <c r="BF641" s="34"/>
      <c r="BG641" s="34"/>
      <c r="BH641" s="34"/>
      <c r="BI641" s="34"/>
      <c r="BJ641" s="34"/>
      <c r="BK641" s="34"/>
      <c r="BL641" s="34"/>
      <c r="BM641" s="34"/>
      <c r="BN641" s="1512">
        <f t="shared" si="30"/>
        <v>0</v>
      </c>
      <c r="BO641" s="1513"/>
      <c r="BP641" s="1513"/>
      <c r="BQ641" s="1513"/>
      <c r="BR641" s="1514"/>
      <c r="BS641" s="1399">
        <f t="shared" si="31"/>
        <v>0</v>
      </c>
      <c r="BT641" s="1399"/>
      <c r="BU641" s="1399"/>
      <c r="BV641" s="1399"/>
      <c r="BW641" s="1399"/>
      <c r="BX641" s="1399">
        <f t="shared" si="32"/>
        <v>0</v>
      </c>
      <c r="BY641" s="1399"/>
      <c r="BZ641" s="1399"/>
      <c r="CA641" s="1399"/>
      <c r="CB641" s="1399"/>
      <c r="CC641" s="1399">
        <f t="shared" si="33"/>
        <v>0</v>
      </c>
      <c r="CD641" s="1399"/>
      <c r="CE641" s="1399"/>
      <c r="CF641" s="1399"/>
      <c r="CG641" s="1399"/>
      <c r="CH641" s="1399">
        <f t="shared" si="34"/>
        <v>0</v>
      </c>
      <c r="CI641" s="1399"/>
      <c r="CJ641" s="1399"/>
      <c r="CK641" s="1399"/>
      <c r="CL641" s="1399"/>
      <c r="CM641" s="1399">
        <f t="shared" si="35"/>
        <v>0</v>
      </c>
      <c r="CN641" s="1399"/>
      <c r="CO641" s="1399"/>
      <c r="CP641" s="1399"/>
      <c r="CQ641" s="1399"/>
      <c r="CR641" s="6"/>
      <c r="CS641" s="1512">
        <f t="shared" si="36"/>
        <v>0</v>
      </c>
      <c r="CT641" s="1513"/>
      <c r="CU641" s="1513"/>
      <c r="CV641" s="1513"/>
      <c r="CW641" s="1514"/>
      <c r="CX641" s="1512">
        <f t="shared" si="37"/>
        <v>0</v>
      </c>
      <c r="CY641" s="1513"/>
      <c r="CZ641" s="1513"/>
      <c r="DA641" s="1513"/>
      <c r="DB641" s="1514"/>
      <c r="DC641" s="1512">
        <f t="shared" si="38"/>
        <v>0</v>
      </c>
      <c r="DD641" s="1513"/>
      <c r="DE641" s="1513"/>
      <c r="DF641" s="1513"/>
      <c r="DG641" s="1514"/>
      <c r="DH641" s="1512">
        <f t="shared" si="39"/>
        <v>0</v>
      </c>
      <c r="DI641" s="1513"/>
      <c r="DJ641" s="1513"/>
      <c r="DK641" s="1513"/>
      <c r="DL641" s="1514"/>
      <c r="DM641" s="1512">
        <f t="shared" si="40"/>
        <v>0</v>
      </c>
      <c r="DN641" s="1513"/>
      <c r="DO641" s="1513"/>
      <c r="DP641" s="1513"/>
      <c r="DQ641" s="1514"/>
      <c r="DR641" s="1512">
        <f t="shared" si="41"/>
        <v>0</v>
      </c>
      <c r="DS641" s="1513"/>
      <c r="DT641" s="1513"/>
      <c r="DU641" s="1513"/>
      <c r="DV641" s="1514"/>
      <c r="DX641" s="1859" t="e">
        <f t="shared" si="23"/>
        <v>#VALUE!</v>
      </c>
      <c r="DY641" s="1859"/>
      <c r="DZ641" s="1859"/>
      <c r="EA641" s="1859"/>
      <c r="EB641" s="1859"/>
      <c r="EC641" s="1859" t="e">
        <f t="shared" si="24"/>
        <v>#VALUE!</v>
      </c>
      <c r="ED641" s="1859"/>
      <c r="EE641" s="1859"/>
      <c r="EF641" s="1859"/>
      <c r="EG641" s="1859"/>
      <c r="EH641" s="1859" t="e">
        <f t="shared" si="25"/>
        <v>#VALUE!</v>
      </c>
      <c r="EI641" s="1859"/>
      <c r="EJ641" s="1859"/>
      <c r="EK641" s="1859"/>
      <c r="EL641" s="1859"/>
      <c r="EM641" s="1859" t="e">
        <f t="shared" si="26"/>
        <v>#VALUE!</v>
      </c>
      <c r="EN641" s="1859"/>
      <c r="EO641" s="1859"/>
      <c r="EP641" s="1859"/>
      <c r="EQ641" s="1859"/>
      <c r="ER641" s="1859" t="e">
        <f t="shared" si="27"/>
        <v>#VALUE!</v>
      </c>
      <c r="ES641" s="1859"/>
      <c r="ET641" s="1859"/>
      <c r="EU641" s="1859"/>
      <c r="EV641" s="1859"/>
      <c r="EW641" s="1859" t="e">
        <f t="shared" si="28"/>
        <v>#VALUE!</v>
      </c>
      <c r="EX641" s="1859"/>
      <c r="EY641" s="1859"/>
      <c r="EZ641" s="1859"/>
      <c r="FA641" s="1859"/>
    </row>
    <row r="642" spans="1:157" ht="12.95" customHeight="1">
      <c r="A642" s="22"/>
      <c r="B642" t="s">
        <v>17</v>
      </c>
      <c r="G642" s="1398" t="s">
        <v>2702</v>
      </c>
      <c r="H642" s="1398"/>
      <c r="I642" s="1398"/>
      <c r="J642" s="1398"/>
      <c r="K642" s="1398"/>
      <c r="L642" s="1398"/>
      <c r="M642" s="1398"/>
      <c r="N642" s="1398"/>
      <c r="O642" s="1398"/>
      <c r="P642" s="1398"/>
      <c r="Q642" s="1398"/>
      <c r="R642" s="1398"/>
      <c r="S642" s="8"/>
      <c r="T642" s="22"/>
      <c r="U642" t="s">
        <v>17</v>
      </c>
      <c r="Z642" s="1369" t="s">
        <v>2703</v>
      </c>
      <c r="AA642" s="1369"/>
      <c r="AB642" s="1369"/>
      <c r="AC642" s="1369"/>
      <c r="AD642" s="1369"/>
      <c r="AE642" s="1369"/>
      <c r="AF642" s="1369"/>
      <c r="AG642" s="1369"/>
      <c r="AH642" s="1369"/>
      <c r="AI642" s="1369"/>
      <c r="AJ642" s="1369"/>
      <c r="AK642" s="1369"/>
      <c r="AZ642" s="34"/>
      <c r="BA642" s="34"/>
      <c r="BB642" s="34"/>
      <c r="BC642" s="34"/>
      <c r="BD642" s="34"/>
      <c r="BE642" s="34"/>
      <c r="BF642" s="34"/>
      <c r="BG642" s="34"/>
      <c r="BH642" s="34"/>
      <c r="BI642" s="34"/>
      <c r="BJ642" s="34"/>
      <c r="BK642" s="34"/>
      <c r="BL642" s="34"/>
      <c r="BM642" s="34"/>
      <c r="BN642" s="1512">
        <f t="shared" si="30"/>
        <v>0</v>
      </c>
      <c r="BO642" s="1513"/>
      <c r="BP642" s="1513"/>
      <c r="BQ642" s="1513"/>
      <c r="BR642" s="1514"/>
      <c r="BS642" s="1399">
        <f t="shared" si="31"/>
        <v>0</v>
      </c>
      <c r="BT642" s="1399"/>
      <c r="BU642" s="1399"/>
      <c r="BV642" s="1399"/>
      <c r="BW642" s="1399"/>
      <c r="BX642" s="1399">
        <f t="shared" si="32"/>
        <v>0</v>
      </c>
      <c r="BY642" s="1399"/>
      <c r="BZ642" s="1399"/>
      <c r="CA642" s="1399"/>
      <c r="CB642" s="1399"/>
      <c r="CC642" s="1399">
        <f t="shared" si="33"/>
        <v>0</v>
      </c>
      <c r="CD642" s="1399"/>
      <c r="CE642" s="1399"/>
      <c r="CF642" s="1399"/>
      <c r="CG642" s="1399"/>
      <c r="CH642" s="1399">
        <f t="shared" si="34"/>
        <v>0</v>
      </c>
      <c r="CI642" s="1399"/>
      <c r="CJ642" s="1399"/>
      <c r="CK642" s="1399"/>
      <c r="CL642" s="1399"/>
      <c r="CM642" s="1399">
        <f t="shared" si="35"/>
        <v>0</v>
      </c>
      <c r="CN642" s="1399"/>
      <c r="CO642" s="1399"/>
      <c r="CP642" s="1399"/>
      <c r="CQ642" s="1399"/>
      <c r="CR642" s="6"/>
      <c r="CS642" s="1512">
        <f t="shared" si="36"/>
        <v>0</v>
      </c>
      <c r="CT642" s="1513"/>
      <c r="CU642" s="1513"/>
      <c r="CV642" s="1513"/>
      <c r="CW642" s="1514"/>
      <c r="CX642" s="1512">
        <f t="shared" si="37"/>
        <v>0</v>
      </c>
      <c r="CY642" s="1513"/>
      <c r="CZ642" s="1513"/>
      <c r="DA642" s="1513"/>
      <c r="DB642" s="1514"/>
      <c r="DC642" s="1512">
        <f t="shared" si="38"/>
        <v>0</v>
      </c>
      <c r="DD642" s="1513"/>
      <c r="DE642" s="1513"/>
      <c r="DF642" s="1513"/>
      <c r="DG642" s="1514"/>
      <c r="DH642" s="1512">
        <f t="shared" si="39"/>
        <v>0</v>
      </c>
      <c r="DI642" s="1513"/>
      <c r="DJ642" s="1513"/>
      <c r="DK642" s="1513"/>
      <c r="DL642" s="1514"/>
      <c r="DM642" s="1512">
        <f t="shared" si="40"/>
        <v>0</v>
      </c>
      <c r="DN642" s="1513"/>
      <c r="DO642" s="1513"/>
      <c r="DP642" s="1513"/>
      <c r="DQ642" s="1514"/>
      <c r="DR642" s="1512">
        <f t="shared" si="41"/>
        <v>0</v>
      </c>
      <c r="DS642" s="1513"/>
      <c r="DT642" s="1513"/>
      <c r="DU642" s="1513"/>
      <c r="DV642" s="1514"/>
      <c r="DX642" s="1859" t="e">
        <f t="shared" si="23"/>
        <v>#VALUE!</v>
      </c>
      <c r="DY642" s="1859"/>
      <c r="DZ642" s="1859"/>
      <c r="EA642" s="1859"/>
      <c r="EB642" s="1859"/>
      <c r="EC642" s="1859" t="e">
        <f t="shared" si="24"/>
        <v>#VALUE!</v>
      </c>
      <c r="ED642" s="1859"/>
      <c r="EE642" s="1859"/>
      <c r="EF642" s="1859"/>
      <c r="EG642" s="1859"/>
      <c r="EH642" s="1859" t="e">
        <f t="shared" si="25"/>
        <v>#VALUE!</v>
      </c>
      <c r="EI642" s="1859"/>
      <c r="EJ642" s="1859"/>
      <c r="EK642" s="1859"/>
      <c r="EL642" s="1859"/>
      <c r="EM642" s="1859" t="e">
        <f t="shared" si="26"/>
        <v>#VALUE!</v>
      </c>
      <c r="EN642" s="1859"/>
      <c r="EO642" s="1859"/>
      <c r="EP642" s="1859"/>
      <c r="EQ642" s="1859"/>
      <c r="ER642" s="1859" t="e">
        <f t="shared" si="27"/>
        <v>#VALUE!</v>
      </c>
      <c r="ES642" s="1859"/>
      <c r="ET642" s="1859"/>
      <c r="EU642" s="1859"/>
      <c r="EV642" s="1859"/>
      <c r="EW642" s="1859" t="e">
        <f t="shared" si="28"/>
        <v>#VALUE!</v>
      </c>
      <c r="EX642" s="1859"/>
      <c r="EY642" s="1859"/>
      <c r="EZ642" s="1859"/>
      <c r="FA642" s="1859"/>
    </row>
    <row r="643" spans="1:157" ht="12.95" customHeight="1">
      <c r="A643" s="22"/>
      <c r="B643" t="s">
        <v>318</v>
      </c>
      <c r="G643" s="1441" t="s">
        <v>2707</v>
      </c>
      <c r="H643" s="1441"/>
      <c r="I643" s="1441"/>
      <c r="J643" s="1441"/>
      <c r="K643" s="1441"/>
      <c r="L643" s="1441"/>
      <c r="O643" s="33" t="s">
        <v>208</v>
      </c>
      <c r="P643" s="1468"/>
      <c r="Q643" s="1468"/>
      <c r="R643" s="1468"/>
      <c r="S643" s="10"/>
      <c r="T643" s="22"/>
      <c r="U643" t="s">
        <v>318</v>
      </c>
      <c r="Z643" s="1441" t="s">
        <v>2710</v>
      </c>
      <c r="AA643" s="1441"/>
      <c r="AB643" s="1441"/>
      <c r="AC643" s="1441"/>
      <c r="AD643" s="1441"/>
      <c r="AE643" s="1441"/>
      <c r="AH643" s="33" t="s">
        <v>208</v>
      </c>
      <c r="AI643" s="1468"/>
      <c r="AJ643" s="1468"/>
      <c r="AK643" s="1468"/>
      <c r="AZ643" s="34"/>
      <c r="BA643" s="34"/>
      <c r="BB643" s="34"/>
      <c r="BC643" s="34"/>
      <c r="BD643" s="34"/>
      <c r="BE643" s="34"/>
      <c r="BF643" s="34"/>
      <c r="BG643" s="34"/>
      <c r="BH643" s="34"/>
      <c r="BI643" s="34"/>
      <c r="BJ643" s="34"/>
      <c r="BK643" s="34"/>
      <c r="BL643" s="34"/>
      <c r="BM643" s="34"/>
      <c r="BN643" s="1512">
        <f t="shared" si="30"/>
        <v>0</v>
      </c>
      <c r="BO643" s="1513"/>
      <c r="BP643" s="1513"/>
      <c r="BQ643" s="1513"/>
      <c r="BR643" s="1514"/>
      <c r="BS643" s="1399">
        <f t="shared" si="31"/>
        <v>0</v>
      </c>
      <c r="BT643" s="1399"/>
      <c r="BU643" s="1399"/>
      <c r="BV643" s="1399"/>
      <c r="BW643" s="1399"/>
      <c r="BX643" s="1399">
        <f t="shared" si="32"/>
        <v>0</v>
      </c>
      <c r="BY643" s="1399"/>
      <c r="BZ643" s="1399"/>
      <c r="CA643" s="1399"/>
      <c r="CB643" s="1399"/>
      <c r="CC643" s="1399">
        <f t="shared" si="33"/>
        <v>0</v>
      </c>
      <c r="CD643" s="1399"/>
      <c r="CE643" s="1399"/>
      <c r="CF643" s="1399"/>
      <c r="CG643" s="1399"/>
      <c r="CH643" s="1399">
        <f t="shared" si="34"/>
        <v>0</v>
      </c>
      <c r="CI643" s="1399"/>
      <c r="CJ643" s="1399"/>
      <c r="CK643" s="1399"/>
      <c r="CL643" s="1399"/>
      <c r="CM643" s="1399">
        <f t="shared" si="35"/>
        <v>0</v>
      </c>
      <c r="CN643" s="1399"/>
      <c r="CO643" s="1399"/>
      <c r="CP643" s="1399"/>
      <c r="CQ643" s="1399"/>
      <c r="CR643" s="6"/>
      <c r="CS643" s="1512">
        <f t="shared" si="36"/>
        <v>0</v>
      </c>
      <c r="CT643" s="1513"/>
      <c r="CU643" s="1513"/>
      <c r="CV643" s="1513"/>
      <c r="CW643" s="1514"/>
      <c r="CX643" s="1512">
        <f t="shared" si="37"/>
        <v>0</v>
      </c>
      <c r="CY643" s="1513"/>
      <c r="CZ643" s="1513"/>
      <c r="DA643" s="1513"/>
      <c r="DB643" s="1514"/>
      <c r="DC643" s="1512">
        <f t="shared" si="38"/>
        <v>0</v>
      </c>
      <c r="DD643" s="1513"/>
      <c r="DE643" s="1513"/>
      <c r="DF643" s="1513"/>
      <c r="DG643" s="1514"/>
      <c r="DH643" s="1512">
        <f t="shared" si="39"/>
        <v>0</v>
      </c>
      <c r="DI643" s="1513"/>
      <c r="DJ643" s="1513"/>
      <c r="DK643" s="1513"/>
      <c r="DL643" s="1514"/>
      <c r="DM643" s="1512">
        <f t="shared" si="40"/>
        <v>0</v>
      </c>
      <c r="DN643" s="1513"/>
      <c r="DO643" s="1513"/>
      <c r="DP643" s="1513"/>
      <c r="DQ643" s="1514"/>
      <c r="DR643" s="1512">
        <f t="shared" si="41"/>
        <v>0</v>
      </c>
      <c r="DS643" s="1513"/>
      <c r="DT643" s="1513"/>
      <c r="DU643" s="1513"/>
      <c r="DV643" s="1514"/>
      <c r="DX643" s="1859" t="e">
        <f t="shared" si="23"/>
        <v>#VALUE!</v>
      </c>
      <c r="DY643" s="1859"/>
      <c r="DZ643" s="1859"/>
      <c r="EA643" s="1859"/>
      <c r="EB643" s="1859"/>
      <c r="EC643" s="1859" t="e">
        <f t="shared" si="24"/>
        <v>#VALUE!</v>
      </c>
      <c r="ED643" s="1859"/>
      <c r="EE643" s="1859"/>
      <c r="EF643" s="1859"/>
      <c r="EG643" s="1859"/>
      <c r="EH643" s="1859" t="e">
        <f t="shared" si="25"/>
        <v>#VALUE!</v>
      </c>
      <c r="EI643" s="1859"/>
      <c r="EJ643" s="1859"/>
      <c r="EK643" s="1859"/>
      <c r="EL643" s="1859"/>
      <c r="EM643" s="1859" t="e">
        <f t="shared" si="26"/>
        <v>#VALUE!</v>
      </c>
      <c r="EN643" s="1859"/>
      <c r="EO643" s="1859"/>
      <c r="EP643" s="1859"/>
      <c r="EQ643" s="1859"/>
      <c r="ER643" s="1859" t="e">
        <f t="shared" si="27"/>
        <v>#VALUE!</v>
      </c>
      <c r="ES643" s="1859"/>
      <c r="ET643" s="1859"/>
      <c r="EU643" s="1859"/>
      <c r="EV643" s="1859"/>
      <c r="EW643" s="1859" t="e">
        <f t="shared" si="28"/>
        <v>#VALUE!</v>
      </c>
      <c r="EX643" s="1859"/>
      <c r="EY643" s="1859"/>
      <c r="EZ643" s="1859"/>
      <c r="FA643" s="1859"/>
    </row>
    <row r="644" spans="1:157" ht="12.95" customHeight="1">
      <c r="A644" s="22"/>
      <c r="B644" t="s">
        <v>18</v>
      </c>
      <c r="H644" s="1476" t="s">
        <v>2712</v>
      </c>
      <c r="I644" s="1398"/>
      <c r="J644" s="1398"/>
      <c r="K644" s="1398"/>
      <c r="L644" s="1398"/>
      <c r="M644" s="1398"/>
      <c r="N644" s="1398"/>
      <c r="O644" s="1398"/>
      <c r="P644" s="1398"/>
      <c r="Q644" s="1398"/>
      <c r="R644" s="1398"/>
      <c r="S644" s="8"/>
      <c r="T644" s="22"/>
      <c r="U644" t="s">
        <v>18</v>
      </c>
      <c r="AA644" s="1476" t="s">
        <v>2711</v>
      </c>
      <c r="AB644" s="1398"/>
      <c r="AC644" s="1398"/>
      <c r="AD644" s="1398"/>
      <c r="AE644" s="1398"/>
      <c r="AF644" s="1398"/>
      <c r="AG644" s="1398"/>
      <c r="AH644" s="1398"/>
      <c r="AI644" s="1398"/>
      <c r="AJ644" s="1398"/>
      <c r="AK644" s="1398"/>
      <c r="AZ644" s="34"/>
      <c r="BA644" s="34"/>
      <c r="BB644" s="34"/>
      <c r="BC644" s="34"/>
      <c r="BD644" s="34"/>
      <c r="BE644" s="34"/>
      <c r="BF644" s="34"/>
      <c r="BG644" s="34"/>
      <c r="BH644" s="34"/>
      <c r="BI644" s="34"/>
      <c r="BJ644" s="34"/>
      <c r="BK644" s="34"/>
      <c r="BL644" s="34"/>
      <c r="BM644" s="34"/>
      <c r="BN644" s="1501">
        <f>SUM(BN634:BR643)</f>
        <v>0</v>
      </c>
      <c r="BO644" s="1515"/>
      <c r="BP644" s="1515"/>
      <c r="BQ644" s="1515"/>
      <c r="BR644" s="1502"/>
      <c r="BS644" s="1709">
        <f>SUM(BS634:BW643)</f>
        <v>0</v>
      </c>
      <c r="BT644" s="1710"/>
      <c r="BU644" s="1710"/>
      <c r="BV644" s="1710"/>
      <c r="BW644" s="1711"/>
      <c r="BX644" s="1709">
        <f>SUM(BX634:CB643)</f>
        <v>0</v>
      </c>
      <c r="BY644" s="1710"/>
      <c r="BZ644" s="1710"/>
      <c r="CA644" s="1710"/>
      <c r="CB644" s="1711"/>
      <c r="CC644" s="1709">
        <f>SUM(CC634:CG643)</f>
        <v>0</v>
      </c>
      <c r="CD644" s="1710"/>
      <c r="CE644" s="1710"/>
      <c r="CF644" s="1710"/>
      <c r="CG644" s="1711"/>
      <c r="CH644" s="1709">
        <f>SUM(CH634:CL643)</f>
        <v>0</v>
      </c>
      <c r="CI644" s="1710"/>
      <c r="CJ644" s="1710"/>
      <c r="CK644" s="1710"/>
      <c r="CL644" s="1711"/>
      <c r="CM644" s="1709">
        <f>SUM(CM634:CQ643)</f>
        <v>0</v>
      </c>
      <c r="CN644" s="1710"/>
      <c r="CO644" s="1710"/>
      <c r="CP644" s="1710"/>
      <c r="CQ644" s="1711"/>
      <c r="CR644" s="1049"/>
      <c r="CS644" s="1707">
        <f>SUM(CS634:CW643)</f>
        <v>0</v>
      </c>
      <c r="CT644" s="1707"/>
      <c r="CU644" s="1707"/>
      <c r="CV644" s="1707"/>
      <c r="CW644" s="1707"/>
      <c r="CX644" s="1707">
        <f>SUM(CX634:DB643)</f>
        <v>0</v>
      </c>
      <c r="CY644" s="1707"/>
      <c r="CZ644" s="1707"/>
      <c r="DA644" s="1707"/>
      <c r="DB644" s="1707"/>
      <c r="DC644" s="1707">
        <f>SUM(DC634:DG643)</f>
        <v>0</v>
      </c>
      <c r="DD644" s="1707"/>
      <c r="DE644" s="1707"/>
      <c r="DF644" s="1707"/>
      <c r="DG644" s="1707"/>
      <c r="DH644" s="1707">
        <f>SUM(DH634:DL643)</f>
        <v>0</v>
      </c>
      <c r="DI644" s="1707"/>
      <c r="DJ644" s="1707"/>
      <c r="DK644" s="1707"/>
      <c r="DL644" s="1707"/>
      <c r="DM644" s="1707">
        <f>SUM(DM634:DQ643)</f>
        <v>0</v>
      </c>
      <c r="DN644" s="1707"/>
      <c r="DO644" s="1707"/>
      <c r="DP644" s="1707"/>
      <c r="DQ644" s="1707"/>
      <c r="DR644" s="1707">
        <f>SUM(DR634:DV643)</f>
        <v>0</v>
      </c>
      <c r="DS644" s="1707"/>
      <c r="DT644" s="1707"/>
      <c r="DU644" s="1707"/>
      <c r="DV644" s="1707"/>
      <c r="DX644" s="1859" t="e">
        <f t="shared" si="23"/>
        <v>#VALUE!</v>
      </c>
      <c r="DY644" s="1859"/>
      <c r="DZ644" s="1859"/>
      <c r="EA644" s="1859"/>
      <c r="EB644" s="1859"/>
      <c r="EC644" s="1859" t="e">
        <f t="shared" si="24"/>
        <v>#VALUE!</v>
      </c>
      <c r="ED644" s="1859"/>
      <c r="EE644" s="1859"/>
      <c r="EF644" s="1859"/>
      <c r="EG644" s="1859"/>
      <c r="EH644" s="1859" t="e">
        <f t="shared" si="25"/>
        <v>#VALUE!</v>
      </c>
      <c r="EI644" s="1859"/>
      <c r="EJ644" s="1859"/>
      <c r="EK644" s="1859"/>
      <c r="EL644" s="1859"/>
      <c r="EM644" s="1859" t="e">
        <f t="shared" si="26"/>
        <v>#VALUE!</v>
      </c>
      <c r="EN644" s="1859"/>
      <c r="EO644" s="1859"/>
      <c r="EP644" s="1859"/>
      <c r="EQ644" s="1859"/>
      <c r="ER644" s="1859" t="e">
        <f t="shared" si="27"/>
        <v>#VALUE!</v>
      </c>
      <c r="ES644" s="1859"/>
      <c r="ET644" s="1859"/>
      <c r="EU644" s="1859"/>
      <c r="EV644" s="1859"/>
      <c r="EW644" s="1859" t="e">
        <f t="shared" si="28"/>
        <v>#VALUE!</v>
      </c>
      <c r="EX644" s="1859"/>
      <c r="EY644" s="1859"/>
      <c r="EZ644" s="1859"/>
      <c r="FA644" s="1859"/>
    </row>
    <row r="645" spans="1:157" ht="12.95" customHeight="1">
      <c r="A645" s="22"/>
      <c r="B645" t="s">
        <v>20</v>
      </c>
      <c r="N645" s="1376" t="s">
        <v>554</v>
      </c>
      <c r="O645" s="1376"/>
      <c r="T645" s="22"/>
      <c r="U645" t="s">
        <v>20</v>
      </c>
      <c r="AG645" s="1376" t="s">
        <v>554</v>
      </c>
      <c r="AH645" s="1376"/>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859" t="e">
        <f t="shared" si="23"/>
        <v>#VALUE!</v>
      </c>
      <c r="DY645" s="1859"/>
      <c r="DZ645" s="1859"/>
      <c r="EA645" s="1859"/>
      <c r="EB645" s="1859"/>
      <c r="EC645" s="1859" t="e">
        <f t="shared" si="24"/>
        <v>#VALUE!</v>
      </c>
      <c r="ED645" s="1859"/>
      <c r="EE645" s="1859"/>
      <c r="EF645" s="1859"/>
      <c r="EG645" s="1859"/>
      <c r="EH645" s="1859" t="e">
        <f t="shared" si="25"/>
        <v>#VALUE!</v>
      </c>
      <c r="EI645" s="1859"/>
      <c r="EJ645" s="1859"/>
      <c r="EK645" s="1859"/>
      <c r="EL645" s="1859"/>
      <c r="EM645" s="1859" t="e">
        <f t="shared" si="26"/>
        <v>#VALUE!</v>
      </c>
      <c r="EN645" s="1859"/>
      <c r="EO645" s="1859"/>
      <c r="EP645" s="1859"/>
      <c r="EQ645" s="1859"/>
      <c r="ER645" s="1859" t="e">
        <f t="shared" si="27"/>
        <v>#VALUE!</v>
      </c>
      <c r="ES645" s="1859"/>
      <c r="ET645" s="1859"/>
      <c r="EU645" s="1859"/>
      <c r="EV645" s="1859"/>
      <c r="EW645" s="1859" t="e">
        <f t="shared" si="28"/>
        <v>#VALUE!</v>
      </c>
      <c r="EX645" s="1859"/>
      <c r="EY645" s="1859"/>
      <c r="EZ645" s="1859"/>
      <c r="FA645" s="1859"/>
    </row>
    <row r="646" spans="1:157" ht="12.95"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2120</v>
      </c>
      <c r="CU646" s="3"/>
      <c r="CV646" s="3"/>
      <c r="CW646" s="3"/>
      <c r="CX646" s="3"/>
      <c r="CY646" s="3"/>
      <c r="CZ646" s="3"/>
      <c r="DA646" s="3"/>
      <c r="DB646" s="3"/>
      <c r="DC646" s="3"/>
      <c r="DD646" s="3"/>
      <c r="DE646" s="3"/>
      <c r="DF646" s="3"/>
      <c r="DQ646" s="56" t="s">
        <v>2132</v>
      </c>
      <c r="DR646" s="1859">
        <f>SUM(CS644:DV644)</f>
        <v>0</v>
      </c>
      <c r="DS646" s="1859"/>
      <c r="DT646" s="1859"/>
      <c r="DU646" s="1859"/>
      <c r="DV646" s="1859"/>
      <c r="DX646" s="1859" t="e">
        <f t="shared" si="23"/>
        <v>#VALUE!</v>
      </c>
      <c r="DY646" s="1859"/>
      <c r="DZ646" s="1859"/>
      <c r="EA646" s="1859"/>
      <c r="EB646" s="1859"/>
      <c r="EC646" s="1859" t="e">
        <f t="shared" si="24"/>
        <v>#VALUE!</v>
      </c>
      <c r="ED646" s="1859"/>
      <c r="EE646" s="1859"/>
      <c r="EF646" s="1859"/>
      <c r="EG646" s="1859"/>
      <c r="EH646" s="1859" t="e">
        <f t="shared" si="25"/>
        <v>#VALUE!</v>
      </c>
      <c r="EI646" s="1859"/>
      <c r="EJ646" s="1859"/>
      <c r="EK646" s="1859"/>
      <c r="EL646" s="1859"/>
      <c r="EM646" s="1859" t="e">
        <f t="shared" si="26"/>
        <v>#VALUE!</v>
      </c>
      <c r="EN646" s="1859"/>
      <c r="EO646" s="1859"/>
      <c r="EP646" s="1859"/>
      <c r="EQ646" s="1859"/>
      <c r="ER646" s="1859" t="e">
        <f t="shared" si="27"/>
        <v>#VALUE!</v>
      </c>
      <c r="ES646" s="1859"/>
      <c r="ET646" s="1859"/>
      <c r="EU646" s="1859"/>
      <c r="EV646" s="1859"/>
      <c r="EW646" s="1859" t="e">
        <f t="shared" si="28"/>
        <v>#VALUE!</v>
      </c>
      <c r="EX646" s="1859"/>
      <c r="EY646" s="1859"/>
      <c r="EZ646" s="1859"/>
      <c r="FA646" s="1859"/>
    </row>
    <row r="647" spans="1:157" ht="12.95" customHeight="1">
      <c r="A647" s="55" t="s">
        <v>120</v>
      </c>
      <c r="B647" t="s">
        <v>472</v>
      </c>
      <c r="G647" s="1517" t="str">
        <f>C625</f>
        <v>HCD AHSC</v>
      </c>
      <c r="H647" s="1517"/>
      <c r="I647" s="1517"/>
      <c r="J647" s="1517"/>
      <c r="K647" s="1517"/>
      <c r="L647" s="1517"/>
      <c r="M647" s="1517"/>
      <c r="N647" s="1517"/>
      <c r="O647" s="1517"/>
      <c r="P647" s="1517"/>
      <c r="Q647" s="1517"/>
      <c r="R647" s="1517"/>
      <c r="T647" s="55" t="s">
        <v>590</v>
      </c>
      <c r="U647" t="s">
        <v>472</v>
      </c>
      <c r="Z647" s="1517" t="str">
        <f>C626</f>
        <v>Deferred Developer Fee</v>
      </c>
      <c r="AA647" s="1517"/>
      <c r="AB647" s="1517"/>
      <c r="AC647" s="1517"/>
      <c r="AD647" s="1517"/>
      <c r="AE647" s="1517"/>
      <c r="AF647" s="1517"/>
      <c r="AG647" s="1517"/>
      <c r="AH647" s="1517"/>
      <c r="AI647" s="1517"/>
      <c r="AJ647" s="1517"/>
      <c r="AK647" s="1517"/>
      <c r="AZ647" s="34"/>
      <c r="BA647" s="34"/>
      <c r="BB647" s="34"/>
      <c r="BC647" s="34"/>
      <c r="BD647" s="34"/>
      <c r="BE647" s="34"/>
      <c r="BF647" s="34"/>
      <c r="BG647" s="34"/>
      <c r="BH647" s="34"/>
      <c r="BI647" s="34"/>
      <c r="BJ647" s="34"/>
      <c r="BK647" s="34"/>
      <c r="BL647" s="34"/>
      <c r="BM647" s="34"/>
      <c r="CR647" s="3"/>
      <c r="CS647" s="897">
        <f>BR645+BW645+CB645+CG645+CL645+CQ645</f>
        <v>0</v>
      </c>
      <c r="CT647" s="57" t="s">
        <v>1808</v>
      </c>
      <c r="CU647" s="3"/>
      <c r="CV647" s="3"/>
      <c r="CW647" s="3"/>
      <c r="CX647" s="3"/>
      <c r="CY647" s="3"/>
      <c r="CZ647" s="3"/>
      <c r="DA647" s="3"/>
      <c r="DB647" s="3"/>
      <c r="DC647" s="3"/>
      <c r="DD647" s="3"/>
      <c r="DE647" s="3"/>
      <c r="DF647" s="3"/>
      <c r="DX647" s="1859" t="e">
        <f t="shared" si="23"/>
        <v>#VALUE!</v>
      </c>
      <c r="DY647" s="1859"/>
      <c r="DZ647" s="1859"/>
      <c r="EA647" s="1859"/>
      <c r="EB647" s="1859"/>
      <c r="EC647" s="1859" t="e">
        <f t="shared" si="24"/>
        <v>#VALUE!</v>
      </c>
      <c r="ED647" s="1859"/>
      <c r="EE647" s="1859"/>
      <c r="EF647" s="1859"/>
      <c r="EG647" s="1859"/>
      <c r="EH647" s="1859" t="e">
        <f t="shared" si="25"/>
        <v>#VALUE!</v>
      </c>
      <c r="EI647" s="1859"/>
      <c r="EJ647" s="1859"/>
      <c r="EK647" s="1859"/>
      <c r="EL647" s="1859"/>
      <c r="EM647" s="1859" t="e">
        <f t="shared" si="26"/>
        <v>#VALUE!</v>
      </c>
      <c r="EN647" s="1859"/>
      <c r="EO647" s="1859"/>
      <c r="EP647" s="1859"/>
      <c r="EQ647" s="1859"/>
      <c r="ER647" s="1859" t="e">
        <f t="shared" si="27"/>
        <v>#VALUE!</v>
      </c>
      <c r="ES647" s="1859"/>
      <c r="ET647" s="1859"/>
      <c r="EU647" s="1859"/>
      <c r="EV647" s="1859"/>
      <c r="EW647" s="1859" t="e">
        <f t="shared" si="28"/>
        <v>#VALUE!</v>
      </c>
      <c r="EX647" s="1859"/>
      <c r="EY647" s="1859"/>
      <c r="EZ647" s="1859"/>
      <c r="FA647" s="1859"/>
    </row>
    <row r="648" spans="1:157" ht="12.95" customHeight="1">
      <c r="A648" s="22"/>
      <c r="B648" t="s">
        <v>86</v>
      </c>
      <c r="G648" s="1398" t="s">
        <v>2762</v>
      </c>
      <c r="H648" s="1398"/>
      <c r="I648" s="1398"/>
      <c r="J648" s="1398"/>
      <c r="K648" s="1398"/>
      <c r="L648" s="1398"/>
      <c r="M648" s="1398"/>
      <c r="N648" s="1398"/>
      <c r="O648" s="1398"/>
      <c r="P648" s="1398"/>
      <c r="Q648" s="1398"/>
      <c r="R648" s="1398"/>
      <c r="T648" s="22"/>
      <c r="U648" t="s">
        <v>86</v>
      </c>
      <c r="Z648" s="1398" t="s">
        <v>2643</v>
      </c>
      <c r="AA648" s="1398"/>
      <c r="AB648" s="1398"/>
      <c r="AC648" s="1398"/>
      <c r="AD648" s="1398"/>
      <c r="AE648" s="1398"/>
      <c r="AF648" s="1398"/>
      <c r="AG648" s="1398"/>
      <c r="AH648" s="1398"/>
      <c r="AI648" s="1398"/>
      <c r="AJ648" s="1398"/>
      <c r="AK648" s="1398"/>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859" t="e">
        <f t="shared" si="23"/>
        <v>#VALUE!</v>
      </c>
      <c r="DY648" s="1859"/>
      <c r="DZ648" s="1859"/>
      <c r="EA648" s="1859"/>
      <c r="EB648" s="1859"/>
      <c r="EC648" s="1859" t="e">
        <f t="shared" si="24"/>
        <v>#VALUE!</v>
      </c>
      <c r="ED648" s="1859"/>
      <c r="EE648" s="1859"/>
      <c r="EF648" s="1859"/>
      <c r="EG648" s="1859"/>
      <c r="EH648" s="1859" t="e">
        <f t="shared" si="25"/>
        <v>#VALUE!</v>
      </c>
      <c r="EI648" s="1859"/>
      <c r="EJ648" s="1859"/>
      <c r="EK648" s="1859"/>
      <c r="EL648" s="1859"/>
      <c r="EM648" s="1859" t="e">
        <f t="shared" si="26"/>
        <v>#VALUE!</v>
      </c>
      <c r="EN648" s="1859"/>
      <c r="EO648" s="1859"/>
      <c r="EP648" s="1859"/>
      <c r="EQ648" s="1859"/>
      <c r="ER648" s="1859" t="e">
        <f t="shared" si="27"/>
        <v>#VALUE!</v>
      </c>
      <c r="ES648" s="1859"/>
      <c r="ET648" s="1859"/>
      <c r="EU648" s="1859"/>
      <c r="EV648" s="1859"/>
      <c r="EW648" s="1859" t="e">
        <f t="shared" si="28"/>
        <v>#VALUE!</v>
      </c>
      <c r="EX648" s="1859"/>
      <c r="EY648" s="1859"/>
      <c r="EZ648" s="1859"/>
      <c r="FA648" s="1859"/>
    </row>
    <row r="649" spans="1:157" ht="12.95" customHeight="1">
      <c r="A649" s="22"/>
      <c r="B649" t="s">
        <v>589</v>
      </c>
      <c r="G649" s="1369" t="s">
        <v>68</v>
      </c>
      <c r="H649" s="1369"/>
      <c r="I649" s="1369"/>
      <c r="J649" s="1369"/>
      <c r="K649" s="1369"/>
      <c r="L649" s="1369"/>
      <c r="M649" s="1369"/>
      <c r="N649" s="1369"/>
      <c r="O649" s="1369"/>
      <c r="P649" s="1369"/>
      <c r="Q649" s="1369"/>
      <c r="R649" s="1369"/>
      <c r="T649" s="22"/>
      <c r="U649" t="s">
        <v>589</v>
      </c>
      <c r="Z649" s="1369" t="s">
        <v>742</v>
      </c>
      <c r="AA649" s="1369"/>
      <c r="AB649" s="1369"/>
      <c r="AC649" s="1369"/>
      <c r="AD649" s="1369"/>
      <c r="AE649" s="1369"/>
      <c r="AF649" s="1369"/>
      <c r="AG649" s="1369"/>
      <c r="AH649" s="1369"/>
      <c r="AI649" s="1369"/>
      <c r="AJ649" s="1369"/>
      <c r="AK649" s="1369"/>
      <c r="AZ649" s="34"/>
      <c r="BA649" s="34"/>
      <c r="BB649" s="34"/>
      <c r="BC649" s="34"/>
      <c r="BD649" s="34"/>
      <c r="BE649" s="34"/>
      <c r="BF649" s="34"/>
      <c r="BG649" s="34"/>
      <c r="BH649" s="34"/>
      <c r="BI649" s="34"/>
      <c r="BJ649" s="34"/>
      <c r="BK649" s="34"/>
      <c r="BL649" s="34"/>
      <c r="BM649" s="34"/>
      <c r="BN649" s="1709">
        <f>BN621+BN630+BN644</f>
        <v>17</v>
      </c>
      <c r="BO649" s="1710"/>
      <c r="BP649" s="1710"/>
      <c r="BQ649" s="1710"/>
      <c r="BR649" s="1711"/>
      <c r="BS649" s="1709">
        <f>BS621+BS630+BS644</f>
        <v>76</v>
      </c>
      <c r="BT649" s="1710"/>
      <c r="BU649" s="1710"/>
      <c r="BV649" s="1710"/>
      <c r="BW649" s="1711"/>
      <c r="BX649" s="1709">
        <f>BX621+BX630+BX644</f>
        <v>54</v>
      </c>
      <c r="BY649" s="1710"/>
      <c r="BZ649" s="1710"/>
      <c r="CA649" s="1710"/>
      <c r="CB649" s="1711"/>
      <c r="CC649" s="1709">
        <f>CC621+CC630+CC644</f>
        <v>37</v>
      </c>
      <c r="CD649" s="1710"/>
      <c r="CE649" s="1710"/>
      <c r="CF649" s="1710"/>
      <c r="CG649" s="1711"/>
      <c r="CH649" s="1709">
        <f>CH621+CH630+CH644</f>
        <v>0</v>
      </c>
      <c r="CI649" s="1710"/>
      <c r="CJ649" s="1710"/>
      <c r="CK649" s="1710"/>
      <c r="CL649" s="1711"/>
      <c r="CM649" s="1423">
        <f>CM644+CM630+CM621</f>
        <v>0</v>
      </c>
      <c r="CN649" s="1855"/>
      <c r="CO649" s="1855"/>
      <c r="CP649" s="1855"/>
      <c r="CQ649" s="1424"/>
      <c r="CR649" s="3"/>
      <c r="CS649" s="897">
        <f>CS623+CS647</f>
        <v>309</v>
      </c>
      <c r="CT649" s="57" t="s">
        <v>2125</v>
      </c>
      <c r="CU649" s="3"/>
      <c r="CV649" s="3"/>
      <c r="CW649" s="3"/>
      <c r="CX649" s="3"/>
      <c r="CY649" s="3"/>
      <c r="CZ649" s="3"/>
      <c r="DA649" s="3"/>
      <c r="DB649" s="3"/>
      <c r="DC649" s="3"/>
      <c r="DD649" s="3"/>
      <c r="DE649" s="3"/>
      <c r="DF649" s="3"/>
      <c r="DX649" s="1859">
        <f>SUMIF(DX624:EB648,"&gt;0")</f>
        <v>1357.4117647058824</v>
      </c>
      <c r="DY649" s="1859"/>
      <c r="DZ649" s="1859"/>
      <c r="EA649" s="1859"/>
      <c r="EB649" s="1859"/>
      <c r="EC649" s="1859">
        <f>SUMIF(EC624:EG648,"&gt;0")</f>
        <v>1512.0666666666666</v>
      </c>
      <c r="ED649" s="1859"/>
      <c r="EE649" s="1859"/>
      <c r="EF649" s="1859"/>
      <c r="EG649" s="1859"/>
      <c r="EH649" s="1859">
        <f>SUMIF(EH624:EL648,"&gt;0")</f>
        <v>1292.1132075471698</v>
      </c>
      <c r="EI649" s="1859"/>
      <c r="EJ649" s="1859"/>
      <c r="EK649" s="1859"/>
      <c r="EL649" s="1859"/>
      <c r="EM649" s="1859">
        <f>SUMIF(EM624:EQ648,"&gt;0")</f>
        <v>1499.4864864864865</v>
      </c>
      <c r="EN649" s="1859"/>
      <c r="EO649" s="1859"/>
      <c r="EP649" s="1859"/>
      <c r="EQ649" s="1859"/>
      <c r="ER649" s="1859">
        <f>SUMIF(ER624:EV648,"&gt;0")</f>
        <v>0</v>
      </c>
      <c r="ES649" s="1859"/>
      <c r="ET649" s="1859"/>
      <c r="EU649" s="1859"/>
      <c r="EV649" s="1859"/>
      <c r="EW649" s="1859">
        <f>SUMIF(EW624:FA648,"&gt;0")</f>
        <v>0</v>
      </c>
      <c r="EX649" s="1859"/>
      <c r="EY649" s="1859"/>
      <c r="EZ649" s="1859"/>
      <c r="FA649" s="1859"/>
    </row>
    <row r="650" spans="1:157" ht="12.95" customHeight="1">
      <c r="A650" s="22"/>
      <c r="B650" t="s">
        <v>17</v>
      </c>
      <c r="G650" s="1369" t="s">
        <v>2763</v>
      </c>
      <c r="H650" s="1369"/>
      <c r="I650" s="1369"/>
      <c r="J650" s="1369"/>
      <c r="K650" s="1369"/>
      <c r="L650" s="1369"/>
      <c r="M650" s="1369"/>
      <c r="N650" s="1369"/>
      <c r="O650" s="1369"/>
      <c r="P650" s="1369"/>
      <c r="Q650" s="1369"/>
      <c r="R650" s="1369"/>
      <c r="T650" s="22"/>
      <c r="U650" t="s">
        <v>17</v>
      </c>
      <c r="Z650" s="1369" t="s">
        <v>2636</v>
      </c>
      <c r="AA650" s="1369"/>
      <c r="AB650" s="1369"/>
      <c r="AC650" s="1369"/>
      <c r="AD650" s="1369"/>
      <c r="AE650" s="1369"/>
      <c r="AF650" s="1369"/>
      <c r="AG650" s="1369"/>
      <c r="AH650" s="1369"/>
      <c r="AI650" s="1369"/>
      <c r="AJ650" s="1369"/>
      <c r="AK650" s="1369"/>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5" customHeight="1">
      <c r="A651" s="22"/>
      <c r="B651" t="s">
        <v>318</v>
      </c>
      <c r="G651" s="1518" t="s">
        <v>2764</v>
      </c>
      <c r="H651" s="1441"/>
      <c r="I651" s="1441"/>
      <c r="J651" s="1441"/>
      <c r="K651" s="1441"/>
      <c r="L651" s="1441"/>
      <c r="O651" s="33" t="s">
        <v>208</v>
      </c>
      <c r="P651" s="1468"/>
      <c r="Q651" s="1468"/>
      <c r="R651" s="1468"/>
      <c r="T651" s="22"/>
      <c r="U651" t="s">
        <v>318</v>
      </c>
      <c r="Z651" s="1441" t="s">
        <v>2761</v>
      </c>
      <c r="AA651" s="1441"/>
      <c r="AB651" s="1441"/>
      <c r="AC651" s="1441"/>
      <c r="AD651" s="1441"/>
      <c r="AE651" s="1441"/>
      <c r="AH651" s="33" t="s">
        <v>208</v>
      </c>
      <c r="AI651" s="1468"/>
      <c r="AJ651" s="1468"/>
      <c r="AK651" s="1468"/>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5" customHeight="1">
      <c r="A652" s="22"/>
      <c r="B652" t="s">
        <v>18</v>
      </c>
      <c r="H652" s="1398" t="s">
        <v>2711</v>
      </c>
      <c r="I652" s="1398"/>
      <c r="J652" s="1398"/>
      <c r="K652" s="1398"/>
      <c r="L652" s="1398"/>
      <c r="M652" s="1398"/>
      <c r="N652" s="1398"/>
      <c r="O652" s="1398"/>
      <c r="P652" s="1398"/>
      <c r="Q652" s="1398"/>
      <c r="R652" s="1398"/>
      <c r="T652" s="22"/>
      <c r="U652" t="s">
        <v>18</v>
      </c>
      <c r="AA652" s="1398" t="s">
        <v>1920</v>
      </c>
      <c r="AB652" s="1398"/>
      <c r="AC652" s="1398"/>
      <c r="AD652" s="1398"/>
      <c r="AE652" s="1398"/>
      <c r="AF652" s="1398"/>
      <c r="AG652" s="1398"/>
      <c r="AH652" s="1398"/>
      <c r="AI652" s="1398"/>
      <c r="AJ652" s="1398"/>
      <c r="AK652" s="1398"/>
      <c r="AZ652" s="3"/>
      <c r="BA652" s="3"/>
      <c r="BB652" s="3"/>
      <c r="BC652" s="3"/>
      <c r="BD652" s="3"/>
      <c r="BE652" s="3"/>
      <c r="BF652" s="3"/>
      <c r="BG652" s="3"/>
      <c r="BH652" s="3"/>
      <c r="BI652" s="3"/>
      <c r="BJ652" s="3"/>
      <c r="BK652" s="3"/>
      <c r="BL652" s="3"/>
      <c r="BM652" s="3"/>
      <c r="BN652" s="3"/>
      <c r="BO652" s="3"/>
      <c r="BP652" s="207" t="s">
        <v>2621</v>
      </c>
      <c r="BQ652" s="208"/>
      <c r="BR652" s="208"/>
      <c r="BS652" s="208"/>
      <c r="BT652" s="208"/>
      <c r="BU652" s="208"/>
      <c r="BV652" s="208"/>
      <c r="BW652" s="3"/>
      <c r="BX652" s="207" t="s">
        <v>2620</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5" customHeight="1">
      <c r="A653" s="22"/>
      <c r="B653" t="s">
        <v>20</v>
      </c>
      <c r="N653" s="1376" t="s">
        <v>554</v>
      </c>
      <c r="O653" s="1376"/>
      <c r="T653" s="22"/>
      <c r="U653" t="s">
        <v>20</v>
      </c>
      <c r="AG653" s="1376" t="s">
        <v>554</v>
      </c>
      <c r="AH653" s="1376"/>
      <c r="AZ653" s="3"/>
      <c r="BA653" s="3"/>
      <c r="BB653" s="3"/>
      <c r="BC653" s="3"/>
      <c r="BD653" s="3"/>
      <c r="BE653" s="3"/>
      <c r="BF653" s="3"/>
      <c r="BG653" s="3"/>
      <c r="BH653" s="3"/>
      <c r="BI653" s="3"/>
      <c r="BJ653" s="3"/>
      <c r="BK653" s="3"/>
      <c r="BL653" s="3"/>
      <c r="BM653" s="3"/>
      <c r="BN653" s="3"/>
      <c r="BO653" s="3"/>
      <c r="BP653" s="308" t="s">
        <v>656</v>
      </c>
      <c r="BQ653" s="208"/>
      <c r="BR653" s="208"/>
      <c r="BS653" s="208"/>
      <c r="BT653" s="208"/>
      <c r="BU653" s="208"/>
      <c r="BV653" s="208"/>
      <c r="BW653" s="3"/>
      <c r="BX653" s="308" t="s">
        <v>2313</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5"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5" customHeight="1" thickBot="1">
      <c r="A655" s="55" t="s">
        <v>787</v>
      </c>
      <c r="B655" t="s">
        <v>472</v>
      </c>
      <c r="G655" s="1517">
        <f>C627</f>
        <v>0</v>
      </c>
      <c r="H655" s="1517"/>
      <c r="I655" s="1517"/>
      <c r="J655" s="1517"/>
      <c r="K655" s="1517"/>
      <c r="L655" s="1517"/>
      <c r="M655" s="1517"/>
      <c r="N655" s="1517"/>
      <c r="O655" s="1517"/>
      <c r="P655" s="1517"/>
      <c r="Q655" s="1517"/>
      <c r="R655" s="1517"/>
      <c r="T655" s="55" t="s">
        <v>593</v>
      </c>
      <c r="U655" t="s">
        <v>472</v>
      </c>
      <c r="Z655" s="1517">
        <f>C628</f>
        <v>0</v>
      </c>
      <c r="AA655" s="1517"/>
      <c r="AB655" s="1517"/>
      <c r="AC655" s="1517"/>
      <c r="AD655" s="1517"/>
      <c r="AE655" s="1517"/>
      <c r="AF655" s="1517"/>
      <c r="AG655" s="1517"/>
      <c r="AH655" s="1517"/>
      <c r="AI655" s="1517"/>
      <c r="AJ655" s="1517"/>
      <c r="AK655" s="1517"/>
      <c r="AZ655" s="3"/>
      <c r="BA655" s="166" t="s">
        <v>658</v>
      </c>
      <c r="BB655" s="3"/>
      <c r="BC655" s="3"/>
      <c r="BD655" s="3"/>
      <c r="BE655" s="3"/>
      <c r="BF655" s="218"/>
      <c r="BG655" s="219" t="s">
        <v>928</v>
      </c>
      <c r="BH655" s="218"/>
      <c r="BI655" s="218"/>
      <c r="BJ655" s="3"/>
      <c r="BK655" s="3"/>
      <c r="BL655" s="3"/>
      <c r="BM655" s="3"/>
      <c r="BN655" s="3"/>
      <c r="BO655" s="3"/>
      <c r="BP655" s="376" t="s">
        <v>657</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5" customHeight="1">
      <c r="A656" s="22"/>
      <c r="B656" t="s">
        <v>86</v>
      </c>
      <c r="G656" s="1398"/>
      <c r="H656" s="1398"/>
      <c r="I656" s="1398"/>
      <c r="J656" s="1398"/>
      <c r="K656" s="1398"/>
      <c r="L656" s="1398"/>
      <c r="M656" s="1398"/>
      <c r="N656" s="1398"/>
      <c r="O656" s="1398"/>
      <c r="P656" s="1398"/>
      <c r="Q656" s="1398"/>
      <c r="R656" s="1398"/>
      <c r="T656" s="22"/>
      <c r="U656" t="s">
        <v>86</v>
      </c>
      <c r="Z656" s="1398"/>
      <c r="AA656" s="1398"/>
      <c r="AB656" s="1398"/>
      <c r="AC656" s="1398"/>
      <c r="AD656" s="1398"/>
      <c r="AE656" s="1398"/>
      <c r="AF656" s="1398"/>
      <c r="AG656" s="1398"/>
      <c r="AH656" s="1398"/>
      <c r="AI656" s="1398"/>
      <c r="AJ656" s="1398"/>
      <c r="AK656" s="1398"/>
      <c r="AZ656" s="3"/>
      <c r="BA656" s="118">
        <f t="shared" ref="BA656:BA680" si="42">IF($G714=0,"N/A",VLOOKUP($T$189,TC_Rent,(MATCH($B714,bedrooms,FALSE))))</f>
        <v>3484</v>
      </c>
      <c r="BB656" s="3"/>
      <c r="BC656" s="3"/>
      <c r="BD656" s="3"/>
      <c r="BE656" s="3"/>
      <c r="BF656" s="218"/>
      <c r="BG656" s="313" t="s">
        <v>929</v>
      </c>
      <c r="BH656" s="318" t="s">
        <v>930</v>
      </c>
      <c r="BI656" s="317" t="s">
        <v>931</v>
      </c>
      <c r="BJ656" s="3"/>
      <c r="BK656" s="3"/>
      <c r="BL656" s="3"/>
      <c r="BM656" s="3"/>
      <c r="BN656" s="3"/>
      <c r="BO656" s="3"/>
      <c r="BP656" s="378" t="s">
        <v>485</v>
      </c>
      <c r="BQ656" s="492">
        <v>2590</v>
      </c>
      <c r="BR656" s="493">
        <v>2774</v>
      </c>
      <c r="BS656" s="494">
        <v>3330</v>
      </c>
      <c r="BT656" s="493">
        <v>3846</v>
      </c>
      <c r="BU656" s="494">
        <v>4290</v>
      </c>
      <c r="BV656" s="495">
        <v>4732</v>
      </c>
      <c r="BW656" s="3"/>
      <c r="BX656" s="897">
        <v>1658</v>
      </c>
      <c r="BY656" s="897">
        <v>1969</v>
      </c>
      <c r="BZ656" s="897">
        <v>2405</v>
      </c>
      <c r="CA656" s="897">
        <v>3144</v>
      </c>
      <c r="CB656" s="897">
        <v>3706</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5" customHeight="1">
      <c r="A657" s="22"/>
      <c r="B657" t="s">
        <v>589</v>
      </c>
      <c r="G657" s="1398"/>
      <c r="H657" s="1398"/>
      <c r="I657" s="1398"/>
      <c r="J657" s="1398"/>
      <c r="K657" s="1398"/>
      <c r="L657" s="1398"/>
      <c r="M657" s="1398"/>
      <c r="N657" s="1398"/>
      <c r="O657" s="1398"/>
      <c r="P657" s="1398"/>
      <c r="Q657" s="1398"/>
      <c r="R657" s="1398"/>
      <c r="T657" s="22"/>
      <c r="U657" t="s">
        <v>589</v>
      </c>
      <c r="Z657" s="1369"/>
      <c r="AA657" s="1369"/>
      <c r="AB657" s="1369"/>
      <c r="AC657" s="1369"/>
      <c r="AD657" s="1369"/>
      <c r="AE657" s="1369"/>
      <c r="AF657" s="1369"/>
      <c r="AG657" s="1369"/>
      <c r="AH657" s="1369"/>
      <c r="AI657" s="1369"/>
      <c r="AJ657" s="1369"/>
      <c r="AK657" s="1369"/>
      <c r="AZ657" s="3"/>
      <c r="BA657" s="118">
        <f t="shared" si="42"/>
        <v>4182</v>
      </c>
      <c r="BB657" s="3"/>
      <c r="BC657" s="3"/>
      <c r="BD657" s="3"/>
      <c r="BE657" s="3"/>
      <c r="BF657" s="218"/>
      <c r="BG657" s="315">
        <f t="shared" ref="BG657:BG681" si="43">G714</f>
        <v>6</v>
      </c>
      <c r="BH657" s="319">
        <f>BG657/$BG$682</f>
        <v>3.2967032967032968E-2</v>
      </c>
      <c r="BI657" s="320">
        <f t="shared" ref="BI657:BI681" si="44">IF(BH657=0," ",BH657*AC714)</f>
        <v>6.5934065934065943E-3</v>
      </c>
      <c r="BJ657" s="3"/>
      <c r="BK657" s="3"/>
      <c r="BL657" s="3"/>
      <c r="BM657" s="3"/>
      <c r="BN657" s="3"/>
      <c r="BO657" s="3"/>
      <c r="BP657" s="379" t="s">
        <v>486</v>
      </c>
      <c r="BQ657" s="496">
        <v>1682</v>
      </c>
      <c r="BR657" s="497">
        <v>1802</v>
      </c>
      <c r="BS657" s="496">
        <v>2162</v>
      </c>
      <c r="BT657" s="497">
        <v>2498</v>
      </c>
      <c r="BU657" s="497">
        <v>2786</v>
      </c>
      <c r="BV657" s="498">
        <v>3076</v>
      </c>
      <c r="BW657" s="3"/>
      <c r="BX657" s="897">
        <v>776</v>
      </c>
      <c r="BY657" s="897">
        <v>867</v>
      </c>
      <c r="BZ657" s="897">
        <v>1140</v>
      </c>
      <c r="CA657" s="897">
        <v>1620</v>
      </c>
      <c r="CB657" s="897">
        <v>1841</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5" customHeight="1">
      <c r="A658" s="22"/>
      <c r="B658" t="s">
        <v>17</v>
      </c>
      <c r="G658" s="1398"/>
      <c r="H658" s="1398"/>
      <c r="I658" s="1398"/>
      <c r="J658" s="1398"/>
      <c r="K658" s="1398"/>
      <c r="L658" s="1398"/>
      <c r="M658" s="1398"/>
      <c r="N658" s="1398"/>
      <c r="O658" s="1398"/>
      <c r="P658" s="1398"/>
      <c r="Q658" s="1398"/>
      <c r="R658" s="1398"/>
      <c r="T658" s="22"/>
      <c r="U658" t="s">
        <v>17</v>
      </c>
      <c r="Z658" s="1369"/>
      <c r="AA658" s="1369"/>
      <c r="AB658" s="1369"/>
      <c r="AC658" s="1369"/>
      <c r="AD658" s="1369"/>
      <c r="AE658" s="1369"/>
      <c r="AF658" s="1369"/>
      <c r="AG658" s="1369"/>
      <c r="AH658" s="1369"/>
      <c r="AI658" s="1369"/>
      <c r="AJ658" s="1369"/>
      <c r="AK658" s="1369"/>
      <c r="AZ658" s="3"/>
      <c r="BA658" s="118">
        <f t="shared" si="42"/>
        <v>4830</v>
      </c>
      <c r="BB658" s="3"/>
      <c r="BC658" s="3"/>
      <c r="BD658" s="3"/>
      <c r="BE658" s="3"/>
      <c r="BF658" s="218"/>
      <c r="BG658" s="316">
        <f t="shared" si="43"/>
        <v>18</v>
      </c>
      <c r="BH658" s="319">
        <f t="shared" ref="BH658:BH681" si="45">BG658/$BG$682</f>
        <v>9.8901098901098897E-2</v>
      </c>
      <c r="BI658" s="320">
        <f t="shared" si="44"/>
        <v>1.9780219780219779E-2</v>
      </c>
      <c r="BJ658" s="3"/>
      <c r="BK658" s="3"/>
      <c r="BL658" s="3"/>
      <c r="BM658" s="3"/>
      <c r="BN658" s="3"/>
      <c r="BO658" s="3"/>
      <c r="BP658" s="379" t="s">
        <v>487</v>
      </c>
      <c r="BQ658" s="499">
        <v>1604</v>
      </c>
      <c r="BR658" s="500">
        <v>1720</v>
      </c>
      <c r="BS658" s="499">
        <v>2064</v>
      </c>
      <c r="BT658" s="500">
        <v>2384</v>
      </c>
      <c r="BU658" s="500">
        <v>2660</v>
      </c>
      <c r="BV658" s="501">
        <v>2936</v>
      </c>
      <c r="BW658" s="3"/>
      <c r="BX658" s="897">
        <v>992</v>
      </c>
      <c r="BY658" s="897">
        <v>998</v>
      </c>
      <c r="BZ658" s="897">
        <v>1199</v>
      </c>
      <c r="CA658" s="897">
        <v>1704</v>
      </c>
      <c r="CB658" s="897">
        <v>2042</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5" customHeight="1">
      <c r="A659" s="22"/>
      <c r="B659" t="s">
        <v>318</v>
      </c>
      <c r="G659" s="1441"/>
      <c r="H659" s="1441"/>
      <c r="I659" s="1441"/>
      <c r="J659" s="1441"/>
      <c r="K659" s="1441"/>
      <c r="L659" s="1441"/>
      <c r="O659" s="33" t="s">
        <v>208</v>
      </c>
      <c r="P659" s="1468"/>
      <c r="Q659" s="1468"/>
      <c r="R659" s="1468"/>
      <c r="T659" s="22"/>
      <c r="U659" t="s">
        <v>318</v>
      </c>
      <c r="Z659" s="1441"/>
      <c r="AA659" s="1441"/>
      <c r="AB659" s="1441"/>
      <c r="AC659" s="1441"/>
      <c r="AD659" s="1441"/>
      <c r="AE659" s="1441"/>
      <c r="AH659" s="33" t="s">
        <v>208</v>
      </c>
      <c r="AI659" s="1468"/>
      <c r="AJ659" s="1468"/>
      <c r="AK659" s="1468"/>
      <c r="AZ659" s="3"/>
      <c r="BA659" s="118">
        <f t="shared" si="42"/>
        <v>3484</v>
      </c>
      <c r="BB659" s="3"/>
      <c r="BC659" s="3"/>
      <c r="BD659" s="3"/>
      <c r="BE659" s="3"/>
      <c r="BF659" s="218"/>
      <c r="BG659" s="316">
        <f t="shared" si="43"/>
        <v>8</v>
      </c>
      <c r="BH659" s="319">
        <f t="shared" si="45"/>
        <v>4.3956043956043959E-2</v>
      </c>
      <c r="BI659" s="320">
        <f t="shared" si="44"/>
        <v>8.7912087912087929E-3</v>
      </c>
      <c r="BJ659" s="3"/>
      <c r="BK659" s="3"/>
      <c r="BL659" s="3"/>
      <c r="BM659" s="3"/>
      <c r="BN659" s="3"/>
      <c r="BO659" s="3"/>
      <c r="BP659" s="379" t="s">
        <v>488</v>
      </c>
      <c r="BQ659" s="499">
        <v>1444</v>
      </c>
      <c r="BR659" s="500">
        <v>1546</v>
      </c>
      <c r="BS659" s="499">
        <v>1856</v>
      </c>
      <c r="BT659" s="500">
        <v>2144</v>
      </c>
      <c r="BU659" s="500">
        <v>2392</v>
      </c>
      <c r="BV659" s="501">
        <v>2640</v>
      </c>
      <c r="BW659" s="3"/>
      <c r="BX659" s="897">
        <v>893</v>
      </c>
      <c r="BY659" s="897">
        <v>941</v>
      </c>
      <c r="BZ659" s="897">
        <v>1239</v>
      </c>
      <c r="CA659" s="897">
        <v>1761</v>
      </c>
      <c r="CB659" s="897">
        <v>2110</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5" customHeight="1">
      <c r="A660" s="22"/>
      <c r="B660" t="s">
        <v>18</v>
      </c>
      <c r="H660" s="1398"/>
      <c r="I660" s="1398"/>
      <c r="J660" s="1398"/>
      <c r="K660" s="1398"/>
      <c r="L660" s="1398"/>
      <c r="M660" s="1398"/>
      <c r="N660" s="1398"/>
      <c r="O660" s="1398"/>
      <c r="P660" s="1398"/>
      <c r="Q660" s="1398"/>
      <c r="R660" s="1398"/>
      <c r="T660" s="22"/>
      <c r="U660" t="s">
        <v>18</v>
      </c>
      <c r="AA660" s="1398"/>
      <c r="AB660" s="1398"/>
      <c r="AC660" s="1398"/>
      <c r="AD660" s="1398"/>
      <c r="AE660" s="1398"/>
      <c r="AF660" s="1398"/>
      <c r="AG660" s="1398"/>
      <c r="AH660" s="1398"/>
      <c r="AI660" s="1398"/>
      <c r="AJ660" s="1398"/>
      <c r="AK660" s="1398"/>
      <c r="AZ660" s="3"/>
      <c r="BA660" s="118">
        <f t="shared" si="42"/>
        <v>4182</v>
      </c>
      <c r="BB660" s="3"/>
      <c r="BC660" s="3"/>
      <c r="BD660" s="3"/>
      <c r="BE660" s="3"/>
      <c r="BF660" s="218"/>
      <c r="BG660" s="316">
        <f t="shared" si="43"/>
        <v>2</v>
      </c>
      <c r="BH660" s="319">
        <f t="shared" si="45"/>
        <v>1.098901098901099E-2</v>
      </c>
      <c r="BI660" s="320">
        <f t="shared" si="44"/>
        <v>3.2967032967032967E-3</v>
      </c>
      <c r="BJ660" s="3"/>
      <c r="BK660" s="3"/>
      <c r="BL660" s="3"/>
      <c r="BM660" s="3"/>
      <c r="BN660" s="3"/>
      <c r="BO660" s="3"/>
      <c r="BP660" s="379" t="s">
        <v>489</v>
      </c>
      <c r="BQ660" s="499">
        <v>1670</v>
      </c>
      <c r="BR660" s="500">
        <v>1788</v>
      </c>
      <c r="BS660" s="499">
        <v>2144</v>
      </c>
      <c r="BT660" s="500">
        <v>2478</v>
      </c>
      <c r="BU660" s="500">
        <v>2764</v>
      </c>
      <c r="BV660" s="501">
        <v>3050</v>
      </c>
      <c r="BW660" s="3"/>
      <c r="BX660" s="897">
        <v>919</v>
      </c>
      <c r="BY660" s="897">
        <v>925</v>
      </c>
      <c r="BZ660" s="897">
        <v>1161</v>
      </c>
      <c r="CA660" s="897">
        <v>1650</v>
      </c>
      <c r="CB660" s="897">
        <v>1889</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5" customHeight="1">
      <c r="A661" s="22"/>
      <c r="B661" t="s">
        <v>20</v>
      </c>
      <c r="N661" s="1376" t="s">
        <v>678</v>
      </c>
      <c r="O661" s="1376"/>
      <c r="T661" s="22"/>
      <c r="U661" t="s">
        <v>20</v>
      </c>
      <c r="AG661" s="1376" t="s">
        <v>678</v>
      </c>
      <c r="AH661" s="1376"/>
      <c r="AZ661" s="3"/>
      <c r="BA661" s="118">
        <f t="shared" si="42"/>
        <v>4830</v>
      </c>
      <c r="BB661" s="3"/>
      <c r="BC661" s="3"/>
      <c r="BD661" s="3"/>
      <c r="BE661" s="3"/>
      <c r="BF661" s="218"/>
      <c r="BG661" s="316">
        <f t="shared" si="43"/>
        <v>4</v>
      </c>
      <c r="BH661" s="319">
        <f t="shared" si="45"/>
        <v>2.197802197802198E-2</v>
      </c>
      <c r="BI661" s="320">
        <f t="shared" si="44"/>
        <v>6.5934065934065934E-3</v>
      </c>
      <c r="BJ661" s="3"/>
      <c r="BK661" s="3"/>
      <c r="BL661" s="3"/>
      <c r="BM661" s="3"/>
      <c r="BN661" s="3"/>
      <c r="BO661" s="3"/>
      <c r="BP661" s="379" t="s">
        <v>490</v>
      </c>
      <c r="BQ661" s="499">
        <v>1444</v>
      </c>
      <c r="BR661" s="500">
        <v>1546</v>
      </c>
      <c r="BS661" s="499">
        <v>1856</v>
      </c>
      <c r="BT661" s="500">
        <v>2144</v>
      </c>
      <c r="BU661" s="500">
        <v>2392</v>
      </c>
      <c r="BV661" s="501">
        <v>2640</v>
      </c>
      <c r="BW661" s="3"/>
      <c r="BX661" s="897">
        <v>741</v>
      </c>
      <c r="BY661" s="897">
        <v>746</v>
      </c>
      <c r="BZ661" s="897">
        <v>982</v>
      </c>
      <c r="CA661" s="897">
        <v>1341</v>
      </c>
      <c r="CB661" s="897">
        <v>1356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5" customHeight="1">
      <c r="A662" s="22"/>
      <c r="T662" s="22"/>
      <c r="AZ662" s="3"/>
      <c r="BA662" s="118">
        <f t="shared" si="42"/>
        <v>3252</v>
      </c>
      <c r="BB662" s="3"/>
      <c r="BC662" s="3"/>
      <c r="BD662" s="3"/>
      <c r="BE662" s="3"/>
      <c r="BF662" s="218"/>
      <c r="BG662" s="316">
        <f t="shared" si="43"/>
        <v>2</v>
      </c>
      <c r="BH662" s="319">
        <f t="shared" si="45"/>
        <v>1.098901098901099E-2</v>
      </c>
      <c r="BI662" s="320">
        <f t="shared" si="44"/>
        <v>3.2967032967032967E-3</v>
      </c>
      <c r="BJ662" s="3"/>
      <c r="BK662" s="3"/>
      <c r="BL662" s="3"/>
      <c r="BM662" s="3"/>
      <c r="BN662" s="3"/>
      <c r="BO662" s="3"/>
      <c r="BP662" s="379" t="s">
        <v>491</v>
      </c>
      <c r="BQ662" s="499">
        <v>2590</v>
      </c>
      <c r="BR662" s="500">
        <v>2774</v>
      </c>
      <c r="BS662" s="499">
        <v>3330</v>
      </c>
      <c r="BT662" s="500">
        <v>3846</v>
      </c>
      <c r="BU662" s="500">
        <v>4290</v>
      </c>
      <c r="BV662" s="501">
        <v>4732</v>
      </c>
      <c r="BW662" s="3"/>
      <c r="BX662" s="897">
        <v>1658</v>
      </c>
      <c r="BY662" s="897">
        <v>1969</v>
      </c>
      <c r="BZ662" s="897">
        <v>2405</v>
      </c>
      <c r="CA662" s="897">
        <v>3144</v>
      </c>
      <c r="CB662" s="897">
        <v>3706</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5" customHeight="1">
      <c r="A663" s="55" t="s">
        <v>464</v>
      </c>
      <c r="B663" t="s">
        <v>472</v>
      </c>
      <c r="G663" s="1517">
        <f>C629</f>
        <v>0</v>
      </c>
      <c r="H663" s="1517"/>
      <c r="I663" s="1517"/>
      <c r="J663" s="1517"/>
      <c r="K663" s="1517"/>
      <c r="L663" s="1517"/>
      <c r="M663" s="1517"/>
      <c r="N663" s="1517"/>
      <c r="O663" s="1517"/>
      <c r="P663" s="1517"/>
      <c r="Q663" s="1517"/>
      <c r="R663" s="1517"/>
      <c r="T663" s="55" t="s">
        <v>465</v>
      </c>
      <c r="U663" t="s">
        <v>472</v>
      </c>
      <c r="Z663" s="1517">
        <f>C630</f>
        <v>0</v>
      </c>
      <c r="AA663" s="1517"/>
      <c r="AB663" s="1517"/>
      <c r="AC663" s="1517"/>
      <c r="AD663" s="1517"/>
      <c r="AE663" s="1517"/>
      <c r="AF663" s="1517"/>
      <c r="AG663" s="1517"/>
      <c r="AH663" s="1517"/>
      <c r="AI663" s="1517"/>
      <c r="AJ663" s="1517"/>
      <c r="AK663" s="1517"/>
      <c r="AZ663" s="3"/>
      <c r="BA663" s="118">
        <f t="shared" si="42"/>
        <v>3484</v>
      </c>
      <c r="BB663" s="3"/>
      <c r="BC663" s="3"/>
      <c r="BD663" s="3"/>
      <c r="BE663" s="3"/>
      <c r="BF663" s="218"/>
      <c r="BG663" s="316">
        <f t="shared" si="43"/>
        <v>2</v>
      </c>
      <c r="BH663" s="319">
        <f t="shared" si="45"/>
        <v>1.098901098901099E-2</v>
      </c>
      <c r="BI663" s="320">
        <f t="shared" si="44"/>
        <v>3.2967032967032967E-3</v>
      </c>
      <c r="BJ663" s="3"/>
      <c r="BK663" s="3"/>
      <c r="BL663" s="3"/>
      <c r="BM663" s="3"/>
      <c r="BN663" s="3"/>
      <c r="BO663" s="3"/>
      <c r="BP663" s="379" t="s">
        <v>492</v>
      </c>
      <c r="BQ663" s="499">
        <v>1444</v>
      </c>
      <c r="BR663" s="500">
        <v>1546</v>
      </c>
      <c r="BS663" s="499">
        <v>1856</v>
      </c>
      <c r="BT663" s="500">
        <v>2144</v>
      </c>
      <c r="BU663" s="500">
        <v>2392</v>
      </c>
      <c r="BV663" s="501">
        <v>2640</v>
      </c>
      <c r="BW663" s="3"/>
      <c r="BX663" s="897">
        <v>693</v>
      </c>
      <c r="BY663" s="897">
        <v>875</v>
      </c>
      <c r="BZ663" s="897">
        <v>1037</v>
      </c>
      <c r="CA663" s="897">
        <v>1421</v>
      </c>
      <c r="CB663" s="897">
        <v>1766</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5" customHeight="1">
      <c r="A664" s="22"/>
      <c r="B664" t="s">
        <v>86</v>
      </c>
      <c r="G664" s="1398"/>
      <c r="H664" s="1398"/>
      <c r="I664" s="1398"/>
      <c r="J664" s="1398"/>
      <c r="K664" s="1398"/>
      <c r="L664" s="1398"/>
      <c r="M664" s="1398"/>
      <c r="N664" s="1398"/>
      <c r="O664" s="1398"/>
      <c r="P664" s="1398"/>
      <c r="Q664" s="1398"/>
      <c r="R664" s="1398"/>
      <c r="T664" s="22"/>
      <c r="U664" t="s">
        <v>86</v>
      </c>
      <c r="Z664" s="1398"/>
      <c r="AA664" s="1398"/>
      <c r="AB664" s="1398"/>
      <c r="AC664" s="1398"/>
      <c r="AD664" s="1398"/>
      <c r="AE664" s="1398"/>
      <c r="AF664" s="1398"/>
      <c r="AG664" s="1398"/>
      <c r="AH664" s="1398"/>
      <c r="AI664" s="1398"/>
      <c r="AJ664" s="1398"/>
      <c r="AK664" s="1398"/>
      <c r="AZ664" s="3"/>
      <c r="BA664" s="118">
        <f t="shared" si="42"/>
        <v>4182</v>
      </c>
      <c r="BB664" s="3"/>
      <c r="BC664" s="3"/>
      <c r="BD664" s="3"/>
      <c r="BE664" s="3"/>
      <c r="BF664" s="218"/>
      <c r="BG664" s="316">
        <f t="shared" si="43"/>
        <v>5</v>
      </c>
      <c r="BH664" s="319">
        <f t="shared" si="45"/>
        <v>2.7472527472527472E-2</v>
      </c>
      <c r="BI664" s="320">
        <f t="shared" si="44"/>
        <v>8.241758241758242E-3</v>
      </c>
      <c r="BJ664" s="3"/>
      <c r="BK664" s="3"/>
      <c r="BL664" s="3"/>
      <c r="BM664" s="3"/>
      <c r="BN664" s="3"/>
      <c r="BO664" s="3"/>
      <c r="BP664" s="379" t="s">
        <v>493</v>
      </c>
      <c r="BQ664" s="499">
        <v>1876</v>
      </c>
      <c r="BR664" s="500">
        <v>2010</v>
      </c>
      <c r="BS664" s="499">
        <v>2412</v>
      </c>
      <c r="BT664" s="500">
        <v>2786</v>
      </c>
      <c r="BU664" s="500">
        <v>3110</v>
      </c>
      <c r="BV664" s="501">
        <v>3432</v>
      </c>
      <c r="BW664" s="3"/>
      <c r="BX664" s="897">
        <v>1277</v>
      </c>
      <c r="BY664" s="897">
        <v>1400</v>
      </c>
      <c r="BZ664" s="897">
        <v>1756</v>
      </c>
      <c r="CA664" s="897">
        <v>2496</v>
      </c>
      <c r="CB664" s="897">
        <v>2907</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5" customHeight="1">
      <c r="A665" s="22"/>
      <c r="B665" t="s">
        <v>589</v>
      </c>
      <c r="G665" s="1398"/>
      <c r="H665" s="1398"/>
      <c r="I665" s="1398"/>
      <c r="J665" s="1398"/>
      <c r="K665" s="1398"/>
      <c r="L665" s="1398"/>
      <c r="M665" s="1398"/>
      <c r="N665" s="1398"/>
      <c r="O665" s="1398"/>
      <c r="P665" s="1398"/>
      <c r="Q665" s="1398"/>
      <c r="R665" s="1398"/>
      <c r="T665" s="22"/>
      <c r="U665" t="s">
        <v>589</v>
      </c>
      <c r="Z665" s="1369"/>
      <c r="AA665" s="1369"/>
      <c r="AB665" s="1369"/>
      <c r="AC665" s="1369"/>
      <c r="AD665" s="1369"/>
      <c r="AE665" s="1369"/>
      <c r="AF665" s="1369"/>
      <c r="AG665" s="1369"/>
      <c r="AH665" s="1369"/>
      <c r="AI665" s="1369"/>
      <c r="AJ665" s="1369"/>
      <c r="AK665" s="1369"/>
      <c r="AZ665" s="3"/>
      <c r="BA665" s="118">
        <f t="shared" si="42"/>
        <v>4830</v>
      </c>
      <c r="BB665" s="3"/>
      <c r="BC665" s="3"/>
      <c r="BD665" s="3"/>
      <c r="BE665" s="3"/>
      <c r="BF665" s="218"/>
      <c r="BG665" s="316">
        <f t="shared" si="43"/>
        <v>2</v>
      </c>
      <c r="BH665" s="319">
        <f t="shared" si="45"/>
        <v>1.098901098901099E-2</v>
      </c>
      <c r="BI665" s="320">
        <f t="shared" si="44"/>
        <v>3.2967032967032967E-3</v>
      </c>
      <c r="BJ665" s="3"/>
      <c r="BK665" s="3"/>
      <c r="BL665" s="3"/>
      <c r="BM665" s="3"/>
      <c r="BN665" s="3"/>
      <c r="BO665" s="3"/>
      <c r="BP665" s="379" t="s">
        <v>494</v>
      </c>
      <c r="BQ665" s="499">
        <v>1444</v>
      </c>
      <c r="BR665" s="500">
        <v>1546</v>
      </c>
      <c r="BS665" s="499">
        <v>1856</v>
      </c>
      <c r="BT665" s="500">
        <v>2144</v>
      </c>
      <c r="BU665" s="500">
        <v>2392</v>
      </c>
      <c r="BV665" s="501">
        <v>2640</v>
      </c>
      <c r="BW665" s="3"/>
      <c r="BX665" s="897">
        <v>991</v>
      </c>
      <c r="BY665" s="897">
        <v>997</v>
      </c>
      <c r="BZ665" s="897">
        <v>1258</v>
      </c>
      <c r="CA665" s="897">
        <v>1772</v>
      </c>
      <c r="CB665" s="897">
        <v>2029</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5" customHeight="1">
      <c r="A666" s="22"/>
      <c r="B666" t="s">
        <v>17</v>
      </c>
      <c r="G666" s="1398"/>
      <c r="H666" s="1398"/>
      <c r="I666" s="1398"/>
      <c r="J666" s="1398"/>
      <c r="K666" s="1398"/>
      <c r="L666" s="1398"/>
      <c r="M666" s="1398"/>
      <c r="N666" s="1398"/>
      <c r="O666" s="1398"/>
      <c r="P666" s="1398"/>
      <c r="Q666" s="1398"/>
      <c r="R666" s="1398"/>
      <c r="T666" s="22"/>
      <c r="U666" t="s">
        <v>17</v>
      </c>
      <c r="Z666" s="1369"/>
      <c r="AA666" s="1369"/>
      <c r="AB666" s="1369"/>
      <c r="AC666" s="1369"/>
      <c r="AD666" s="1369"/>
      <c r="AE666" s="1369"/>
      <c r="AF666" s="1369"/>
      <c r="AG666" s="1369"/>
      <c r="AH666" s="1369"/>
      <c r="AI666" s="1369"/>
      <c r="AJ666" s="1369"/>
      <c r="AK666" s="1369"/>
      <c r="AZ666" s="3"/>
      <c r="BA666" s="118">
        <f t="shared" si="42"/>
        <v>3252</v>
      </c>
      <c r="BB666" s="3"/>
      <c r="BC666" s="3"/>
      <c r="BD666" s="3"/>
      <c r="BE666" s="3"/>
      <c r="BF666" s="218"/>
      <c r="BG666" s="316">
        <f t="shared" si="43"/>
        <v>2</v>
      </c>
      <c r="BH666" s="319">
        <f t="shared" si="45"/>
        <v>1.098901098901099E-2</v>
      </c>
      <c r="BI666" s="320">
        <f t="shared" si="44"/>
        <v>3.2967032967032967E-3</v>
      </c>
      <c r="BJ666" s="3"/>
      <c r="BK666" s="3"/>
      <c r="BL666" s="3"/>
      <c r="BM666" s="3"/>
      <c r="BN666" s="3"/>
      <c r="BO666" s="3"/>
      <c r="BP666" s="379" t="s">
        <v>495</v>
      </c>
      <c r="BQ666" s="499">
        <v>1444</v>
      </c>
      <c r="BR666" s="500">
        <v>1546</v>
      </c>
      <c r="BS666" s="499">
        <v>1856</v>
      </c>
      <c r="BT666" s="500">
        <v>2144</v>
      </c>
      <c r="BU666" s="500">
        <v>2392</v>
      </c>
      <c r="BV666" s="501">
        <v>2640</v>
      </c>
      <c r="BW666" s="3"/>
      <c r="BX666" s="897">
        <v>668</v>
      </c>
      <c r="BY666" s="897">
        <v>759</v>
      </c>
      <c r="BZ666" s="897">
        <v>999</v>
      </c>
      <c r="CA666" s="897">
        <v>1272</v>
      </c>
      <c r="CB666" s="897">
        <v>1511</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5" customHeight="1">
      <c r="A667" s="22"/>
      <c r="B667" t="s">
        <v>318</v>
      </c>
      <c r="G667" s="1441"/>
      <c r="H667" s="1441"/>
      <c r="I667" s="1441"/>
      <c r="J667" s="1441"/>
      <c r="K667" s="1441"/>
      <c r="L667" s="1441"/>
      <c r="O667" s="33" t="s">
        <v>208</v>
      </c>
      <c r="P667" s="1468"/>
      <c r="Q667" s="1468"/>
      <c r="R667" s="1468"/>
      <c r="T667" s="22"/>
      <c r="U667" t="s">
        <v>318</v>
      </c>
      <c r="Z667" s="1441"/>
      <c r="AA667" s="1441"/>
      <c r="AB667" s="1441"/>
      <c r="AC667" s="1441"/>
      <c r="AD667" s="1441"/>
      <c r="AE667" s="1441"/>
      <c r="AH667" s="33" t="s">
        <v>208</v>
      </c>
      <c r="AI667" s="1468"/>
      <c r="AJ667" s="1468"/>
      <c r="AK667" s="1468"/>
      <c r="AZ667" s="3"/>
      <c r="BA667" s="118">
        <f t="shared" si="42"/>
        <v>3484</v>
      </c>
      <c r="BB667" s="3"/>
      <c r="BC667" s="3"/>
      <c r="BD667" s="3"/>
      <c r="BE667" s="3"/>
      <c r="BF667" s="218"/>
      <c r="BG667" s="316">
        <f t="shared" si="43"/>
        <v>15</v>
      </c>
      <c r="BH667" s="319">
        <f t="shared" si="45"/>
        <v>8.2417582417582416E-2</v>
      </c>
      <c r="BI667" s="320">
        <f t="shared" si="44"/>
        <v>4.1208791208791208E-2</v>
      </c>
      <c r="BJ667" s="3"/>
      <c r="BK667" s="3"/>
      <c r="BL667" s="3"/>
      <c r="BM667" s="3"/>
      <c r="BN667" s="3"/>
      <c r="BO667" s="3"/>
      <c r="BP667" s="379" t="s">
        <v>496</v>
      </c>
      <c r="BQ667" s="499">
        <v>1444</v>
      </c>
      <c r="BR667" s="500">
        <v>1546</v>
      </c>
      <c r="BS667" s="499">
        <v>1856</v>
      </c>
      <c r="BT667" s="500">
        <v>2144</v>
      </c>
      <c r="BU667" s="500">
        <v>2392</v>
      </c>
      <c r="BV667" s="501">
        <v>2640</v>
      </c>
      <c r="BW667" s="3"/>
      <c r="BX667" s="897">
        <v>812</v>
      </c>
      <c r="BY667" s="897">
        <v>907</v>
      </c>
      <c r="BZ667" s="897">
        <v>1183</v>
      </c>
      <c r="CA667" s="897">
        <v>1681</v>
      </c>
      <c r="CB667" s="897">
        <v>2015</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5" customHeight="1">
      <c r="A668" s="22"/>
      <c r="B668" t="s">
        <v>18</v>
      </c>
      <c r="H668" s="1398"/>
      <c r="I668" s="1398"/>
      <c r="J668" s="1398"/>
      <c r="K668" s="1398"/>
      <c r="L668" s="1398"/>
      <c r="M668" s="1398"/>
      <c r="N668" s="1398"/>
      <c r="O668" s="1398"/>
      <c r="P668" s="1398"/>
      <c r="Q668" s="1398"/>
      <c r="R668" s="1398"/>
      <c r="T668" s="22"/>
      <c r="U668" t="s">
        <v>18</v>
      </c>
      <c r="AA668" s="1398"/>
      <c r="AB668" s="1398"/>
      <c r="AC668" s="1398"/>
      <c r="AD668" s="1398"/>
      <c r="AE668" s="1398"/>
      <c r="AF668" s="1398"/>
      <c r="AG668" s="1398"/>
      <c r="AH668" s="1398"/>
      <c r="AI668" s="1398"/>
      <c r="AJ668" s="1398"/>
      <c r="AK668" s="1398"/>
      <c r="AZ668" s="3"/>
      <c r="BA668" s="118">
        <f t="shared" si="42"/>
        <v>4182</v>
      </c>
      <c r="BB668" s="3"/>
      <c r="BC668" s="3"/>
      <c r="BD668" s="3"/>
      <c r="BE668" s="3"/>
      <c r="BF668" s="218"/>
      <c r="BG668" s="316">
        <f t="shared" si="43"/>
        <v>39</v>
      </c>
      <c r="BH668" s="319">
        <f t="shared" si="45"/>
        <v>0.21428571428571427</v>
      </c>
      <c r="BI668" s="320">
        <f t="shared" si="44"/>
        <v>0.10714285714285714</v>
      </c>
      <c r="BJ668" s="3"/>
      <c r="BK668" s="3"/>
      <c r="BL668" s="3"/>
      <c r="BM668" s="3"/>
      <c r="BN668" s="3"/>
      <c r="BO668" s="3"/>
      <c r="BP668" s="379" t="s">
        <v>497</v>
      </c>
      <c r="BQ668" s="499">
        <v>1444</v>
      </c>
      <c r="BR668" s="500">
        <v>1546</v>
      </c>
      <c r="BS668" s="499">
        <v>1856</v>
      </c>
      <c r="BT668" s="500">
        <v>2144</v>
      </c>
      <c r="BU668" s="500">
        <v>2392</v>
      </c>
      <c r="BV668" s="501">
        <v>2640</v>
      </c>
      <c r="BW668" s="3"/>
      <c r="BX668" s="897">
        <v>772</v>
      </c>
      <c r="BY668" s="897">
        <v>904</v>
      </c>
      <c r="BZ668" s="897">
        <v>1155</v>
      </c>
      <c r="CA668" s="897">
        <v>1606</v>
      </c>
      <c r="CB668" s="897">
        <v>1952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5" customHeight="1">
      <c r="A669" s="22"/>
      <c r="B669" t="s">
        <v>20</v>
      </c>
      <c r="N669" s="1376" t="s">
        <v>678</v>
      </c>
      <c r="O669" s="1376"/>
      <c r="T669" s="22"/>
      <c r="U669" t="s">
        <v>20</v>
      </c>
      <c r="AG669" s="1376" t="s">
        <v>678</v>
      </c>
      <c r="AH669" s="1376"/>
      <c r="AZ669" s="3"/>
      <c r="BA669" s="118">
        <f t="shared" si="42"/>
        <v>4830</v>
      </c>
      <c r="BB669" s="3"/>
      <c r="BC669" s="3"/>
      <c r="BD669" s="3"/>
      <c r="BE669" s="3"/>
      <c r="BF669" s="218"/>
      <c r="BG669" s="316">
        <f t="shared" si="43"/>
        <v>16</v>
      </c>
      <c r="BH669" s="319">
        <f t="shared" si="45"/>
        <v>8.7912087912087919E-2</v>
      </c>
      <c r="BI669" s="320">
        <f t="shared" si="44"/>
        <v>4.3956043956043959E-2</v>
      </c>
      <c r="BJ669" s="3"/>
      <c r="BK669" s="3"/>
      <c r="BL669" s="3"/>
      <c r="BM669" s="3"/>
      <c r="BN669" s="3"/>
      <c r="BO669" s="3"/>
      <c r="BP669" s="379" t="s">
        <v>498</v>
      </c>
      <c r="BQ669" s="499">
        <v>1494</v>
      </c>
      <c r="BR669" s="500">
        <v>1602</v>
      </c>
      <c r="BS669" s="499">
        <v>1922</v>
      </c>
      <c r="BT669" s="500">
        <v>2220</v>
      </c>
      <c r="BU669" s="500">
        <v>2476</v>
      </c>
      <c r="BV669" s="501">
        <v>2732</v>
      </c>
      <c r="BW669" s="3"/>
      <c r="BX669" s="897">
        <v>795</v>
      </c>
      <c r="BY669" s="897">
        <v>961</v>
      </c>
      <c r="BZ669" s="897">
        <v>1189</v>
      </c>
      <c r="CA669" s="897">
        <v>1555</v>
      </c>
      <c r="CB669" s="897">
        <v>1920</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5" customHeight="1">
      <c r="A670" s="22"/>
      <c r="T670" s="22"/>
      <c r="AZ670" s="3"/>
      <c r="BA670" s="118">
        <f t="shared" si="42"/>
        <v>3484</v>
      </c>
      <c r="BB670" s="3"/>
      <c r="BC670" s="3"/>
      <c r="BD670" s="3"/>
      <c r="BE670" s="3"/>
      <c r="BF670" s="218"/>
      <c r="BG670" s="316">
        <f t="shared" si="43"/>
        <v>25</v>
      </c>
      <c r="BH670" s="319">
        <f t="shared" si="45"/>
        <v>0.13736263736263737</v>
      </c>
      <c r="BI670" s="320">
        <f t="shared" si="44"/>
        <v>6.8681318681318687E-2</v>
      </c>
      <c r="BJ670" s="3"/>
      <c r="BK670" s="3"/>
      <c r="BL670" s="3"/>
      <c r="BM670" s="3"/>
      <c r="BN670" s="3"/>
      <c r="BO670" s="3"/>
      <c r="BP670" s="379" t="s">
        <v>499</v>
      </c>
      <c r="BQ670" s="499">
        <v>1444</v>
      </c>
      <c r="BR670" s="500">
        <v>1546</v>
      </c>
      <c r="BS670" s="499">
        <v>1856</v>
      </c>
      <c r="BT670" s="500">
        <v>2144</v>
      </c>
      <c r="BU670" s="500">
        <v>2392</v>
      </c>
      <c r="BV670" s="501">
        <v>2640</v>
      </c>
      <c r="BW670" s="3"/>
      <c r="BX670" s="897">
        <v>863</v>
      </c>
      <c r="BY670" s="897">
        <v>869</v>
      </c>
      <c r="BZ670" s="897">
        <v>1137</v>
      </c>
      <c r="CA670" s="897">
        <v>1616</v>
      </c>
      <c r="CB670" s="897">
        <v>1937</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5" customHeight="1">
      <c r="A671" s="55" t="s">
        <v>470</v>
      </c>
      <c r="B671" t="s">
        <v>472</v>
      </c>
      <c r="G671" s="1517">
        <f>C631</f>
        <v>0</v>
      </c>
      <c r="H671" s="1517"/>
      <c r="I671" s="1517"/>
      <c r="J671" s="1517"/>
      <c r="K671" s="1517"/>
      <c r="L671" s="1517"/>
      <c r="M671" s="1517"/>
      <c r="N671" s="1517"/>
      <c r="O671" s="1517"/>
      <c r="P671" s="1517"/>
      <c r="Q671" s="1517"/>
      <c r="R671" s="1517"/>
      <c r="T671" s="55" t="s">
        <v>655</v>
      </c>
      <c r="U671" t="s">
        <v>472</v>
      </c>
      <c r="Z671" s="1517">
        <f>C632</f>
        <v>0</v>
      </c>
      <c r="AA671" s="1517"/>
      <c r="AB671" s="1517"/>
      <c r="AC671" s="1517"/>
      <c r="AD671" s="1517"/>
      <c r="AE671" s="1517"/>
      <c r="AF671" s="1517"/>
      <c r="AG671" s="1517"/>
      <c r="AH671" s="1517"/>
      <c r="AI671" s="1517"/>
      <c r="AJ671" s="1517"/>
      <c r="AK671" s="1517"/>
      <c r="AZ671" s="3"/>
      <c r="BA671" s="118">
        <f t="shared" si="42"/>
        <v>4182</v>
      </c>
      <c r="BB671" s="3"/>
      <c r="BC671" s="3"/>
      <c r="BD671" s="3"/>
      <c r="BE671" s="3"/>
      <c r="BF671" s="218"/>
      <c r="BG671" s="316">
        <f t="shared" si="43"/>
        <v>23</v>
      </c>
      <c r="BH671" s="319">
        <f t="shared" si="45"/>
        <v>0.12637362637362637</v>
      </c>
      <c r="BI671" s="320">
        <f t="shared" si="44"/>
        <v>7.5824175824175818E-2</v>
      </c>
      <c r="BJ671" s="3"/>
      <c r="BK671" s="3"/>
      <c r="BL671" s="3"/>
      <c r="BM671" s="3"/>
      <c r="BN671" s="3"/>
      <c r="BO671" s="3"/>
      <c r="BP671" s="379" t="s">
        <v>500</v>
      </c>
      <c r="BQ671" s="499">
        <v>1444</v>
      </c>
      <c r="BR671" s="500">
        <v>1546</v>
      </c>
      <c r="BS671" s="499">
        <v>1856</v>
      </c>
      <c r="BT671" s="500">
        <v>2144</v>
      </c>
      <c r="BU671" s="500">
        <v>2392</v>
      </c>
      <c r="BV671" s="501">
        <v>2640</v>
      </c>
      <c r="BW671" s="3"/>
      <c r="BX671" s="897">
        <v>1030</v>
      </c>
      <c r="BY671" s="897">
        <v>1036</v>
      </c>
      <c r="BZ671" s="897">
        <v>1287</v>
      </c>
      <c r="CA671" s="897">
        <v>1829</v>
      </c>
      <c r="CB671" s="897">
        <v>2091</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5" customHeight="1">
      <c r="A672" s="22"/>
      <c r="B672" t="s">
        <v>86</v>
      </c>
      <c r="G672" s="1398"/>
      <c r="H672" s="1398"/>
      <c r="I672" s="1398"/>
      <c r="J672" s="1398"/>
      <c r="K672" s="1398"/>
      <c r="L672" s="1398"/>
      <c r="M672" s="1398"/>
      <c r="N672" s="1398"/>
      <c r="O672" s="1398"/>
      <c r="P672" s="1398"/>
      <c r="Q672" s="1398"/>
      <c r="R672" s="1398"/>
      <c r="T672" s="22"/>
      <c r="U672" t="s">
        <v>86</v>
      </c>
      <c r="Z672" s="1398"/>
      <c r="AA672" s="1398"/>
      <c r="AB672" s="1398"/>
      <c r="AC672" s="1398"/>
      <c r="AD672" s="1398"/>
      <c r="AE672" s="1398"/>
      <c r="AF672" s="1398"/>
      <c r="AG672" s="1398"/>
      <c r="AH672" s="1398"/>
      <c r="AI672" s="1398"/>
      <c r="AJ672" s="1398"/>
      <c r="AK672" s="1398"/>
      <c r="AZ672" s="3"/>
      <c r="BA672" s="118" t="str">
        <f t="shared" si="42"/>
        <v>N/A</v>
      </c>
      <c r="BB672" s="3"/>
      <c r="BC672" s="3"/>
      <c r="BD672" s="3"/>
      <c r="BE672" s="3"/>
      <c r="BF672" s="218"/>
      <c r="BG672" s="316">
        <f t="shared" si="43"/>
        <v>13</v>
      </c>
      <c r="BH672" s="319">
        <f t="shared" si="45"/>
        <v>7.1428571428571425E-2</v>
      </c>
      <c r="BI672" s="320">
        <f t="shared" si="44"/>
        <v>4.2857142857142851E-2</v>
      </c>
      <c r="BJ672" s="3"/>
      <c r="BK672" s="3"/>
      <c r="BL672" s="3"/>
      <c r="BM672" s="3"/>
      <c r="BN672" s="3"/>
      <c r="BO672" s="3"/>
      <c r="BP672" s="379" t="s">
        <v>501</v>
      </c>
      <c r="BQ672" s="499">
        <v>1444</v>
      </c>
      <c r="BR672" s="500">
        <v>1546</v>
      </c>
      <c r="BS672" s="499">
        <v>1856</v>
      </c>
      <c r="BT672" s="500">
        <v>2144</v>
      </c>
      <c r="BU672" s="500">
        <v>2392</v>
      </c>
      <c r="BV672" s="501">
        <v>2640</v>
      </c>
      <c r="BW672" s="3"/>
      <c r="BX672" s="897">
        <v>747</v>
      </c>
      <c r="BY672" s="897">
        <v>849</v>
      </c>
      <c r="BZ672" s="897">
        <v>1117</v>
      </c>
      <c r="CA672" s="897">
        <v>1587</v>
      </c>
      <c r="CB672" s="897">
        <v>1872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5" customHeight="1">
      <c r="A673" s="22"/>
      <c r="B673" t="s">
        <v>589</v>
      </c>
      <c r="G673" s="1398"/>
      <c r="H673" s="1398"/>
      <c r="I673" s="1398"/>
      <c r="J673" s="1398"/>
      <c r="K673" s="1398"/>
      <c r="L673" s="1398"/>
      <c r="M673" s="1398"/>
      <c r="N673" s="1398"/>
      <c r="O673" s="1398"/>
      <c r="P673" s="1398"/>
      <c r="Q673" s="1398"/>
      <c r="R673" s="1398"/>
      <c r="T673" s="22"/>
      <c r="U673" t="s">
        <v>589</v>
      </c>
      <c r="Z673" s="1369"/>
      <c r="AA673" s="1369"/>
      <c r="AB673" s="1369"/>
      <c r="AC673" s="1369"/>
      <c r="AD673" s="1369"/>
      <c r="AE673" s="1369"/>
      <c r="AF673" s="1369"/>
      <c r="AG673" s="1369"/>
      <c r="AH673" s="1369"/>
      <c r="AI673" s="1369"/>
      <c r="AJ673" s="1369"/>
      <c r="AK673" s="1369"/>
      <c r="AZ673" s="3"/>
      <c r="BA673" s="118" t="str">
        <f t="shared" si="42"/>
        <v>N/A</v>
      </c>
      <c r="BB673" s="3"/>
      <c r="BC673" s="3"/>
      <c r="BD673" s="3"/>
      <c r="BE673" s="3"/>
      <c r="BF673" s="218"/>
      <c r="BG673" s="316">
        <f t="shared" si="43"/>
        <v>0</v>
      </c>
      <c r="BH673" s="319">
        <f t="shared" si="45"/>
        <v>0</v>
      </c>
      <c r="BI673" s="320" t="str">
        <f t="shared" si="44"/>
        <v xml:space="preserve"> </v>
      </c>
      <c r="BJ673" s="3"/>
      <c r="BK673" s="3"/>
      <c r="BL673" s="3"/>
      <c r="BM673" s="3"/>
      <c r="BN673" s="3"/>
      <c r="BO673" s="3"/>
      <c r="BP673" s="379" t="s">
        <v>502</v>
      </c>
      <c r="BQ673" s="499">
        <v>1466</v>
      </c>
      <c r="BR673" s="500">
        <v>1572</v>
      </c>
      <c r="BS673" s="499">
        <v>1886</v>
      </c>
      <c r="BT673" s="500">
        <v>2180</v>
      </c>
      <c r="BU673" s="500">
        <v>2432</v>
      </c>
      <c r="BV673" s="501">
        <v>2682</v>
      </c>
      <c r="BW673" s="3"/>
      <c r="BX673" s="897">
        <v>650</v>
      </c>
      <c r="BY673" s="897">
        <v>738</v>
      </c>
      <c r="BZ673" s="897">
        <v>972</v>
      </c>
      <c r="CA673" s="897">
        <v>1381</v>
      </c>
      <c r="CB673" s="897">
        <v>1424</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5" customHeight="1">
      <c r="A674" s="22"/>
      <c r="B674" t="s">
        <v>17</v>
      </c>
      <c r="G674" s="1398"/>
      <c r="H674" s="1398"/>
      <c r="I674" s="1398"/>
      <c r="J674" s="1398"/>
      <c r="K674" s="1398"/>
      <c r="L674" s="1398"/>
      <c r="M674" s="1398"/>
      <c r="N674" s="1398"/>
      <c r="O674" s="1398"/>
      <c r="P674" s="1398"/>
      <c r="Q674" s="1398"/>
      <c r="R674" s="1398"/>
      <c r="T674" s="22"/>
      <c r="U674" t="s">
        <v>17</v>
      </c>
      <c r="Z674" s="1369"/>
      <c r="AA674" s="1369"/>
      <c r="AB674" s="1369"/>
      <c r="AC674" s="1369"/>
      <c r="AD674" s="1369"/>
      <c r="AE674" s="1369"/>
      <c r="AF674" s="1369"/>
      <c r="AG674" s="1369"/>
      <c r="AH674" s="1369"/>
      <c r="AI674" s="1369"/>
      <c r="AJ674" s="1369"/>
      <c r="AK674" s="1369"/>
      <c r="AZ674" s="3"/>
      <c r="BA674" s="118" t="str">
        <f t="shared" si="42"/>
        <v>N/A</v>
      </c>
      <c r="BB674" s="3"/>
      <c r="BC674" s="3"/>
      <c r="BD674" s="3"/>
      <c r="BE674" s="3"/>
      <c r="BF674" s="218"/>
      <c r="BG674" s="316">
        <f t="shared" si="43"/>
        <v>0</v>
      </c>
      <c r="BH674" s="319">
        <f t="shared" si="45"/>
        <v>0</v>
      </c>
      <c r="BI674" s="320" t="str">
        <f t="shared" si="44"/>
        <v xml:space="preserve"> </v>
      </c>
      <c r="BJ674" s="3"/>
      <c r="BK674" s="3"/>
      <c r="BL674" s="3"/>
      <c r="BM674" s="3"/>
      <c r="BN674" s="3"/>
      <c r="BO674" s="3"/>
      <c r="BP674" s="379" t="s">
        <v>503</v>
      </c>
      <c r="BQ674" s="499">
        <v>2206</v>
      </c>
      <c r="BR674" s="500">
        <v>2364</v>
      </c>
      <c r="BS674" s="499">
        <v>2836</v>
      </c>
      <c r="BT674" s="500">
        <v>3278</v>
      </c>
      <c r="BU674" s="500">
        <v>3656</v>
      </c>
      <c r="BV674" s="501">
        <v>4036</v>
      </c>
      <c r="BW674" s="3"/>
      <c r="BX674" s="897">
        <v>1534</v>
      </c>
      <c r="BY674" s="897">
        <v>1747</v>
      </c>
      <c r="BZ674" s="897">
        <v>2222</v>
      </c>
      <c r="CA674" s="897">
        <v>2888</v>
      </c>
      <c r="CB674" s="897">
        <v>3170</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5" customHeight="1">
      <c r="A675" s="22"/>
      <c r="B675" t="s">
        <v>318</v>
      </c>
      <c r="G675" s="1441"/>
      <c r="H675" s="1441"/>
      <c r="I675" s="1441"/>
      <c r="J675" s="1441"/>
      <c r="K675" s="1441"/>
      <c r="L675" s="1441"/>
      <c r="O675" s="33" t="s">
        <v>208</v>
      </c>
      <c r="P675" s="1468"/>
      <c r="Q675" s="1468"/>
      <c r="R675" s="1468"/>
      <c r="T675" s="22"/>
      <c r="U675" t="s">
        <v>318</v>
      </c>
      <c r="Z675" s="1441"/>
      <c r="AA675" s="1441"/>
      <c r="AB675" s="1441"/>
      <c r="AC675" s="1441"/>
      <c r="AD675" s="1441"/>
      <c r="AE675" s="1441"/>
      <c r="AH675" s="33" t="s">
        <v>208</v>
      </c>
      <c r="AI675" s="1468"/>
      <c r="AJ675" s="1468"/>
      <c r="AK675" s="1468"/>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9" t="s">
        <v>504</v>
      </c>
      <c r="BQ675" s="499">
        <v>1444</v>
      </c>
      <c r="BR675" s="500">
        <v>1546</v>
      </c>
      <c r="BS675" s="499">
        <v>1856</v>
      </c>
      <c r="BT675" s="500">
        <v>2144</v>
      </c>
      <c r="BU675" s="500">
        <v>2392</v>
      </c>
      <c r="BV675" s="501">
        <v>2640</v>
      </c>
      <c r="BW675" s="3"/>
      <c r="BX675" s="897">
        <v>967</v>
      </c>
      <c r="BY675" s="897">
        <v>973</v>
      </c>
      <c r="BZ675" s="897">
        <v>1258</v>
      </c>
      <c r="CA675" s="897">
        <v>1784</v>
      </c>
      <c r="CB675" s="897">
        <v>1971</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5" customHeight="1">
      <c r="A676" s="22"/>
      <c r="B676" t="s">
        <v>18</v>
      </c>
      <c r="H676" s="1398"/>
      <c r="I676" s="1398"/>
      <c r="J676" s="1398"/>
      <c r="K676" s="1398"/>
      <c r="L676" s="1398"/>
      <c r="M676" s="1398"/>
      <c r="N676" s="1398"/>
      <c r="O676" s="1398"/>
      <c r="P676" s="1398"/>
      <c r="Q676" s="1398"/>
      <c r="R676" s="1398"/>
      <c r="T676" s="22"/>
      <c r="U676" t="s">
        <v>18</v>
      </c>
      <c r="AA676" s="1398"/>
      <c r="AB676" s="1398"/>
      <c r="AC676" s="1398"/>
      <c r="AD676" s="1398"/>
      <c r="AE676" s="1398"/>
      <c r="AF676" s="1398"/>
      <c r="AG676" s="1398"/>
      <c r="AH676" s="1398"/>
      <c r="AI676" s="1398"/>
      <c r="AJ676" s="1398"/>
      <c r="AK676" s="1398"/>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9" t="s">
        <v>505</v>
      </c>
      <c r="BQ676" s="499">
        <v>3252</v>
      </c>
      <c r="BR676" s="500">
        <v>3484</v>
      </c>
      <c r="BS676" s="499">
        <v>4182</v>
      </c>
      <c r="BT676" s="500">
        <v>4830</v>
      </c>
      <c r="BU676" s="500">
        <v>5390</v>
      </c>
      <c r="BV676" s="501">
        <v>5946</v>
      </c>
      <c r="BW676" s="3"/>
      <c r="BX676" s="897">
        <v>2156</v>
      </c>
      <c r="BY676" s="897">
        <v>2665</v>
      </c>
      <c r="BZ676" s="897">
        <v>3188</v>
      </c>
      <c r="CA676" s="897">
        <v>3912</v>
      </c>
      <c r="CB676" s="897">
        <v>4283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5" customHeight="1">
      <c r="A677" s="22"/>
      <c r="B677" t="s">
        <v>20</v>
      </c>
      <c r="N677" s="1376" t="s">
        <v>678</v>
      </c>
      <c r="O677" s="1376"/>
      <c r="T677" s="22"/>
      <c r="U677" t="s">
        <v>20</v>
      </c>
      <c r="AG677" s="1376" t="s">
        <v>678</v>
      </c>
      <c r="AH677" s="1376"/>
      <c r="AZ677" s="3"/>
      <c r="BA677" s="118" t="str">
        <f t="shared" si="42"/>
        <v>N/A</v>
      </c>
      <c r="BB677" s="3"/>
      <c r="BF677" s="218"/>
      <c r="BG677" s="316">
        <f t="shared" si="43"/>
        <v>0</v>
      </c>
      <c r="BH677" s="319">
        <f t="shared" si="45"/>
        <v>0</v>
      </c>
      <c r="BI677" s="320" t="str">
        <f t="shared" si="44"/>
        <v xml:space="preserve"> </v>
      </c>
      <c r="BL677" s="3"/>
      <c r="BM677" s="3"/>
      <c r="BN677" s="3"/>
      <c r="BO677" s="3"/>
      <c r="BP677" s="379" t="s">
        <v>53</v>
      </c>
      <c r="BQ677" s="499">
        <v>1444</v>
      </c>
      <c r="BR677" s="500">
        <v>1546</v>
      </c>
      <c r="BS677" s="499">
        <v>1856</v>
      </c>
      <c r="BT677" s="500">
        <v>2144</v>
      </c>
      <c r="BU677" s="500">
        <v>2392</v>
      </c>
      <c r="BV677" s="501">
        <v>2640</v>
      </c>
      <c r="BW677" s="3"/>
      <c r="BX677" s="897">
        <v>794</v>
      </c>
      <c r="BY677" s="897">
        <v>857</v>
      </c>
      <c r="BZ677" s="897">
        <v>1086</v>
      </c>
      <c r="CA677" s="897">
        <v>1543</v>
      </c>
      <c r="CB677" s="897">
        <v>1850</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5"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9" t="s">
        <v>54</v>
      </c>
      <c r="BQ678" s="499">
        <v>1486</v>
      </c>
      <c r="BR678" s="500">
        <v>1592</v>
      </c>
      <c r="BS678" s="499">
        <v>1912</v>
      </c>
      <c r="BT678" s="500">
        <v>2210</v>
      </c>
      <c r="BU678" s="500">
        <v>2464</v>
      </c>
      <c r="BV678" s="501">
        <v>2720</v>
      </c>
      <c r="BW678" s="3"/>
      <c r="BX678" s="897">
        <v>988</v>
      </c>
      <c r="BY678" s="897">
        <v>995</v>
      </c>
      <c r="BZ678" s="897">
        <v>1305</v>
      </c>
      <c r="CA678" s="897">
        <v>1844</v>
      </c>
      <c r="CB678" s="897">
        <v>2223</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5" customHeight="1">
      <c r="A679" s="55" t="s">
        <v>364</v>
      </c>
      <c r="B679" t="s">
        <v>472</v>
      </c>
      <c r="G679" s="1517">
        <f>C633</f>
        <v>0</v>
      </c>
      <c r="H679" s="1517"/>
      <c r="I679" s="1517"/>
      <c r="J679" s="1517"/>
      <c r="K679" s="1517"/>
      <c r="L679" s="1517"/>
      <c r="M679" s="1517"/>
      <c r="N679" s="1517"/>
      <c r="O679" s="1517"/>
      <c r="P679" s="1517"/>
      <c r="Q679" s="1517"/>
      <c r="R679" s="1517"/>
      <c r="T679" s="55" t="s">
        <v>365</v>
      </c>
      <c r="U679" t="s">
        <v>472</v>
      </c>
      <c r="Z679" s="1517">
        <f>C634</f>
        <v>0</v>
      </c>
      <c r="AA679" s="1517"/>
      <c r="AB679" s="1517"/>
      <c r="AC679" s="1517"/>
      <c r="AD679" s="1517"/>
      <c r="AE679" s="1517"/>
      <c r="AF679" s="1517"/>
      <c r="AG679" s="1517"/>
      <c r="AH679" s="1517"/>
      <c r="AI679" s="1517"/>
      <c r="AJ679" s="1517"/>
      <c r="AK679" s="1517"/>
      <c r="AZ679" s="3"/>
      <c r="BA679" s="118" t="str">
        <f t="shared" si="42"/>
        <v>N/A</v>
      </c>
      <c r="BB679" s="3"/>
      <c r="BF679" s="218"/>
      <c r="BG679" s="316">
        <f t="shared" si="43"/>
        <v>0</v>
      </c>
      <c r="BH679" s="319">
        <f t="shared" si="45"/>
        <v>0</v>
      </c>
      <c r="BI679" s="320" t="str">
        <f t="shared" si="44"/>
        <v xml:space="preserve"> </v>
      </c>
      <c r="BL679" s="3"/>
      <c r="BM679" s="3"/>
      <c r="BN679" s="3"/>
      <c r="BO679" s="3"/>
      <c r="BP679" s="379" t="s">
        <v>55</v>
      </c>
      <c r="BQ679" s="499">
        <v>1444</v>
      </c>
      <c r="BR679" s="500">
        <v>1546</v>
      </c>
      <c r="BS679" s="499">
        <v>1856</v>
      </c>
      <c r="BT679" s="500">
        <v>2144</v>
      </c>
      <c r="BU679" s="500">
        <v>2392</v>
      </c>
      <c r="BV679" s="501">
        <v>2640</v>
      </c>
      <c r="BW679" s="3"/>
      <c r="BX679" s="897">
        <v>854</v>
      </c>
      <c r="BY679" s="897">
        <v>1017</v>
      </c>
      <c r="BZ679" s="897">
        <v>1243</v>
      </c>
      <c r="CA679" s="897">
        <v>1767</v>
      </c>
      <c r="CB679" s="897">
        <v>2117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5" customHeight="1">
      <c r="B680" t="s">
        <v>86</v>
      </c>
      <c r="G680" s="1398"/>
      <c r="H680" s="1398"/>
      <c r="I680" s="1398"/>
      <c r="J680" s="1398"/>
      <c r="K680" s="1398"/>
      <c r="L680" s="1398"/>
      <c r="M680" s="1398"/>
      <c r="N680" s="1398"/>
      <c r="O680" s="1398"/>
      <c r="P680" s="1398"/>
      <c r="Q680" s="1398"/>
      <c r="R680" s="1398"/>
      <c r="T680" s="22"/>
      <c r="U680" t="s">
        <v>86</v>
      </c>
      <c r="Z680" s="1398"/>
      <c r="AA680" s="1398"/>
      <c r="AB680" s="1398"/>
      <c r="AC680" s="1398"/>
      <c r="AD680" s="1398"/>
      <c r="AE680" s="1398"/>
      <c r="AF680" s="1398"/>
      <c r="AG680" s="1398"/>
      <c r="AH680" s="1398"/>
      <c r="AI680" s="1398"/>
      <c r="AJ680" s="1398"/>
      <c r="AK680" s="1398"/>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1444</v>
      </c>
      <c r="BR680" s="500">
        <v>1546</v>
      </c>
      <c r="BS680" s="499">
        <v>1856</v>
      </c>
      <c r="BT680" s="500">
        <v>2144</v>
      </c>
      <c r="BU680" s="500">
        <v>2392</v>
      </c>
      <c r="BV680" s="501">
        <v>2640</v>
      </c>
      <c r="BW680" s="3"/>
      <c r="BX680" s="897">
        <v>674</v>
      </c>
      <c r="BY680" s="897">
        <v>678</v>
      </c>
      <c r="BZ680" s="897">
        <v>832</v>
      </c>
      <c r="CA680" s="897">
        <v>1073</v>
      </c>
      <c r="CB680" s="897">
        <v>1344</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5" customHeight="1">
      <c r="B681" t="s">
        <v>589</v>
      </c>
      <c r="G681" s="1398"/>
      <c r="H681" s="1398"/>
      <c r="I681" s="1398"/>
      <c r="J681" s="1398"/>
      <c r="K681" s="1398"/>
      <c r="L681" s="1398"/>
      <c r="M681" s="1398"/>
      <c r="N681" s="1398"/>
      <c r="O681" s="1398"/>
      <c r="P681" s="1398"/>
      <c r="Q681" s="1398"/>
      <c r="R681" s="1398"/>
      <c r="U681" t="s">
        <v>589</v>
      </c>
      <c r="Z681" s="1369"/>
      <c r="AA681" s="1369"/>
      <c r="AB681" s="1369"/>
      <c r="AC681" s="1369"/>
      <c r="AD681" s="1369"/>
      <c r="AE681" s="1369"/>
      <c r="AF681" s="1369"/>
      <c r="AG681" s="1369"/>
      <c r="AH681" s="1369"/>
      <c r="AI681" s="1369"/>
      <c r="AJ681" s="1369"/>
      <c r="AK681" s="1369"/>
      <c r="AZ681" s="3"/>
      <c r="BA681" s="3"/>
      <c r="BB681" s="3"/>
      <c r="BC681" s="3"/>
      <c r="BF681" s="218"/>
      <c r="BG681" s="316">
        <f t="shared" si="43"/>
        <v>0</v>
      </c>
      <c r="BH681" s="319">
        <f t="shared" si="45"/>
        <v>0</v>
      </c>
      <c r="BI681" s="320" t="str">
        <f t="shared" si="44"/>
        <v xml:space="preserve"> </v>
      </c>
      <c r="BM681" s="3"/>
      <c r="BN681" s="3"/>
      <c r="BO681" s="3"/>
      <c r="BP681" s="379" t="s">
        <v>60</v>
      </c>
      <c r="BQ681" s="499">
        <v>1486</v>
      </c>
      <c r="BR681" s="500">
        <v>1592</v>
      </c>
      <c r="BS681" s="499">
        <v>1912</v>
      </c>
      <c r="BT681" s="500">
        <v>2210</v>
      </c>
      <c r="BU681" s="500">
        <v>2464</v>
      </c>
      <c r="BV681" s="501">
        <v>2720</v>
      </c>
      <c r="BW681" s="3"/>
      <c r="BX681" s="897">
        <v>1061</v>
      </c>
      <c r="BY681" s="897">
        <v>1137</v>
      </c>
      <c r="BZ681" s="897">
        <v>1386</v>
      </c>
      <c r="CA681" s="897">
        <v>1970</v>
      </c>
      <c r="CB681" s="897">
        <v>2238</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5" customHeight="1">
      <c r="B682" t="s">
        <v>17</v>
      </c>
      <c r="G682" s="1398"/>
      <c r="H682" s="1398"/>
      <c r="I682" s="1398"/>
      <c r="J682" s="1398"/>
      <c r="K682" s="1398"/>
      <c r="L682" s="1398"/>
      <c r="M682" s="1398"/>
      <c r="N682" s="1398"/>
      <c r="O682" s="1398"/>
      <c r="P682" s="1398"/>
      <c r="Q682" s="1398"/>
      <c r="R682" s="1398"/>
      <c r="U682" t="s">
        <v>17</v>
      </c>
      <c r="Z682" s="1369"/>
      <c r="AA682" s="1369"/>
      <c r="AB682" s="1369"/>
      <c r="AC682" s="1369"/>
      <c r="AD682" s="1369"/>
      <c r="AE682" s="1369"/>
      <c r="AF682" s="1369"/>
      <c r="AG682" s="1369"/>
      <c r="AH682" s="1369"/>
      <c r="AI682" s="1369"/>
      <c r="AJ682" s="1369"/>
      <c r="AK682" s="1369"/>
      <c r="AZ682" s="3"/>
      <c r="BA682" s="3"/>
      <c r="BB682" s="3"/>
      <c r="BC682" s="3"/>
      <c r="BD682" s="3"/>
      <c r="BF682" s="312" t="s">
        <v>932</v>
      </c>
      <c r="BG682" s="321">
        <f>SUM(BG657:BG681)</f>
        <v>182</v>
      </c>
      <c r="BH682" s="322">
        <f>SUM(BH657:BH681)</f>
        <v>1</v>
      </c>
      <c r="BI682" s="322">
        <f>SUM(BI657:BI681)</f>
        <v>0.44615384615384623</v>
      </c>
      <c r="BN682" s="3"/>
      <c r="BO682" s="3"/>
      <c r="BP682" s="379" t="s">
        <v>61</v>
      </c>
      <c r="BQ682" s="499">
        <v>2106</v>
      </c>
      <c r="BR682" s="500">
        <v>2258</v>
      </c>
      <c r="BS682" s="499">
        <v>2710</v>
      </c>
      <c r="BT682" s="500">
        <v>3130</v>
      </c>
      <c r="BU682" s="500">
        <v>3492</v>
      </c>
      <c r="BV682" s="501">
        <v>3852</v>
      </c>
      <c r="BW682" s="3"/>
      <c r="BX682" s="897">
        <v>2112</v>
      </c>
      <c r="BY682" s="897">
        <v>2194</v>
      </c>
      <c r="BZ682" s="897">
        <v>2675</v>
      </c>
      <c r="CA682" s="897">
        <v>3790</v>
      </c>
      <c r="CB682" s="897">
        <v>4144</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5" customHeight="1">
      <c r="B683" t="s">
        <v>318</v>
      </c>
      <c r="G683" s="1441"/>
      <c r="H683" s="1441"/>
      <c r="I683" s="1441"/>
      <c r="J683" s="1441"/>
      <c r="K683" s="1441"/>
      <c r="L683" s="1441"/>
      <c r="O683" s="33" t="s">
        <v>208</v>
      </c>
      <c r="P683" s="1468"/>
      <c r="Q683" s="1468"/>
      <c r="R683" s="1468"/>
      <c r="U683" t="s">
        <v>318</v>
      </c>
      <c r="Z683" s="1441"/>
      <c r="AA683" s="1441"/>
      <c r="AB683" s="1441"/>
      <c r="AC683" s="1441"/>
      <c r="AD683" s="1441"/>
      <c r="AE683" s="1441"/>
      <c r="AH683" s="33" t="s">
        <v>208</v>
      </c>
      <c r="AI683" s="1468"/>
      <c r="AJ683" s="1468"/>
      <c r="AK683" s="1468"/>
      <c r="AZ683" s="3"/>
      <c r="BA683" s="3"/>
      <c r="BB683" s="3"/>
      <c r="BC683" s="3"/>
      <c r="BD683" s="3"/>
      <c r="BE683" s="3"/>
      <c r="BF683" s="3"/>
      <c r="BG683" s="3"/>
      <c r="BH683" s="3"/>
      <c r="BI683" s="3"/>
      <c r="BJ683" s="3"/>
      <c r="BK683" s="3"/>
      <c r="BL683" s="3"/>
      <c r="BM683" s="3"/>
      <c r="BN683" s="3"/>
      <c r="BO683" s="3"/>
      <c r="BP683" s="379" t="s">
        <v>62</v>
      </c>
      <c r="BQ683" s="499">
        <v>2336</v>
      </c>
      <c r="BR683" s="500">
        <v>2502</v>
      </c>
      <c r="BS683" s="499">
        <v>3004</v>
      </c>
      <c r="BT683" s="500">
        <v>3470</v>
      </c>
      <c r="BU683" s="500">
        <v>3872</v>
      </c>
      <c r="BV683" s="501">
        <v>4272</v>
      </c>
      <c r="BW683" s="3"/>
      <c r="BX683" s="897">
        <v>1597</v>
      </c>
      <c r="BY683" s="897">
        <v>1814</v>
      </c>
      <c r="BZ683" s="897">
        <v>2388</v>
      </c>
      <c r="CA683" s="897">
        <v>3288</v>
      </c>
      <c r="CB683" s="897">
        <v>3332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5" customHeight="1">
      <c r="B684" t="s">
        <v>18</v>
      </c>
      <c r="H684" s="1398"/>
      <c r="I684" s="1398"/>
      <c r="J684" s="1398"/>
      <c r="K684" s="1398"/>
      <c r="L684" s="1398"/>
      <c r="M684" s="1398"/>
      <c r="N684" s="1398"/>
      <c r="O684" s="1398"/>
      <c r="P684" s="1398"/>
      <c r="Q684" s="1398"/>
      <c r="R684" s="1398"/>
      <c r="U684" t="s">
        <v>18</v>
      </c>
      <c r="AA684" s="1398"/>
      <c r="AB684" s="1398"/>
      <c r="AC684" s="1398"/>
      <c r="AD684" s="1398"/>
      <c r="AE684" s="1398"/>
      <c r="AF684" s="1398"/>
      <c r="AG684" s="1398"/>
      <c r="AH684" s="1398"/>
      <c r="AI684" s="1398"/>
      <c r="AJ684" s="1398"/>
      <c r="AK684" s="1398"/>
      <c r="AZ684" s="3"/>
      <c r="BA684" s="3"/>
      <c r="BB684" s="3"/>
      <c r="BC684" s="3"/>
      <c r="BD684" s="3"/>
      <c r="BE684" s="3"/>
      <c r="BF684" s="3"/>
      <c r="BG684" s="3"/>
      <c r="BH684" s="3"/>
      <c r="BI684" s="3"/>
      <c r="BJ684" s="3"/>
      <c r="BK684" s="3"/>
      <c r="BL684" s="3"/>
      <c r="BM684" s="3"/>
      <c r="BN684" s="3"/>
      <c r="BO684" s="3"/>
      <c r="BP684" s="379" t="s">
        <v>63</v>
      </c>
      <c r="BQ684" s="499">
        <v>1824</v>
      </c>
      <c r="BR684" s="500">
        <v>1954</v>
      </c>
      <c r="BS684" s="499">
        <v>2344</v>
      </c>
      <c r="BT684" s="500">
        <v>2710</v>
      </c>
      <c r="BU684" s="500">
        <v>3022</v>
      </c>
      <c r="BV684" s="501">
        <v>3336</v>
      </c>
      <c r="BW684" s="3"/>
      <c r="BX684" s="897">
        <v>1047</v>
      </c>
      <c r="BY684" s="897">
        <v>1054</v>
      </c>
      <c r="BZ684" s="897">
        <v>1387</v>
      </c>
      <c r="CA684" s="897">
        <v>1971</v>
      </c>
      <c r="CB684" s="897">
        <v>2257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5" customHeight="1">
      <c r="B685" t="s">
        <v>20</v>
      </c>
      <c r="N685" s="1376" t="s">
        <v>678</v>
      </c>
      <c r="O685" s="1376"/>
      <c r="U685" t="s">
        <v>20</v>
      </c>
      <c r="AG685" s="1376" t="s">
        <v>678</v>
      </c>
      <c r="AH685" s="1376"/>
      <c r="AZ685" s="34"/>
      <c r="BA685" s="34"/>
      <c r="BB685" s="34"/>
      <c r="BC685" s="34"/>
      <c r="BD685" s="34"/>
      <c r="BE685" s="34"/>
      <c r="BF685" s="34"/>
      <c r="BG685" s="34"/>
      <c r="BH685" s="34"/>
      <c r="BI685" s="34"/>
      <c r="BJ685" s="34"/>
      <c r="BK685" s="34"/>
      <c r="BL685" s="34"/>
      <c r="BM685" s="34"/>
      <c r="BN685" s="34"/>
      <c r="BO685" s="34"/>
      <c r="BP685" s="379" t="s">
        <v>64</v>
      </c>
      <c r="BQ685" s="499">
        <v>2512</v>
      </c>
      <c r="BR685" s="500">
        <v>2690</v>
      </c>
      <c r="BS685" s="499">
        <v>3230</v>
      </c>
      <c r="BT685" s="500">
        <v>3730</v>
      </c>
      <c r="BU685" s="500">
        <v>4162</v>
      </c>
      <c r="BV685" s="501">
        <v>4592</v>
      </c>
      <c r="BW685" s="34"/>
      <c r="BX685" s="1085">
        <v>1939</v>
      </c>
      <c r="BY685" s="1085">
        <v>2113</v>
      </c>
      <c r="BZ685" s="1085">
        <v>2539</v>
      </c>
      <c r="CA685" s="1085">
        <v>3448</v>
      </c>
      <c r="CB685" s="1085">
        <v>4032</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5" customHeight="1">
      <c r="AZ686" s="34"/>
      <c r="BA686" s="34"/>
      <c r="BB686" s="34"/>
      <c r="BC686" s="34"/>
      <c r="BD686" s="34"/>
      <c r="BE686" s="34"/>
      <c r="BF686" s="34"/>
      <c r="BG686" s="34"/>
      <c r="BH686" s="34"/>
      <c r="BI686" s="34"/>
      <c r="BJ686" s="34"/>
      <c r="BK686" s="34"/>
      <c r="BL686" s="34"/>
      <c r="BM686" s="34"/>
      <c r="BN686" s="34"/>
      <c r="BO686" s="34"/>
      <c r="BP686" s="379" t="s">
        <v>65</v>
      </c>
      <c r="BQ686" s="499">
        <v>1876</v>
      </c>
      <c r="BR686" s="500">
        <v>2010</v>
      </c>
      <c r="BS686" s="499">
        <v>2412</v>
      </c>
      <c r="BT686" s="500">
        <v>2786</v>
      </c>
      <c r="BU686" s="500">
        <v>3110</v>
      </c>
      <c r="BV686" s="501">
        <v>3432</v>
      </c>
      <c r="BW686" s="34"/>
      <c r="BX686" s="1085">
        <v>1277</v>
      </c>
      <c r="BY686" s="1085">
        <v>1400</v>
      </c>
      <c r="BZ686" s="1085">
        <v>1756</v>
      </c>
      <c r="CA686" s="1085">
        <v>2496</v>
      </c>
      <c r="CB686" s="1085">
        <v>2907</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5" customHeight="1">
      <c r="A687" s="2" t="s">
        <v>585</v>
      </c>
      <c r="C687" s="2" t="s">
        <v>329</v>
      </c>
      <c r="E687" s="130"/>
      <c r="F687" s="130"/>
      <c r="G687" s="130"/>
      <c r="H687" s="130"/>
      <c r="AZ687" s="34"/>
      <c r="BA687" s="34"/>
      <c r="BB687" s="34"/>
      <c r="BC687" s="34"/>
      <c r="BD687" s="34"/>
      <c r="BE687" s="34"/>
      <c r="BF687" s="34"/>
      <c r="BG687" s="219" t="s">
        <v>1804</v>
      </c>
      <c r="BH687" s="218"/>
      <c r="BI687" s="218"/>
      <c r="BJ687" s="3"/>
      <c r="BK687" s="34"/>
      <c r="BL687" s="34"/>
      <c r="BM687" s="34"/>
      <c r="BN687" s="34"/>
      <c r="BO687" s="34"/>
      <c r="BP687" s="379" t="s">
        <v>66</v>
      </c>
      <c r="BQ687" s="499">
        <v>1466</v>
      </c>
      <c r="BR687" s="500">
        <v>1572</v>
      </c>
      <c r="BS687" s="499">
        <v>1886</v>
      </c>
      <c r="BT687" s="500">
        <v>2180</v>
      </c>
      <c r="BU687" s="500">
        <v>2432</v>
      </c>
      <c r="BV687" s="501">
        <v>2682</v>
      </c>
      <c r="BW687" s="34"/>
      <c r="BX687" s="1085">
        <v>681</v>
      </c>
      <c r="BY687" s="1085">
        <v>772</v>
      </c>
      <c r="BZ687" s="1085">
        <v>1000</v>
      </c>
      <c r="CA687" s="1085">
        <v>1421</v>
      </c>
      <c r="CB687" s="1085">
        <v>1634</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5" customHeight="1">
      <c r="B688" s="135"/>
      <c r="C688" s="135"/>
      <c r="D688" s="136" t="s">
        <v>437</v>
      </c>
      <c r="E688" s="135"/>
      <c r="F688" s="135"/>
      <c r="G688" s="135"/>
      <c r="H688" s="135"/>
      <c r="AZ688" s="34"/>
      <c r="BA688" s="34"/>
      <c r="BB688" s="34"/>
      <c r="BC688" s="34"/>
      <c r="BD688" s="34"/>
      <c r="BE688" s="34"/>
      <c r="BF688" s="34"/>
      <c r="BG688" s="313" t="s">
        <v>929</v>
      </c>
      <c r="BH688" s="318" t="s">
        <v>930</v>
      </c>
      <c r="BI688" s="317" t="s">
        <v>931</v>
      </c>
      <c r="BJ688" s="3"/>
      <c r="BK688" s="34"/>
      <c r="BL688" s="34"/>
      <c r="BM688" s="34"/>
      <c r="BN688" s="34"/>
      <c r="BO688" s="34"/>
      <c r="BP688" s="379" t="s">
        <v>67</v>
      </c>
      <c r="BQ688" s="499">
        <v>1632</v>
      </c>
      <c r="BR688" s="500">
        <v>1748</v>
      </c>
      <c r="BS688" s="499">
        <v>2096</v>
      </c>
      <c r="BT688" s="500">
        <v>2422</v>
      </c>
      <c r="BU688" s="500">
        <v>2704</v>
      </c>
      <c r="BV688" s="501">
        <v>2982</v>
      </c>
      <c r="BW688" s="34"/>
      <c r="BX688" s="1085">
        <v>1281</v>
      </c>
      <c r="BY688" s="1085">
        <v>1398</v>
      </c>
      <c r="BZ688" s="1085">
        <v>1751</v>
      </c>
      <c r="CA688" s="1085">
        <v>2376</v>
      </c>
      <c r="CB688" s="1085">
        <v>2922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5" customHeight="1">
      <c r="B689" s="135"/>
      <c r="C689" s="135"/>
      <c r="E689" s="136" t="s">
        <v>438</v>
      </c>
      <c r="F689" s="135"/>
      <c r="G689" s="135"/>
      <c r="H689" s="135"/>
      <c r="AE689" s="1376" t="s">
        <v>554</v>
      </c>
      <c r="AF689" s="1376"/>
      <c r="AZ689" s="34"/>
      <c r="BA689" s="34"/>
      <c r="BB689" s="34"/>
      <c r="BC689" s="34"/>
      <c r="BD689" s="34"/>
      <c r="BE689" s="34"/>
      <c r="BF689" s="34"/>
      <c r="BG689" s="315">
        <f t="shared" ref="BG689:BG713" si="46">G714</f>
        <v>6</v>
      </c>
      <c r="BH689" s="319">
        <f>BG689/$BG$714</f>
        <v>3.2967032967032968E-2</v>
      </c>
      <c r="BI689" s="320">
        <f t="shared" ref="BI689:BI713" si="47">IF(BH689=0," ",BH689*AH714)</f>
        <v>4.2864712784345393E-3</v>
      </c>
      <c r="BJ689" s="3"/>
      <c r="BK689" s="34"/>
      <c r="BL689" s="34"/>
      <c r="BM689" s="34"/>
      <c r="BN689" s="34"/>
      <c r="BO689" s="34"/>
      <c r="BP689" s="379" t="s">
        <v>68</v>
      </c>
      <c r="BQ689" s="499">
        <v>1876</v>
      </c>
      <c r="BR689" s="500">
        <v>2010</v>
      </c>
      <c r="BS689" s="499">
        <v>2412</v>
      </c>
      <c r="BT689" s="500">
        <v>2786</v>
      </c>
      <c r="BU689" s="500">
        <v>3110</v>
      </c>
      <c r="BV689" s="501">
        <v>3432</v>
      </c>
      <c r="BW689" s="34"/>
      <c r="BX689" s="1085">
        <v>1277</v>
      </c>
      <c r="BY689" s="1085">
        <v>1400</v>
      </c>
      <c r="BZ689" s="1085">
        <v>1756</v>
      </c>
      <c r="CA689" s="1085">
        <v>2496</v>
      </c>
      <c r="CB689" s="1085">
        <v>2907</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5" customHeight="1">
      <c r="B690" s="135"/>
      <c r="C690" s="135"/>
      <c r="D690" s="136" t="s">
        <v>441</v>
      </c>
      <c r="E690" s="135"/>
      <c r="F690" s="135"/>
      <c r="G690" s="135"/>
      <c r="H690" s="135"/>
      <c r="AE690" s="1376" t="s">
        <v>554</v>
      </c>
      <c r="AF690" s="1376"/>
      <c r="AZ690" s="34"/>
      <c r="BA690" s="34"/>
      <c r="BB690" s="34"/>
      <c r="BC690" s="34"/>
      <c r="BD690" s="34"/>
      <c r="BE690" s="34"/>
      <c r="BF690" s="34"/>
      <c r="BG690" s="316">
        <f t="shared" si="46"/>
        <v>18</v>
      </c>
      <c r="BH690" s="319">
        <f t="shared" ref="BH690:BH713" si="48">BG690/$BG$714</f>
        <v>9.8901098901098897E-2</v>
      </c>
      <c r="BI690" s="320">
        <f t="shared" si="47"/>
        <v>1.3030728238762671E-2</v>
      </c>
      <c r="BJ690" s="3"/>
      <c r="BK690" s="34"/>
      <c r="BL690" s="34"/>
      <c r="BM690" s="34"/>
      <c r="BN690" s="34"/>
      <c r="BO690" s="34"/>
      <c r="BP690" s="379" t="s">
        <v>739</v>
      </c>
      <c r="BQ690" s="499">
        <v>1950</v>
      </c>
      <c r="BR690" s="500">
        <v>2088</v>
      </c>
      <c r="BS690" s="499">
        <v>2504</v>
      </c>
      <c r="BT690" s="500">
        <v>2894</v>
      </c>
      <c r="BU690" s="500">
        <v>3230</v>
      </c>
      <c r="BV690" s="501">
        <v>3562</v>
      </c>
      <c r="BW690" s="34"/>
      <c r="BX690" s="1085">
        <v>1441</v>
      </c>
      <c r="BY690" s="1085">
        <v>1637</v>
      </c>
      <c r="BZ690" s="1085">
        <v>2155</v>
      </c>
      <c r="CA690" s="1085">
        <v>3063</v>
      </c>
      <c r="CB690" s="1085">
        <v>3671</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5" customHeight="1">
      <c r="B691" s="135"/>
      <c r="C691" s="135"/>
      <c r="D691" s="136" t="s">
        <v>959</v>
      </c>
      <c r="E691" s="135"/>
      <c r="F691" s="135"/>
      <c r="G691" s="135"/>
      <c r="H691" s="135"/>
      <c r="AE691" s="1544">
        <v>45175</v>
      </c>
      <c r="AF691" s="1544"/>
      <c r="AG691" s="1544"/>
      <c r="AH691" s="1544"/>
      <c r="AI691" s="1544"/>
      <c r="AZ691" s="34"/>
      <c r="BA691" s="34"/>
      <c r="BB691" s="34"/>
      <c r="BC691" s="34"/>
      <c r="BD691" s="34"/>
      <c r="BE691" s="3"/>
      <c r="BF691" s="3"/>
      <c r="BG691" s="316">
        <f t="shared" si="46"/>
        <v>8</v>
      </c>
      <c r="BH691" s="319">
        <f t="shared" si="48"/>
        <v>4.3956043956043959E-2</v>
      </c>
      <c r="BI691" s="320">
        <f t="shared" si="47"/>
        <v>5.8790071212431469E-3</v>
      </c>
      <c r="BJ691" s="3"/>
      <c r="BK691" s="3"/>
      <c r="BL691" s="3"/>
      <c r="BM691" s="3"/>
      <c r="BN691" s="34"/>
      <c r="BO691" s="34"/>
      <c r="BP691" s="379" t="s">
        <v>740</v>
      </c>
      <c r="BQ691" s="499">
        <v>1632</v>
      </c>
      <c r="BR691" s="500">
        <v>1748</v>
      </c>
      <c r="BS691" s="499">
        <v>2096</v>
      </c>
      <c r="BT691" s="500">
        <v>2422</v>
      </c>
      <c r="BU691" s="500">
        <v>2704</v>
      </c>
      <c r="BV691" s="501">
        <v>2982</v>
      </c>
      <c r="BW691" s="34"/>
      <c r="BX691" s="1085">
        <v>1281</v>
      </c>
      <c r="BY691" s="1085">
        <v>1398</v>
      </c>
      <c r="BZ691" s="1085">
        <v>1751</v>
      </c>
      <c r="CA691" s="1085">
        <v>2376</v>
      </c>
      <c r="CB691" s="1085">
        <v>2922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5" customHeight="1">
      <c r="B692" s="135"/>
      <c r="C692" s="135"/>
      <c r="D692" s="344" t="s">
        <v>1022</v>
      </c>
      <c r="E692" s="135"/>
      <c r="F692" s="135"/>
      <c r="G692" s="135"/>
      <c r="H692" s="135"/>
      <c r="AE692" s="1730">
        <v>45266</v>
      </c>
      <c r="AF692" s="1730"/>
      <c r="AG692" s="1730"/>
      <c r="AH692" s="1730"/>
      <c r="AI692" s="1730"/>
      <c r="AZ692" s="34"/>
      <c r="BA692" s="34"/>
      <c r="BB692" s="34"/>
      <c r="BC692" s="34"/>
      <c r="BD692" s="34"/>
      <c r="BE692" s="3"/>
      <c r="BF692" s="2"/>
      <c r="BG692" s="316">
        <f t="shared" si="46"/>
        <v>2</v>
      </c>
      <c r="BH692" s="319">
        <f t="shared" si="48"/>
        <v>1.098901098901099E-2</v>
      </c>
      <c r="BI692" s="320">
        <f t="shared" si="47"/>
        <v>1.4288237594781799E-3</v>
      </c>
      <c r="BJ692" s="3"/>
      <c r="BK692" s="3"/>
      <c r="BL692" s="3"/>
      <c r="BM692" s="3"/>
      <c r="BN692" s="34"/>
      <c r="BO692" s="34"/>
      <c r="BP692" s="379" t="s">
        <v>741</v>
      </c>
      <c r="BQ692" s="499">
        <v>2412</v>
      </c>
      <c r="BR692" s="500">
        <v>2584</v>
      </c>
      <c r="BS692" s="499">
        <v>3102</v>
      </c>
      <c r="BT692" s="500">
        <v>3582</v>
      </c>
      <c r="BU692" s="500">
        <v>3996</v>
      </c>
      <c r="BV692" s="501">
        <v>4410</v>
      </c>
      <c r="BW692" s="34"/>
      <c r="BX692" s="1085">
        <v>1714</v>
      </c>
      <c r="BY692" s="1085">
        <v>1885</v>
      </c>
      <c r="BZ692" s="1085">
        <v>2399</v>
      </c>
      <c r="CA692" s="1085">
        <v>3279</v>
      </c>
      <c r="CB692" s="1085">
        <v>3988</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5" customHeight="1">
      <c r="B693" s="135"/>
      <c r="C693" s="135"/>
      <c r="AZ693" s="34"/>
      <c r="BA693" s="34"/>
      <c r="BB693" s="34"/>
      <c r="BC693" s="34"/>
      <c r="BD693" s="34"/>
      <c r="BE693" s="3"/>
      <c r="BF693" s="3"/>
      <c r="BG693" s="316">
        <f t="shared" si="46"/>
        <v>4</v>
      </c>
      <c r="BH693" s="319">
        <f t="shared" si="48"/>
        <v>2.197802197802198E-2</v>
      </c>
      <c r="BI693" s="320">
        <f t="shared" si="47"/>
        <v>2.895717386391705E-3</v>
      </c>
      <c r="BJ693" s="3"/>
      <c r="BK693" s="3"/>
      <c r="BL693" s="3"/>
      <c r="BM693" s="3"/>
      <c r="BN693" s="34"/>
      <c r="BO693" s="34"/>
      <c r="BP693" s="379" t="s">
        <v>742</v>
      </c>
      <c r="BQ693" s="499">
        <v>3252</v>
      </c>
      <c r="BR693" s="500">
        <v>3484</v>
      </c>
      <c r="BS693" s="499">
        <v>4182</v>
      </c>
      <c r="BT693" s="500">
        <v>4830</v>
      </c>
      <c r="BU693" s="500">
        <v>5390</v>
      </c>
      <c r="BV693" s="501">
        <v>5946</v>
      </c>
      <c r="BW693" s="34"/>
      <c r="BX693" s="1085">
        <v>2156</v>
      </c>
      <c r="BY693" s="1085">
        <v>2665</v>
      </c>
      <c r="BZ693" s="1085">
        <v>3188</v>
      </c>
      <c r="CA693" s="1085">
        <v>3912</v>
      </c>
      <c r="CB693" s="1085">
        <v>4283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5" customHeight="1">
      <c r="B694" s="135"/>
      <c r="C694" s="135"/>
      <c r="D694" s="136" t="s">
        <v>842</v>
      </c>
      <c r="E694" s="135"/>
      <c r="F694" s="135"/>
      <c r="G694" s="135"/>
      <c r="H694" s="135"/>
      <c r="AE694" s="1544">
        <v>45078</v>
      </c>
      <c r="AF694" s="1544"/>
      <c r="AG694" s="1544"/>
      <c r="AH694" s="1544"/>
      <c r="AI694" s="1544"/>
      <c r="AZ694" s="3"/>
      <c r="BA694" s="3"/>
      <c r="BB694" s="3"/>
      <c r="BC694" s="3"/>
      <c r="BD694" s="3"/>
      <c r="BE694" s="3"/>
      <c r="BF694" s="3"/>
      <c r="BG694" s="316">
        <f t="shared" si="46"/>
        <v>2</v>
      </c>
      <c r="BH694" s="319">
        <f t="shared" si="48"/>
        <v>1.098901098901099E-2</v>
      </c>
      <c r="BI694" s="320">
        <f t="shared" si="47"/>
        <v>1.4697517803107867E-3</v>
      </c>
      <c r="BJ694" s="3"/>
      <c r="BK694" s="3"/>
      <c r="BL694" s="3"/>
      <c r="BM694" s="3"/>
      <c r="BN694" s="3"/>
      <c r="BO694" s="3"/>
      <c r="BP694" s="379" t="s">
        <v>743</v>
      </c>
      <c r="BQ694" s="499">
        <v>1534</v>
      </c>
      <c r="BR694" s="500">
        <v>1644</v>
      </c>
      <c r="BS694" s="499">
        <v>1974</v>
      </c>
      <c r="BT694" s="500">
        <v>2280</v>
      </c>
      <c r="BU694" s="500">
        <v>2544</v>
      </c>
      <c r="BV694" s="501">
        <v>2806</v>
      </c>
      <c r="BW694" s="3"/>
      <c r="BX694" s="897">
        <v>1040</v>
      </c>
      <c r="BY694" s="897">
        <v>1158</v>
      </c>
      <c r="BZ694" s="897">
        <v>1513</v>
      </c>
      <c r="CA694" s="897">
        <v>2150</v>
      </c>
      <c r="CB694" s="897">
        <v>2577</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5" customHeight="1">
      <c r="B695" s="135"/>
      <c r="C695" s="135"/>
      <c r="D695" s="136" t="s">
        <v>439</v>
      </c>
      <c r="E695" s="135"/>
      <c r="F695" s="135"/>
      <c r="G695" s="135"/>
      <c r="H695" s="135"/>
      <c r="AE695" s="1708">
        <v>0.55000000000000004</v>
      </c>
      <c r="AF695" s="1708"/>
      <c r="AG695" s="1708"/>
      <c r="AH695" s="1708"/>
      <c r="AI695" s="1708"/>
      <c r="AZ695" s="3"/>
      <c r="BA695" s="3"/>
      <c r="BB695" s="3"/>
      <c r="BC695" s="3"/>
      <c r="BD695" s="3"/>
      <c r="BE695" s="3"/>
      <c r="BF695" s="3"/>
      <c r="BG695" s="316">
        <f t="shared" si="46"/>
        <v>2</v>
      </c>
      <c r="BH695" s="319">
        <f t="shared" si="48"/>
        <v>1.098901098901099E-2</v>
      </c>
      <c r="BI695" s="320">
        <f t="shared" si="47"/>
        <v>3.2946758039008963E-3</v>
      </c>
      <c r="BJ695" s="3"/>
      <c r="BK695" s="3"/>
      <c r="BL695" s="3"/>
      <c r="BM695" s="3"/>
      <c r="BN695" s="3"/>
      <c r="BO695" s="3"/>
      <c r="BP695" s="379" t="s">
        <v>69</v>
      </c>
      <c r="BQ695" s="499">
        <v>2026</v>
      </c>
      <c r="BR695" s="500">
        <v>2172</v>
      </c>
      <c r="BS695" s="499">
        <v>2606</v>
      </c>
      <c r="BT695" s="500">
        <v>3010</v>
      </c>
      <c r="BU695" s="500">
        <v>3360</v>
      </c>
      <c r="BV695" s="501">
        <v>3706</v>
      </c>
      <c r="BW695" s="3"/>
      <c r="BX695" s="897">
        <v>1394</v>
      </c>
      <c r="BY695" s="897">
        <v>1561</v>
      </c>
      <c r="BZ695" s="897">
        <v>2055</v>
      </c>
      <c r="CA695" s="897">
        <v>2834</v>
      </c>
      <c r="CB695" s="897">
        <v>3155</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5" customHeight="1">
      <c r="B696" s="135"/>
      <c r="C696" s="135"/>
      <c r="D696" s="136" t="s">
        <v>440</v>
      </c>
      <c r="E696" s="135"/>
      <c r="F696" s="135"/>
      <c r="G696" s="135"/>
      <c r="H696" s="135"/>
      <c r="W696" s="1517" t="str">
        <f>H334</f>
        <v>City and County of San Francisco</v>
      </c>
      <c r="X696" s="1517"/>
      <c r="Y696" s="1517"/>
      <c r="Z696" s="1517"/>
      <c r="AA696" s="1517"/>
      <c r="AB696" s="1517"/>
      <c r="AC696" s="1517"/>
      <c r="AD696" s="1517"/>
      <c r="AE696" s="1517"/>
      <c r="AF696" s="1517"/>
      <c r="AG696" s="1517"/>
      <c r="AH696" s="1517"/>
      <c r="AI696" s="1517"/>
      <c r="AJ696" s="1517"/>
      <c r="AK696" s="1517"/>
      <c r="AZ696" s="3"/>
      <c r="BA696" s="3"/>
      <c r="BB696" s="3"/>
      <c r="BC696" s="3"/>
      <c r="BD696" s="3"/>
      <c r="BE696" s="3"/>
      <c r="BF696" s="3"/>
      <c r="BG696" s="316">
        <f t="shared" si="46"/>
        <v>5</v>
      </c>
      <c r="BH696" s="319">
        <f t="shared" si="48"/>
        <v>2.7472527472527472E-2</v>
      </c>
      <c r="BI696" s="320">
        <f t="shared" si="47"/>
        <v>8.240181173591047E-3</v>
      </c>
      <c r="BJ696" s="3"/>
      <c r="BK696" s="3"/>
      <c r="BL696" s="3"/>
      <c r="BM696" s="3"/>
      <c r="BN696" s="3"/>
      <c r="BO696" s="3"/>
      <c r="BP696" s="379" t="s">
        <v>70</v>
      </c>
      <c r="BQ696" s="499">
        <v>3252</v>
      </c>
      <c r="BR696" s="500">
        <v>3484</v>
      </c>
      <c r="BS696" s="499">
        <v>4182</v>
      </c>
      <c r="BT696" s="500">
        <v>4830</v>
      </c>
      <c r="BU696" s="500">
        <v>5390</v>
      </c>
      <c r="BV696" s="501">
        <v>5946</v>
      </c>
      <c r="BW696" s="3"/>
      <c r="BX696" s="897">
        <v>2156</v>
      </c>
      <c r="BY696" s="897">
        <v>2665</v>
      </c>
      <c r="BZ696" s="897">
        <v>3188</v>
      </c>
      <c r="CA696" s="897">
        <v>3912</v>
      </c>
      <c r="CB696" s="897">
        <v>4283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5" customHeight="1">
      <c r="B697" s="135"/>
      <c r="C697" s="135"/>
      <c r="D697" s="136"/>
      <c r="E697" s="135"/>
      <c r="F697" s="135"/>
      <c r="G697" s="135"/>
      <c r="H697" s="135"/>
      <c r="AZ697" s="3"/>
      <c r="BA697" s="3"/>
      <c r="BB697" s="3"/>
      <c r="BC697" s="3"/>
      <c r="BD697" s="3"/>
      <c r="BE697" s="3"/>
      <c r="BF697" s="3"/>
      <c r="BG697" s="316">
        <f t="shared" si="46"/>
        <v>2</v>
      </c>
      <c r="BH697" s="319">
        <f t="shared" si="48"/>
        <v>1.098901098901099E-2</v>
      </c>
      <c r="BI697" s="320">
        <f t="shared" si="47"/>
        <v>3.2951266810664231E-3</v>
      </c>
      <c r="BJ697" s="3"/>
      <c r="BK697" s="3"/>
      <c r="BL697" s="3"/>
      <c r="BM697" s="3"/>
      <c r="BN697" s="3"/>
      <c r="BO697" s="3"/>
      <c r="BP697" s="379" t="s">
        <v>193</v>
      </c>
      <c r="BQ697" s="499">
        <v>2590</v>
      </c>
      <c r="BR697" s="500">
        <v>2774</v>
      </c>
      <c r="BS697" s="499">
        <v>3330</v>
      </c>
      <c r="BT697" s="500">
        <v>3846</v>
      </c>
      <c r="BU697" s="500">
        <v>4290</v>
      </c>
      <c r="BV697" s="501">
        <v>4732</v>
      </c>
      <c r="BW697" s="3"/>
      <c r="BX697" s="897">
        <v>2040</v>
      </c>
      <c r="BY697" s="897">
        <v>2350</v>
      </c>
      <c r="BZ697" s="897">
        <v>2667</v>
      </c>
      <c r="CA697" s="897">
        <v>3520</v>
      </c>
      <c r="CB697" s="897">
        <v>4001</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5" customHeight="1">
      <c r="B698" s="135"/>
      <c r="C698" s="135"/>
      <c r="D698" s="136" t="s">
        <v>442</v>
      </c>
      <c r="E698" s="135"/>
      <c r="F698" s="135"/>
      <c r="G698" s="135"/>
      <c r="H698" s="135"/>
      <c r="AE698" s="1376" t="s">
        <v>678</v>
      </c>
      <c r="AF698" s="1376"/>
      <c r="AZ698" s="3"/>
      <c r="BA698" s="3"/>
      <c r="BB698" s="3"/>
      <c r="BC698" s="3"/>
      <c r="BD698" s="3"/>
      <c r="BE698" s="3"/>
      <c r="BF698" s="3"/>
      <c r="BG698" s="316">
        <f t="shared" si="46"/>
        <v>2</v>
      </c>
      <c r="BH698" s="319">
        <f t="shared" si="48"/>
        <v>1.098901098901099E-2</v>
      </c>
      <c r="BI698" s="320">
        <f t="shared" si="47"/>
        <v>3.2967032967032967E-3</v>
      </c>
      <c r="BJ698" s="3"/>
      <c r="BK698" s="3"/>
      <c r="BL698" s="3"/>
      <c r="BM698" s="3"/>
      <c r="BN698" s="3"/>
      <c r="BO698" s="3"/>
      <c r="BP698" s="379" t="s">
        <v>194</v>
      </c>
      <c r="BQ698" s="499">
        <v>3122</v>
      </c>
      <c r="BR698" s="500">
        <v>3346</v>
      </c>
      <c r="BS698" s="499">
        <v>4014</v>
      </c>
      <c r="BT698" s="500">
        <v>4638</v>
      </c>
      <c r="BU698" s="500">
        <v>5174</v>
      </c>
      <c r="BV698" s="501">
        <v>5710</v>
      </c>
      <c r="BW698" s="3"/>
      <c r="BX698" s="897">
        <v>2223</v>
      </c>
      <c r="BY698" s="897">
        <v>2513</v>
      </c>
      <c r="BZ698" s="897">
        <v>2941</v>
      </c>
      <c r="CA698" s="897">
        <v>3750</v>
      </c>
      <c r="CB698" s="897">
        <v>4202</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5" customHeight="1">
      <c r="B699" s="135"/>
      <c r="C699" s="135"/>
      <c r="D699" s="136" t="s">
        <v>445</v>
      </c>
      <c r="E699" s="135"/>
      <c r="F699" s="135"/>
      <c r="G699" s="135"/>
      <c r="H699" s="135"/>
      <c r="W699" s="1398" t="s">
        <v>600</v>
      </c>
      <c r="X699" s="1398"/>
      <c r="Y699" s="1398"/>
      <c r="Z699" s="1398"/>
      <c r="AA699" s="1398"/>
      <c r="AB699" s="1398"/>
      <c r="AC699" s="1398"/>
      <c r="AD699" s="1398"/>
      <c r="AE699" s="1398"/>
      <c r="AF699" s="1398"/>
      <c r="AG699" s="1398"/>
      <c r="AH699" s="1398"/>
      <c r="AI699" s="1398"/>
      <c r="AJ699" s="1398"/>
      <c r="AK699" s="1398"/>
      <c r="AZ699" s="3"/>
      <c r="BA699" s="3"/>
      <c r="BB699" s="3"/>
      <c r="BC699" s="3"/>
      <c r="BD699" s="3"/>
      <c r="BE699" s="3"/>
      <c r="BF699" s="3"/>
      <c r="BG699" s="316">
        <f t="shared" si="46"/>
        <v>15</v>
      </c>
      <c r="BH699" s="319">
        <f t="shared" si="48"/>
        <v>8.2417582417582416E-2</v>
      </c>
      <c r="BI699" s="320">
        <f t="shared" si="47"/>
        <v>3.8623737885730501E-2</v>
      </c>
      <c r="BJ699" s="3"/>
      <c r="BK699" s="3"/>
      <c r="BL699" s="3"/>
      <c r="BM699" s="3"/>
      <c r="BN699" s="3"/>
      <c r="BO699" s="3"/>
      <c r="BP699" s="379" t="s">
        <v>195</v>
      </c>
      <c r="BQ699" s="499">
        <v>2882</v>
      </c>
      <c r="BR699" s="500">
        <v>3088</v>
      </c>
      <c r="BS699" s="499">
        <v>3706</v>
      </c>
      <c r="BT699" s="500">
        <v>4282</v>
      </c>
      <c r="BU699" s="500">
        <v>4776</v>
      </c>
      <c r="BV699" s="501">
        <v>5272</v>
      </c>
      <c r="BW699" s="3"/>
      <c r="BX699" s="897">
        <v>2212</v>
      </c>
      <c r="BY699" s="897">
        <v>2502</v>
      </c>
      <c r="BZ699" s="897">
        <v>3293</v>
      </c>
      <c r="CA699" s="897">
        <v>4077</v>
      </c>
      <c r="CB699" s="897">
        <v>4568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5" customHeight="1">
      <c r="B700" s="135"/>
      <c r="C700" s="135"/>
      <c r="D700" s="136" t="s">
        <v>88</v>
      </c>
      <c r="E700" s="135"/>
      <c r="F700" s="135"/>
      <c r="G700" s="135"/>
      <c r="H700" s="135"/>
      <c r="J700" s="1398" t="s">
        <v>600</v>
      </c>
      <c r="K700" s="1398"/>
      <c r="L700" s="1398"/>
      <c r="M700" s="1398"/>
      <c r="N700" s="1398"/>
      <c r="O700" s="1398"/>
      <c r="P700" s="1398"/>
      <c r="Q700" s="1398"/>
      <c r="R700" s="1398"/>
      <c r="S700" s="1398"/>
      <c r="T700" s="1398"/>
      <c r="U700" s="1398"/>
      <c r="V700" s="1398"/>
      <c r="W700" s="1398"/>
      <c r="X700" s="1398"/>
      <c r="AZ700" s="3"/>
      <c r="BA700" s="3"/>
      <c r="BB700" s="3"/>
      <c r="BC700" s="3"/>
      <c r="BD700" s="3"/>
      <c r="BE700" s="3"/>
      <c r="BF700" s="3"/>
      <c r="BG700" s="316">
        <f t="shared" si="46"/>
        <v>39</v>
      </c>
      <c r="BH700" s="319">
        <f t="shared" si="48"/>
        <v>0.21428571428571427</v>
      </c>
      <c r="BI700" s="320">
        <f t="shared" si="47"/>
        <v>0.10714285714285714</v>
      </c>
      <c r="BJ700" s="3"/>
      <c r="BK700" s="3"/>
      <c r="BL700" s="3"/>
      <c r="BM700" s="3"/>
      <c r="BN700" s="3"/>
      <c r="BO700" s="3"/>
      <c r="BP700" s="379" t="s">
        <v>196</v>
      </c>
      <c r="BQ700" s="499">
        <v>1470</v>
      </c>
      <c r="BR700" s="500">
        <v>1574</v>
      </c>
      <c r="BS700" s="499">
        <v>1890</v>
      </c>
      <c r="BT700" s="500">
        <v>2184</v>
      </c>
      <c r="BU700" s="500">
        <v>2436</v>
      </c>
      <c r="BV700" s="501">
        <v>2688</v>
      </c>
      <c r="BW700" s="3"/>
      <c r="BX700" s="897">
        <v>895</v>
      </c>
      <c r="BY700" s="897">
        <v>1017</v>
      </c>
      <c r="BZ700" s="897">
        <v>1339</v>
      </c>
      <c r="CA700" s="897">
        <v>1903</v>
      </c>
      <c r="CB700" s="897">
        <v>2281</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5" customHeight="1">
      <c r="B701" s="135"/>
      <c r="C701" s="135"/>
      <c r="D701" s="136" t="s">
        <v>89</v>
      </c>
      <c r="J701" s="1518" t="s">
        <v>600</v>
      </c>
      <c r="K701" s="1441"/>
      <c r="L701" s="1441"/>
      <c r="M701" s="1441"/>
      <c r="N701" s="1441"/>
      <c r="O701" s="1441"/>
      <c r="P701" s="4" t="s">
        <v>208</v>
      </c>
      <c r="Q701" s="4"/>
      <c r="R701" s="1467" t="s">
        <v>600</v>
      </c>
      <c r="S701" s="1468"/>
      <c r="T701" s="1468"/>
      <c r="AZ701" s="3"/>
      <c r="BA701" s="3"/>
      <c r="BB701" s="3"/>
      <c r="BC701" s="3"/>
      <c r="BD701" s="3"/>
      <c r="BE701" s="3"/>
      <c r="BF701" s="3"/>
      <c r="BG701" s="316">
        <f t="shared" si="46"/>
        <v>16</v>
      </c>
      <c r="BH701" s="319">
        <f t="shared" si="48"/>
        <v>8.7912087912087919E-2</v>
      </c>
      <c r="BI701" s="320">
        <f t="shared" si="47"/>
        <v>4.1895932857195416E-2</v>
      </c>
      <c r="BJ701" s="3"/>
      <c r="BK701" s="3"/>
      <c r="BL701" s="3"/>
      <c r="BM701" s="3"/>
      <c r="BN701" s="3"/>
      <c r="BO701" s="3"/>
      <c r="BP701" s="379" t="s">
        <v>197</v>
      </c>
      <c r="BQ701" s="499">
        <v>1496</v>
      </c>
      <c r="BR701" s="500">
        <v>1602</v>
      </c>
      <c r="BS701" s="499">
        <v>1924</v>
      </c>
      <c r="BT701" s="500">
        <v>2222</v>
      </c>
      <c r="BU701" s="500">
        <v>2480</v>
      </c>
      <c r="BV701" s="501">
        <v>2736</v>
      </c>
      <c r="BW701" s="3"/>
      <c r="BX701" s="897">
        <v>774</v>
      </c>
      <c r="BY701" s="897">
        <v>866</v>
      </c>
      <c r="BZ701" s="897">
        <v>1138</v>
      </c>
      <c r="CA701" s="897">
        <v>1479</v>
      </c>
      <c r="CB701" s="897">
        <v>1838</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5" customHeight="1">
      <c r="B702" s="135"/>
      <c r="C702" s="135"/>
      <c r="D702" s="136" t="s">
        <v>446</v>
      </c>
      <c r="W702" s="1398" t="s">
        <v>309</v>
      </c>
      <c r="X702" s="1398"/>
      <c r="Y702" s="1398"/>
      <c r="Z702" s="1398"/>
      <c r="AA702" s="1398"/>
      <c r="AB702" s="1398"/>
      <c r="AC702" s="1398"/>
      <c r="AD702" s="1398"/>
      <c r="AE702" s="1398"/>
      <c r="AF702" s="1398"/>
      <c r="AG702" s="1398"/>
      <c r="AH702" s="1398"/>
      <c r="AI702" s="1398"/>
      <c r="AJ702" s="1398"/>
      <c r="AK702" s="1398"/>
      <c r="AZ702" s="3"/>
      <c r="BA702" s="3"/>
      <c r="BB702" s="3"/>
      <c r="BC702" s="3"/>
      <c r="BD702" s="3"/>
      <c r="BE702" s="3"/>
      <c r="BF702" s="3"/>
      <c r="BG702" s="316">
        <f t="shared" si="46"/>
        <v>25</v>
      </c>
      <c r="BH702" s="319">
        <f t="shared" si="48"/>
        <v>0.13736263736263737</v>
      </c>
      <c r="BI702" s="320">
        <f t="shared" si="47"/>
        <v>6.2822787978067479E-2</v>
      </c>
      <c r="BJ702" s="3"/>
      <c r="BK702" s="3"/>
      <c r="BL702" s="3"/>
      <c r="BM702" s="3"/>
      <c r="BN702" s="3"/>
      <c r="BO702" s="3"/>
      <c r="BP702" s="379" t="s">
        <v>198</v>
      </c>
      <c r="BQ702" s="499">
        <v>1444</v>
      </c>
      <c r="BR702" s="500">
        <v>1546</v>
      </c>
      <c r="BS702" s="499">
        <v>1856</v>
      </c>
      <c r="BT702" s="500">
        <v>2144</v>
      </c>
      <c r="BU702" s="500">
        <v>2392</v>
      </c>
      <c r="BV702" s="501">
        <v>2640</v>
      </c>
      <c r="BW702" s="3"/>
      <c r="BX702" s="897">
        <v>738</v>
      </c>
      <c r="BY702" s="897">
        <v>752</v>
      </c>
      <c r="BZ702" s="897">
        <v>974</v>
      </c>
      <c r="CA702" s="897">
        <v>1384</v>
      </c>
      <c r="CB702" s="897">
        <v>1408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5" customHeight="1">
      <c r="B703" s="135"/>
      <c r="C703" s="135"/>
      <c r="D703" s="136"/>
      <c r="E703" s="1398" t="s">
        <v>600</v>
      </c>
      <c r="F703" s="1398"/>
      <c r="G703" s="1398"/>
      <c r="H703" s="1398"/>
      <c r="I703" s="1398"/>
      <c r="J703" s="1398"/>
      <c r="K703" s="1398"/>
      <c r="L703" s="1398"/>
      <c r="M703" s="1398"/>
      <c r="N703" s="1398"/>
      <c r="O703" s="1398"/>
      <c r="P703" s="1398"/>
      <c r="Q703" s="1398"/>
      <c r="R703" s="1398"/>
      <c r="S703" s="1398"/>
      <c r="T703" s="1398"/>
      <c r="U703" s="1398"/>
      <c r="V703" s="1398"/>
      <c r="W703" s="1398"/>
      <c r="X703" s="1398"/>
      <c r="Y703" s="1398"/>
      <c r="Z703" s="1398"/>
      <c r="AA703" s="1398"/>
      <c r="AB703" s="1398"/>
      <c r="AC703" s="1398"/>
      <c r="AD703" s="1398"/>
      <c r="AE703" s="1398"/>
      <c r="AF703" s="1398"/>
      <c r="AG703" s="1398"/>
      <c r="AH703" s="1398"/>
      <c r="AI703" s="1398"/>
      <c r="AJ703" s="1398"/>
      <c r="AK703" s="1398"/>
      <c r="AZ703" s="3"/>
      <c r="BA703" s="3"/>
      <c r="BB703" s="3"/>
      <c r="BC703" s="3"/>
      <c r="BD703" s="3"/>
      <c r="BE703" s="3"/>
      <c r="BF703" s="3"/>
      <c r="BG703" s="316">
        <f t="shared" si="46"/>
        <v>23</v>
      </c>
      <c r="BH703" s="319">
        <f t="shared" si="48"/>
        <v>0.12637362637362637</v>
      </c>
      <c r="BI703" s="320">
        <f t="shared" si="47"/>
        <v>7.5845939364883097E-2</v>
      </c>
      <c r="BJ703" s="3"/>
      <c r="BK703" s="3"/>
      <c r="BL703" s="3"/>
      <c r="BM703" s="3"/>
      <c r="BN703" s="3"/>
      <c r="BO703" s="3"/>
      <c r="BP703" s="379" t="s">
        <v>199</v>
      </c>
      <c r="BQ703" s="499">
        <v>2002</v>
      </c>
      <c r="BR703" s="500">
        <v>2146</v>
      </c>
      <c r="BS703" s="499">
        <v>2574</v>
      </c>
      <c r="BT703" s="500">
        <v>2974</v>
      </c>
      <c r="BU703" s="500">
        <v>3320</v>
      </c>
      <c r="BV703" s="501">
        <v>3662</v>
      </c>
      <c r="BW703" s="3"/>
      <c r="BX703" s="897">
        <v>1428</v>
      </c>
      <c r="BY703" s="897">
        <v>1620</v>
      </c>
      <c r="BZ703" s="897">
        <v>1963</v>
      </c>
      <c r="CA703" s="897">
        <v>2790</v>
      </c>
      <c r="CB703" s="897">
        <v>3266</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5" customHeight="1">
      <c r="AZ704" s="3"/>
      <c r="BA704" s="3"/>
      <c r="BB704" s="3"/>
      <c r="BC704" s="3"/>
      <c r="BD704" s="3"/>
      <c r="BE704" s="3"/>
      <c r="BF704" s="3"/>
      <c r="BG704" s="316">
        <f t="shared" si="46"/>
        <v>13</v>
      </c>
      <c r="BH704" s="319">
        <f t="shared" si="48"/>
        <v>7.1428571428571425E-2</v>
      </c>
      <c r="BI704" s="320">
        <f t="shared" si="47"/>
        <v>4.2853726856596296E-2</v>
      </c>
      <c r="BJ704" s="3"/>
      <c r="BK704" s="3"/>
      <c r="BL704" s="3"/>
      <c r="BM704" s="3"/>
      <c r="BN704" s="3"/>
      <c r="BO704" s="3"/>
      <c r="BP704" s="379" t="s">
        <v>175</v>
      </c>
      <c r="BQ704" s="499">
        <v>2202</v>
      </c>
      <c r="BR704" s="500">
        <v>2360</v>
      </c>
      <c r="BS704" s="499">
        <v>2832</v>
      </c>
      <c r="BT704" s="500">
        <v>3270</v>
      </c>
      <c r="BU704" s="500">
        <v>3650</v>
      </c>
      <c r="BV704" s="501">
        <v>4026</v>
      </c>
      <c r="BW704" s="3"/>
      <c r="BX704" s="897">
        <v>1525</v>
      </c>
      <c r="BY704" s="897">
        <v>1711</v>
      </c>
      <c r="BZ704" s="897">
        <v>2252</v>
      </c>
      <c r="CA704" s="897">
        <v>3101</v>
      </c>
      <c r="CB704" s="897">
        <v>3356</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A705" s="1273" t="s">
        <v>96</v>
      </c>
      <c r="B705" s="1273"/>
      <c r="C705" s="1273"/>
      <c r="D705" s="1273"/>
      <c r="E705" s="1273"/>
      <c r="F705" s="1273"/>
      <c r="G705" s="1273"/>
      <c r="H705" s="1273"/>
      <c r="I705" s="1273"/>
      <c r="J705" s="1273"/>
      <c r="K705" s="1273"/>
      <c r="L705" s="1273"/>
      <c r="M705" s="1273"/>
      <c r="N705" s="1273"/>
      <c r="O705" s="1273"/>
      <c r="P705" s="1273"/>
      <c r="Q705" s="1273"/>
      <c r="R705" s="1273"/>
      <c r="S705" s="1273"/>
      <c r="T705" s="1273"/>
      <c r="U705" s="1273"/>
      <c r="V705" s="1273"/>
      <c r="W705" s="1273"/>
      <c r="X705" s="1273"/>
      <c r="Y705" s="1273"/>
      <c r="Z705" s="1273"/>
      <c r="AA705" s="1273"/>
      <c r="AB705" s="1273"/>
      <c r="AC705" s="1273"/>
      <c r="AD705" s="1273"/>
      <c r="AE705" s="1273"/>
      <c r="AF705" s="1273"/>
      <c r="AG705" s="1273"/>
      <c r="AH705" s="1273"/>
      <c r="AI705" s="1273"/>
      <c r="AJ705" s="1273"/>
      <c r="AK705" s="1273"/>
      <c r="AL705" s="1273"/>
      <c r="AM705" s="1273"/>
      <c r="AN705" s="1273"/>
      <c r="AO705" s="1273"/>
      <c r="AP705" s="936"/>
      <c r="AQ705" s="936"/>
      <c r="AR705" s="936"/>
      <c r="AS705" s="936"/>
      <c r="AZ705" s="3"/>
      <c r="BA705" s="3"/>
      <c r="BB705" s="3"/>
      <c r="BC705" s="3"/>
      <c r="BD705" s="3"/>
      <c r="BE705" s="3"/>
      <c r="BF705" s="3"/>
      <c r="BG705" s="316">
        <f t="shared" si="46"/>
        <v>0</v>
      </c>
      <c r="BH705" s="319">
        <f t="shared" si="48"/>
        <v>0</v>
      </c>
      <c r="BI705" s="320" t="str">
        <f t="shared" si="47"/>
        <v xml:space="preserve"> </v>
      </c>
      <c r="BJ705" s="3"/>
      <c r="BK705" s="3"/>
      <c r="BL705" s="3"/>
      <c r="BM705" s="3"/>
      <c r="BN705" s="3"/>
      <c r="BO705" s="3"/>
      <c r="BP705" s="379" t="s">
        <v>200</v>
      </c>
      <c r="BQ705" s="499">
        <v>1476</v>
      </c>
      <c r="BR705" s="500">
        <v>1582</v>
      </c>
      <c r="BS705" s="499">
        <v>1900</v>
      </c>
      <c r="BT705" s="500">
        <v>2194</v>
      </c>
      <c r="BU705" s="500">
        <v>2450</v>
      </c>
      <c r="BV705" s="501">
        <v>2702</v>
      </c>
      <c r="BW705" s="3"/>
      <c r="BX705" s="897">
        <v>1039</v>
      </c>
      <c r="BY705" s="897">
        <v>1072</v>
      </c>
      <c r="BZ705" s="897">
        <v>1365</v>
      </c>
      <c r="CA705" s="897">
        <v>1929</v>
      </c>
      <c r="CB705" s="897">
        <v>2258</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A706" s="1273"/>
      <c r="B706" s="1273"/>
      <c r="C706" s="1273"/>
      <c r="D706" s="1273"/>
      <c r="E706" s="1273"/>
      <c r="F706" s="1273"/>
      <c r="G706" s="1273"/>
      <c r="H706" s="1273"/>
      <c r="I706" s="1273"/>
      <c r="J706" s="1273"/>
      <c r="K706" s="1273"/>
      <c r="L706" s="1273"/>
      <c r="M706" s="1273"/>
      <c r="N706" s="1273"/>
      <c r="O706" s="1273"/>
      <c r="P706" s="1273"/>
      <c r="Q706" s="1273"/>
      <c r="R706" s="1273"/>
      <c r="S706" s="1273"/>
      <c r="T706" s="1273"/>
      <c r="U706" s="1273"/>
      <c r="V706" s="1273"/>
      <c r="W706" s="1273"/>
      <c r="X706" s="1273"/>
      <c r="Y706" s="1273"/>
      <c r="Z706" s="1273"/>
      <c r="AA706" s="1273"/>
      <c r="AB706" s="1273"/>
      <c r="AC706" s="1273"/>
      <c r="AD706" s="1273"/>
      <c r="AE706" s="1273"/>
      <c r="AF706" s="1273"/>
      <c r="AG706" s="1273"/>
      <c r="AH706" s="1273"/>
      <c r="AI706" s="1273"/>
      <c r="AJ706" s="1273"/>
      <c r="AK706" s="1273"/>
      <c r="AL706" s="1273"/>
      <c r="AM706" s="1273"/>
      <c r="AN706" s="1273"/>
      <c r="AO706" s="1273"/>
      <c r="AP706" s="936"/>
      <c r="AQ706" s="936"/>
      <c r="AR706" s="936"/>
      <c r="AS706" s="936"/>
      <c r="AZ706" s="3"/>
      <c r="BA706" s="3"/>
      <c r="BB706" s="3"/>
      <c r="BC706" s="3"/>
      <c r="BD706" s="3"/>
      <c r="BE706" s="3"/>
      <c r="BF706" s="3"/>
      <c r="BG706" s="316">
        <f t="shared" si="46"/>
        <v>0</v>
      </c>
      <c r="BH706" s="319">
        <f t="shared" si="48"/>
        <v>0</v>
      </c>
      <c r="BI706" s="320" t="str">
        <f t="shared" si="47"/>
        <v xml:space="preserve"> </v>
      </c>
      <c r="BJ706" s="3"/>
      <c r="BK706" s="3"/>
      <c r="BL706" s="3"/>
      <c r="BM706" s="3"/>
      <c r="BN706" s="3"/>
      <c r="BO706" s="3"/>
      <c r="BP706" s="379" t="s">
        <v>201</v>
      </c>
      <c r="BQ706" s="499">
        <v>1444</v>
      </c>
      <c r="BR706" s="500">
        <v>1546</v>
      </c>
      <c r="BS706" s="499">
        <v>1856</v>
      </c>
      <c r="BT706" s="500">
        <v>2144</v>
      </c>
      <c r="BU706" s="500">
        <v>2392</v>
      </c>
      <c r="BV706" s="501">
        <v>2640</v>
      </c>
      <c r="BW706" s="3"/>
      <c r="BX706" s="897">
        <v>1003</v>
      </c>
      <c r="BY706" s="897">
        <v>1010</v>
      </c>
      <c r="BZ706" s="897">
        <v>1288</v>
      </c>
      <c r="CA706" s="897">
        <v>1830</v>
      </c>
      <c r="CB706" s="897">
        <v>2194</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A707" s="1273"/>
      <c r="B707" s="1273"/>
      <c r="C707" s="1273"/>
      <c r="D707" s="1273"/>
      <c r="E707" s="1273"/>
      <c r="F707" s="1273"/>
      <c r="G707" s="1273"/>
      <c r="H707" s="1273"/>
      <c r="I707" s="1273"/>
      <c r="J707" s="1273"/>
      <c r="K707" s="1273"/>
      <c r="L707" s="1273"/>
      <c r="M707" s="1273"/>
      <c r="N707" s="1273"/>
      <c r="O707" s="1273"/>
      <c r="P707" s="1273"/>
      <c r="Q707" s="1273"/>
      <c r="R707" s="1273"/>
      <c r="S707" s="1273"/>
      <c r="T707" s="1273"/>
      <c r="U707" s="1273"/>
      <c r="V707" s="1273"/>
      <c r="W707" s="1273"/>
      <c r="X707" s="1273"/>
      <c r="Y707" s="1273"/>
      <c r="Z707" s="1273"/>
      <c r="AA707" s="1273"/>
      <c r="AB707" s="1273"/>
      <c r="AC707" s="1273"/>
      <c r="AD707" s="1273"/>
      <c r="AE707" s="1273"/>
      <c r="AF707" s="1273"/>
      <c r="AG707" s="1273"/>
      <c r="AH707" s="1273"/>
      <c r="AI707" s="1273"/>
      <c r="AJ707" s="1273"/>
      <c r="AK707" s="1273"/>
      <c r="AL707" s="1273"/>
      <c r="AM707" s="1273"/>
      <c r="AN707" s="1273"/>
      <c r="AO707" s="1273"/>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9" t="s">
        <v>202</v>
      </c>
      <c r="BQ707" s="499">
        <v>1444</v>
      </c>
      <c r="BR707" s="500">
        <v>1546</v>
      </c>
      <c r="BS707" s="499">
        <v>1856</v>
      </c>
      <c r="BT707" s="500">
        <v>2144</v>
      </c>
      <c r="BU707" s="500">
        <v>2392</v>
      </c>
      <c r="BV707" s="501">
        <v>2640</v>
      </c>
      <c r="BW707" s="3"/>
      <c r="BX707" s="897">
        <v>760</v>
      </c>
      <c r="BY707" s="897">
        <v>819</v>
      </c>
      <c r="BZ707" s="897">
        <v>1078</v>
      </c>
      <c r="CA707" s="897">
        <v>1460</v>
      </c>
      <c r="CB707" s="897">
        <v>1703</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708" s="2" t="s">
        <v>321</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9" t="s">
        <v>203</v>
      </c>
      <c r="BQ708" s="499">
        <v>1444</v>
      </c>
      <c r="BR708" s="500">
        <v>1546</v>
      </c>
      <c r="BS708" s="499">
        <v>1856</v>
      </c>
      <c r="BT708" s="500">
        <v>2144</v>
      </c>
      <c r="BU708" s="500">
        <v>2392</v>
      </c>
      <c r="BV708" s="501">
        <v>2640</v>
      </c>
      <c r="BW708" s="3"/>
      <c r="BX708" s="897">
        <v>629</v>
      </c>
      <c r="BY708" s="897">
        <v>702</v>
      </c>
      <c r="BZ708" s="897">
        <v>924</v>
      </c>
      <c r="CA708" s="897">
        <v>1313</v>
      </c>
      <c r="CB708" s="897">
        <v>1502</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2"/>
      <c r="B709" s="547"/>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9" t="s">
        <v>204</v>
      </c>
      <c r="BQ709" s="499">
        <v>1444</v>
      </c>
      <c r="BR709" s="500">
        <v>1546</v>
      </c>
      <c r="BS709" s="499">
        <v>1856</v>
      </c>
      <c r="BT709" s="500">
        <v>2144</v>
      </c>
      <c r="BU709" s="500">
        <v>2392</v>
      </c>
      <c r="BV709" s="501">
        <v>2640</v>
      </c>
      <c r="BW709" s="3"/>
      <c r="BX709" s="897">
        <v>825</v>
      </c>
      <c r="BY709" s="897">
        <v>848</v>
      </c>
      <c r="BZ709" s="897">
        <v>1116</v>
      </c>
      <c r="CA709" s="897">
        <v>1552</v>
      </c>
      <c r="CB709" s="897">
        <v>1790</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B710" s="1488" t="s">
        <v>391</v>
      </c>
      <c r="C710" s="1489"/>
      <c r="D710" s="1489"/>
      <c r="E710" s="1489"/>
      <c r="F710" s="1490"/>
      <c r="G710" s="1488" t="s">
        <v>287</v>
      </c>
      <c r="H710" s="1489"/>
      <c r="I710" s="1489"/>
      <c r="J710" s="1490"/>
      <c r="K710" s="1503" t="s">
        <v>1937</v>
      </c>
      <c r="L710" s="1504"/>
      <c r="M710" s="1504"/>
      <c r="N710" s="1505"/>
      <c r="O710" s="1488" t="s">
        <v>456</v>
      </c>
      <c r="P710" s="1489"/>
      <c r="Q710" s="1489"/>
      <c r="R710" s="1489"/>
      <c r="S710" s="1490"/>
      <c r="T710" s="1582" t="s">
        <v>2332</v>
      </c>
      <c r="U710" s="1489"/>
      <c r="V710" s="1489"/>
      <c r="W710" s="1490"/>
      <c r="X710" s="1582" t="s">
        <v>2334</v>
      </c>
      <c r="Y710" s="1489"/>
      <c r="Z710" s="1489"/>
      <c r="AA710" s="1489"/>
      <c r="AB710" s="1490"/>
      <c r="AC710" s="1582" t="s">
        <v>2333</v>
      </c>
      <c r="AD710" s="1489"/>
      <c r="AE710" s="1489"/>
      <c r="AF710" s="1489"/>
      <c r="AG710" s="1490"/>
      <c r="AH710" s="1582" t="s">
        <v>2335</v>
      </c>
      <c r="AI710" s="1489"/>
      <c r="AJ710" s="1490"/>
      <c r="AK710" s="1582" t="s">
        <v>2369</v>
      </c>
      <c r="AL710" s="1489"/>
      <c r="AM710" s="1489"/>
      <c r="AN710" s="1489"/>
      <c r="AO710" s="1490"/>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9" t="s">
        <v>131</v>
      </c>
      <c r="BQ710" s="499">
        <v>1542</v>
      </c>
      <c r="BR710" s="500">
        <v>1652</v>
      </c>
      <c r="BS710" s="499">
        <v>1982</v>
      </c>
      <c r="BT710" s="500">
        <v>2290</v>
      </c>
      <c r="BU710" s="500">
        <v>2554</v>
      </c>
      <c r="BV710" s="501">
        <v>2820</v>
      </c>
      <c r="BW710" s="3"/>
      <c r="BX710" s="897">
        <v>794</v>
      </c>
      <c r="BY710" s="897">
        <v>902</v>
      </c>
      <c r="BZ710" s="897">
        <v>1187</v>
      </c>
      <c r="CA710" s="897">
        <v>1567</v>
      </c>
      <c r="CB710" s="897">
        <v>2022</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B711" s="1491"/>
      <c r="C711" s="1492"/>
      <c r="D711" s="1492"/>
      <c r="E711" s="1492"/>
      <c r="F711" s="1493"/>
      <c r="G711" s="1491"/>
      <c r="H711" s="1492"/>
      <c r="I711" s="1492"/>
      <c r="J711" s="1493"/>
      <c r="K711" s="1506"/>
      <c r="L711" s="1507"/>
      <c r="M711" s="1507"/>
      <c r="N711" s="1508"/>
      <c r="O711" s="1491"/>
      <c r="P711" s="1492"/>
      <c r="Q711" s="1492"/>
      <c r="R711" s="1492"/>
      <c r="S711" s="1493"/>
      <c r="T711" s="1491"/>
      <c r="U711" s="1492"/>
      <c r="V711" s="1492"/>
      <c r="W711" s="1493"/>
      <c r="X711" s="1491"/>
      <c r="Y711" s="1492"/>
      <c r="Z711" s="1492"/>
      <c r="AA711" s="1492"/>
      <c r="AB711" s="1493"/>
      <c r="AC711" s="1491"/>
      <c r="AD711" s="1492"/>
      <c r="AE711" s="1492"/>
      <c r="AF711" s="1492"/>
      <c r="AG711" s="1493"/>
      <c r="AH711" s="1491"/>
      <c r="AI711" s="1492"/>
      <c r="AJ711" s="1493"/>
      <c r="AK711" s="1491"/>
      <c r="AL711" s="1492"/>
      <c r="AM711" s="1492"/>
      <c r="AN711" s="1492"/>
      <c r="AO711" s="1493"/>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9" t="s">
        <v>205</v>
      </c>
      <c r="BQ711" s="502">
        <v>2324</v>
      </c>
      <c r="BR711" s="503">
        <v>2490</v>
      </c>
      <c r="BS711" s="502">
        <v>2990</v>
      </c>
      <c r="BT711" s="503">
        <v>3452</v>
      </c>
      <c r="BU711" s="503">
        <v>3852</v>
      </c>
      <c r="BV711" s="504">
        <v>4250</v>
      </c>
      <c r="BW711" s="3"/>
      <c r="BX711" s="897">
        <v>1703</v>
      </c>
      <c r="BY711" s="897">
        <v>2001</v>
      </c>
      <c r="BZ711" s="897">
        <v>2425</v>
      </c>
      <c r="CA711" s="897">
        <v>3368</v>
      </c>
      <c r="CB711" s="897">
        <v>3962</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4"/>
      <c r="B712" s="1491"/>
      <c r="C712" s="1492"/>
      <c r="D712" s="1492"/>
      <c r="E712" s="1492"/>
      <c r="F712" s="1493"/>
      <c r="G712" s="1491"/>
      <c r="H712" s="1492"/>
      <c r="I712" s="1492"/>
      <c r="J712" s="1493"/>
      <c r="K712" s="1506"/>
      <c r="L712" s="1507"/>
      <c r="M712" s="1507"/>
      <c r="N712" s="1508"/>
      <c r="O712" s="1491"/>
      <c r="P712" s="1492"/>
      <c r="Q712" s="1492"/>
      <c r="R712" s="1492"/>
      <c r="S712" s="1493"/>
      <c r="T712" s="1491"/>
      <c r="U712" s="1492"/>
      <c r="V712" s="1492"/>
      <c r="W712" s="1493"/>
      <c r="X712" s="1491"/>
      <c r="Y712" s="1492"/>
      <c r="Z712" s="1492"/>
      <c r="AA712" s="1492"/>
      <c r="AB712" s="1493"/>
      <c r="AC712" s="1491"/>
      <c r="AD712" s="1492"/>
      <c r="AE712" s="1492"/>
      <c r="AF712" s="1492"/>
      <c r="AG712" s="1493"/>
      <c r="AH712" s="1491"/>
      <c r="AI712" s="1492"/>
      <c r="AJ712" s="1493"/>
      <c r="AK712" s="1491"/>
      <c r="AL712" s="1492"/>
      <c r="AM712" s="1492"/>
      <c r="AN712" s="1492"/>
      <c r="AO712" s="1493"/>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9" t="s">
        <v>206</v>
      </c>
      <c r="BQ712" s="505">
        <v>1836</v>
      </c>
      <c r="BR712" s="506">
        <v>1968</v>
      </c>
      <c r="BS712" s="505">
        <v>2362</v>
      </c>
      <c r="BT712" s="506">
        <v>2726</v>
      </c>
      <c r="BU712" s="506">
        <v>3042</v>
      </c>
      <c r="BV712" s="507">
        <v>3356</v>
      </c>
      <c r="BW712" s="3"/>
      <c r="BX712" s="897">
        <v>1386</v>
      </c>
      <c r="BY712" s="897">
        <v>1406</v>
      </c>
      <c r="BZ712" s="897">
        <v>1851</v>
      </c>
      <c r="CA712" s="897">
        <v>2561</v>
      </c>
      <c r="CB712" s="897">
        <v>3072</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thickBot="1">
      <c r="A713" s="4"/>
      <c r="B713" s="1494"/>
      <c r="C713" s="1495"/>
      <c r="D713" s="1495"/>
      <c r="E713" s="1495"/>
      <c r="F713" s="1496"/>
      <c r="G713" s="1494"/>
      <c r="H713" s="1495"/>
      <c r="I713" s="1495"/>
      <c r="J713" s="1496"/>
      <c r="K713" s="1506"/>
      <c r="L713" s="1507"/>
      <c r="M713" s="1507"/>
      <c r="N713" s="1508"/>
      <c r="O713" s="1494"/>
      <c r="P713" s="1495"/>
      <c r="Q713" s="1495"/>
      <c r="R713" s="1495"/>
      <c r="S713" s="1496"/>
      <c r="T713" s="1494"/>
      <c r="U713" s="1495"/>
      <c r="V713" s="1495"/>
      <c r="W713" s="1496"/>
      <c r="X713" s="1494"/>
      <c r="Y713" s="1495"/>
      <c r="Z713" s="1495"/>
      <c r="AA713" s="1495"/>
      <c r="AB713" s="1496"/>
      <c r="AC713" s="1494"/>
      <c r="AD713" s="1495"/>
      <c r="AE713" s="1495"/>
      <c r="AF713" s="1495"/>
      <c r="AG713" s="1496"/>
      <c r="AH713" s="1494"/>
      <c r="AI713" s="1495"/>
      <c r="AJ713" s="1496"/>
      <c r="AK713" s="1494"/>
      <c r="AL713" s="1495"/>
      <c r="AM713" s="1495"/>
      <c r="AN713" s="1495"/>
      <c r="AO713" s="1496"/>
      <c r="AP713" s="3"/>
      <c r="AQ713" s="3"/>
      <c r="AR713" s="3"/>
      <c r="AS713" s="3"/>
      <c r="AY713" s="116"/>
      <c r="AZ713" s="116"/>
      <c r="BA713" s="116"/>
      <c r="BB713" s="116"/>
      <c r="BC713" s="116"/>
      <c r="BD713" s="3"/>
      <c r="BE713" s="3"/>
      <c r="BF713" s="3"/>
      <c r="BG713" s="896">
        <f t="shared" si="46"/>
        <v>0</v>
      </c>
      <c r="BH713" s="319">
        <f t="shared" si="48"/>
        <v>0</v>
      </c>
      <c r="BI713" s="320" t="str">
        <f t="shared" si="47"/>
        <v xml:space="preserve"> </v>
      </c>
      <c r="BK713" s="3"/>
      <c r="BL713" s="3"/>
      <c r="BM713" s="3"/>
      <c r="BN713" s="3"/>
      <c r="BO713" s="3"/>
      <c r="BP713" s="379" t="s">
        <v>207</v>
      </c>
      <c r="BQ713" s="508">
        <v>1444</v>
      </c>
      <c r="BR713" s="509">
        <v>1546</v>
      </c>
      <c r="BS713" s="508">
        <v>1856</v>
      </c>
      <c r="BT713" s="509">
        <v>2144</v>
      </c>
      <c r="BU713" s="509">
        <v>2392</v>
      </c>
      <c r="BV713" s="510">
        <v>2640</v>
      </c>
      <c r="BW713" s="3"/>
      <c r="BX713" s="897">
        <v>1003</v>
      </c>
      <c r="BY713" s="897">
        <v>1010</v>
      </c>
      <c r="BZ713" s="897">
        <v>1288</v>
      </c>
      <c r="CA713" s="897">
        <v>1830</v>
      </c>
      <c r="CB713" s="897">
        <v>2194</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A714" s="4"/>
      <c r="B714" s="1382" t="s">
        <v>327</v>
      </c>
      <c r="C714" s="1383"/>
      <c r="D714" s="1383"/>
      <c r="E714" s="1383"/>
      <c r="F714" s="1384"/>
      <c r="G714" s="1485">
        <v>6</v>
      </c>
      <c r="H714" s="1486"/>
      <c r="I714" s="1486"/>
      <c r="J714" s="1487"/>
      <c r="K714" s="1482"/>
      <c r="L714" s="1483"/>
      <c r="M714" s="1483"/>
      <c r="N714" s="1484"/>
      <c r="O714" s="1479">
        <v>300</v>
      </c>
      <c r="P714" s="1480"/>
      <c r="Q714" s="1480"/>
      <c r="R714" s="1480"/>
      <c r="S714" s="1481"/>
      <c r="T714" s="1479">
        <v>153</v>
      </c>
      <c r="U714" s="1480"/>
      <c r="V714" s="1480"/>
      <c r="W714" s="1481"/>
      <c r="X714" s="1497">
        <f t="shared" ref="X714:X738" si="49">O714+T714</f>
        <v>453</v>
      </c>
      <c r="Y714" s="1498"/>
      <c r="Z714" s="1498"/>
      <c r="AA714" s="1498"/>
      <c r="AB714" s="1499"/>
      <c r="AC714" s="1583">
        <v>0.2</v>
      </c>
      <c r="AD714" s="1584"/>
      <c r="AE714" s="1584"/>
      <c r="AF714" s="1584"/>
      <c r="AG714" s="1585"/>
      <c r="AH714" s="1579">
        <f t="shared" ref="AH714:AH738" si="50">IF($AC714&gt;0,($X714/$BA656), " ")</f>
        <v>0.13002296211251435</v>
      </c>
      <c r="AI714" s="1580"/>
      <c r="AJ714" s="1581"/>
      <c r="AK714" s="1382" t="s">
        <v>2519</v>
      </c>
      <c r="AL714" s="1383"/>
      <c r="AM714" s="1383"/>
      <c r="AN714" s="1383"/>
      <c r="AO714" s="1384"/>
      <c r="AP714" s="3"/>
      <c r="AQ714" s="3"/>
      <c r="AR714" s="3"/>
      <c r="AS714" s="3"/>
      <c r="AY714" s="1134"/>
      <c r="AZ714" s="1134"/>
      <c r="BA714" s="1134"/>
      <c r="BB714" s="1134"/>
      <c r="BC714" s="1134"/>
      <c r="BD714" s="3"/>
      <c r="BE714" s="3"/>
      <c r="BF714" s="3"/>
      <c r="BG714" s="895">
        <f>SUM(BG689:BG713)</f>
        <v>182</v>
      </c>
      <c r="BH714" s="322">
        <f>SUM(BH689:BH713)</f>
        <v>1</v>
      </c>
      <c r="BI714" s="322">
        <f>SUM(BI689:BI713)</f>
        <v>0.41630216860521263</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A715" s="4"/>
      <c r="B715" s="1382" t="s">
        <v>164</v>
      </c>
      <c r="C715" s="1383"/>
      <c r="D715" s="1383"/>
      <c r="E715" s="1383"/>
      <c r="F715" s="1384"/>
      <c r="G715" s="1485">
        <v>18</v>
      </c>
      <c r="H715" s="1486"/>
      <c r="I715" s="1486"/>
      <c r="J715" s="1487"/>
      <c r="K715" s="1482"/>
      <c r="L715" s="1483"/>
      <c r="M715" s="1483"/>
      <c r="N715" s="1484"/>
      <c r="O715" s="1479">
        <v>350</v>
      </c>
      <c r="P715" s="1480"/>
      <c r="Q715" s="1480"/>
      <c r="R715" s="1480"/>
      <c r="S715" s="1481"/>
      <c r="T715" s="1479">
        <v>201</v>
      </c>
      <c r="U715" s="1480"/>
      <c r="V715" s="1480"/>
      <c r="W715" s="1481"/>
      <c r="X715" s="1497">
        <f t="shared" si="49"/>
        <v>551</v>
      </c>
      <c r="Y715" s="1498"/>
      <c r="Z715" s="1498"/>
      <c r="AA715" s="1498"/>
      <c r="AB715" s="1499"/>
      <c r="AC715" s="1583">
        <v>0.2</v>
      </c>
      <c r="AD715" s="1584"/>
      <c r="AE715" s="1584"/>
      <c r="AF715" s="1584"/>
      <c r="AG715" s="1585"/>
      <c r="AH715" s="1579">
        <f t="shared" si="50"/>
        <v>0.13175514108082256</v>
      </c>
      <c r="AI715" s="1580"/>
      <c r="AJ715" s="1581"/>
      <c r="AK715" s="1382" t="s">
        <v>2519</v>
      </c>
      <c r="AL715" s="1383"/>
      <c r="AM715" s="1383"/>
      <c r="AN715" s="1383"/>
      <c r="AO715" s="1384"/>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82" t="s">
        <v>165</v>
      </c>
      <c r="C716" s="1383"/>
      <c r="D716" s="1383"/>
      <c r="E716" s="1383"/>
      <c r="F716" s="1384"/>
      <c r="G716" s="1485">
        <v>8</v>
      </c>
      <c r="H716" s="1486"/>
      <c r="I716" s="1486"/>
      <c r="J716" s="1487"/>
      <c r="K716" s="1482"/>
      <c r="L716" s="1483"/>
      <c r="M716" s="1483"/>
      <c r="N716" s="1484"/>
      <c r="O716" s="1479">
        <v>400</v>
      </c>
      <c r="P716" s="1480"/>
      <c r="Q716" s="1480"/>
      <c r="R716" s="1480"/>
      <c r="S716" s="1481"/>
      <c r="T716" s="1479">
        <v>246</v>
      </c>
      <c r="U716" s="1480"/>
      <c r="V716" s="1480"/>
      <c r="W716" s="1481"/>
      <c r="X716" s="1497">
        <f t="shared" si="49"/>
        <v>646</v>
      </c>
      <c r="Y716" s="1498"/>
      <c r="Z716" s="1498"/>
      <c r="AA716" s="1498"/>
      <c r="AB716" s="1499"/>
      <c r="AC716" s="1583">
        <v>0.2</v>
      </c>
      <c r="AD716" s="1584"/>
      <c r="AE716" s="1584"/>
      <c r="AF716" s="1584"/>
      <c r="AG716" s="1585"/>
      <c r="AH716" s="1579">
        <f t="shared" si="50"/>
        <v>0.13374741200828158</v>
      </c>
      <c r="AI716" s="1580"/>
      <c r="AJ716" s="1581"/>
      <c r="AK716" s="1382" t="s">
        <v>2519</v>
      </c>
      <c r="AL716" s="1383"/>
      <c r="AM716" s="1383"/>
      <c r="AN716" s="1383"/>
      <c r="AO716" s="1384"/>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B717" s="1382" t="s">
        <v>327</v>
      </c>
      <c r="C717" s="1383"/>
      <c r="D717" s="1383"/>
      <c r="E717" s="1383"/>
      <c r="F717" s="1384"/>
      <c r="G717" s="1485">
        <v>2</v>
      </c>
      <c r="H717" s="1486"/>
      <c r="I717" s="1486"/>
      <c r="J717" s="1487"/>
      <c r="K717" s="1482"/>
      <c r="L717" s="1483"/>
      <c r="M717" s="1483"/>
      <c r="N717" s="1484"/>
      <c r="O717" s="1479">
        <v>300</v>
      </c>
      <c r="P717" s="1480"/>
      <c r="Q717" s="1480"/>
      <c r="R717" s="1480"/>
      <c r="S717" s="1481"/>
      <c r="T717" s="1479">
        <v>153</v>
      </c>
      <c r="U717" s="1480"/>
      <c r="V717" s="1480"/>
      <c r="W717" s="1481"/>
      <c r="X717" s="1497">
        <f t="shared" si="49"/>
        <v>453</v>
      </c>
      <c r="Y717" s="1498"/>
      <c r="Z717" s="1498"/>
      <c r="AA717" s="1498"/>
      <c r="AB717" s="1499"/>
      <c r="AC717" s="1583">
        <v>0.3</v>
      </c>
      <c r="AD717" s="1584"/>
      <c r="AE717" s="1584"/>
      <c r="AF717" s="1584"/>
      <c r="AG717" s="1585"/>
      <c r="AH717" s="1579">
        <f t="shared" si="50"/>
        <v>0.13002296211251435</v>
      </c>
      <c r="AI717" s="1580"/>
      <c r="AJ717" s="1581"/>
      <c r="AK717" s="1382" t="s">
        <v>2519</v>
      </c>
      <c r="AL717" s="1383"/>
      <c r="AM717" s="1383"/>
      <c r="AN717" s="1383"/>
      <c r="AO717" s="1384"/>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B718" s="1382" t="s">
        <v>164</v>
      </c>
      <c r="C718" s="1383"/>
      <c r="D718" s="1383"/>
      <c r="E718" s="1383"/>
      <c r="F718" s="1384"/>
      <c r="G718" s="1485">
        <v>4</v>
      </c>
      <c r="H718" s="1486"/>
      <c r="I718" s="1486"/>
      <c r="J718" s="1487"/>
      <c r="K718" s="1482"/>
      <c r="L718" s="1483"/>
      <c r="M718" s="1483"/>
      <c r="N718" s="1484"/>
      <c r="O718" s="1479">
        <v>350</v>
      </c>
      <c r="P718" s="1480"/>
      <c r="Q718" s="1480"/>
      <c r="R718" s="1480"/>
      <c r="S718" s="1481"/>
      <c r="T718" s="1479">
        <v>201</v>
      </c>
      <c r="U718" s="1480"/>
      <c r="V718" s="1480"/>
      <c r="W718" s="1481"/>
      <c r="X718" s="1497">
        <f t="shared" si="49"/>
        <v>551</v>
      </c>
      <c r="Y718" s="1498"/>
      <c r="Z718" s="1498"/>
      <c r="AA718" s="1498"/>
      <c r="AB718" s="1499"/>
      <c r="AC718" s="1583">
        <v>0.3</v>
      </c>
      <c r="AD718" s="1584"/>
      <c r="AE718" s="1584"/>
      <c r="AF718" s="1584"/>
      <c r="AG718" s="1585"/>
      <c r="AH718" s="1579">
        <f t="shared" si="50"/>
        <v>0.13175514108082256</v>
      </c>
      <c r="AI718" s="1580"/>
      <c r="AJ718" s="1581"/>
      <c r="AK718" s="1382" t="s">
        <v>2519</v>
      </c>
      <c r="AL718" s="1383"/>
      <c r="AM718" s="1383"/>
      <c r="AN718" s="1383"/>
      <c r="AO718" s="1384"/>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B719" s="1382" t="s">
        <v>165</v>
      </c>
      <c r="C719" s="1383"/>
      <c r="D719" s="1383"/>
      <c r="E719" s="1383"/>
      <c r="F719" s="1384"/>
      <c r="G719" s="1485">
        <v>2</v>
      </c>
      <c r="H719" s="1486"/>
      <c r="I719" s="1486"/>
      <c r="J719" s="1487"/>
      <c r="K719" s="1482"/>
      <c r="L719" s="1483"/>
      <c r="M719" s="1483"/>
      <c r="N719" s="1484"/>
      <c r="O719" s="1479">
        <v>400</v>
      </c>
      <c r="P719" s="1480"/>
      <c r="Q719" s="1480"/>
      <c r="R719" s="1480"/>
      <c r="S719" s="1481"/>
      <c r="T719" s="1479">
        <v>246</v>
      </c>
      <c r="U719" s="1480"/>
      <c r="V719" s="1480"/>
      <c r="W719" s="1481"/>
      <c r="X719" s="1497">
        <f t="shared" si="49"/>
        <v>646</v>
      </c>
      <c r="Y719" s="1498"/>
      <c r="Z719" s="1498"/>
      <c r="AA719" s="1498"/>
      <c r="AB719" s="1499"/>
      <c r="AC719" s="1583">
        <v>0.3</v>
      </c>
      <c r="AD719" s="1584"/>
      <c r="AE719" s="1584"/>
      <c r="AF719" s="1584"/>
      <c r="AG719" s="1585"/>
      <c r="AH719" s="1579">
        <f t="shared" si="50"/>
        <v>0.13374741200828158</v>
      </c>
      <c r="AI719" s="1580"/>
      <c r="AJ719" s="1581"/>
      <c r="AK719" s="1382" t="s">
        <v>2519</v>
      </c>
      <c r="AL719" s="1383"/>
      <c r="AM719" s="1383"/>
      <c r="AN719" s="1383"/>
      <c r="AO719" s="1384"/>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B720" s="1382" t="s">
        <v>326</v>
      </c>
      <c r="C720" s="1383"/>
      <c r="D720" s="1383"/>
      <c r="E720" s="1383"/>
      <c r="F720" s="1384"/>
      <c r="G720" s="1485">
        <v>2</v>
      </c>
      <c r="H720" s="1486"/>
      <c r="I720" s="1486"/>
      <c r="J720" s="1487"/>
      <c r="K720" s="1482"/>
      <c r="L720" s="1483"/>
      <c r="M720" s="1483"/>
      <c r="N720" s="1484"/>
      <c r="O720" s="1479">
        <f>975-T720</f>
        <v>873</v>
      </c>
      <c r="P720" s="1480"/>
      <c r="Q720" s="1480"/>
      <c r="R720" s="1480"/>
      <c r="S720" s="1481"/>
      <c r="T720" s="1479">
        <v>102</v>
      </c>
      <c r="U720" s="1480"/>
      <c r="V720" s="1480"/>
      <c r="W720" s="1481"/>
      <c r="X720" s="1497">
        <f t="shared" si="49"/>
        <v>975</v>
      </c>
      <c r="Y720" s="1498"/>
      <c r="Z720" s="1498"/>
      <c r="AA720" s="1498"/>
      <c r="AB720" s="1499"/>
      <c r="AC720" s="1583">
        <v>0.3</v>
      </c>
      <c r="AD720" s="1584"/>
      <c r="AE720" s="1584"/>
      <c r="AF720" s="1584"/>
      <c r="AG720" s="1585"/>
      <c r="AH720" s="1579">
        <f t="shared" si="50"/>
        <v>0.29981549815498154</v>
      </c>
      <c r="AI720" s="1580"/>
      <c r="AJ720" s="1581"/>
      <c r="AK720" s="1382" t="s">
        <v>600</v>
      </c>
      <c r="AL720" s="1383"/>
      <c r="AM720" s="1383"/>
      <c r="AN720" s="1383"/>
      <c r="AO720" s="1384"/>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82" t="s">
        <v>327</v>
      </c>
      <c r="C721" s="1383"/>
      <c r="D721" s="1383"/>
      <c r="E721" s="1383"/>
      <c r="F721" s="1384"/>
      <c r="G721" s="1485">
        <v>5</v>
      </c>
      <c r="H721" s="1486"/>
      <c r="I721" s="1486"/>
      <c r="J721" s="1487"/>
      <c r="K721" s="1482"/>
      <c r="L721" s="1483"/>
      <c r="M721" s="1483"/>
      <c r="N721" s="1484"/>
      <c r="O721" s="1479">
        <f>1045-T721</f>
        <v>892</v>
      </c>
      <c r="P721" s="1480"/>
      <c r="Q721" s="1480"/>
      <c r="R721" s="1480"/>
      <c r="S721" s="1481"/>
      <c r="T721" s="1576">
        <v>153</v>
      </c>
      <c r="U721" s="1577"/>
      <c r="V721" s="1577"/>
      <c r="W721" s="1578"/>
      <c r="X721" s="1497">
        <f t="shared" si="49"/>
        <v>1045</v>
      </c>
      <c r="Y721" s="1498"/>
      <c r="Z721" s="1498"/>
      <c r="AA721" s="1498"/>
      <c r="AB721" s="1499"/>
      <c r="AC721" s="1583">
        <v>0.3</v>
      </c>
      <c r="AD721" s="1584"/>
      <c r="AE721" s="1584"/>
      <c r="AF721" s="1584"/>
      <c r="AG721" s="1585"/>
      <c r="AH721" s="1579">
        <f t="shared" si="50"/>
        <v>0.2999425947187141</v>
      </c>
      <c r="AI721" s="1580"/>
      <c r="AJ721" s="1581"/>
      <c r="AK721" s="1382" t="s">
        <v>600</v>
      </c>
      <c r="AL721" s="1383"/>
      <c r="AM721" s="1383"/>
      <c r="AN721" s="1383"/>
      <c r="AO721" s="1384"/>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82" t="s">
        <v>164</v>
      </c>
      <c r="C722" s="1383"/>
      <c r="D722" s="1383"/>
      <c r="E722" s="1383"/>
      <c r="F722" s="1384"/>
      <c r="G722" s="1485">
        <v>2</v>
      </c>
      <c r="H722" s="1486"/>
      <c r="I722" s="1486"/>
      <c r="J722" s="1487"/>
      <c r="K722" s="1482"/>
      <c r="L722" s="1483"/>
      <c r="M722" s="1483"/>
      <c r="N722" s="1484"/>
      <c r="O722" s="1479">
        <f>1254-T722</f>
        <v>1053</v>
      </c>
      <c r="P722" s="1480"/>
      <c r="Q722" s="1480"/>
      <c r="R722" s="1480"/>
      <c r="S722" s="1481"/>
      <c r="T722" s="1576">
        <v>201</v>
      </c>
      <c r="U722" s="1577"/>
      <c r="V722" s="1577"/>
      <c r="W722" s="1578"/>
      <c r="X722" s="1497">
        <f t="shared" si="49"/>
        <v>1254</v>
      </c>
      <c r="Y722" s="1498"/>
      <c r="Z722" s="1498"/>
      <c r="AA722" s="1498"/>
      <c r="AB722" s="1499"/>
      <c r="AC722" s="1583">
        <v>0.3</v>
      </c>
      <c r="AD722" s="1584"/>
      <c r="AE722" s="1584"/>
      <c r="AF722" s="1584"/>
      <c r="AG722" s="1585"/>
      <c r="AH722" s="1579">
        <f t="shared" si="50"/>
        <v>0.29985652797704448</v>
      </c>
      <c r="AI722" s="1580"/>
      <c r="AJ722" s="1581"/>
      <c r="AK722" s="1382" t="s">
        <v>600</v>
      </c>
      <c r="AL722" s="1383"/>
      <c r="AM722" s="1383"/>
      <c r="AN722" s="1383"/>
      <c r="AO722" s="1384"/>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A723" s="4"/>
      <c r="B723" s="1382" t="s">
        <v>165</v>
      </c>
      <c r="C723" s="1383"/>
      <c r="D723" s="1383"/>
      <c r="E723" s="1383"/>
      <c r="F723" s="1384"/>
      <c r="G723" s="1485">
        <v>2</v>
      </c>
      <c r="H723" s="1486"/>
      <c r="I723" s="1486"/>
      <c r="J723" s="1487"/>
      <c r="K723" s="1482"/>
      <c r="L723" s="1483"/>
      <c r="M723" s="1483"/>
      <c r="N723" s="1484"/>
      <c r="O723" s="1479">
        <f>1449-T723</f>
        <v>1203</v>
      </c>
      <c r="P723" s="1480"/>
      <c r="Q723" s="1480"/>
      <c r="R723" s="1480"/>
      <c r="S723" s="1481"/>
      <c r="T723" s="1576">
        <v>246</v>
      </c>
      <c r="U723" s="1577"/>
      <c r="V723" s="1577"/>
      <c r="W723" s="1578"/>
      <c r="X723" s="1497">
        <f t="shared" si="49"/>
        <v>1449</v>
      </c>
      <c r="Y723" s="1498"/>
      <c r="Z723" s="1498"/>
      <c r="AA723" s="1498"/>
      <c r="AB723" s="1499"/>
      <c r="AC723" s="1583">
        <v>0.3</v>
      </c>
      <c r="AD723" s="1584"/>
      <c r="AE723" s="1584"/>
      <c r="AF723" s="1584"/>
      <c r="AG723" s="1585"/>
      <c r="AH723" s="1579">
        <f t="shared" si="50"/>
        <v>0.3</v>
      </c>
      <c r="AI723" s="1580"/>
      <c r="AJ723" s="1581"/>
      <c r="AK723" s="1382" t="s">
        <v>600</v>
      </c>
      <c r="AL723" s="1383"/>
      <c r="AM723" s="1383"/>
      <c r="AN723" s="1383"/>
      <c r="AO723" s="1384"/>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A724" s="4"/>
      <c r="B724" s="1382" t="s">
        <v>326</v>
      </c>
      <c r="C724" s="1383"/>
      <c r="D724" s="1383"/>
      <c r="E724" s="1383"/>
      <c r="F724" s="1384"/>
      <c r="G724" s="1485">
        <f>5+10</f>
        <v>15</v>
      </c>
      <c r="H724" s="1486"/>
      <c r="I724" s="1486"/>
      <c r="J724" s="1487"/>
      <c r="K724" s="1482"/>
      <c r="L724" s="1483"/>
      <c r="M724" s="1483"/>
      <c r="N724" s="1484"/>
      <c r="O724" s="1479">
        <v>1422</v>
      </c>
      <c r="P724" s="1480"/>
      <c r="Q724" s="1480"/>
      <c r="R724" s="1480"/>
      <c r="S724" s="1481"/>
      <c r="T724" s="1479">
        <v>102</v>
      </c>
      <c r="U724" s="1480"/>
      <c r="V724" s="1480"/>
      <c r="W724" s="1481"/>
      <c r="X724" s="1497">
        <f t="shared" si="49"/>
        <v>1524</v>
      </c>
      <c r="Y724" s="1498"/>
      <c r="Z724" s="1498"/>
      <c r="AA724" s="1498"/>
      <c r="AB724" s="1499"/>
      <c r="AC724" s="1583">
        <v>0.5</v>
      </c>
      <c r="AD724" s="1584"/>
      <c r="AE724" s="1584"/>
      <c r="AF724" s="1584"/>
      <c r="AG724" s="1585"/>
      <c r="AH724" s="1579">
        <f t="shared" si="50"/>
        <v>0.46863468634686345</v>
      </c>
      <c r="AI724" s="1580"/>
      <c r="AJ724" s="1581"/>
      <c r="AK724" s="1382" t="s">
        <v>600</v>
      </c>
      <c r="AL724" s="1383"/>
      <c r="AM724" s="1383"/>
      <c r="AN724" s="1383"/>
      <c r="AO724" s="1384"/>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A725" s="4"/>
      <c r="B725" s="1382" t="s">
        <v>327</v>
      </c>
      <c r="C725" s="1383"/>
      <c r="D725" s="1383"/>
      <c r="E725" s="1383"/>
      <c r="F725" s="1384"/>
      <c r="G725" s="1485">
        <f>15+24</f>
        <v>39</v>
      </c>
      <c r="H725" s="1486"/>
      <c r="I725" s="1486"/>
      <c r="J725" s="1487"/>
      <c r="K725" s="1482"/>
      <c r="L725" s="1483"/>
      <c r="M725" s="1483"/>
      <c r="N725" s="1484"/>
      <c r="O725" s="1479">
        <f>1742-T725</f>
        <v>1589</v>
      </c>
      <c r="P725" s="1480"/>
      <c r="Q725" s="1480"/>
      <c r="R725" s="1480"/>
      <c r="S725" s="1481"/>
      <c r="T725" s="1576">
        <v>153</v>
      </c>
      <c r="U725" s="1577"/>
      <c r="V725" s="1577"/>
      <c r="W725" s="1578"/>
      <c r="X725" s="1497">
        <f t="shared" si="49"/>
        <v>1742</v>
      </c>
      <c r="Y725" s="1498"/>
      <c r="Z725" s="1498"/>
      <c r="AA725" s="1498"/>
      <c r="AB725" s="1499"/>
      <c r="AC725" s="1583">
        <v>0.5</v>
      </c>
      <c r="AD725" s="1584"/>
      <c r="AE725" s="1584"/>
      <c r="AF725" s="1584"/>
      <c r="AG725" s="1585"/>
      <c r="AH725" s="1579">
        <f t="shared" si="50"/>
        <v>0.5</v>
      </c>
      <c r="AI725" s="1580"/>
      <c r="AJ725" s="1581"/>
      <c r="AK725" s="1382" t="s">
        <v>600</v>
      </c>
      <c r="AL725" s="1383"/>
      <c r="AM725" s="1383"/>
      <c r="AN725" s="1383"/>
      <c r="AO725" s="1384"/>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82" t="s">
        <v>164</v>
      </c>
      <c r="C726" s="1383"/>
      <c r="D726" s="1383"/>
      <c r="E726" s="1383"/>
      <c r="F726" s="1384"/>
      <c r="G726" s="1485">
        <f>5+11</f>
        <v>16</v>
      </c>
      <c r="H726" s="1486"/>
      <c r="I726" s="1486"/>
      <c r="J726" s="1487"/>
      <c r="K726" s="1482"/>
      <c r="L726" s="1483"/>
      <c r="M726" s="1483"/>
      <c r="N726" s="1484"/>
      <c r="O726" s="1479">
        <v>1792</v>
      </c>
      <c r="P726" s="1480"/>
      <c r="Q726" s="1480"/>
      <c r="R726" s="1480"/>
      <c r="S726" s="1481"/>
      <c r="T726" s="1576">
        <v>201</v>
      </c>
      <c r="U726" s="1577"/>
      <c r="V726" s="1577"/>
      <c r="W726" s="1578"/>
      <c r="X726" s="1497">
        <f t="shared" si="49"/>
        <v>1993</v>
      </c>
      <c r="Y726" s="1498"/>
      <c r="Z726" s="1498"/>
      <c r="AA726" s="1498"/>
      <c r="AB726" s="1499"/>
      <c r="AC726" s="1583">
        <v>0.5</v>
      </c>
      <c r="AD726" s="1584"/>
      <c r="AE726" s="1584"/>
      <c r="AF726" s="1584"/>
      <c r="AG726" s="1585"/>
      <c r="AH726" s="1579">
        <f t="shared" si="50"/>
        <v>0.4765662362505978</v>
      </c>
      <c r="AI726" s="1580"/>
      <c r="AJ726" s="1581"/>
      <c r="AK726" s="1382" t="s">
        <v>600</v>
      </c>
      <c r="AL726" s="1383"/>
      <c r="AM726" s="1383"/>
      <c r="AN726" s="1383"/>
      <c r="AO726" s="1384"/>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B727" s="1382" t="s">
        <v>165</v>
      </c>
      <c r="C727" s="1383"/>
      <c r="D727" s="1383"/>
      <c r="E727" s="1383"/>
      <c r="F727" s="1384"/>
      <c r="G727" s="1485">
        <f>2+23</f>
        <v>25</v>
      </c>
      <c r="H727" s="1486"/>
      <c r="I727" s="1486"/>
      <c r="J727" s="1487"/>
      <c r="K727" s="1482"/>
      <c r="L727" s="1483"/>
      <c r="M727" s="1483"/>
      <c r="N727" s="1484"/>
      <c r="O727" s="1479">
        <v>1963</v>
      </c>
      <c r="P727" s="1480"/>
      <c r="Q727" s="1480"/>
      <c r="R727" s="1480"/>
      <c r="S727" s="1481"/>
      <c r="T727" s="1576">
        <v>246</v>
      </c>
      <c r="U727" s="1577"/>
      <c r="V727" s="1577"/>
      <c r="W727" s="1578"/>
      <c r="X727" s="1497">
        <f t="shared" si="49"/>
        <v>2209</v>
      </c>
      <c r="Y727" s="1498"/>
      <c r="Z727" s="1498"/>
      <c r="AA727" s="1498"/>
      <c r="AB727" s="1499"/>
      <c r="AC727" s="1583">
        <v>0.5</v>
      </c>
      <c r="AD727" s="1584"/>
      <c r="AE727" s="1584"/>
      <c r="AF727" s="1584"/>
      <c r="AG727" s="1585"/>
      <c r="AH727" s="1579">
        <f t="shared" si="50"/>
        <v>0.45734989648033125</v>
      </c>
      <c r="AI727" s="1580"/>
      <c r="AJ727" s="1581"/>
      <c r="AK727" s="1382" t="s">
        <v>600</v>
      </c>
      <c r="AL727" s="1383"/>
      <c r="AM727" s="1383"/>
      <c r="AN727" s="1383"/>
      <c r="AO727" s="1384"/>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B728" s="1382" t="s">
        <v>327</v>
      </c>
      <c r="C728" s="1383"/>
      <c r="D728" s="1383"/>
      <c r="E728" s="1383"/>
      <c r="F728" s="1384"/>
      <c r="G728" s="1485">
        <v>23</v>
      </c>
      <c r="H728" s="1486"/>
      <c r="I728" s="1486"/>
      <c r="J728" s="1487"/>
      <c r="K728" s="1482"/>
      <c r="L728" s="1483"/>
      <c r="M728" s="1483"/>
      <c r="N728" s="1484"/>
      <c r="O728" s="1479">
        <f>2091-T728</f>
        <v>1938</v>
      </c>
      <c r="P728" s="1480"/>
      <c r="Q728" s="1480"/>
      <c r="R728" s="1480"/>
      <c r="S728" s="1481"/>
      <c r="T728" s="1479">
        <v>153</v>
      </c>
      <c r="U728" s="1480"/>
      <c r="V728" s="1480"/>
      <c r="W728" s="1481"/>
      <c r="X728" s="1497">
        <f t="shared" si="49"/>
        <v>2091</v>
      </c>
      <c r="Y728" s="1498"/>
      <c r="Z728" s="1498"/>
      <c r="AA728" s="1498"/>
      <c r="AB728" s="1499"/>
      <c r="AC728" s="1583">
        <v>0.6</v>
      </c>
      <c r="AD728" s="1584"/>
      <c r="AE728" s="1584"/>
      <c r="AF728" s="1584"/>
      <c r="AG728" s="1585"/>
      <c r="AH728" s="1579">
        <f t="shared" si="50"/>
        <v>0.6001722158438576</v>
      </c>
      <c r="AI728" s="1580"/>
      <c r="AJ728" s="1581"/>
      <c r="AK728" s="1382" t="s">
        <v>600</v>
      </c>
      <c r="AL728" s="1383"/>
      <c r="AM728" s="1383"/>
      <c r="AN728" s="1383"/>
      <c r="AO728" s="1384"/>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B729" s="1382" t="s">
        <v>164</v>
      </c>
      <c r="C729" s="1383"/>
      <c r="D729" s="1383"/>
      <c r="E729" s="1383"/>
      <c r="F729" s="1384"/>
      <c r="G729" s="1485">
        <v>13</v>
      </c>
      <c r="H729" s="1486"/>
      <c r="I729" s="1486"/>
      <c r="J729" s="1487"/>
      <c r="K729" s="1482"/>
      <c r="L729" s="1483"/>
      <c r="M729" s="1483"/>
      <c r="N729" s="1484"/>
      <c r="O729" s="1479">
        <f>2509-T729</f>
        <v>2308</v>
      </c>
      <c r="P729" s="1480"/>
      <c r="Q729" s="1480"/>
      <c r="R729" s="1480"/>
      <c r="S729" s="1481"/>
      <c r="T729" s="1479">
        <v>201</v>
      </c>
      <c r="U729" s="1480"/>
      <c r="V729" s="1480"/>
      <c r="W729" s="1481"/>
      <c r="X729" s="1497">
        <f t="shared" si="49"/>
        <v>2509</v>
      </c>
      <c r="Y729" s="1498"/>
      <c r="Z729" s="1498"/>
      <c r="AA729" s="1498"/>
      <c r="AB729" s="1499"/>
      <c r="AC729" s="1583">
        <v>0.6</v>
      </c>
      <c r="AD729" s="1584"/>
      <c r="AE729" s="1584"/>
      <c r="AF729" s="1584"/>
      <c r="AG729" s="1585"/>
      <c r="AH729" s="1579">
        <f t="shared" si="50"/>
        <v>0.59995217599234818</v>
      </c>
      <c r="AI729" s="1580"/>
      <c r="AJ729" s="1581"/>
      <c r="AK729" s="1382" t="s">
        <v>600</v>
      </c>
      <c r="AL729" s="1383"/>
      <c r="AM729" s="1383"/>
      <c r="AN729" s="1383"/>
      <c r="AO729" s="1384"/>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82"/>
      <c r="C730" s="1383"/>
      <c r="D730" s="1383"/>
      <c r="E730" s="1383"/>
      <c r="F730" s="1384"/>
      <c r="G730" s="1485"/>
      <c r="H730" s="1486"/>
      <c r="I730" s="1486"/>
      <c r="J730" s="1487"/>
      <c r="K730" s="1482"/>
      <c r="L730" s="1483"/>
      <c r="M730" s="1483"/>
      <c r="N730" s="1484"/>
      <c r="O730" s="1479"/>
      <c r="P730" s="1480"/>
      <c r="Q730" s="1480"/>
      <c r="R730" s="1480"/>
      <c r="S730" s="1481"/>
      <c r="T730" s="1479"/>
      <c r="U730" s="1480"/>
      <c r="V730" s="1480"/>
      <c r="W730" s="1481"/>
      <c r="X730" s="1497">
        <f t="shared" si="49"/>
        <v>0</v>
      </c>
      <c r="Y730" s="1498"/>
      <c r="Z730" s="1498"/>
      <c r="AA730" s="1498"/>
      <c r="AB730" s="1499"/>
      <c r="AC730" s="1583"/>
      <c r="AD730" s="1584"/>
      <c r="AE730" s="1584"/>
      <c r="AF730" s="1584"/>
      <c r="AG730" s="1585"/>
      <c r="AH730" s="1579" t="str">
        <f t="shared" si="50"/>
        <v xml:space="preserve"> </v>
      </c>
      <c r="AI730" s="1580"/>
      <c r="AJ730" s="1581"/>
      <c r="AK730" s="1382" t="s">
        <v>600</v>
      </c>
      <c r="AL730" s="1383"/>
      <c r="AM730" s="1383"/>
      <c r="AN730" s="1383"/>
      <c r="AO730" s="1384"/>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82"/>
      <c r="C731" s="1383"/>
      <c r="D731" s="1383"/>
      <c r="E731" s="1383"/>
      <c r="F731" s="1384"/>
      <c r="G731" s="1485"/>
      <c r="H731" s="1486"/>
      <c r="I731" s="1486"/>
      <c r="J731" s="1487"/>
      <c r="K731" s="1482"/>
      <c r="L731" s="1483"/>
      <c r="M731" s="1483"/>
      <c r="N731" s="1484"/>
      <c r="O731" s="1479"/>
      <c r="P731" s="1480"/>
      <c r="Q731" s="1480"/>
      <c r="R731" s="1480"/>
      <c r="S731" s="1481"/>
      <c r="T731" s="1479"/>
      <c r="U731" s="1480"/>
      <c r="V731" s="1480"/>
      <c r="W731" s="1481"/>
      <c r="X731" s="1497">
        <f t="shared" si="49"/>
        <v>0</v>
      </c>
      <c r="Y731" s="1498"/>
      <c r="Z731" s="1498"/>
      <c r="AA731" s="1498"/>
      <c r="AB731" s="1499"/>
      <c r="AC731" s="1583"/>
      <c r="AD731" s="1584"/>
      <c r="AE731" s="1584"/>
      <c r="AF731" s="1584"/>
      <c r="AG731" s="1585"/>
      <c r="AH731" s="1579" t="str">
        <f t="shared" si="50"/>
        <v xml:space="preserve"> </v>
      </c>
      <c r="AI731" s="1580"/>
      <c r="AJ731" s="1581"/>
      <c r="AK731" s="1382" t="s">
        <v>600</v>
      </c>
      <c r="AL731" s="1383"/>
      <c r="AM731" s="1383"/>
      <c r="AN731" s="1383"/>
      <c r="AO731" s="1384"/>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82"/>
      <c r="C732" s="1383"/>
      <c r="D732" s="1383"/>
      <c r="E732" s="1383"/>
      <c r="F732" s="1384"/>
      <c r="G732" s="1485"/>
      <c r="H732" s="1486"/>
      <c r="I732" s="1486"/>
      <c r="J732" s="1487"/>
      <c r="K732" s="1482"/>
      <c r="L732" s="1483"/>
      <c r="M732" s="1483"/>
      <c r="N732" s="1484"/>
      <c r="O732" s="1479"/>
      <c r="P732" s="1480"/>
      <c r="Q732" s="1480"/>
      <c r="R732" s="1480"/>
      <c r="S732" s="1481"/>
      <c r="T732" s="1479"/>
      <c r="U732" s="1480"/>
      <c r="V732" s="1480"/>
      <c r="W732" s="1481"/>
      <c r="X732" s="1497">
        <f t="shared" si="49"/>
        <v>0</v>
      </c>
      <c r="Y732" s="1498"/>
      <c r="Z732" s="1498"/>
      <c r="AA732" s="1498"/>
      <c r="AB732" s="1499"/>
      <c r="AC732" s="1583"/>
      <c r="AD732" s="1584"/>
      <c r="AE732" s="1584"/>
      <c r="AF732" s="1584"/>
      <c r="AG732" s="1585"/>
      <c r="AH732" s="1579" t="str">
        <f t="shared" si="50"/>
        <v xml:space="preserve"> </v>
      </c>
      <c r="AI732" s="1580"/>
      <c r="AJ732" s="1581"/>
      <c r="AK732" s="1382" t="s">
        <v>600</v>
      </c>
      <c r="AL732" s="1383"/>
      <c r="AM732" s="1383"/>
      <c r="AN732" s="1383"/>
      <c r="AO732" s="1384"/>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82"/>
      <c r="C733" s="1383"/>
      <c r="D733" s="1383"/>
      <c r="E733" s="1383"/>
      <c r="F733" s="1384"/>
      <c r="G733" s="1485"/>
      <c r="H733" s="1486"/>
      <c r="I733" s="1486"/>
      <c r="J733" s="1487"/>
      <c r="K733" s="1482"/>
      <c r="L733" s="1483"/>
      <c r="M733" s="1483"/>
      <c r="N733" s="1484"/>
      <c r="O733" s="1479"/>
      <c r="P733" s="1480"/>
      <c r="Q733" s="1480"/>
      <c r="R733" s="1480"/>
      <c r="S733" s="1481"/>
      <c r="T733" s="1479"/>
      <c r="U733" s="1480"/>
      <c r="V733" s="1480"/>
      <c r="W733" s="1481"/>
      <c r="X733" s="1497">
        <f t="shared" si="49"/>
        <v>0</v>
      </c>
      <c r="Y733" s="1498"/>
      <c r="Z733" s="1498"/>
      <c r="AA733" s="1498"/>
      <c r="AB733" s="1499"/>
      <c r="AC733" s="1583"/>
      <c r="AD733" s="1584"/>
      <c r="AE733" s="1584"/>
      <c r="AF733" s="1584"/>
      <c r="AG733" s="1585"/>
      <c r="AH733" s="1579" t="str">
        <f t="shared" si="50"/>
        <v xml:space="preserve"> </v>
      </c>
      <c r="AI733" s="1580"/>
      <c r="AJ733" s="1581"/>
      <c r="AK733" s="1382" t="s">
        <v>600</v>
      </c>
      <c r="AL733" s="1383"/>
      <c r="AM733" s="1383"/>
      <c r="AN733" s="1383"/>
      <c r="AO733" s="1384"/>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82"/>
      <c r="C734" s="1383"/>
      <c r="D734" s="1383"/>
      <c r="E734" s="1383"/>
      <c r="F734" s="1384"/>
      <c r="G734" s="1485"/>
      <c r="H734" s="1486"/>
      <c r="I734" s="1486"/>
      <c r="J734" s="1487"/>
      <c r="K734" s="1482"/>
      <c r="L734" s="1483"/>
      <c r="M734" s="1483"/>
      <c r="N734" s="1484"/>
      <c r="O734" s="1479"/>
      <c r="P734" s="1480"/>
      <c r="Q734" s="1480"/>
      <c r="R734" s="1480"/>
      <c r="S734" s="1481"/>
      <c r="T734" s="1479"/>
      <c r="U734" s="1480"/>
      <c r="V734" s="1480"/>
      <c r="W734" s="1481"/>
      <c r="X734" s="1497">
        <f t="shared" si="49"/>
        <v>0</v>
      </c>
      <c r="Y734" s="1498"/>
      <c r="Z734" s="1498"/>
      <c r="AA734" s="1498"/>
      <c r="AB734" s="1499"/>
      <c r="AC734" s="1583">
        <v>0</v>
      </c>
      <c r="AD734" s="1584"/>
      <c r="AE734" s="1584"/>
      <c r="AF734" s="1584"/>
      <c r="AG734" s="1585"/>
      <c r="AH734" s="1579" t="str">
        <f t="shared" si="50"/>
        <v xml:space="preserve"> </v>
      </c>
      <c r="AI734" s="1580"/>
      <c r="AJ734" s="1581"/>
      <c r="AK734" s="1382" t="s">
        <v>600</v>
      </c>
      <c r="AL734" s="1383"/>
      <c r="AM734" s="1383"/>
      <c r="AN734" s="1383"/>
      <c r="AO734" s="1384"/>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82"/>
      <c r="C735" s="1383"/>
      <c r="D735" s="1383"/>
      <c r="E735" s="1383"/>
      <c r="F735" s="1384"/>
      <c r="G735" s="1485"/>
      <c r="H735" s="1486"/>
      <c r="I735" s="1486"/>
      <c r="J735" s="1487"/>
      <c r="K735" s="1482"/>
      <c r="L735" s="1483"/>
      <c r="M735" s="1483"/>
      <c r="N735" s="1484"/>
      <c r="O735" s="1479"/>
      <c r="P735" s="1480"/>
      <c r="Q735" s="1480"/>
      <c r="R735" s="1480"/>
      <c r="S735" s="1481"/>
      <c r="T735" s="1479"/>
      <c r="U735" s="1480"/>
      <c r="V735" s="1480"/>
      <c r="W735" s="1481"/>
      <c r="X735" s="1497">
        <f t="shared" si="49"/>
        <v>0</v>
      </c>
      <c r="Y735" s="1498"/>
      <c r="Z735" s="1498"/>
      <c r="AA735" s="1498"/>
      <c r="AB735" s="1499"/>
      <c r="AC735" s="1583">
        <v>0</v>
      </c>
      <c r="AD735" s="1584"/>
      <c r="AE735" s="1584"/>
      <c r="AF735" s="1584"/>
      <c r="AG735" s="1585"/>
      <c r="AH735" s="1579" t="str">
        <f t="shared" si="50"/>
        <v xml:space="preserve"> </v>
      </c>
      <c r="AI735" s="1580"/>
      <c r="AJ735" s="1581"/>
      <c r="AK735" s="1382" t="s">
        <v>600</v>
      </c>
      <c r="AL735" s="1383"/>
      <c r="AM735" s="1383"/>
      <c r="AN735" s="1383"/>
      <c r="AO735" s="1384"/>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82"/>
      <c r="C736" s="1383"/>
      <c r="D736" s="1383"/>
      <c r="E736" s="1383"/>
      <c r="F736" s="1384"/>
      <c r="G736" s="1485"/>
      <c r="H736" s="1486"/>
      <c r="I736" s="1486"/>
      <c r="J736" s="1487"/>
      <c r="K736" s="1482"/>
      <c r="L736" s="1483"/>
      <c r="M736" s="1483"/>
      <c r="N736" s="1484"/>
      <c r="O736" s="1479"/>
      <c r="P736" s="1480"/>
      <c r="Q736" s="1480"/>
      <c r="R736" s="1480"/>
      <c r="S736" s="1481"/>
      <c r="T736" s="1479"/>
      <c r="U736" s="1480"/>
      <c r="V736" s="1480"/>
      <c r="W736" s="1481"/>
      <c r="X736" s="1497">
        <f t="shared" si="49"/>
        <v>0</v>
      </c>
      <c r="Y736" s="1498"/>
      <c r="Z736" s="1498"/>
      <c r="AA736" s="1498"/>
      <c r="AB736" s="1499"/>
      <c r="AC736" s="1583">
        <v>0</v>
      </c>
      <c r="AD736" s="1584"/>
      <c r="AE736" s="1584"/>
      <c r="AF736" s="1584"/>
      <c r="AG736" s="1585"/>
      <c r="AH736" s="1579" t="str">
        <f t="shared" si="50"/>
        <v xml:space="preserve"> </v>
      </c>
      <c r="AI736" s="1580"/>
      <c r="AJ736" s="1581"/>
      <c r="AK736" s="1382" t="s">
        <v>600</v>
      </c>
      <c r="AL736" s="1383"/>
      <c r="AM736" s="1383"/>
      <c r="AN736" s="1383"/>
      <c r="AO736" s="1384"/>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82"/>
      <c r="C737" s="1383"/>
      <c r="D737" s="1383"/>
      <c r="E737" s="1383"/>
      <c r="F737" s="1384"/>
      <c r="G737" s="1485"/>
      <c r="H737" s="1486"/>
      <c r="I737" s="1486"/>
      <c r="J737" s="1487"/>
      <c r="K737" s="1482"/>
      <c r="L737" s="1483"/>
      <c r="M737" s="1483"/>
      <c r="N737" s="1484"/>
      <c r="O737" s="1479"/>
      <c r="P737" s="1480"/>
      <c r="Q737" s="1480"/>
      <c r="R737" s="1480"/>
      <c r="S737" s="1481"/>
      <c r="T737" s="1479"/>
      <c r="U737" s="1480"/>
      <c r="V737" s="1480"/>
      <c r="W737" s="1481"/>
      <c r="X737" s="1497">
        <f t="shared" si="49"/>
        <v>0</v>
      </c>
      <c r="Y737" s="1498"/>
      <c r="Z737" s="1498"/>
      <c r="AA737" s="1498"/>
      <c r="AB737" s="1499"/>
      <c r="AC737" s="1583">
        <v>0</v>
      </c>
      <c r="AD737" s="1584"/>
      <c r="AE737" s="1584"/>
      <c r="AF737" s="1584"/>
      <c r="AG737" s="1585"/>
      <c r="AH737" s="1579" t="str">
        <f t="shared" si="50"/>
        <v xml:space="preserve"> </v>
      </c>
      <c r="AI737" s="1580"/>
      <c r="AJ737" s="1581"/>
      <c r="AK737" s="1382" t="s">
        <v>600</v>
      </c>
      <c r="AL737" s="1383"/>
      <c r="AM737" s="1383"/>
      <c r="AN737" s="1383"/>
      <c r="AO737" s="1384"/>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82"/>
      <c r="C738" s="1383"/>
      <c r="D738" s="1383"/>
      <c r="E738" s="1383"/>
      <c r="F738" s="1384"/>
      <c r="G738" s="1485"/>
      <c r="H738" s="1486"/>
      <c r="I738" s="1486"/>
      <c r="J738" s="1487"/>
      <c r="K738" s="1482"/>
      <c r="L738" s="1483"/>
      <c r="M738" s="1483"/>
      <c r="N738" s="1484"/>
      <c r="O738" s="1479"/>
      <c r="P738" s="1480"/>
      <c r="Q738" s="1480"/>
      <c r="R738" s="1480"/>
      <c r="S738" s="1481"/>
      <c r="T738" s="1479"/>
      <c r="U738" s="1480"/>
      <c r="V738" s="1480"/>
      <c r="W738" s="1481"/>
      <c r="X738" s="1497">
        <f t="shared" si="49"/>
        <v>0</v>
      </c>
      <c r="Y738" s="1498"/>
      <c r="Z738" s="1498"/>
      <c r="AA738" s="1498"/>
      <c r="AB738" s="1499"/>
      <c r="AC738" s="1583">
        <v>0</v>
      </c>
      <c r="AD738" s="1584"/>
      <c r="AE738" s="1584"/>
      <c r="AF738" s="1584"/>
      <c r="AG738" s="1585"/>
      <c r="AH738" s="1579" t="str">
        <f t="shared" si="50"/>
        <v xml:space="preserve"> </v>
      </c>
      <c r="AI738" s="1580"/>
      <c r="AJ738" s="1581"/>
      <c r="AK738" s="1382" t="s">
        <v>600</v>
      </c>
      <c r="AL738" s="1383"/>
      <c r="AM738" s="1383"/>
      <c r="AN738" s="1383"/>
      <c r="AO738" s="1384"/>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523" t="s">
        <v>126</v>
      </c>
      <c r="C739" s="1524"/>
      <c r="D739" s="1524"/>
      <c r="E739" s="1524"/>
      <c r="F739" s="1526"/>
      <c r="G739" s="1760">
        <f>SUM(G714:J738)</f>
        <v>182</v>
      </c>
      <c r="H739" s="1761"/>
      <c r="I739" s="1761"/>
      <c r="J739" s="1762"/>
      <c r="K739" s="939" t="s">
        <v>125</v>
      </c>
      <c r="L739" s="5"/>
      <c r="M739" s="5"/>
      <c r="N739" s="46"/>
      <c r="O739" s="1497">
        <f>SUMPRODUCT(G714:G738,O714:O738)</f>
        <v>260444</v>
      </c>
      <c r="P739" s="1498"/>
      <c r="Q739" s="1498"/>
      <c r="R739" s="1498"/>
      <c r="S739" s="1499"/>
      <c r="X739" s="941" t="s">
        <v>933</v>
      </c>
      <c r="Y739" s="940"/>
      <c r="Z739" s="940"/>
      <c r="AA739" s="940"/>
      <c r="AB739" s="942"/>
      <c r="AC739" s="1704">
        <f>BI682</f>
        <v>0.44615384615384623</v>
      </c>
      <c r="AD739" s="1705"/>
      <c r="AE739" s="1705"/>
      <c r="AF739" s="1705"/>
      <c r="AG739" s="1706"/>
      <c r="AH739" s="1704">
        <f>BI714</f>
        <v>0.41630216860521263</v>
      </c>
      <c r="AI739" s="1705"/>
      <c r="AJ739" s="1706"/>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500" t="s">
        <v>2256</v>
      </c>
      <c r="C740" s="1500"/>
      <c r="D740" s="1500"/>
      <c r="E740" s="1500"/>
      <c r="F740" s="1500"/>
      <c r="G740" s="1500"/>
      <c r="H740" s="1500"/>
      <c r="I740" s="1500"/>
      <c r="J740" s="1500"/>
      <c r="K740" s="1500"/>
      <c r="L740" s="1500"/>
      <c r="M740" s="1500"/>
      <c r="N740" s="1500"/>
      <c r="O740" s="1500"/>
      <c r="P740" s="1500"/>
      <c r="Q740" s="1500"/>
      <c r="R740" s="1500"/>
      <c r="S740" s="1500"/>
      <c r="T740" s="1500"/>
      <c r="U740" s="1500"/>
      <c r="V740" s="1500"/>
      <c r="W740" s="1500"/>
      <c r="X740" s="1500"/>
      <c r="Y740" s="1500"/>
      <c r="Z740" s="1500"/>
      <c r="AA740" s="1500"/>
      <c r="AB740" s="1500"/>
      <c r="AC740" s="1500"/>
      <c r="AD740" s="1500"/>
      <c r="AE740" s="1500"/>
      <c r="AF740" s="1500"/>
      <c r="AG740" s="1500"/>
      <c r="AH740" s="1500"/>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500"/>
      <c r="C741" s="1500"/>
      <c r="D741" s="1500"/>
      <c r="E741" s="1500"/>
      <c r="F741" s="1500"/>
      <c r="G741" s="1500"/>
      <c r="H741" s="1500"/>
      <c r="I741" s="1500"/>
      <c r="J741" s="1500"/>
      <c r="K741" s="1500"/>
      <c r="L741" s="1500"/>
      <c r="M741" s="1500"/>
      <c r="N741" s="1500"/>
      <c r="O741" s="1500"/>
      <c r="P741" s="1500"/>
      <c r="Q741" s="1500"/>
      <c r="R741" s="1500"/>
      <c r="S741" s="1500"/>
      <c r="T741" s="1500"/>
      <c r="U741" s="1500"/>
      <c r="V741" s="1500"/>
      <c r="W741" s="1500"/>
      <c r="X741" s="1500"/>
      <c r="Y741" s="1500"/>
      <c r="Z741" s="1500"/>
      <c r="AA741" s="1500"/>
      <c r="AB741" s="1500"/>
      <c r="AC741" s="1500"/>
      <c r="AD741" s="1500"/>
      <c r="AE741" s="1500"/>
      <c r="AF741" s="1500"/>
      <c r="AG741" s="1500"/>
      <c r="AH741" s="1500"/>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5" customHeight="1">
      <c r="C742" s="118" t="s">
        <v>2254</v>
      </c>
      <c r="D742" s="1076"/>
      <c r="E742" s="1076"/>
      <c r="F742" s="1076"/>
      <c r="G742" s="1077"/>
      <c r="H742" s="1077"/>
      <c r="I742" s="1077"/>
      <c r="J742" s="1077"/>
      <c r="K742" s="1076"/>
      <c r="L742" s="1076"/>
      <c r="M742" s="1076"/>
      <c r="N742" s="1076"/>
      <c r="O742" s="1696">
        <f>CS623</f>
        <v>309</v>
      </c>
      <c r="P742" s="1696"/>
      <c r="Q742" s="1696"/>
      <c r="R742" s="1696"/>
      <c r="S742" s="1006"/>
      <c r="T742" s="1006"/>
      <c r="U742" s="118" t="s">
        <v>2255</v>
      </c>
      <c r="V742" s="1076"/>
      <c r="W742" s="1076"/>
      <c r="X742" s="1076"/>
      <c r="Y742" s="1077"/>
      <c r="Z742" s="1077"/>
      <c r="AA742" s="1077"/>
      <c r="AB742" s="1077"/>
      <c r="AC742" s="1076"/>
      <c r="AD742" s="1076"/>
      <c r="AE742" s="1076"/>
      <c r="AF742" s="1076"/>
      <c r="AG742" s="1697"/>
      <c r="AH742" s="1697"/>
      <c r="AI742" s="1697"/>
      <c r="AJ742" s="1697"/>
      <c r="AT742"/>
      <c r="AU742"/>
      <c r="AV742"/>
      <c r="AW742"/>
      <c r="AX742"/>
      <c r="AY742"/>
    </row>
    <row r="743" spans="1:16383" ht="12.95"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5" customHeight="1">
      <c r="B744" s="3"/>
      <c r="C744" s="118" t="s">
        <v>2253</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575" t="s">
        <v>600</v>
      </c>
      <c r="AE744" s="1575"/>
      <c r="AF744" s="1575"/>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C745" s="1079" t="s">
        <v>2505</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2.95" customHeight="1">
      <c r="A746" s="2" t="s">
        <v>585</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5" customHeight="1">
      <c r="B747" s="1076"/>
      <c r="C747" s="118" t="s">
        <v>178</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2.95" customHeight="1">
      <c r="B748" s="1076"/>
      <c r="C748" s="1269" t="s">
        <v>2506</v>
      </c>
      <c r="D748" s="1269"/>
      <c r="E748" s="1269"/>
      <c r="F748" s="1269"/>
      <c r="G748" s="1269"/>
      <c r="H748" s="1269"/>
      <c r="I748" s="1269"/>
      <c r="J748" s="1269"/>
      <c r="K748" s="1269"/>
      <c r="L748" s="1269"/>
      <c r="M748" s="1269"/>
      <c r="N748" s="1269"/>
      <c r="O748" s="1269"/>
      <c r="P748" s="1269"/>
      <c r="Q748" s="1269"/>
      <c r="R748" s="1269"/>
      <c r="S748" s="1269"/>
      <c r="T748" s="1269"/>
      <c r="U748" s="1269"/>
      <c r="V748" s="1269"/>
      <c r="W748" s="1269"/>
      <c r="X748" s="1269"/>
      <c r="Y748" s="1269"/>
      <c r="Z748" s="1269"/>
      <c r="AA748" s="1269"/>
      <c r="AB748" s="1269"/>
      <c r="AC748" s="1269"/>
      <c r="AD748" s="1269"/>
      <c r="AE748" s="1269"/>
      <c r="AF748" s="1269"/>
      <c r="AG748" s="1269"/>
      <c r="AH748" s="1269"/>
      <c r="AI748" s="1269"/>
      <c r="AJ748" s="1269"/>
      <c r="AK748" s="1269"/>
      <c r="AL748" s="1269"/>
      <c r="AM748" s="1269"/>
      <c r="AN748" s="1269"/>
      <c r="AO748" s="1269"/>
      <c r="AP748" s="1269"/>
      <c r="AQ748" s="1269"/>
      <c r="AR748" s="1269"/>
      <c r="AT748"/>
      <c r="AU748"/>
      <c r="AV748"/>
      <c r="AW748"/>
      <c r="AX748"/>
      <c r="AY748"/>
    </row>
    <row r="749" spans="1:16383" s="3" customFormat="1" ht="12.95" customHeight="1">
      <c r="B749" s="1076"/>
      <c r="C749" s="1269"/>
      <c r="D749" s="1269"/>
      <c r="E749" s="1269"/>
      <c r="F749" s="1269"/>
      <c r="G749" s="1269"/>
      <c r="H749" s="1269"/>
      <c r="I749" s="1269"/>
      <c r="J749" s="1269"/>
      <c r="K749" s="1269"/>
      <c r="L749" s="1269"/>
      <c r="M749" s="1269"/>
      <c r="N749" s="1269"/>
      <c r="O749" s="1269"/>
      <c r="P749" s="1269"/>
      <c r="Q749" s="1269"/>
      <c r="R749" s="1269"/>
      <c r="S749" s="1269"/>
      <c r="T749" s="1269"/>
      <c r="U749" s="1269"/>
      <c r="V749" s="1269"/>
      <c r="W749" s="1269"/>
      <c r="X749" s="1269"/>
      <c r="Y749" s="1269"/>
      <c r="Z749" s="1269"/>
      <c r="AA749" s="1269"/>
      <c r="AB749" s="1269"/>
      <c r="AC749" s="1269"/>
      <c r="AD749" s="1269"/>
      <c r="AE749" s="1269"/>
      <c r="AF749" s="1269"/>
      <c r="AG749" s="1269"/>
      <c r="AH749" s="1269"/>
      <c r="AI749" s="1269"/>
      <c r="AJ749" s="1269"/>
      <c r="AK749" s="1269"/>
      <c r="AL749" s="1269"/>
      <c r="AM749" s="1269"/>
      <c r="AN749" s="1269"/>
      <c r="AO749" s="1269"/>
      <c r="AP749" s="1269"/>
      <c r="AQ749" s="1269"/>
      <c r="AR749" s="1269"/>
      <c r="AT749"/>
      <c r="AU749"/>
      <c r="AV749"/>
      <c r="AW749"/>
      <c r="AX749"/>
      <c r="AY749"/>
    </row>
    <row r="750" spans="1:16383" s="3" customFormat="1" ht="12.95" customHeight="1">
      <c r="B750" s="1076"/>
      <c r="C750" s="1269"/>
      <c r="D750" s="1269"/>
      <c r="E750" s="1269"/>
      <c r="F750" s="1269"/>
      <c r="G750" s="1269"/>
      <c r="H750" s="1269"/>
      <c r="I750" s="1269"/>
      <c r="J750" s="1269"/>
      <c r="K750" s="1269"/>
      <c r="L750" s="1269"/>
      <c r="M750" s="1269"/>
      <c r="N750" s="1269"/>
      <c r="O750" s="1269"/>
      <c r="P750" s="1269"/>
      <c r="Q750" s="1269"/>
      <c r="R750" s="1269"/>
      <c r="S750" s="1269"/>
      <c r="T750" s="1269"/>
      <c r="U750" s="1269"/>
      <c r="V750" s="1269"/>
      <c r="W750" s="1269"/>
      <c r="X750" s="1269"/>
      <c r="Y750" s="1269"/>
      <c r="Z750" s="1269"/>
      <c r="AA750" s="1269"/>
      <c r="AB750" s="1269"/>
      <c r="AC750" s="1269"/>
      <c r="AD750" s="1269"/>
      <c r="AE750" s="1269"/>
      <c r="AF750" s="1269"/>
      <c r="AG750" s="1269"/>
      <c r="AH750" s="1269"/>
      <c r="AI750" s="1269"/>
      <c r="AJ750" s="1269"/>
      <c r="AK750" s="1269"/>
      <c r="AL750" s="1269"/>
      <c r="AM750" s="1269"/>
      <c r="AN750" s="1269"/>
      <c r="AO750" s="1269"/>
      <c r="AP750" s="1269"/>
      <c r="AQ750" s="1269"/>
      <c r="AR750" s="1269"/>
      <c r="AT750"/>
      <c r="AU750"/>
      <c r="AV750"/>
      <c r="AW750"/>
      <c r="AX750"/>
      <c r="AY750"/>
    </row>
    <row r="751" spans="1:16383" s="3" customFormat="1" ht="12.95" customHeight="1">
      <c r="B751" s="1076"/>
      <c r="C751" s="1269" t="s">
        <v>2507</v>
      </c>
      <c r="D751" s="1269"/>
      <c r="E751" s="1269"/>
      <c r="F751" s="1269"/>
      <c r="G751" s="1269"/>
      <c r="H751" s="1269"/>
      <c r="I751" s="1269"/>
      <c r="J751" s="1269"/>
      <c r="K751" s="1269"/>
      <c r="L751" s="1269"/>
      <c r="M751" s="1269"/>
      <c r="N751" s="1269"/>
      <c r="O751" s="1269"/>
      <c r="P751" s="1269"/>
      <c r="Q751" s="1269"/>
      <c r="R751" s="1269"/>
      <c r="S751" s="1269"/>
      <c r="T751" s="1269"/>
      <c r="U751" s="1269"/>
      <c r="V751" s="1269"/>
      <c r="W751" s="1269"/>
      <c r="X751" s="1269"/>
      <c r="Y751" s="1269"/>
      <c r="Z751" s="1269"/>
      <c r="AA751" s="1269"/>
      <c r="AB751" s="1269"/>
      <c r="AC751" s="1269"/>
      <c r="AD751" s="1269"/>
      <c r="AE751" s="1269"/>
      <c r="AF751" s="1269"/>
      <c r="AG751" s="1269"/>
      <c r="AH751" s="1269"/>
      <c r="AI751" s="1269"/>
      <c r="AJ751" s="1269"/>
      <c r="AK751" s="1269"/>
      <c r="AL751" s="1269"/>
      <c r="AM751" s="1269"/>
      <c r="AN751" s="1269"/>
      <c r="AO751" s="1269"/>
      <c r="AP751" s="1269"/>
      <c r="AQ751" s="1269"/>
      <c r="AR751" s="1269"/>
      <c r="AT751"/>
      <c r="AU751"/>
      <c r="AV751"/>
      <c r="AW751"/>
      <c r="AX751"/>
      <c r="AY751"/>
    </row>
    <row r="752" spans="1:16383" s="3" customFormat="1" ht="12.95" customHeight="1">
      <c r="B752" s="1076"/>
      <c r="C752" s="1269"/>
      <c r="D752" s="1269"/>
      <c r="E752" s="1269"/>
      <c r="F752" s="1269"/>
      <c r="G752" s="1269"/>
      <c r="H752" s="1269"/>
      <c r="I752" s="1269"/>
      <c r="J752" s="1269"/>
      <c r="K752" s="1269"/>
      <c r="L752" s="1269"/>
      <c r="M752" s="1269"/>
      <c r="N752" s="1269"/>
      <c r="O752" s="1269"/>
      <c r="P752" s="1269"/>
      <c r="Q752" s="1269"/>
      <c r="R752" s="1269"/>
      <c r="S752" s="1269"/>
      <c r="T752" s="1269"/>
      <c r="U752" s="1269"/>
      <c r="V752" s="1269"/>
      <c r="W752" s="1269"/>
      <c r="X752" s="1269"/>
      <c r="Y752" s="1269"/>
      <c r="Z752" s="1269"/>
      <c r="AA752" s="1269"/>
      <c r="AB752" s="1269"/>
      <c r="AC752" s="1269"/>
      <c r="AD752" s="1269"/>
      <c r="AE752" s="1269"/>
      <c r="AF752" s="1269"/>
      <c r="AG752" s="1269"/>
      <c r="AH752" s="1269"/>
      <c r="AI752" s="1269"/>
      <c r="AJ752" s="1269"/>
      <c r="AK752" s="1269"/>
      <c r="AL752" s="1269"/>
      <c r="AM752" s="1269"/>
      <c r="AN752" s="1269"/>
      <c r="AO752" s="1269"/>
      <c r="AP752" s="1269"/>
      <c r="AQ752" s="1269"/>
      <c r="AR752" s="1269"/>
      <c r="AT752"/>
      <c r="AU752"/>
      <c r="AV752"/>
      <c r="AW752"/>
      <c r="AX752"/>
      <c r="AY752"/>
    </row>
    <row r="753" spans="1:110" s="3" customFormat="1" ht="12.95" customHeight="1">
      <c r="B753" s="1076"/>
      <c r="C753" s="1269"/>
      <c r="D753" s="1269"/>
      <c r="E753" s="1269"/>
      <c r="F753" s="1269"/>
      <c r="G753" s="1269"/>
      <c r="H753" s="1269"/>
      <c r="I753" s="1269"/>
      <c r="J753" s="1269"/>
      <c r="K753" s="1269"/>
      <c r="L753" s="1269"/>
      <c r="M753" s="1269"/>
      <c r="N753" s="1269"/>
      <c r="O753" s="1269"/>
      <c r="P753" s="1269"/>
      <c r="Q753" s="1269"/>
      <c r="R753" s="1269"/>
      <c r="S753" s="1269"/>
      <c r="T753" s="1269"/>
      <c r="U753" s="1269"/>
      <c r="V753" s="1269"/>
      <c r="W753" s="1269"/>
      <c r="X753" s="1269"/>
      <c r="Y753" s="1269"/>
      <c r="Z753" s="1269"/>
      <c r="AA753" s="1269"/>
      <c r="AB753" s="1269"/>
      <c r="AC753" s="1269"/>
      <c r="AD753" s="1269"/>
      <c r="AE753" s="1269"/>
      <c r="AF753" s="1269"/>
      <c r="AG753" s="1269"/>
      <c r="AH753" s="1269"/>
      <c r="AI753" s="1269"/>
      <c r="AJ753" s="1269"/>
      <c r="AK753" s="1269"/>
      <c r="AL753" s="1269"/>
      <c r="AM753" s="1269"/>
      <c r="AN753" s="1269"/>
      <c r="AO753" s="1269"/>
      <c r="AP753" s="1269"/>
      <c r="AQ753" s="1269"/>
      <c r="AR753" s="1269"/>
      <c r="AT753"/>
      <c r="AU753"/>
      <c r="AV753"/>
      <c r="AW753"/>
      <c r="AX753"/>
      <c r="AY753"/>
    </row>
    <row r="754" spans="1:110" ht="12.95" customHeight="1">
      <c r="J754" s="1488" t="s">
        <v>391</v>
      </c>
      <c r="K754" s="1489"/>
      <c r="L754" s="1489"/>
      <c r="M754" s="1489"/>
      <c r="N754" s="1490"/>
      <c r="O754" s="1695" t="s">
        <v>287</v>
      </c>
      <c r="P754" s="1695"/>
      <c r="Q754" s="1695"/>
      <c r="R754" s="1695"/>
      <c r="S754" s="1695"/>
      <c r="T754" s="1503" t="s">
        <v>1937</v>
      </c>
      <c r="U754" s="1504"/>
      <c r="V754" s="1504"/>
      <c r="W754" s="1505"/>
      <c r="X754" s="1488" t="s">
        <v>456</v>
      </c>
      <c r="Y754" s="1489"/>
      <c r="Z754" s="1489"/>
      <c r="AA754" s="1489"/>
      <c r="AB754" s="1490"/>
      <c r="AC754" s="1488" t="s">
        <v>288</v>
      </c>
      <c r="AD754" s="1489"/>
      <c r="AE754" s="1489"/>
      <c r="AF754" s="1489"/>
      <c r="AG754" s="1490"/>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5" customHeight="1">
      <c r="J755" s="1491"/>
      <c r="K755" s="1492"/>
      <c r="L755" s="1492"/>
      <c r="M755" s="1492"/>
      <c r="N755" s="1493"/>
      <c r="O755" s="1695"/>
      <c r="P755" s="1695"/>
      <c r="Q755" s="1695"/>
      <c r="R755" s="1695"/>
      <c r="S755" s="1695"/>
      <c r="T755" s="1506"/>
      <c r="U755" s="1507"/>
      <c r="V755" s="1507"/>
      <c r="W755" s="1508"/>
      <c r="X755" s="1491"/>
      <c r="Y755" s="1492"/>
      <c r="Z755" s="1492"/>
      <c r="AA755" s="1492"/>
      <c r="AB755" s="1493"/>
      <c r="AC755" s="1491"/>
      <c r="AD755" s="1492"/>
      <c r="AE755" s="1492"/>
      <c r="AF755" s="1492"/>
      <c r="AG755" s="1493"/>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5" customHeight="1">
      <c r="J756" s="1491"/>
      <c r="K756" s="1492"/>
      <c r="L756" s="1492"/>
      <c r="M756" s="1492"/>
      <c r="N756" s="1493"/>
      <c r="O756" s="1695"/>
      <c r="P756" s="1695"/>
      <c r="Q756" s="1695"/>
      <c r="R756" s="1695"/>
      <c r="S756" s="1695"/>
      <c r="T756" s="1506"/>
      <c r="U756" s="1507"/>
      <c r="V756" s="1507"/>
      <c r="W756" s="1508"/>
      <c r="X756" s="1491"/>
      <c r="Y756" s="1492"/>
      <c r="Z756" s="1492"/>
      <c r="AA756" s="1492"/>
      <c r="AB756" s="1493"/>
      <c r="AC756" s="1491"/>
      <c r="AD756" s="1492"/>
      <c r="AE756" s="1492"/>
      <c r="AF756" s="1492"/>
      <c r="AG756" s="1493"/>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5" customHeight="1">
      <c r="J757" s="1494"/>
      <c r="K757" s="1495"/>
      <c r="L757" s="1495"/>
      <c r="M757" s="1495"/>
      <c r="N757" s="1496"/>
      <c r="O757" s="1695"/>
      <c r="P757" s="1695"/>
      <c r="Q757" s="1695"/>
      <c r="R757" s="1695"/>
      <c r="S757" s="1695"/>
      <c r="T757" s="1509"/>
      <c r="U757" s="1510"/>
      <c r="V757" s="1510"/>
      <c r="W757" s="1511"/>
      <c r="X757" s="1494"/>
      <c r="Y757" s="1495"/>
      <c r="Z757" s="1495"/>
      <c r="AA757" s="1495"/>
      <c r="AB757" s="1496"/>
      <c r="AC757" s="1494"/>
      <c r="AD757" s="1495"/>
      <c r="AE757" s="1495"/>
      <c r="AF757" s="1495"/>
      <c r="AG757" s="1496"/>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5" customHeight="1">
      <c r="J758" s="1382" t="s">
        <v>327</v>
      </c>
      <c r="K758" s="1383"/>
      <c r="L758" s="1383"/>
      <c r="M758" s="1383"/>
      <c r="N758" s="1384"/>
      <c r="O758" s="1375">
        <v>1</v>
      </c>
      <c r="P758" s="1375"/>
      <c r="Q758" s="1375"/>
      <c r="R758" s="1375"/>
      <c r="S758" s="1375"/>
      <c r="T758" s="1482">
        <v>542</v>
      </c>
      <c r="U758" s="1483"/>
      <c r="V758" s="1483"/>
      <c r="W758" s="1484"/>
      <c r="X758" s="1479">
        <v>0</v>
      </c>
      <c r="Y758" s="1480"/>
      <c r="Z758" s="1480"/>
      <c r="AA758" s="1480"/>
      <c r="AB758" s="1481"/>
      <c r="AC758" s="1497">
        <f>X758*O758</f>
        <v>0</v>
      </c>
      <c r="AD758" s="1498"/>
      <c r="AE758" s="1498"/>
      <c r="AF758" s="1498"/>
      <c r="AG758" s="1499"/>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5" customHeight="1">
      <c r="J759" s="1382" t="s">
        <v>164</v>
      </c>
      <c r="K759" s="1383"/>
      <c r="L759" s="1383"/>
      <c r="M759" s="1383"/>
      <c r="N759" s="1384"/>
      <c r="O759" s="1375">
        <v>1</v>
      </c>
      <c r="P759" s="1375"/>
      <c r="Q759" s="1375"/>
      <c r="R759" s="1375"/>
      <c r="S759" s="1375"/>
      <c r="T759" s="1482">
        <v>827</v>
      </c>
      <c r="U759" s="1483"/>
      <c r="V759" s="1483"/>
      <c r="W759" s="1484"/>
      <c r="X759" s="1479">
        <v>0</v>
      </c>
      <c r="Y759" s="1480"/>
      <c r="Z759" s="1480"/>
      <c r="AA759" s="1480"/>
      <c r="AB759" s="1481"/>
      <c r="AC759" s="1497">
        <f>X759*O759</f>
        <v>0</v>
      </c>
      <c r="AD759" s="1498"/>
      <c r="AE759" s="1498"/>
      <c r="AF759" s="1498"/>
      <c r="AG759" s="1499"/>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5" customHeight="1">
      <c r="J760" s="1382"/>
      <c r="K760" s="1383"/>
      <c r="L760" s="1383"/>
      <c r="M760" s="1383"/>
      <c r="N760" s="1384"/>
      <c r="O760" s="1375"/>
      <c r="P760" s="1375"/>
      <c r="Q760" s="1375"/>
      <c r="R760" s="1375"/>
      <c r="S760" s="1375"/>
      <c r="T760" s="1482"/>
      <c r="U760" s="1483"/>
      <c r="V760" s="1483"/>
      <c r="W760" s="1484"/>
      <c r="X760" s="1479"/>
      <c r="Y760" s="1480"/>
      <c r="Z760" s="1480"/>
      <c r="AA760" s="1480"/>
      <c r="AB760" s="1481"/>
      <c r="AC760" s="1497">
        <f>X760*O760</f>
        <v>0</v>
      </c>
      <c r="AD760" s="1498"/>
      <c r="AE760" s="1498"/>
      <c r="AF760" s="1498"/>
      <c r="AG760" s="1499"/>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5" customHeight="1">
      <c r="J761" s="1382"/>
      <c r="K761" s="1383"/>
      <c r="L761" s="1383"/>
      <c r="M761" s="1383"/>
      <c r="N761" s="1384"/>
      <c r="O761" s="1375"/>
      <c r="P761" s="1375"/>
      <c r="Q761" s="1375"/>
      <c r="R761" s="1375"/>
      <c r="S761" s="1375"/>
      <c r="T761" s="1482"/>
      <c r="U761" s="1483"/>
      <c r="V761" s="1483"/>
      <c r="W761" s="1484"/>
      <c r="X761" s="1479"/>
      <c r="Y761" s="1480"/>
      <c r="Z761" s="1480"/>
      <c r="AA761" s="1480"/>
      <c r="AB761" s="1481"/>
      <c r="AC761" s="1497">
        <f>X761*O761</f>
        <v>0</v>
      </c>
      <c r="AD761" s="1498"/>
      <c r="AE761" s="1498"/>
      <c r="AF761" s="1498"/>
      <c r="AG761" s="1499"/>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5" customHeight="1">
      <c r="J762" s="1523" t="s">
        <v>126</v>
      </c>
      <c r="K762" s="1524"/>
      <c r="L762" s="1524"/>
      <c r="M762" s="1524"/>
      <c r="N762" s="1526"/>
      <c r="O762" s="1501">
        <f>SUM(O758:S761)</f>
        <v>2</v>
      </c>
      <c r="P762" s="1515"/>
      <c r="Q762" s="1515"/>
      <c r="R762" s="1515"/>
      <c r="S762" s="1502"/>
      <c r="X762" s="1523" t="s">
        <v>125</v>
      </c>
      <c r="Y762" s="1524"/>
      <c r="Z762" s="1524"/>
      <c r="AA762" s="1524"/>
      <c r="AB762" s="1526"/>
      <c r="AC762" s="1497">
        <f>SUM(AC758:AG761)</f>
        <v>0</v>
      </c>
      <c r="AD762" s="1498"/>
      <c r="AE762" s="1498"/>
      <c r="AF762" s="1498"/>
      <c r="AG762" s="1499"/>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5"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5" customHeight="1">
      <c r="B764" s="56"/>
      <c r="C764" s="56"/>
      <c r="D764" s="56"/>
      <c r="E764" s="56"/>
      <c r="F764" s="56"/>
      <c r="G764" s="6"/>
      <c r="H764" s="6"/>
      <c r="I764" s="6"/>
      <c r="J764" s="1381" t="s">
        <v>678</v>
      </c>
      <c r="K764" s="1381"/>
      <c r="L764" s="56"/>
      <c r="M764" s="35" t="s">
        <v>1016</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5" customHeight="1">
      <c r="B765" s="56"/>
      <c r="C765" s="56"/>
      <c r="D765" s="56"/>
      <c r="E765" s="56"/>
      <c r="F765" s="56"/>
      <c r="G765" s="6"/>
      <c r="H765" s="6"/>
      <c r="I765" s="6"/>
      <c r="J765" s="6"/>
      <c r="K765" s="6"/>
      <c r="L765" s="56"/>
      <c r="M765" s="35" t="s">
        <v>2508</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5" customHeight="1">
      <c r="A766" s="2" t="s">
        <v>595</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5"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5" customHeight="1">
      <c r="J768" s="1488" t="s">
        <v>391</v>
      </c>
      <c r="K768" s="1489"/>
      <c r="L768" s="1489"/>
      <c r="M768" s="1489"/>
      <c r="N768" s="1490"/>
      <c r="O768" s="1695" t="s">
        <v>287</v>
      </c>
      <c r="P768" s="1695"/>
      <c r="Q768" s="1695"/>
      <c r="R768" s="1695"/>
      <c r="S768" s="1695"/>
      <c r="T768" s="1503" t="s">
        <v>1937</v>
      </c>
      <c r="U768" s="1504"/>
      <c r="V768" s="1504"/>
      <c r="W768" s="1505"/>
      <c r="X768" s="1488" t="s">
        <v>456</v>
      </c>
      <c r="Y768" s="1489"/>
      <c r="Z768" s="1489"/>
      <c r="AA768" s="1489"/>
      <c r="AB768" s="1490"/>
      <c r="AC768" s="1488" t="s">
        <v>288</v>
      </c>
      <c r="AD768" s="1489"/>
      <c r="AE768" s="1489"/>
      <c r="AF768" s="1489"/>
      <c r="AG768" s="1490"/>
      <c r="AH768" s="1615" t="s">
        <v>2130</v>
      </c>
      <c r="AI768" s="1616"/>
      <c r="AJ768" s="1616"/>
      <c r="AK768" s="1616"/>
      <c r="AL768" s="1616"/>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5" customHeight="1">
      <c r="J769" s="1491"/>
      <c r="K769" s="1492"/>
      <c r="L769" s="1492"/>
      <c r="M769" s="1492"/>
      <c r="N769" s="1493"/>
      <c r="O769" s="1695"/>
      <c r="P769" s="1695"/>
      <c r="Q769" s="1695"/>
      <c r="R769" s="1695"/>
      <c r="S769" s="1695"/>
      <c r="T769" s="1506"/>
      <c r="U769" s="1507"/>
      <c r="V769" s="1507"/>
      <c r="W769" s="1508"/>
      <c r="X769" s="1491"/>
      <c r="Y769" s="1492"/>
      <c r="Z769" s="1492"/>
      <c r="AA769" s="1492"/>
      <c r="AB769" s="1493"/>
      <c r="AC769" s="1491"/>
      <c r="AD769" s="1492"/>
      <c r="AE769" s="1492"/>
      <c r="AF769" s="1492"/>
      <c r="AG769" s="1493"/>
      <c r="AH769" s="1615"/>
      <c r="AI769" s="1616"/>
      <c r="AJ769" s="1616"/>
      <c r="AK769" s="1616"/>
      <c r="AL769" s="16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5" customHeight="1">
      <c r="J770" s="1491"/>
      <c r="K770" s="1492"/>
      <c r="L770" s="1492"/>
      <c r="M770" s="1492"/>
      <c r="N770" s="1493"/>
      <c r="O770" s="1695"/>
      <c r="P770" s="1695"/>
      <c r="Q770" s="1695"/>
      <c r="R770" s="1695"/>
      <c r="S770" s="1695"/>
      <c r="T770" s="1506"/>
      <c r="U770" s="1507"/>
      <c r="V770" s="1507"/>
      <c r="W770" s="1508"/>
      <c r="X770" s="1491"/>
      <c r="Y770" s="1492"/>
      <c r="Z770" s="1492"/>
      <c r="AA770" s="1492"/>
      <c r="AB770" s="1493"/>
      <c r="AC770" s="1491"/>
      <c r="AD770" s="1492"/>
      <c r="AE770" s="1492"/>
      <c r="AF770" s="1492"/>
      <c r="AG770" s="1493"/>
      <c r="AH770" s="1615"/>
      <c r="AI770" s="1616"/>
      <c r="AJ770" s="1616"/>
      <c r="AK770" s="1616"/>
      <c r="AL770" s="16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5" customHeight="1">
      <c r="J771" s="1494"/>
      <c r="K771" s="1495"/>
      <c r="L771" s="1495"/>
      <c r="M771" s="1495"/>
      <c r="N771" s="1496"/>
      <c r="O771" s="1695"/>
      <c r="P771" s="1695"/>
      <c r="Q771" s="1695"/>
      <c r="R771" s="1695"/>
      <c r="S771" s="1695"/>
      <c r="T771" s="1509"/>
      <c r="U771" s="1510"/>
      <c r="V771" s="1510"/>
      <c r="W771" s="1511"/>
      <c r="X771" s="1494"/>
      <c r="Y771" s="1495"/>
      <c r="Z771" s="1495"/>
      <c r="AA771" s="1495"/>
      <c r="AB771" s="1496"/>
      <c r="AC771" s="1494"/>
      <c r="AD771" s="1495"/>
      <c r="AE771" s="1495"/>
      <c r="AF771" s="1495"/>
      <c r="AG771" s="1496"/>
      <c r="AH771" s="1615"/>
      <c r="AI771" s="1616"/>
      <c r="AJ771" s="1616"/>
      <c r="AK771" s="1616"/>
      <c r="AL771" s="16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5" customHeight="1">
      <c r="J772" s="1382"/>
      <c r="K772" s="1383"/>
      <c r="L772" s="1383"/>
      <c r="M772" s="1383"/>
      <c r="N772" s="1384"/>
      <c r="O772" s="1375"/>
      <c r="P772" s="1375"/>
      <c r="Q772" s="1375"/>
      <c r="R772" s="1375"/>
      <c r="S772" s="1375"/>
      <c r="T772" s="1482"/>
      <c r="U772" s="1483"/>
      <c r="V772" s="1483"/>
      <c r="W772" s="1484"/>
      <c r="X772" s="1479"/>
      <c r="Y772" s="1480"/>
      <c r="Z772" s="1480"/>
      <c r="AA772" s="1480"/>
      <c r="AB772" s="1481"/>
      <c r="AC772" s="1497">
        <f t="shared" ref="AC772:AC781" si="51">X772*O772</f>
        <v>0</v>
      </c>
      <c r="AD772" s="1498"/>
      <c r="AE772" s="1498"/>
      <c r="AF772" s="1498"/>
      <c r="AG772" s="1499"/>
      <c r="AH772" s="1617"/>
      <c r="AI772" s="1618"/>
      <c r="AJ772" s="1618"/>
      <c r="AK772" s="1618"/>
      <c r="AL772" s="1618"/>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5" customHeight="1">
      <c r="J773" s="1382"/>
      <c r="K773" s="1383"/>
      <c r="L773" s="1383"/>
      <c r="M773" s="1383"/>
      <c r="N773" s="1384"/>
      <c r="O773" s="1375"/>
      <c r="P773" s="1375"/>
      <c r="Q773" s="1375"/>
      <c r="R773" s="1375"/>
      <c r="S773" s="1375"/>
      <c r="T773" s="1482"/>
      <c r="U773" s="1483"/>
      <c r="V773" s="1483"/>
      <c r="W773" s="1484"/>
      <c r="X773" s="1479"/>
      <c r="Y773" s="1480"/>
      <c r="Z773" s="1480"/>
      <c r="AA773" s="1480"/>
      <c r="AB773" s="1481"/>
      <c r="AC773" s="1497">
        <f t="shared" si="51"/>
        <v>0</v>
      </c>
      <c r="AD773" s="1498"/>
      <c r="AE773" s="1498"/>
      <c r="AF773" s="1498"/>
      <c r="AG773" s="1499"/>
      <c r="AH773" s="1617"/>
      <c r="AI773" s="1618"/>
      <c r="AJ773" s="1618"/>
      <c r="AK773" s="1618"/>
      <c r="AL773" s="1618"/>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5" customHeight="1">
      <c r="J774" s="1382"/>
      <c r="K774" s="1383"/>
      <c r="L774" s="1383"/>
      <c r="M774" s="1383"/>
      <c r="N774" s="1384"/>
      <c r="O774" s="1375"/>
      <c r="P774" s="1375"/>
      <c r="Q774" s="1375"/>
      <c r="R774" s="1375"/>
      <c r="S774" s="1375"/>
      <c r="T774" s="1482"/>
      <c r="U774" s="1483"/>
      <c r="V774" s="1483"/>
      <c r="W774" s="1484"/>
      <c r="X774" s="1479"/>
      <c r="Y774" s="1480"/>
      <c r="Z774" s="1480"/>
      <c r="AA774" s="1480"/>
      <c r="AB774" s="1481"/>
      <c r="AC774" s="1497">
        <f t="shared" si="51"/>
        <v>0</v>
      </c>
      <c r="AD774" s="1498"/>
      <c r="AE774" s="1498"/>
      <c r="AF774" s="1498"/>
      <c r="AG774" s="1499"/>
      <c r="AH774" s="1617"/>
      <c r="AI774" s="1618"/>
      <c r="AJ774" s="1618"/>
      <c r="AK774" s="1618"/>
      <c r="AL774" s="1618"/>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5" customHeight="1">
      <c r="J775" s="1382"/>
      <c r="K775" s="1383"/>
      <c r="L775" s="1383"/>
      <c r="M775" s="1383"/>
      <c r="N775" s="1384"/>
      <c r="O775" s="1375"/>
      <c r="P775" s="1375"/>
      <c r="Q775" s="1375"/>
      <c r="R775" s="1375"/>
      <c r="S775" s="1375"/>
      <c r="T775" s="1482"/>
      <c r="U775" s="1483"/>
      <c r="V775" s="1483"/>
      <c r="W775" s="1484"/>
      <c r="X775" s="1479"/>
      <c r="Y775" s="1480"/>
      <c r="Z775" s="1480"/>
      <c r="AA775" s="1480"/>
      <c r="AB775" s="1481"/>
      <c r="AC775" s="1497">
        <f t="shared" si="51"/>
        <v>0</v>
      </c>
      <c r="AD775" s="1498"/>
      <c r="AE775" s="1498"/>
      <c r="AF775" s="1498"/>
      <c r="AG775" s="1499"/>
      <c r="AH775" s="1617"/>
      <c r="AI775" s="1618"/>
      <c r="AJ775" s="1618"/>
      <c r="AK775" s="1618"/>
      <c r="AL775" s="1618"/>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5" customHeight="1">
      <c r="J776" s="1382"/>
      <c r="K776" s="1383"/>
      <c r="L776" s="1383"/>
      <c r="M776" s="1383"/>
      <c r="N776" s="1384"/>
      <c r="O776" s="1375"/>
      <c r="P776" s="1375"/>
      <c r="Q776" s="1375"/>
      <c r="R776" s="1375"/>
      <c r="S776" s="1375"/>
      <c r="T776" s="1482"/>
      <c r="U776" s="1483"/>
      <c r="V776" s="1483"/>
      <c r="W776" s="1484"/>
      <c r="X776" s="1479"/>
      <c r="Y776" s="1480"/>
      <c r="Z776" s="1480"/>
      <c r="AA776" s="1480"/>
      <c r="AB776" s="1481"/>
      <c r="AC776" s="1497">
        <f t="shared" si="51"/>
        <v>0</v>
      </c>
      <c r="AD776" s="1498"/>
      <c r="AE776" s="1498"/>
      <c r="AF776" s="1498"/>
      <c r="AG776" s="1499"/>
      <c r="AH776" s="1617"/>
      <c r="AI776" s="1618"/>
      <c r="AJ776" s="1618"/>
      <c r="AK776" s="1618"/>
      <c r="AL776" s="1618"/>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5" customHeight="1">
      <c r="J777" s="1382"/>
      <c r="K777" s="1383"/>
      <c r="L777" s="1383"/>
      <c r="M777" s="1383"/>
      <c r="N777" s="1384"/>
      <c r="O777" s="1375"/>
      <c r="P777" s="1375"/>
      <c r="Q777" s="1375"/>
      <c r="R777" s="1375"/>
      <c r="S777" s="1375"/>
      <c r="T777" s="1482"/>
      <c r="U777" s="1483"/>
      <c r="V777" s="1483"/>
      <c r="W777" s="1484"/>
      <c r="X777" s="1479"/>
      <c r="Y777" s="1480"/>
      <c r="Z777" s="1480"/>
      <c r="AA777" s="1480"/>
      <c r="AB777" s="1481"/>
      <c r="AC777" s="1497">
        <f t="shared" si="51"/>
        <v>0</v>
      </c>
      <c r="AD777" s="1498"/>
      <c r="AE777" s="1498"/>
      <c r="AF777" s="1498"/>
      <c r="AG777" s="1499"/>
      <c r="AH777" s="1617"/>
      <c r="AI777" s="1618"/>
      <c r="AJ777" s="1618"/>
      <c r="AK777" s="1618"/>
      <c r="AL777" s="1618"/>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5" customHeight="1">
      <c r="J778" s="1382"/>
      <c r="K778" s="1383"/>
      <c r="L778" s="1383"/>
      <c r="M778" s="1383"/>
      <c r="N778" s="1384"/>
      <c r="O778" s="1375"/>
      <c r="P778" s="1375"/>
      <c r="Q778" s="1375"/>
      <c r="R778" s="1375"/>
      <c r="S778" s="1375"/>
      <c r="T778" s="1482"/>
      <c r="U778" s="1483"/>
      <c r="V778" s="1483"/>
      <c r="W778" s="1484"/>
      <c r="X778" s="1479"/>
      <c r="Y778" s="1480"/>
      <c r="Z778" s="1480"/>
      <c r="AA778" s="1480"/>
      <c r="AB778" s="1481"/>
      <c r="AC778" s="1497">
        <f t="shared" si="51"/>
        <v>0</v>
      </c>
      <c r="AD778" s="1498"/>
      <c r="AE778" s="1498"/>
      <c r="AF778" s="1498"/>
      <c r="AG778" s="1499"/>
      <c r="AH778" s="1617"/>
      <c r="AI778" s="1618"/>
      <c r="AJ778" s="1618"/>
      <c r="AK778" s="1618"/>
      <c r="AL778" s="1618"/>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5" customHeight="1">
      <c r="J779" s="1382"/>
      <c r="K779" s="1383"/>
      <c r="L779" s="1383"/>
      <c r="M779" s="1383"/>
      <c r="N779" s="1384"/>
      <c r="O779" s="1375"/>
      <c r="P779" s="1375"/>
      <c r="Q779" s="1375"/>
      <c r="R779" s="1375"/>
      <c r="S779" s="1375"/>
      <c r="T779" s="1482"/>
      <c r="U779" s="1483"/>
      <c r="V779" s="1483"/>
      <c r="W779" s="1484"/>
      <c r="X779" s="1479"/>
      <c r="Y779" s="1480"/>
      <c r="Z779" s="1480"/>
      <c r="AA779" s="1480"/>
      <c r="AB779" s="1481"/>
      <c r="AC779" s="1497">
        <f t="shared" si="51"/>
        <v>0</v>
      </c>
      <c r="AD779" s="1498"/>
      <c r="AE779" s="1498"/>
      <c r="AF779" s="1498"/>
      <c r="AG779" s="1499"/>
      <c r="AH779" s="1617"/>
      <c r="AI779" s="1618"/>
      <c r="AJ779" s="1618"/>
      <c r="AK779" s="1618"/>
      <c r="AL779" s="1618"/>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5" customHeight="1">
      <c r="J780" s="1382"/>
      <c r="K780" s="1383"/>
      <c r="L780" s="1383"/>
      <c r="M780" s="1383"/>
      <c r="N780" s="1384"/>
      <c r="O780" s="1375"/>
      <c r="P780" s="1375"/>
      <c r="Q780" s="1375"/>
      <c r="R780" s="1375"/>
      <c r="S780" s="1375"/>
      <c r="T780" s="1482"/>
      <c r="U780" s="1483"/>
      <c r="V780" s="1483"/>
      <c r="W780" s="1484"/>
      <c r="X780" s="1479"/>
      <c r="Y780" s="1480"/>
      <c r="Z780" s="1480"/>
      <c r="AA780" s="1480"/>
      <c r="AB780" s="1481"/>
      <c r="AC780" s="1497">
        <f t="shared" si="51"/>
        <v>0</v>
      </c>
      <c r="AD780" s="1498"/>
      <c r="AE780" s="1498"/>
      <c r="AF780" s="1498"/>
      <c r="AG780" s="1499"/>
      <c r="AH780" s="1617"/>
      <c r="AI780" s="1618"/>
      <c r="AJ780" s="1618"/>
      <c r="AK780" s="1618"/>
      <c r="AL780" s="1618"/>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5" customHeight="1">
      <c r="J781" s="1382"/>
      <c r="K781" s="1383"/>
      <c r="L781" s="1383"/>
      <c r="M781" s="1383"/>
      <c r="N781" s="1384"/>
      <c r="O781" s="1375"/>
      <c r="P781" s="1375"/>
      <c r="Q781" s="1375"/>
      <c r="R781" s="1375"/>
      <c r="S781" s="1375"/>
      <c r="T781" s="1482"/>
      <c r="U781" s="1483"/>
      <c r="V781" s="1483"/>
      <c r="W781" s="1484"/>
      <c r="X781" s="1479"/>
      <c r="Y781" s="1480"/>
      <c r="Z781" s="1480"/>
      <c r="AA781" s="1480"/>
      <c r="AB781" s="1481"/>
      <c r="AC781" s="1497">
        <f t="shared" si="51"/>
        <v>0</v>
      </c>
      <c r="AD781" s="1498"/>
      <c r="AE781" s="1498"/>
      <c r="AF781" s="1498"/>
      <c r="AG781" s="1499"/>
      <c r="AH781" s="1617"/>
      <c r="AI781" s="1618"/>
      <c r="AJ781" s="1618"/>
      <c r="AK781" s="1618"/>
      <c r="AL781" s="1618"/>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5" customHeight="1">
      <c r="J782" s="1523" t="s">
        <v>126</v>
      </c>
      <c r="K782" s="1524"/>
      <c r="L782" s="1524"/>
      <c r="M782" s="1524"/>
      <c r="N782" s="1526"/>
      <c r="O782" s="1707">
        <f>SUM(O772:S781)</f>
        <v>0</v>
      </c>
      <c r="P782" s="1707"/>
      <c r="Q782" s="1707"/>
      <c r="R782" s="1707"/>
      <c r="S782" s="1707"/>
      <c r="X782" s="939" t="s">
        <v>125</v>
      </c>
      <c r="Y782" s="11"/>
      <c r="Z782" s="11"/>
      <c r="AA782" s="11"/>
      <c r="AB782" s="946"/>
      <c r="AC782" s="1497">
        <f>SUM(AC772:AG781)</f>
        <v>0</v>
      </c>
      <c r="AD782" s="1498"/>
      <c r="AE782" s="1498"/>
      <c r="AF782" s="1498"/>
      <c r="AG782" s="1499"/>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5" customHeight="1">
      <c r="J784" s="45"/>
      <c r="K784" s="5"/>
      <c r="L784" s="5"/>
      <c r="M784" s="5"/>
      <c r="N784" s="5"/>
      <c r="O784" s="5"/>
      <c r="P784" s="5"/>
      <c r="Q784" s="5"/>
      <c r="R784" s="5"/>
      <c r="S784" s="5"/>
      <c r="T784" s="5"/>
      <c r="U784" s="5"/>
      <c r="V784" s="5"/>
      <c r="W784" s="5"/>
      <c r="X784" s="54" t="s">
        <v>162</v>
      </c>
      <c r="Y784" s="1645">
        <f>O739+AC762+AC782</f>
        <v>260444</v>
      </c>
      <c r="Z784" s="1645"/>
      <c r="AA784" s="1645"/>
      <c r="AB784" s="1645"/>
      <c r="AC784" s="1645"/>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5" customHeight="1">
      <c r="J785" s="47"/>
      <c r="K785" s="48"/>
      <c r="L785" s="48"/>
      <c r="M785" s="48"/>
      <c r="N785" s="48"/>
      <c r="O785" s="48"/>
      <c r="P785" s="48"/>
      <c r="Q785" s="48"/>
      <c r="R785" s="48"/>
      <c r="S785" s="48"/>
      <c r="T785" s="48"/>
      <c r="U785" s="48"/>
      <c r="V785" s="48"/>
      <c r="W785" s="48"/>
      <c r="X785" s="94" t="s">
        <v>163</v>
      </c>
      <c r="Y785" s="1645">
        <f>(O739+AC762+AC782)*12</f>
        <v>3125328</v>
      </c>
      <c r="Z785" s="1645"/>
      <c r="AA785" s="1645"/>
      <c r="AB785" s="1645"/>
      <c r="AC785" s="1645"/>
      <c r="AZ785" s="3"/>
      <c r="BA785" s="14" t="s">
        <v>641</v>
      </c>
      <c r="BB785" s="14"/>
      <c r="BC785" s="14"/>
      <c r="BD785" s="14"/>
      <c r="BE785" s="14"/>
      <c r="BF785" s="14"/>
      <c r="BG785" s="14"/>
      <c r="BH785" s="14"/>
      <c r="BI785" s="14"/>
      <c r="BJ785" s="14"/>
      <c r="BK785" s="14"/>
      <c r="BL785" s="14"/>
      <c r="BM785" s="14"/>
      <c r="BN785" s="1702" t="s">
        <v>478</v>
      </c>
      <c r="BO785" s="1703"/>
      <c r="BP785" s="3"/>
      <c r="BQ785" s="3"/>
      <c r="BR785" s="3"/>
      <c r="BS785" s="14" t="s">
        <v>643</v>
      </c>
      <c r="BT785" s="14"/>
      <c r="BU785" s="14"/>
      <c r="BV785" s="14"/>
      <c r="BW785" s="14"/>
      <c r="BX785" s="14"/>
      <c r="BY785" s="14"/>
      <c r="BZ785" s="14"/>
      <c r="CA785" s="14"/>
      <c r="CB785" s="1699" t="str">
        <f>T189</f>
        <v>San Francisco</v>
      </c>
      <c r="CC785" s="1700"/>
      <c r="CD785" s="1700"/>
      <c r="CE785" s="1700"/>
      <c r="CF785" s="1700"/>
      <c r="CG785" s="1700"/>
      <c r="CH785" s="1701"/>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5" customHeight="1">
      <c r="A787" s="2" t="s">
        <v>598</v>
      </c>
      <c r="B787" s="2"/>
      <c r="C787" s="2" t="s">
        <v>621</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478</v>
      </c>
      <c r="BP787" s="32"/>
      <c r="BQ787" s="32"/>
      <c r="BR787" s="32"/>
      <c r="BS787" s="32"/>
      <c r="BT787" s="32"/>
    </row>
    <row r="788" spans="1:110" s="14" customFormat="1" ht="12.95" customHeight="1">
      <c r="A788" s="2"/>
      <c r="B788" s="2"/>
      <c r="C788" s="2" t="s">
        <v>953</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477</v>
      </c>
      <c r="BO788" s="31" t="s">
        <v>2611</v>
      </c>
      <c r="BP788" s="32"/>
      <c r="BQ788" s="32"/>
      <c r="BR788" s="32"/>
      <c r="BS788" s="32"/>
      <c r="BT788" s="32"/>
      <c r="BV788" s="31" t="s">
        <v>2612</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2.9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2.95"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675">
        <v>40</v>
      </c>
      <c r="AA790" s="1639"/>
      <c r="AB790" s="1639"/>
      <c r="AC790" s="1639"/>
      <c r="AD790" s="1639"/>
      <c r="AE790" s="1640"/>
      <c r="AF790"/>
      <c r="AG790"/>
      <c r="AH790"/>
      <c r="AI790"/>
      <c r="AJ790"/>
      <c r="AK790"/>
      <c r="AL790"/>
      <c r="AM790"/>
      <c r="AN790"/>
      <c r="AO790"/>
      <c r="AP790"/>
      <c r="AQ790"/>
      <c r="AR790"/>
      <c r="AS790"/>
      <c r="AT790"/>
      <c r="AU790"/>
      <c r="AV790"/>
      <c r="AW790"/>
      <c r="AX790"/>
      <c r="AY790"/>
      <c r="BN790" s="69" t="s">
        <v>478</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2.95"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638">
        <v>15</v>
      </c>
      <c r="AA791" s="1639"/>
      <c r="AB791" s="1639"/>
      <c r="AC791" s="1639"/>
      <c r="AD791" s="1639"/>
      <c r="AE791" s="1640"/>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2.95"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620" t="s">
        <v>2765</v>
      </c>
      <c r="AA792" s="1598"/>
      <c r="AB792" s="1598"/>
      <c r="AC792" s="1598"/>
      <c r="AD792" s="1598"/>
      <c r="AE792" s="1621"/>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2.95"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20">
        <f>'Subsidy Contract Calculation'!J30</f>
        <v>729250</v>
      </c>
      <c r="AA793" s="1521"/>
      <c r="AB793" s="1521"/>
      <c r="AC793" s="1521"/>
      <c r="AD793" s="1521"/>
      <c r="AE793" s="1522"/>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2.9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642</v>
      </c>
      <c r="BQ794" s="72" t="s">
        <v>327</v>
      </c>
      <c r="BR794" s="72" t="s">
        <v>164</v>
      </c>
      <c r="BS794" s="72" t="s">
        <v>165</v>
      </c>
      <c r="BT794" s="72" t="s">
        <v>469</v>
      </c>
      <c r="BW794" s="71" t="s">
        <v>642</v>
      </c>
      <c r="BX794" s="72" t="s">
        <v>327</v>
      </c>
      <c r="BY794" s="72" t="s">
        <v>164</v>
      </c>
      <c r="BZ794" s="72" t="s">
        <v>165</v>
      </c>
      <c r="CA794" s="72" t="s">
        <v>469</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2.95" customHeight="1">
      <c r="A795" s="2" t="s">
        <v>599</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645</v>
      </c>
      <c r="BP795" s="352">
        <v>473390</v>
      </c>
      <c r="BQ795" s="352">
        <v>545814</v>
      </c>
      <c r="BR795" s="352">
        <v>658400</v>
      </c>
      <c r="BS795" s="352">
        <v>842752</v>
      </c>
      <c r="BT795" s="352">
        <v>938878</v>
      </c>
      <c r="BU795" s="14"/>
      <c r="BV795" s="23" t="s">
        <v>645</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2.9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646</v>
      </c>
      <c r="BP796" s="350">
        <v>352022</v>
      </c>
      <c r="BQ796" s="350">
        <v>405878</v>
      </c>
      <c r="BR796" s="350">
        <v>489600</v>
      </c>
      <c r="BS796" s="350">
        <v>626688</v>
      </c>
      <c r="BT796" s="350">
        <v>698170</v>
      </c>
      <c r="BU796" s="14"/>
      <c r="BV796" s="23" t="s">
        <v>646</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2.95"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609">
        <v>49959</v>
      </c>
      <c r="AA797" s="1610"/>
      <c r="AB797" s="1610"/>
      <c r="AC797" s="1610"/>
      <c r="AD797" s="1610"/>
      <c r="AE797" s="1611"/>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2.95"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609"/>
      <c r="AA798" s="1610"/>
      <c r="AB798" s="1610"/>
      <c r="AC798" s="1610"/>
      <c r="AD798" s="1610"/>
      <c r="AE798" s="1611"/>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669</v>
      </c>
      <c r="BP798" s="350">
        <v>319236</v>
      </c>
      <c r="BQ798" s="350">
        <v>368076</v>
      </c>
      <c r="BR798" s="350">
        <v>444000</v>
      </c>
      <c r="BS798" s="350">
        <v>568320</v>
      </c>
      <c r="BT798" s="350">
        <v>633144</v>
      </c>
      <c r="BU798" s="14"/>
      <c r="BV798" s="23" t="s">
        <v>669</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2.95"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609"/>
      <c r="AA799" s="1610"/>
      <c r="AB799" s="1610"/>
      <c r="AC799" s="1610"/>
      <c r="AD799" s="1610"/>
      <c r="AE799" s="1611"/>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670</v>
      </c>
      <c r="BP799" s="352">
        <v>352022</v>
      </c>
      <c r="BQ799" s="352">
        <v>405878</v>
      </c>
      <c r="BR799" s="352">
        <v>489600</v>
      </c>
      <c r="BS799" s="352">
        <v>626688</v>
      </c>
      <c r="BT799" s="352">
        <v>698170</v>
      </c>
      <c r="BU799" s="14"/>
      <c r="BV799" s="23" t="s">
        <v>670</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2.95" customHeight="1">
      <c r="A800"/>
      <c r="B800"/>
      <c r="C800"/>
      <c r="D800"/>
      <c r="E800"/>
      <c r="F800"/>
      <c r="G800"/>
      <c r="H800" s="45" t="s">
        <v>39</v>
      </c>
      <c r="I800" s="5"/>
      <c r="J800" s="5"/>
      <c r="K800" s="5"/>
      <c r="L800" s="5"/>
      <c r="M800" s="5"/>
      <c r="N800" s="5"/>
      <c r="O800" s="5"/>
      <c r="P800" s="1612" t="s">
        <v>336</v>
      </c>
      <c r="Q800" s="1613"/>
      <c r="R800" s="1613"/>
      <c r="S800" s="1613"/>
      <c r="T800" s="1613"/>
      <c r="U800" s="1613"/>
      <c r="V800" s="1613"/>
      <c r="W800" s="1613"/>
      <c r="X800" s="1613"/>
      <c r="Y800" s="1614"/>
      <c r="Z800" s="1609"/>
      <c r="AA800" s="1610"/>
      <c r="AB800" s="1610"/>
      <c r="AC800" s="1610"/>
      <c r="AD800" s="1610"/>
      <c r="AE800" s="1611"/>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671</v>
      </c>
      <c r="BP800" s="350">
        <v>352022</v>
      </c>
      <c r="BQ800" s="350">
        <v>405878</v>
      </c>
      <c r="BR800" s="350">
        <v>489600</v>
      </c>
      <c r="BS800" s="350">
        <v>626688</v>
      </c>
      <c r="BT800" s="350">
        <v>698170</v>
      </c>
      <c r="BU800" s="14"/>
      <c r="BV800" s="23" t="s">
        <v>671</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2.95"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20">
        <f>SUM(Z797:AE800)</f>
        <v>49959</v>
      </c>
      <c r="AA801" s="1521"/>
      <c r="AB801" s="1521"/>
      <c r="AC801" s="1521"/>
      <c r="AD801" s="1521"/>
      <c r="AE801" s="1522"/>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672</v>
      </c>
      <c r="BP801" s="352">
        <v>473390</v>
      </c>
      <c r="BQ801" s="352">
        <v>545814</v>
      </c>
      <c r="BR801" s="352">
        <v>658400</v>
      </c>
      <c r="BS801" s="352">
        <v>842752</v>
      </c>
      <c r="BT801" s="352">
        <v>938878</v>
      </c>
      <c r="BU801" s="14"/>
      <c r="BV801" s="23" t="s">
        <v>672</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2.95" customHeight="1">
      <c r="A802"/>
      <c r="B802"/>
      <c r="C802"/>
      <c r="D802"/>
      <c r="E802"/>
      <c r="F802"/>
      <c r="G802"/>
      <c r="H802" s="45"/>
      <c r="I802" s="5"/>
      <c r="J802" s="5"/>
      <c r="K802" s="5"/>
      <c r="L802" s="5"/>
      <c r="M802" s="5"/>
      <c r="N802" s="5"/>
      <c r="O802" s="5"/>
      <c r="P802" s="5"/>
      <c r="Q802" s="5"/>
      <c r="R802" s="5"/>
      <c r="S802" s="5"/>
      <c r="T802" s="5"/>
      <c r="U802" s="5"/>
      <c r="V802" s="5"/>
      <c r="W802" s="5"/>
      <c r="X802" s="5"/>
      <c r="Y802" s="53" t="s">
        <v>653</v>
      </c>
      <c r="Z802" s="1520">
        <f>Z801+Y785+Z793</f>
        <v>3904537</v>
      </c>
      <c r="AA802" s="1521"/>
      <c r="AB802" s="1521"/>
      <c r="AC802" s="1521"/>
      <c r="AD802" s="1521"/>
      <c r="AE802" s="1522"/>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673</v>
      </c>
      <c r="BP802" s="350">
        <v>352022</v>
      </c>
      <c r="BQ802" s="350">
        <v>405878</v>
      </c>
      <c r="BR802" s="350">
        <v>489600</v>
      </c>
      <c r="BS802" s="350">
        <v>626688</v>
      </c>
      <c r="BT802" s="350">
        <v>698170</v>
      </c>
      <c r="BU802" s="14"/>
      <c r="BV802" s="23" t="s">
        <v>673</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2.9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674</v>
      </c>
      <c r="BP803" s="352">
        <v>331890</v>
      </c>
      <c r="BQ803" s="352">
        <v>382666</v>
      </c>
      <c r="BR803" s="352">
        <v>461600</v>
      </c>
      <c r="BS803" s="352">
        <v>590848</v>
      </c>
      <c r="BT803" s="352">
        <v>658242</v>
      </c>
      <c r="BU803" s="14"/>
      <c r="BV803" s="23" t="s">
        <v>674</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2.95" customHeight="1">
      <c r="A804" s="2" t="s">
        <v>601</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676</v>
      </c>
      <c r="BP804" s="350">
        <v>307732</v>
      </c>
      <c r="BQ804" s="350">
        <v>354812</v>
      </c>
      <c r="BR804" s="350">
        <v>428000</v>
      </c>
      <c r="BS804" s="350">
        <v>547840</v>
      </c>
      <c r="BT804" s="350">
        <v>610328</v>
      </c>
      <c r="BU804" s="14"/>
      <c r="BV804" s="23" t="s">
        <v>676</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2.95" customHeight="1">
      <c r="A805"/>
      <c r="B805"/>
      <c r="C805" s="22" t="s">
        <v>843</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679</v>
      </c>
      <c r="BP805" s="352">
        <v>352022</v>
      </c>
      <c r="BQ805" s="352">
        <v>405878</v>
      </c>
      <c r="BR805" s="352">
        <v>489600</v>
      </c>
      <c r="BS805" s="352">
        <v>626688</v>
      </c>
      <c r="BT805" s="352">
        <v>698170</v>
      </c>
      <c r="BU805" s="14"/>
      <c r="BV805" s="23" t="s">
        <v>679</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2.95"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680</v>
      </c>
      <c r="BP806" s="350">
        <v>352022</v>
      </c>
      <c r="BQ806" s="350">
        <v>405878</v>
      </c>
      <c r="BR806" s="350">
        <v>489600</v>
      </c>
      <c r="BS806" s="350">
        <v>626688</v>
      </c>
      <c r="BT806" s="350">
        <v>698170</v>
      </c>
      <c r="BU806" s="14"/>
      <c r="BV806" s="23" t="s">
        <v>680</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2.95" customHeight="1">
      <c r="A807"/>
      <c r="B807"/>
      <c r="C807" s="41"/>
      <c r="D807" s="42"/>
      <c r="E807" s="42"/>
      <c r="F807" s="42"/>
      <c r="G807" s="42"/>
      <c r="H807" s="42"/>
      <c r="I807" s="42"/>
      <c r="J807" s="42"/>
      <c r="K807" s="42"/>
      <c r="L807" s="58"/>
      <c r="M807" s="1592" t="s">
        <v>127</v>
      </c>
      <c r="N807" s="1592"/>
      <c r="O807" s="1592"/>
      <c r="P807" s="1593"/>
      <c r="Q807" s="1619" t="s">
        <v>292</v>
      </c>
      <c r="R807" s="1619"/>
      <c r="S807" s="1619"/>
      <c r="T807" s="1619"/>
      <c r="U807" s="1619" t="s">
        <v>293</v>
      </c>
      <c r="V807" s="1619"/>
      <c r="W807" s="1619"/>
      <c r="X807" s="1619"/>
      <c r="Y807" s="1619" t="s">
        <v>294</v>
      </c>
      <c r="Z807" s="1619"/>
      <c r="AA807" s="1619"/>
      <c r="AB807" s="1619"/>
      <c r="AC807" s="1619" t="s">
        <v>363</v>
      </c>
      <c r="AD807" s="1619"/>
      <c r="AE807" s="1619"/>
      <c r="AF807" s="1619"/>
      <c r="AG807" s="1633" t="s">
        <v>337</v>
      </c>
      <c r="AH807" s="1633"/>
      <c r="AI807" s="1633"/>
      <c r="AJ807" s="1633"/>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682</v>
      </c>
      <c r="BP807" s="352">
        <v>314634</v>
      </c>
      <c r="BQ807" s="352">
        <v>362770</v>
      </c>
      <c r="BR807" s="352">
        <v>437600</v>
      </c>
      <c r="BS807" s="352">
        <v>560128</v>
      </c>
      <c r="BT807" s="352">
        <v>624018</v>
      </c>
      <c r="BU807" s="14"/>
      <c r="BV807" s="23" t="s">
        <v>682</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2.95" customHeight="1">
      <c r="A808"/>
      <c r="B808"/>
      <c r="C808" s="47"/>
      <c r="D808" s="48"/>
      <c r="E808" s="48"/>
      <c r="F808" s="48"/>
      <c r="G808" s="48"/>
      <c r="H808" s="48"/>
      <c r="I808" s="48"/>
      <c r="J808" s="48"/>
      <c r="K808" s="48"/>
      <c r="L808" s="49"/>
      <c r="M808" s="1594"/>
      <c r="N808" s="1594"/>
      <c r="O808" s="1594"/>
      <c r="P808" s="1595"/>
      <c r="Q808" s="1619"/>
      <c r="R808" s="1619"/>
      <c r="S808" s="1619"/>
      <c r="T808" s="1619"/>
      <c r="U808" s="1619"/>
      <c r="V808" s="1619"/>
      <c r="W808" s="1619"/>
      <c r="X808" s="1619"/>
      <c r="Y808" s="1619"/>
      <c r="Z808" s="1619"/>
      <c r="AA808" s="1619"/>
      <c r="AB808" s="1619"/>
      <c r="AC808" s="1619"/>
      <c r="AD808" s="1619"/>
      <c r="AE808" s="1619"/>
      <c r="AF808" s="1619"/>
      <c r="AG808" s="1633"/>
      <c r="AH808" s="1633"/>
      <c r="AI808" s="1633"/>
      <c r="AJ808" s="1633"/>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683</v>
      </c>
      <c r="BP808" s="350">
        <v>352022</v>
      </c>
      <c r="BQ808" s="350">
        <v>405878</v>
      </c>
      <c r="BR808" s="350">
        <v>489600</v>
      </c>
      <c r="BS808" s="350">
        <v>626688</v>
      </c>
      <c r="BT808" s="350">
        <v>698170</v>
      </c>
      <c r="BU808" s="14"/>
      <c r="BV808" s="23" t="s">
        <v>683</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2.95" customHeight="1">
      <c r="A809"/>
      <c r="B809"/>
      <c r="C809" s="1596" t="s">
        <v>40</v>
      </c>
      <c r="D809" s="1517"/>
      <c r="E809" s="1517"/>
      <c r="F809" s="1517"/>
      <c r="G809" s="1517"/>
      <c r="H809" s="1517"/>
      <c r="I809" s="48"/>
      <c r="J809" s="48"/>
      <c r="K809" s="48"/>
      <c r="L809" s="49"/>
      <c r="M809" s="1591">
        <v>5</v>
      </c>
      <c r="N809" s="1591"/>
      <c r="O809" s="1591"/>
      <c r="P809" s="1591"/>
      <c r="Q809" s="1591">
        <v>6</v>
      </c>
      <c r="R809" s="1591"/>
      <c r="S809" s="1591"/>
      <c r="T809" s="1591"/>
      <c r="U809" s="1591">
        <v>8</v>
      </c>
      <c r="V809" s="1591"/>
      <c r="W809" s="1591"/>
      <c r="X809" s="1591"/>
      <c r="Y809" s="1591">
        <v>10</v>
      </c>
      <c r="Z809" s="1591"/>
      <c r="AA809" s="1591"/>
      <c r="AB809" s="1591"/>
      <c r="AC809" s="1588"/>
      <c r="AD809" s="1589"/>
      <c r="AE809" s="1589"/>
      <c r="AF809" s="1590"/>
      <c r="AG809" s="1588"/>
      <c r="AH809" s="1589"/>
      <c r="AI809" s="1589"/>
      <c r="AJ809" s="1590"/>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2.95" customHeight="1">
      <c r="A810"/>
      <c r="B810"/>
      <c r="C810" s="1426" t="s">
        <v>41</v>
      </c>
      <c r="D810" s="1427"/>
      <c r="E810" s="1427"/>
      <c r="F810" s="1427"/>
      <c r="G810" s="1427"/>
      <c r="H810" s="1427"/>
      <c r="I810" s="5"/>
      <c r="J810" s="5"/>
      <c r="K810" s="5"/>
      <c r="L810" s="46"/>
      <c r="M810" s="1591">
        <v>32</v>
      </c>
      <c r="N810" s="1591"/>
      <c r="O810" s="1591"/>
      <c r="P810" s="1591"/>
      <c r="Q810" s="1591">
        <v>56</v>
      </c>
      <c r="R810" s="1591"/>
      <c r="S810" s="1591"/>
      <c r="T810" s="1591"/>
      <c r="U810" s="1591">
        <v>76</v>
      </c>
      <c r="V810" s="1591"/>
      <c r="W810" s="1591"/>
      <c r="X810" s="1591"/>
      <c r="Y810" s="1591">
        <v>92</v>
      </c>
      <c r="Z810" s="1591"/>
      <c r="AA810" s="1591"/>
      <c r="AB810" s="1591"/>
      <c r="AC810" s="1588"/>
      <c r="AD810" s="1589"/>
      <c r="AE810" s="1589"/>
      <c r="AF810" s="1590"/>
      <c r="AG810" s="1588"/>
      <c r="AH810" s="1589"/>
      <c r="AI810" s="1589"/>
      <c r="AJ810" s="1590"/>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95" customHeight="1">
      <c r="A811"/>
      <c r="B811"/>
      <c r="C811" s="1426" t="s">
        <v>42</v>
      </c>
      <c r="D811" s="1427"/>
      <c r="E811" s="1427"/>
      <c r="F811" s="1427"/>
      <c r="G811" s="1427"/>
      <c r="H811" s="1427"/>
      <c r="I811" s="60"/>
      <c r="J811" s="60"/>
      <c r="K811" s="60"/>
      <c r="L811" s="61"/>
      <c r="M811" s="1591">
        <v>16</v>
      </c>
      <c r="N811" s="1591"/>
      <c r="O811" s="1591"/>
      <c r="P811" s="1591"/>
      <c r="Q811" s="1591">
        <v>23</v>
      </c>
      <c r="R811" s="1591"/>
      <c r="S811" s="1591"/>
      <c r="T811" s="1591"/>
      <c r="U811" s="1591">
        <v>29</v>
      </c>
      <c r="V811" s="1591"/>
      <c r="W811" s="1591"/>
      <c r="X811" s="1591"/>
      <c r="Y811" s="1591">
        <v>36</v>
      </c>
      <c r="Z811" s="1591"/>
      <c r="AA811" s="1591"/>
      <c r="AB811" s="1591"/>
      <c r="AC811" s="1588"/>
      <c r="AD811" s="1589"/>
      <c r="AE811" s="1589"/>
      <c r="AF811" s="1590"/>
      <c r="AG811" s="1588"/>
      <c r="AH811" s="1589"/>
      <c r="AI811" s="1589"/>
      <c r="AJ811" s="1590"/>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95" customHeight="1">
      <c r="A812"/>
      <c r="B812"/>
      <c r="C812" s="1426" t="s">
        <v>786</v>
      </c>
      <c r="D812" s="1427"/>
      <c r="E812" s="1427"/>
      <c r="F812" s="1427"/>
      <c r="G812" s="1427"/>
      <c r="H812" s="1427"/>
      <c r="I812" s="60"/>
      <c r="J812" s="60"/>
      <c r="K812" s="60"/>
      <c r="L812" s="61"/>
      <c r="M812" s="1591"/>
      <c r="N812" s="1591"/>
      <c r="O812" s="1591"/>
      <c r="P812" s="1591"/>
      <c r="Q812" s="1591"/>
      <c r="R812" s="1591"/>
      <c r="S812" s="1591"/>
      <c r="T812" s="1591"/>
      <c r="U812" s="1591"/>
      <c r="V812" s="1591"/>
      <c r="W812" s="1591"/>
      <c r="X812" s="1591"/>
      <c r="Y812" s="1591"/>
      <c r="Z812" s="1591"/>
      <c r="AA812" s="1591"/>
      <c r="AB812" s="1591"/>
      <c r="AC812" s="1588"/>
      <c r="AD812" s="1589"/>
      <c r="AE812" s="1589"/>
      <c r="AF812" s="1590"/>
      <c r="AG812" s="1588"/>
      <c r="AH812" s="1589"/>
      <c r="AI812" s="1589"/>
      <c r="AJ812" s="1590"/>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2.95" customHeight="1">
      <c r="A813"/>
      <c r="B813"/>
      <c r="C813" s="1426" t="s">
        <v>468</v>
      </c>
      <c r="D813" s="1427"/>
      <c r="E813" s="1427"/>
      <c r="F813" s="1427"/>
      <c r="G813" s="1427"/>
      <c r="H813" s="1427"/>
      <c r="I813" s="60"/>
      <c r="J813" s="60"/>
      <c r="K813" s="60"/>
      <c r="L813" s="61"/>
      <c r="M813" s="1591">
        <v>47</v>
      </c>
      <c r="N813" s="1591"/>
      <c r="O813" s="1591"/>
      <c r="P813" s="1591"/>
      <c r="Q813" s="1591">
        <v>65</v>
      </c>
      <c r="R813" s="1591"/>
      <c r="S813" s="1591"/>
      <c r="T813" s="1591"/>
      <c r="U813" s="1591">
        <v>84</v>
      </c>
      <c r="V813" s="1591"/>
      <c r="W813" s="1591"/>
      <c r="X813" s="1591"/>
      <c r="Y813" s="1591">
        <v>103</v>
      </c>
      <c r="Z813" s="1591"/>
      <c r="AA813" s="1591"/>
      <c r="AB813" s="1591"/>
      <c r="AC813" s="1588"/>
      <c r="AD813" s="1589"/>
      <c r="AE813" s="1589"/>
      <c r="AF813" s="1590"/>
      <c r="AG813" s="1588"/>
      <c r="AH813" s="1589"/>
      <c r="AI813" s="1589"/>
      <c r="AJ813" s="1590"/>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95" customHeight="1">
      <c r="A814"/>
      <c r="B814"/>
      <c r="C814" s="1637" t="s">
        <v>807</v>
      </c>
      <c r="D814" s="1427"/>
      <c r="E814" s="1427"/>
      <c r="F814" s="1427"/>
      <c r="G814" s="1427"/>
      <c r="H814" s="1427"/>
      <c r="I814" s="60"/>
      <c r="J814" s="60"/>
      <c r="K814" s="60"/>
      <c r="L814" s="61"/>
      <c r="M814" s="1591"/>
      <c r="N814" s="1591"/>
      <c r="O814" s="1591"/>
      <c r="P814" s="1591"/>
      <c r="Q814" s="1591"/>
      <c r="R814" s="1591"/>
      <c r="S814" s="1591"/>
      <c r="T814" s="1591"/>
      <c r="U814" s="1591"/>
      <c r="V814" s="1591"/>
      <c r="W814" s="1591"/>
      <c r="X814" s="1591"/>
      <c r="Y814" s="1591"/>
      <c r="Z814" s="1591"/>
      <c r="AA814" s="1591"/>
      <c r="AB814" s="1591"/>
      <c r="AC814" s="1588"/>
      <c r="AD814" s="1589"/>
      <c r="AE814" s="1589"/>
      <c r="AF814" s="1590"/>
      <c r="AG814" s="1588"/>
      <c r="AH814" s="1589"/>
      <c r="AI814" s="1589"/>
      <c r="AJ814" s="1590"/>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95" customHeight="1">
      <c r="A815"/>
      <c r="B815"/>
      <c r="C815" s="59" t="s">
        <v>295</v>
      </c>
      <c r="D815" s="60"/>
      <c r="E815" s="60"/>
      <c r="F815" s="1612" t="s">
        <v>2772</v>
      </c>
      <c r="G815" s="1613"/>
      <c r="H815" s="1613"/>
      <c r="I815" s="1613"/>
      <c r="J815" s="1613"/>
      <c r="K815" s="1613"/>
      <c r="L815" s="1613"/>
      <c r="M815" s="1591">
        <v>2</v>
      </c>
      <c r="N815" s="1591"/>
      <c r="O815" s="1591"/>
      <c r="P815" s="1591"/>
      <c r="Q815" s="1591">
        <v>3</v>
      </c>
      <c r="R815" s="1591"/>
      <c r="S815" s="1591"/>
      <c r="T815" s="1591"/>
      <c r="U815" s="1591">
        <v>4</v>
      </c>
      <c r="V815" s="1591"/>
      <c r="W815" s="1591"/>
      <c r="X815" s="1591"/>
      <c r="Y815" s="1591">
        <v>5</v>
      </c>
      <c r="Z815" s="1591"/>
      <c r="AA815" s="1591"/>
      <c r="AB815" s="1591"/>
      <c r="AC815" s="1588"/>
      <c r="AD815" s="1589"/>
      <c r="AE815" s="1589"/>
      <c r="AF815" s="1590"/>
      <c r="AG815" s="1588"/>
      <c r="AH815" s="1589"/>
      <c r="AI815" s="1589"/>
      <c r="AJ815" s="1590"/>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95" customHeight="1">
      <c r="A816"/>
      <c r="B816"/>
      <c r="C816" s="1523" t="s">
        <v>125</v>
      </c>
      <c r="D816" s="1524"/>
      <c r="E816" s="1524"/>
      <c r="F816" s="1524"/>
      <c r="G816" s="1524"/>
      <c r="H816" s="1524"/>
      <c r="I816" s="1524"/>
      <c r="J816" s="1524"/>
      <c r="K816" s="1524"/>
      <c r="L816" s="1526"/>
      <c r="M816" s="1625">
        <f>SUM(M809:P815)</f>
        <v>102</v>
      </c>
      <c r="N816" s="1625"/>
      <c r="O816" s="1625"/>
      <c r="P816" s="1625"/>
      <c r="Q816" s="1625">
        <f>SUM(Q809:T815)</f>
        <v>153</v>
      </c>
      <c r="R816" s="1625"/>
      <c r="S816" s="1625"/>
      <c r="T816" s="1625"/>
      <c r="U816" s="1625">
        <f>SUM(U809:X815)</f>
        <v>201</v>
      </c>
      <c r="V816" s="1625"/>
      <c r="W816" s="1625"/>
      <c r="X816" s="1625"/>
      <c r="Y816" s="1625">
        <f>SUM(Y809:AB815)</f>
        <v>246</v>
      </c>
      <c r="Z816" s="1625"/>
      <c r="AA816" s="1625"/>
      <c r="AB816" s="1625"/>
      <c r="AC816" s="1625">
        <f>SUM(AC809:AF815)</f>
        <v>0</v>
      </c>
      <c r="AD816" s="1625"/>
      <c r="AE816" s="1625"/>
      <c r="AF816" s="1625"/>
      <c r="AG816" s="1625">
        <f>SUM(AG809:AJ815)</f>
        <v>0</v>
      </c>
      <c r="AH816" s="1625"/>
      <c r="AI816" s="1625"/>
      <c r="AJ816" s="1625"/>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s="57" t="s">
        <v>808</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s="57" t="s">
        <v>809</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s="1682" t="s">
        <v>2713</v>
      </c>
      <c r="D821" s="1683"/>
      <c r="E821" s="1683"/>
      <c r="F821" s="1683"/>
      <c r="G821" s="1683"/>
      <c r="H821" s="1683"/>
      <c r="I821" s="1683"/>
      <c r="J821" s="1683"/>
      <c r="K821" s="1683"/>
      <c r="L821" s="1683"/>
      <c r="M821" s="1683"/>
      <c r="N821" s="1683"/>
      <c r="O821" s="1683"/>
      <c r="P821" s="1683"/>
      <c r="Q821" s="1683"/>
      <c r="R821" s="1683"/>
      <c r="S821" s="1683"/>
      <c r="T821" s="1683"/>
      <c r="U821" s="1683"/>
      <c r="V821" s="1683"/>
      <c r="W821" s="1683"/>
      <c r="X821" s="1683"/>
      <c r="Y821" s="1683"/>
      <c r="Z821" s="1683"/>
      <c r="AA821" s="1683"/>
      <c r="AB821" s="1683"/>
      <c r="AC821" s="1683"/>
      <c r="AD821" s="1683"/>
      <c r="AE821" s="1683"/>
      <c r="AF821" s="1683"/>
      <c r="AG821" s="1683"/>
      <c r="AH821" s="1683"/>
      <c r="AI821" s="1683"/>
      <c r="AJ821" s="1684"/>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C822" s="3" t="s">
        <v>1297</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2.9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2.95" customHeight="1">
      <c r="A824" s="2" t="s">
        <v>476</v>
      </c>
      <c r="B824"/>
      <c r="C824" s="2" t="s">
        <v>784</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2.9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2.95" customHeight="1">
      <c r="A826"/>
      <c r="B826"/>
      <c r="C826" s="2" t="s">
        <v>345</v>
      </c>
      <c r="D826"/>
      <c r="E826"/>
      <c r="F826"/>
      <c r="G826"/>
      <c r="H826"/>
      <c r="I826"/>
      <c r="J826" s="45" t="s">
        <v>358</v>
      </c>
      <c r="K826" s="5"/>
      <c r="L826" s="5"/>
      <c r="M826" s="5"/>
      <c r="N826" s="5"/>
      <c r="O826" s="5"/>
      <c r="P826" s="5"/>
      <c r="Q826" s="5"/>
      <c r="R826" s="5"/>
      <c r="S826" s="5"/>
      <c r="T826" s="5"/>
      <c r="U826" s="5"/>
      <c r="V826" s="46"/>
      <c r="W826" s="1629">
        <v>5400</v>
      </c>
      <c r="X826" s="1629"/>
      <c r="Y826" s="1629"/>
      <c r="Z826" s="1629"/>
      <c r="AA826" s="1629"/>
      <c r="AB826" s="1629"/>
      <c r="AC826" s="1629"/>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2.95" customHeight="1">
      <c r="A827"/>
      <c r="B827"/>
      <c r="C827"/>
      <c r="D827"/>
      <c r="E827"/>
      <c r="F827"/>
      <c r="G827"/>
      <c r="H827"/>
      <c r="I827"/>
      <c r="J827" s="45" t="s">
        <v>357</v>
      </c>
      <c r="K827" s="5"/>
      <c r="L827" s="5"/>
      <c r="M827" s="5"/>
      <c r="N827" s="5"/>
      <c r="O827" s="5"/>
      <c r="P827" s="5"/>
      <c r="Q827" s="5"/>
      <c r="R827" s="5"/>
      <c r="S827" s="5"/>
      <c r="T827" s="5"/>
      <c r="U827" s="5"/>
      <c r="V827" s="46"/>
      <c r="W827" s="1629">
        <v>10000</v>
      </c>
      <c r="X827" s="1629"/>
      <c r="Y827" s="1629"/>
      <c r="Z827" s="1629"/>
      <c r="AA827" s="1629"/>
      <c r="AB827" s="1629"/>
      <c r="AC827" s="1629"/>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2.95" customHeight="1">
      <c r="A828"/>
      <c r="B828"/>
      <c r="C828"/>
      <c r="D828"/>
      <c r="E828"/>
      <c r="F828"/>
      <c r="G828"/>
      <c r="H828"/>
      <c r="I828"/>
      <c r="J828" s="45" t="s">
        <v>356</v>
      </c>
      <c r="K828" s="5"/>
      <c r="L828" s="5"/>
      <c r="M828" s="5"/>
      <c r="N828" s="5"/>
      <c r="O828" s="5"/>
      <c r="P828" s="5"/>
      <c r="Q828" s="5"/>
      <c r="R828" s="5"/>
      <c r="S828" s="5"/>
      <c r="T828" s="5"/>
      <c r="U828" s="5"/>
      <c r="V828" s="46"/>
      <c r="W828" s="1629">
        <v>34722</v>
      </c>
      <c r="X828" s="1629"/>
      <c r="Y828" s="1629"/>
      <c r="Z828" s="1629"/>
      <c r="AA828" s="1629"/>
      <c r="AB828" s="1629"/>
      <c r="AC828" s="1629"/>
      <c r="AD828"/>
      <c r="AE828"/>
      <c r="AF828"/>
      <c r="AG828"/>
      <c r="AH828"/>
      <c r="AI828"/>
      <c r="AJ828"/>
      <c r="AK828"/>
      <c r="AL828"/>
      <c r="AM828"/>
      <c r="AN828"/>
      <c r="AO828"/>
      <c r="AP828"/>
      <c r="AQ828"/>
      <c r="AR828"/>
      <c r="AS828"/>
      <c r="AT828"/>
      <c r="AU828"/>
      <c r="AV828"/>
      <c r="AW828"/>
      <c r="AX828"/>
      <c r="AY828"/>
      <c r="BO828" s="23" t="s">
        <v>644</v>
      </c>
      <c r="BP828" s="350">
        <v>331890</v>
      </c>
      <c r="BQ828" s="350">
        <v>382666</v>
      </c>
      <c r="BR828" s="350">
        <v>461600</v>
      </c>
      <c r="BS828" s="350">
        <v>590848</v>
      </c>
      <c r="BT828" s="350">
        <v>658242</v>
      </c>
      <c r="BV828" s="23" t="s">
        <v>644</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2.95" customHeight="1">
      <c r="A829"/>
      <c r="B829"/>
      <c r="C829"/>
      <c r="D829"/>
      <c r="E829"/>
      <c r="F829"/>
      <c r="G829"/>
      <c r="H829"/>
      <c r="I829"/>
      <c r="J829" s="45" t="s">
        <v>355</v>
      </c>
      <c r="K829" s="5"/>
      <c r="L829" s="5"/>
      <c r="M829" s="5"/>
      <c r="N829" s="5"/>
      <c r="O829" s="5"/>
      <c r="P829" s="5"/>
      <c r="Q829" s="5"/>
      <c r="R829" s="5"/>
      <c r="S829" s="5"/>
      <c r="T829" s="5"/>
      <c r="U829" s="5"/>
      <c r="V829" s="46"/>
      <c r="W829" s="1629">
        <f>32940+30000</f>
        <v>62940</v>
      </c>
      <c r="X829" s="1629"/>
      <c r="Y829" s="1629"/>
      <c r="Z829" s="1629"/>
      <c r="AA829" s="1629"/>
      <c r="AB829" s="1629"/>
      <c r="AC829" s="1629"/>
      <c r="AD829"/>
      <c r="AE829"/>
      <c r="AF829"/>
      <c r="AG829"/>
      <c r="AH829"/>
      <c r="AI829"/>
      <c r="AJ829"/>
      <c r="AK829"/>
      <c r="AL829"/>
      <c r="AM829"/>
      <c r="AN829"/>
      <c r="AO829"/>
      <c r="AP829"/>
      <c r="AQ829"/>
      <c r="AR829"/>
      <c r="AS829"/>
      <c r="AT829"/>
      <c r="AU829"/>
      <c r="AV829"/>
      <c r="AW829"/>
      <c r="AX829"/>
      <c r="AY829"/>
      <c r="BO829" s="23" t="s">
        <v>698</v>
      </c>
      <c r="BP829" s="352">
        <v>352022</v>
      </c>
      <c r="BQ829" s="352">
        <v>405878</v>
      </c>
      <c r="BR829" s="352">
        <v>489600</v>
      </c>
      <c r="BS829" s="352">
        <v>626688</v>
      </c>
      <c r="BT829" s="352">
        <v>698170</v>
      </c>
      <c r="BV829" s="23" t="s">
        <v>698</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2.95" customHeight="1">
      <c r="A830"/>
      <c r="B830"/>
      <c r="C830"/>
      <c r="D830"/>
      <c r="E830"/>
      <c r="F830"/>
      <c r="G830"/>
      <c r="H830"/>
      <c r="I830"/>
      <c r="J830" s="45" t="s">
        <v>171</v>
      </c>
      <c r="K830" s="5"/>
      <c r="L830" s="5"/>
      <c r="M830" s="1612" t="s">
        <v>2767</v>
      </c>
      <c r="N830" s="1613"/>
      <c r="O830" s="1613"/>
      <c r="P830" s="1613"/>
      <c r="Q830" s="1613"/>
      <c r="R830" s="1613"/>
      <c r="S830" s="1613"/>
      <c r="T830" s="1613"/>
      <c r="U830" s="1613"/>
      <c r="V830" s="1614"/>
      <c r="W830" s="1629">
        <f>48530</f>
        <v>48530</v>
      </c>
      <c r="X830" s="1629"/>
      <c r="Y830" s="1629"/>
      <c r="Z830" s="1629"/>
      <c r="AA830" s="1629"/>
      <c r="AB830" s="1629"/>
      <c r="AC830" s="1629"/>
      <c r="AD830"/>
      <c r="AE830"/>
      <c r="AF830"/>
      <c r="AG830"/>
      <c r="AH830"/>
      <c r="AI830"/>
      <c r="AJ830"/>
      <c r="AK830"/>
      <c r="AL830"/>
      <c r="AM830"/>
      <c r="AN830"/>
      <c r="AO830"/>
      <c r="AP830"/>
      <c r="AQ830"/>
      <c r="AR830"/>
      <c r="AS830"/>
      <c r="AT830"/>
      <c r="AU830"/>
      <c r="AV830"/>
      <c r="AW830"/>
      <c r="AX830"/>
      <c r="AY830"/>
      <c r="BI830" s="1644">
        <f>ROUNDDOWN(BC918*2,2)</f>
        <v>0</v>
      </c>
      <c r="BJ830" s="1644"/>
      <c r="BK830" s="1644"/>
      <c r="BL830" s="1644"/>
      <c r="BO830" s="23" t="s">
        <v>699</v>
      </c>
      <c r="BP830" s="350">
        <v>314634</v>
      </c>
      <c r="BQ830" s="350">
        <v>362770</v>
      </c>
      <c r="BR830" s="350">
        <v>437600</v>
      </c>
      <c r="BS830" s="350">
        <v>560128</v>
      </c>
      <c r="BT830" s="350">
        <v>624018</v>
      </c>
      <c r="BV830" s="23" t="s">
        <v>699</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2.95" customHeight="1">
      <c r="A831"/>
      <c r="B831"/>
      <c r="C831"/>
      <c r="D831"/>
      <c r="E831"/>
      <c r="F831"/>
      <c r="G831"/>
      <c r="H831"/>
      <c r="I831"/>
      <c r="J831" s="45"/>
      <c r="K831" s="5"/>
      <c r="L831" s="5"/>
      <c r="M831" s="5"/>
      <c r="N831" s="5"/>
      <c r="O831" s="5"/>
      <c r="P831" s="5"/>
      <c r="Q831" s="5"/>
      <c r="R831" s="5"/>
      <c r="S831" s="5"/>
      <c r="T831" s="5"/>
      <c r="U831" s="5"/>
      <c r="V831" s="54" t="s">
        <v>344</v>
      </c>
      <c r="W831" s="1520">
        <f>SUM(W826:AC830)</f>
        <v>161592</v>
      </c>
      <c r="X831" s="1521"/>
      <c r="Y831" s="1521"/>
      <c r="Z831" s="1521"/>
      <c r="AA831" s="1521"/>
      <c r="AB831" s="1521"/>
      <c r="AC831" s="1522"/>
      <c r="AD831"/>
      <c r="AE831"/>
      <c r="AF831"/>
      <c r="AG831"/>
      <c r="AH831"/>
      <c r="AI831"/>
      <c r="AJ831"/>
      <c r="AK831"/>
      <c r="AL831"/>
      <c r="AM831"/>
      <c r="AN831"/>
      <c r="AO831"/>
      <c r="AP831"/>
      <c r="AQ831"/>
      <c r="AR831"/>
      <c r="AS831"/>
      <c r="AT831"/>
      <c r="AU831"/>
      <c r="AV831"/>
      <c r="AW831"/>
      <c r="AX831"/>
      <c r="AY831"/>
      <c r="AZ831" s="30"/>
      <c r="BA831" s="30"/>
      <c r="BO831" s="23" t="s">
        <v>700</v>
      </c>
      <c r="BP831" s="352">
        <v>353173</v>
      </c>
      <c r="BQ831" s="352">
        <v>407205</v>
      </c>
      <c r="BR831" s="352">
        <v>491200</v>
      </c>
      <c r="BS831" s="352">
        <v>628736</v>
      </c>
      <c r="BT831" s="352">
        <v>700451</v>
      </c>
      <c r="BV831" s="23" t="s">
        <v>700</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2.9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2.5000000000000001E-2</v>
      </c>
      <c r="BA832" s="30"/>
      <c r="BO832" s="23" t="s">
        <v>701</v>
      </c>
      <c r="BP832" s="350">
        <v>689665</v>
      </c>
      <c r="BQ832" s="350">
        <v>795177</v>
      </c>
      <c r="BR832" s="350">
        <v>959200</v>
      </c>
      <c r="BS832" s="350">
        <v>1227776</v>
      </c>
      <c r="BT832" s="350">
        <v>1367819</v>
      </c>
      <c r="BV832" s="23" t="s">
        <v>701</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2.95" customHeight="1">
      <c r="A833"/>
      <c r="B833"/>
      <c r="C833" s="2" t="s">
        <v>346</v>
      </c>
      <c r="D833"/>
      <c r="E833"/>
      <c r="F833"/>
      <c r="G833"/>
      <c r="H833"/>
      <c r="I833"/>
      <c r="J833" s="1523" t="s">
        <v>347</v>
      </c>
      <c r="K833" s="1524"/>
      <c r="L833" s="1524"/>
      <c r="M833" s="1524"/>
      <c r="N833" s="1524"/>
      <c r="O833" s="1524"/>
      <c r="P833" s="1524"/>
      <c r="Q833" s="1524"/>
      <c r="R833" s="1524"/>
      <c r="S833" s="1524"/>
      <c r="T833" s="1524"/>
      <c r="U833" s="1524"/>
      <c r="V833" s="1526"/>
      <c r="W833" s="1609">
        <v>182440</v>
      </c>
      <c r="X833" s="1610"/>
      <c r="Y833" s="1610"/>
      <c r="Z833" s="1610"/>
      <c r="AA833" s="1610"/>
      <c r="AB833" s="1610"/>
      <c r="AC833" s="1611"/>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2.95"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2.95" customHeight="1">
      <c r="A835"/>
      <c r="B835"/>
      <c r="C835" s="2" t="s">
        <v>570</v>
      </c>
      <c r="D835"/>
      <c r="E835"/>
      <c r="F835"/>
      <c r="G835"/>
      <c r="H835"/>
      <c r="I835"/>
      <c r="J835" s="45" t="s">
        <v>354</v>
      </c>
      <c r="K835" s="5"/>
      <c r="L835" s="5"/>
      <c r="M835" s="5"/>
      <c r="N835" s="5"/>
      <c r="O835" s="5"/>
      <c r="P835" s="5"/>
      <c r="Q835" s="5"/>
      <c r="R835" s="5"/>
      <c r="S835" s="5"/>
      <c r="T835" s="5"/>
      <c r="U835" s="5"/>
      <c r="V835" s="46"/>
      <c r="W835" s="1626"/>
      <c r="X835" s="1626"/>
      <c r="Y835" s="1626"/>
      <c r="Z835" s="1626"/>
      <c r="AA835" s="1626"/>
      <c r="AB835" s="1626"/>
      <c r="AC835" s="1626"/>
      <c r="AD835"/>
      <c r="AE835"/>
      <c r="AF835"/>
      <c r="AG835"/>
      <c r="AH835"/>
      <c r="AI835"/>
      <c r="AJ835"/>
      <c r="AK835"/>
      <c r="AL835"/>
      <c r="AM835"/>
      <c r="AN835"/>
      <c r="AO835"/>
      <c r="AP835"/>
      <c r="AQ835"/>
      <c r="AR835"/>
      <c r="AS835"/>
      <c r="AT835"/>
      <c r="AU835"/>
      <c r="AV835"/>
      <c r="AW835"/>
      <c r="AX835"/>
      <c r="AY835"/>
      <c r="AZ835" s="30">
        <f>IF(AJ994&gt;1,0.05,0)</f>
        <v>0.05</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2.95" customHeight="1">
      <c r="A836"/>
      <c r="B836"/>
      <c r="C836"/>
      <c r="D836"/>
      <c r="E836"/>
      <c r="F836"/>
      <c r="G836"/>
      <c r="H836"/>
      <c r="I836"/>
      <c r="J836" s="45" t="s">
        <v>353</v>
      </c>
      <c r="K836" s="5"/>
      <c r="L836" s="5"/>
      <c r="M836" s="5"/>
      <c r="N836" s="5"/>
      <c r="O836" s="5"/>
      <c r="P836" s="5"/>
      <c r="Q836" s="5"/>
      <c r="R836" s="5"/>
      <c r="S836" s="5"/>
      <c r="T836" s="5"/>
      <c r="U836" s="5"/>
      <c r="V836" s="46"/>
      <c r="W836" s="1626"/>
      <c r="X836" s="1626"/>
      <c r="Y836" s="1626"/>
      <c r="Z836" s="1626"/>
      <c r="AA836" s="1626"/>
      <c r="AB836" s="1626"/>
      <c r="AC836" s="1626"/>
      <c r="AD836"/>
      <c r="AE836"/>
      <c r="AF836"/>
      <c r="AG836"/>
      <c r="AH836"/>
      <c r="AI836"/>
      <c r="AJ836"/>
      <c r="AK836"/>
      <c r="AL836"/>
      <c r="AM836"/>
      <c r="AN836"/>
      <c r="AO836"/>
      <c r="AP836"/>
      <c r="AQ836"/>
      <c r="AR836"/>
      <c r="AS836"/>
      <c r="AT836"/>
      <c r="AU836"/>
      <c r="AV836"/>
      <c r="AW836"/>
      <c r="AX836"/>
      <c r="AY836"/>
      <c r="AZ836" s="30"/>
      <c r="BA836" s="30"/>
      <c r="BO836" s="23" t="s">
        <v>707</v>
      </c>
      <c r="BP836" s="350">
        <v>387110</v>
      </c>
      <c r="BQ836" s="350">
        <v>446334</v>
      </c>
      <c r="BR836" s="350">
        <v>538400</v>
      </c>
      <c r="BS836" s="350">
        <v>689152</v>
      </c>
      <c r="BT836" s="350">
        <v>767758</v>
      </c>
      <c r="BV836" s="23" t="s">
        <v>707</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2.95" customHeight="1">
      <c r="A837"/>
      <c r="B837"/>
      <c r="C837"/>
      <c r="D837"/>
      <c r="E837"/>
      <c r="F837"/>
      <c r="G837"/>
      <c r="H837"/>
      <c r="I837"/>
      <c r="J837" s="45" t="s">
        <v>468</v>
      </c>
      <c r="K837" s="5"/>
      <c r="L837" s="5"/>
      <c r="M837" s="5"/>
      <c r="N837" s="5"/>
      <c r="O837" s="5"/>
      <c r="P837" s="5"/>
      <c r="Q837" s="5"/>
      <c r="R837" s="5"/>
      <c r="S837" s="5"/>
      <c r="T837" s="5"/>
      <c r="U837" s="5"/>
      <c r="V837" s="46"/>
      <c r="W837" s="1626">
        <f>171837+60000</f>
        <v>231837</v>
      </c>
      <c r="X837" s="1626"/>
      <c r="Y837" s="1626"/>
      <c r="Z837" s="1626"/>
      <c r="AA837" s="1626"/>
      <c r="AB837" s="1626"/>
      <c r="AC837" s="1626"/>
      <c r="AD837"/>
      <c r="AE837"/>
      <c r="AF837"/>
      <c r="AG837"/>
      <c r="AH837"/>
      <c r="AI837"/>
      <c r="AJ837"/>
      <c r="AK837"/>
      <c r="AL837"/>
      <c r="AM837"/>
      <c r="AN837"/>
      <c r="AO837"/>
      <c r="AP837"/>
      <c r="AQ837"/>
      <c r="AR837"/>
      <c r="AS837"/>
      <c r="AT837"/>
      <c r="AU837"/>
      <c r="AV837"/>
      <c r="AW837"/>
      <c r="AX837"/>
      <c r="AY837"/>
      <c r="AZ837" s="30"/>
      <c r="BA837" s="30"/>
      <c r="BG837" s="1624"/>
      <c r="BH837" s="1624"/>
      <c r="BI837" s="1624"/>
      <c r="BJ837" s="1624"/>
      <c r="BK837" s="1624"/>
      <c r="BL837" s="1624"/>
      <c r="BO837" s="23" t="s">
        <v>708</v>
      </c>
      <c r="BP837" s="351">
        <v>532060</v>
      </c>
      <c r="BQ837" s="351">
        <v>613460</v>
      </c>
      <c r="BR837" s="351">
        <v>740000</v>
      </c>
      <c r="BS837" s="351">
        <v>947200</v>
      </c>
      <c r="BT837" s="351">
        <v>1055240</v>
      </c>
      <c r="BV837" s="23" t="s">
        <v>708</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2.95" customHeight="1">
      <c r="A838"/>
      <c r="B838"/>
      <c r="C838"/>
      <c r="D838"/>
      <c r="E838"/>
      <c r="F838"/>
      <c r="G838"/>
      <c r="H838"/>
      <c r="I838"/>
      <c r="J838" s="62" t="s">
        <v>629</v>
      </c>
      <c r="K838" s="5"/>
      <c r="L838" s="5"/>
      <c r="M838" s="5"/>
      <c r="N838" s="5"/>
      <c r="O838" s="5"/>
      <c r="P838" s="5"/>
      <c r="Q838" s="5"/>
      <c r="R838" s="5"/>
      <c r="S838" s="5"/>
      <c r="T838" s="5"/>
      <c r="U838" s="5"/>
      <c r="V838" s="46"/>
      <c r="W838" s="1626">
        <f>381960-20000+19682</f>
        <v>381642</v>
      </c>
      <c r="X838" s="1626"/>
      <c r="Y838" s="1626"/>
      <c r="Z838" s="1626"/>
      <c r="AA838" s="1626"/>
      <c r="AB838" s="1626"/>
      <c r="AC838" s="1626"/>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709</v>
      </c>
      <c r="BP838" s="350">
        <v>387110</v>
      </c>
      <c r="BQ838" s="350">
        <v>446334</v>
      </c>
      <c r="BR838" s="350">
        <v>538400</v>
      </c>
      <c r="BS838" s="350">
        <v>689152</v>
      </c>
      <c r="BT838" s="350">
        <v>767758</v>
      </c>
      <c r="BV838" s="23" t="s">
        <v>709</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95" customHeight="1">
      <c r="A839"/>
      <c r="B839"/>
      <c r="C839"/>
      <c r="D839"/>
      <c r="E839"/>
      <c r="F839"/>
      <c r="G839"/>
      <c r="H839"/>
      <c r="I839"/>
      <c r="J839" s="63"/>
      <c r="K839" s="48"/>
      <c r="L839" s="48"/>
      <c r="M839" s="48"/>
      <c r="N839" s="48"/>
      <c r="O839" s="48"/>
      <c r="P839" s="48"/>
      <c r="Q839" s="48"/>
      <c r="R839" s="48"/>
      <c r="S839" s="48"/>
      <c r="T839" s="48"/>
      <c r="U839" s="48"/>
      <c r="V839" s="54" t="s">
        <v>274</v>
      </c>
      <c r="W839" s="1650">
        <f>SUM(W835:AC838)</f>
        <v>613479</v>
      </c>
      <c r="X839" s="1650"/>
      <c r="Y839" s="1650"/>
      <c r="Z839" s="1650"/>
      <c r="AA839" s="1650"/>
      <c r="AB839" s="1650"/>
      <c r="AC839" s="1650"/>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710</v>
      </c>
      <c r="BP839" s="352">
        <v>319236</v>
      </c>
      <c r="BQ839" s="352">
        <v>368076</v>
      </c>
      <c r="BR839" s="352">
        <v>444000</v>
      </c>
      <c r="BS839" s="352">
        <v>568320</v>
      </c>
      <c r="BT839" s="352">
        <v>633144</v>
      </c>
      <c r="BV839" s="23" t="s">
        <v>710</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2.9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646">
        <f>SUM(AZ807:AZ835)</f>
        <v>7.5000000000000011E-2</v>
      </c>
      <c r="BA840" s="1646"/>
      <c r="BO840" s="23" t="s">
        <v>711</v>
      </c>
      <c r="BP840" s="350">
        <v>352022</v>
      </c>
      <c r="BQ840" s="350">
        <v>405878</v>
      </c>
      <c r="BR840" s="350">
        <v>489600</v>
      </c>
      <c r="BS840" s="350">
        <v>626688</v>
      </c>
      <c r="BT840" s="350">
        <v>698170</v>
      </c>
      <c r="BV840" s="23" t="s">
        <v>711</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95" customHeight="1">
      <c r="A841"/>
      <c r="B841"/>
      <c r="C841" s="2" t="s">
        <v>348</v>
      </c>
      <c r="D841"/>
      <c r="E841"/>
      <c r="F841"/>
      <c r="G841"/>
      <c r="H841"/>
      <c r="I841"/>
      <c r="J841" s="45" t="s">
        <v>628</v>
      </c>
      <c r="K841" s="5"/>
      <c r="L841" s="5"/>
      <c r="M841" s="5"/>
      <c r="N841" s="5"/>
      <c r="O841" s="5"/>
      <c r="P841" s="5"/>
      <c r="Q841" s="5"/>
      <c r="R841" s="5"/>
      <c r="S841" s="5"/>
      <c r="T841" s="5"/>
      <c r="U841" s="5"/>
      <c r="V841" s="46"/>
      <c r="W841" s="1634">
        <f>257747+224224</f>
        <v>481971</v>
      </c>
      <c r="X841" s="1635"/>
      <c r="Y841" s="1635"/>
      <c r="Z841" s="1635"/>
      <c r="AA841" s="1635"/>
      <c r="AB841" s="1635"/>
      <c r="AC841" s="1636"/>
      <c r="AD841" s="563"/>
      <c r="AE841"/>
      <c r="AF841"/>
      <c r="AG841"/>
      <c r="AH841"/>
      <c r="AI841"/>
      <c r="AJ841"/>
      <c r="AK841"/>
      <c r="AL841"/>
      <c r="AM841"/>
      <c r="AN841"/>
      <c r="AO841"/>
      <c r="AP841"/>
      <c r="AQ841"/>
      <c r="AR841"/>
      <c r="AS841"/>
      <c r="AT841"/>
      <c r="AU841"/>
      <c r="AV841"/>
      <c r="AW841"/>
      <c r="AX841"/>
      <c r="AY841"/>
      <c r="AZ841" s="30"/>
      <c r="BA841" s="30"/>
      <c r="BO841" s="23" t="s">
        <v>712</v>
      </c>
      <c r="BP841" s="352">
        <v>352022</v>
      </c>
      <c r="BQ841" s="352">
        <v>405878</v>
      </c>
      <c r="BR841" s="352">
        <v>489600</v>
      </c>
      <c r="BS841" s="352">
        <v>626688</v>
      </c>
      <c r="BT841" s="352">
        <v>698170</v>
      </c>
      <c r="BV841" s="23" t="s">
        <v>712</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95" customHeight="1">
      <c r="A842"/>
      <c r="B842"/>
      <c r="C842" s="2" t="s">
        <v>349</v>
      </c>
      <c r="D842"/>
      <c r="E842"/>
      <c r="F842"/>
      <c r="G842"/>
      <c r="H842"/>
      <c r="I842"/>
      <c r="J842" s="121" t="s">
        <v>1834</v>
      </c>
      <c r="K842" s="5"/>
      <c r="L842" s="5"/>
      <c r="M842" s="5"/>
      <c r="N842" s="5"/>
      <c r="O842" s="5"/>
      <c r="P842" s="5"/>
      <c r="Q842" s="5"/>
      <c r="R842" s="5"/>
      <c r="S842" s="5"/>
      <c r="T842" s="1689">
        <v>9.5</v>
      </c>
      <c r="U842" s="1534"/>
      <c r="V842" s="1690"/>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713</v>
      </c>
      <c r="BP842" s="350">
        <v>384234</v>
      </c>
      <c r="BQ842" s="350">
        <v>443018</v>
      </c>
      <c r="BR842" s="350">
        <v>534400</v>
      </c>
      <c r="BS842" s="350">
        <v>684032</v>
      </c>
      <c r="BT842" s="350">
        <v>762054</v>
      </c>
      <c r="BV842" s="23" t="s">
        <v>713</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2.95" customHeight="1">
      <c r="C843" s="2"/>
      <c r="J843" s="45" t="s">
        <v>627</v>
      </c>
      <c r="K843" s="5"/>
      <c r="L843" s="5"/>
      <c r="M843" s="5"/>
      <c r="N843" s="5"/>
      <c r="O843" s="5"/>
      <c r="P843" s="5"/>
      <c r="Q843" s="5"/>
      <c r="R843" s="5"/>
      <c r="S843" s="5"/>
      <c r="T843" s="5"/>
      <c r="U843" s="5"/>
      <c r="V843" s="46"/>
      <c r="W843" s="1634">
        <v>240755</v>
      </c>
      <c r="X843" s="1635"/>
      <c r="Y843" s="1635"/>
      <c r="Z843" s="1635"/>
      <c r="AA843" s="1635"/>
      <c r="AB843" s="1635"/>
      <c r="AC843" s="1636"/>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2.95" customHeight="1">
      <c r="C844" s="2"/>
      <c r="J844" s="121" t="s">
        <v>1835</v>
      </c>
      <c r="K844" s="5"/>
      <c r="L844" s="5"/>
      <c r="M844" s="5"/>
      <c r="N844" s="5"/>
      <c r="O844" s="5"/>
      <c r="P844" s="5"/>
      <c r="Q844" s="5"/>
      <c r="R844" s="5"/>
      <c r="S844" s="5"/>
      <c r="T844" s="1689">
        <v>2</v>
      </c>
      <c r="U844" s="1534"/>
      <c r="V844" s="1690"/>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2.95" customHeight="1">
      <c r="J845" s="45" t="s">
        <v>171</v>
      </c>
      <c r="K845" s="5"/>
      <c r="L845" s="5"/>
      <c r="M845" s="1612" t="s">
        <v>2768</v>
      </c>
      <c r="N845" s="1613"/>
      <c r="O845" s="1613"/>
      <c r="P845" s="1613"/>
      <c r="Q845" s="1613"/>
      <c r="R845" s="1613"/>
      <c r="S845" s="1613"/>
      <c r="T845" s="1613"/>
      <c r="U845" s="1613"/>
      <c r="V845" s="1614"/>
      <c r="W845" s="1634">
        <v>232589</v>
      </c>
      <c r="X845" s="1635"/>
      <c r="Y845" s="1635"/>
      <c r="Z845" s="1635"/>
      <c r="AA845" s="1635"/>
      <c r="AB845" s="1635"/>
      <c r="AC845" s="1636"/>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2.95" customHeight="1">
      <c r="J846" s="45"/>
      <c r="K846" s="5"/>
      <c r="L846" s="5"/>
      <c r="M846" s="5"/>
      <c r="N846" s="5"/>
      <c r="O846" s="5"/>
      <c r="P846" s="5"/>
      <c r="Q846" s="5"/>
      <c r="R846" s="5"/>
      <c r="S846" s="5"/>
      <c r="T846" s="5"/>
      <c r="U846" s="5"/>
      <c r="V846" s="54" t="s">
        <v>275</v>
      </c>
      <c r="W846" s="1647">
        <f>SUM(W841:AC845)</f>
        <v>955315</v>
      </c>
      <c r="X846" s="1648"/>
      <c r="Y846" s="1648"/>
      <c r="Z846" s="1648"/>
      <c r="AA846" s="1648"/>
      <c r="AB846" s="1648"/>
      <c r="AC846" s="1649"/>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2.95" customHeight="1">
      <c r="J847" s="45"/>
      <c r="K847" s="5"/>
      <c r="L847" s="5"/>
      <c r="M847" s="5"/>
      <c r="N847" s="5"/>
      <c r="O847" s="5"/>
      <c r="P847" s="5"/>
      <c r="Q847" s="5"/>
      <c r="R847" s="5"/>
      <c r="S847" s="5"/>
      <c r="T847" s="5"/>
      <c r="U847" s="5"/>
      <c r="V847" s="54" t="s">
        <v>276</v>
      </c>
      <c r="W847" s="1634">
        <v>650000</v>
      </c>
      <c r="X847" s="1635"/>
      <c r="Y847" s="1635"/>
      <c r="Z847" s="1635"/>
      <c r="AA847" s="1635"/>
      <c r="AB847" s="1635"/>
      <c r="AC847" s="1636"/>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2.95"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2.95" customHeight="1">
      <c r="C849" s="2" t="s">
        <v>392</v>
      </c>
      <c r="J849" s="45" t="s">
        <v>626</v>
      </c>
      <c r="K849" s="5"/>
      <c r="L849" s="5"/>
      <c r="M849" s="5"/>
      <c r="N849" s="5"/>
      <c r="O849" s="5"/>
      <c r="P849" s="5"/>
      <c r="Q849" s="5"/>
      <c r="R849" s="5"/>
      <c r="S849" s="5"/>
      <c r="T849" s="5"/>
      <c r="U849" s="5"/>
      <c r="V849" s="46"/>
      <c r="W849" s="1629">
        <v>15456</v>
      </c>
      <c r="X849" s="1629"/>
      <c r="Y849" s="1629"/>
      <c r="Z849" s="1629"/>
      <c r="AA849" s="1629"/>
      <c r="AB849" s="1629"/>
      <c r="AC849" s="1629"/>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2.95" customHeight="1">
      <c r="J850" s="45" t="s">
        <v>531</v>
      </c>
      <c r="K850" s="5"/>
      <c r="L850" s="5"/>
      <c r="M850" s="5"/>
      <c r="N850" s="5"/>
      <c r="O850" s="5"/>
      <c r="P850" s="5"/>
      <c r="Q850" s="5"/>
      <c r="R850" s="5"/>
      <c r="S850" s="5"/>
      <c r="T850" s="5"/>
      <c r="U850" s="5"/>
      <c r="V850" s="46"/>
      <c r="W850" s="1629">
        <v>137435</v>
      </c>
      <c r="X850" s="1629"/>
      <c r="Y850" s="1629"/>
      <c r="Z850" s="1629"/>
      <c r="AA850" s="1629"/>
      <c r="AB850" s="1629"/>
      <c r="AC850" s="1629"/>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2.95" customHeight="1">
      <c r="J851" s="45" t="s">
        <v>530</v>
      </c>
      <c r="K851" s="5"/>
      <c r="L851" s="5"/>
      <c r="M851" s="5"/>
      <c r="N851" s="5"/>
      <c r="O851" s="5"/>
      <c r="P851" s="5"/>
      <c r="Q851" s="5"/>
      <c r="R851" s="5"/>
      <c r="S851" s="5"/>
      <c r="T851" s="5"/>
      <c r="U851" s="5"/>
      <c r="V851" s="46"/>
      <c r="W851" s="1629">
        <v>148848</v>
      </c>
      <c r="X851" s="1629"/>
      <c r="Y851" s="1629"/>
      <c r="Z851" s="1629"/>
      <c r="AA851" s="1629"/>
      <c r="AB851" s="1629"/>
      <c r="AC851" s="1629"/>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2.95" customHeight="1">
      <c r="J852" s="45" t="s">
        <v>529</v>
      </c>
      <c r="K852" s="5"/>
      <c r="L852" s="5"/>
      <c r="M852" s="5"/>
      <c r="N852" s="5"/>
      <c r="O852" s="5"/>
      <c r="P852" s="5"/>
      <c r="Q852" s="5"/>
      <c r="R852" s="5"/>
      <c r="S852" s="5"/>
      <c r="T852" s="5"/>
      <c r="U852" s="5"/>
      <c r="V852" s="46"/>
      <c r="W852" s="1629">
        <f>15220+20000</f>
        <v>35220</v>
      </c>
      <c r="X852" s="1629"/>
      <c r="Y852" s="1629"/>
      <c r="Z852" s="1629"/>
      <c r="AA852" s="1629"/>
      <c r="AB852" s="1629"/>
      <c r="AC852" s="1629"/>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2.95" customHeight="1">
      <c r="J853" s="45" t="s">
        <v>528</v>
      </c>
      <c r="K853" s="5"/>
      <c r="L853" s="5"/>
      <c r="M853" s="5"/>
      <c r="N853" s="5"/>
      <c r="O853" s="5"/>
      <c r="P853" s="5"/>
      <c r="Q853" s="5"/>
      <c r="R853" s="5"/>
      <c r="S853" s="5"/>
      <c r="T853" s="5"/>
      <c r="U853" s="5"/>
      <c r="V853" s="46"/>
      <c r="W853" s="1629">
        <v>30000</v>
      </c>
      <c r="X853" s="1629"/>
      <c r="Y853" s="1629"/>
      <c r="Z853" s="1629"/>
      <c r="AA853" s="1629"/>
      <c r="AB853" s="1629"/>
      <c r="AC853" s="1629"/>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2.95" customHeight="1">
      <c r="J854" s="45" t="s">
        <v>527</v>
      </c>
      <c r="K854" s="5"/>
      <c r="L854" s="5"/>
      <c r="M854" s="5"/>
      <c r="N854" s="5"/>
      <c r="O854" s="5"/>
      <c r="P854" s="5"/>
      <c r="Q854" s="5"/>
      <c r="R854" s="5"/>
      <c r="S854" s="5"/>
      <c r="T854" s="5"/>
      <c r="U854" s="5"/>
      <c r="V854" s="46"/>
      <c r="W854" s="1629">
        <v>52920</v>
      </c>
      <c r="X854" s="1629"/>
      <c r="Y854" s="1629"/>
      <c r="Z854" s="1629"/>
      <c r="AA854" s="1629"/>
      <c r="AB854" s="1629"/>
      <c r="AC854" s="1629"/>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2.95" customHeight="1">
      <c r="J855" s="45" t="s">
        <v>171</v>
      </c>
      <c r="K855" s="5"/>
      <c r="L855" s="5"/>
      <c r="M855" s="1612" t="s">
        <v>2721</v>
      </c>
      <c r="N855" s="1613"/>
      <c r="O855" s="1613"/>
      <c r="P855" s="1613"/>
      <c r="Q855" s="1613"/>
      <c r="R855" s="1613"/>
      <c r="S855" s="1613"/>
      <c r="T855" s="1613"/>
      <c r="U855" s="1613"/>
      <c r="V855" s="1614"/>
      <c r="W855" s="1629">
        <v>24280</v>
      </c>
      <c r="X855" s="1629"/>
      <c r="Y855" s="1629"/>
      <c r="Z855" s="1629"/>
      <c r="AA855" s="1629"/>
      <c r="AB855" s="1629"/>
      <c r="AC855" s="1629"/>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2.95" customHeight="1">
      <c r="J856" s="45"/>
      <c r="K856" s="5"/>
      <c r="L856" s="5"/>
      <c r="M856" s="5"/>
      <c r="N856" s="5"/>
      <c r="O856" s="5"/>
      <c r="P856" s="5"/>
      <c r="Q856" s="5"/>
      <c r="R856" s="5"/>
      <c r="S856" s="5"/>
      <c r="T856" s="5"/>
      <c r="U856" s="5"/>
      <c r="V856" s="54" t="s">
        <v>277</v>
      </c>
      <c r="W856" s="1645">
        <f>SUM(W849:AC855)</f>
        <v>444159</v>
      </c>
      <c r="X856" s="1645"/>
      <c r="Y856" s="1645"/>
      <c r="Z856" s="1645"/>
      <c r="AA856" s="1645"/>
      <c r="AB856" s="1645"/>
      <c r="AC856" s="1645"/>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2.95"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2.95" customHeight="1">
      <c r="C858" s="2" t="s">
        <v>1390</v>
      </c>
      <c r="J858" s="45" t="s">
        <v>171</v>
      </c>
      <c r="K858" s="5"/>
      <c r="L858" s="5"/>
      <c r="M858" s="1612" t="s">
        <v>2720</v>
      </c>
      <c r="N858" s="1613"/>
      <c r="O858" s="1613"/>
      <c r="P858" s="1613"/>
      <c r="Q858" s="1613"/>
      <c r="R858" s="1613"/>
      <c r="S858" s="1613"/>
      <c r="T858" s="1613"/>
      <c r="U858" s="1613"/>
      <c r="V858" s="1614"/>
      <c r="W858" s="1609">
        <v>3500</v>
      </c>
      <c r="X858" s="1610"/>
      <c r="Y858" s="1610"/>
      <c r="Z858" s="1610"/>
      <c r="AA858" s="1610"/>
      <c r="AB858" s="1610"/>
      <c r="AC858" s="1611"/>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2.95" customHeight="1">
      <c r="C859" s="2" t="s">
        <v>1391</v>
      </c>
      <c r="J859" s="45" t="s">
        <v>171</v>
      </c>
      <c r="K859" s="5"/>
      <c r="L859" s="5"/>
      <c r="M859" s="1612" t="s">
        <v>2733</v>
      </c>
      <c r="N859" s="1613"/>
      <c r="O859" s="1613"/>
      <c r="P859" s="1613"/>
      <c r="Q859" s="1613"/>
      <c r="R859" s="1613"/>
      <c r="S859" s="1613"/>
      <c r="T859" s="1613"/>
      <c r="U859" s="1613"/>
      <c r="V859" s="1614"/>
      <c r="W859" s="1609">
        <v>2500</v>
      </c>
      <c r="X859" s="1610"/>
      <c r="Y859" s="1610"/>
      <c r="Z859" s="1610"/>
      <c r="AA859" s="1610"/>
      <c r="AB859" s="1610"/>
      <c r="AC859" s="1611"/>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2.95" customHeight="1">
      <c r="J860" s="45" t="s">
        <v>171</v>
      </c>
      <c r="K860" s="5"/>
      <c r="L860" s="5"/>
      <c r="M860" s="1612"/>
      <c r="N860" s="1613"/>
      <c r="O860" s="1613"/>
      <c r="P860" s="1613"/>
      <c r="Q860" s="1613"/>
      <c r="R860" s="1613"/>
      <c r="S860" s="1613"/>
      <c r="T860" s="1613"/>
      <c r="U860" s="1613"/>
      <c r="V860" s="1614"/>
      <c r="W860" s="1641"/>
      <c r="X860" s="1610"/>
      <c r="Y860" s="1610"/>
      <c r="Z860" s="1610"/>
      <c r="AA860" s="1610"/>
      <c r="AB860" s="1610"/>
      <c r="AC860" s="1611"/>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2.95" customHeight="1">
      <c r="J861" s="45" t="s">
        <v>171</v>
      </c>
      <c r="K861" s="5"/>
      <c r="L861" s="5"/>
      <c r="M861" s="1612" t="s">
        <v>336</v>
      </c>
      <c r="N861" s="1613"/>
      <c r="O861" s="1613"/>
      <c r="P861" s="1613"/>
      <c r="Q861" s="1613"/>
      <c r="R861" s="1613"/>
      <c r="S861" s="1613"/>
      <c r="T861" s="1613"/>
      <c r="U861" s="1613"/>
      <c r="V861" s="1614"/>
      <c r="W861" s="1609"/>
      <c r="X861" s="1610"/>
      <c r="Y861" s="1610"/>
      <c r="Z861" s="1610"/>
      <c r="AA861" s="1610"/>
      <c r="AB861" s="1610"/>
      <c r="AC861" s="1611"/>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2.95" customHeight="1">
      <c r="J862" s="45" t="s">
        <v>171</v>
      </c>
      <c r="K862" s="5"/>
      <c r="L862" s="5"/>
      <c r="M862" s="1612" t="s">
        <v>336</v>
      </c>
      <c r="N862" s="1613"/>
      <c r="O862" s="1613"/>
      <c r="P862" s="1613"/>
      <c r="Q862" s="1613"/>
      <c r="R862" s="1613"/>
      <c r="S862" s="1613"/>
      <c r="T862" s="1613"/>
      <c r="U862" s="1613"/>
      <c r="V862" s="1614"/>
      <c r="W862" s="1609"/>
      <c r="X862" s="1610"/>
      <c r="Y862" s="1610"/>
      <c r="Z862" s="1610"/>
      <c r="AA862" s="1610"/>
      <c r="AB862" s="1610"/>
      <c r="AC862" s="1611"/>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2.95" customHeight="1">
      <c r="J863" s="45"/>
      <c r="K863" s="5"/>
      <c r="L863" s="5"/>
      <c r="M863" s="5"/>
      <c r="N863" s="5"/>
      <c r="O863" s="5"/>
      <c r="P863" s="5"/>
      <c r="Q863" s="5"/>
      <c r="R863" s="5"/>
      <c r="S863" s="5"/>
      <c r="T863" s="5"/>
      <c r="U863" s="5"/>
      <c r="V863" s="54" t="s">
        <v>278</v>
      </c>
      <c r="W863" s="1520">
        <f>SUM(W858:AC862)</f>
        <v>6000</v>
      </c>
      <c r="X863" s="1521"/>
      <c r="Y863" s="1521"/>
      <c r="Z863" s="1521"/>
      <c r="AA863" s="1521"/>
      <c r="AB863" s="1521"/>
      <c r="AC863" s="1522"/>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2.95"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2.95"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2.95"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2.95"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279</v>
      </c>
      <c r="AC867" s="1521">
        <f>W831+W839+W846+W847+W856+W863+W833</f>
        <v>3012985</v>
      </c>
      <c r="AD867" s="1521"/>
      <c r="AE867" s="1521"/>
      <c r="AF867" s="1521"/>
      <c r="AG867" s="1521"/>
      <c r="AH867" s="1522"/>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2.95"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520</v>
      </c>
      <c r="AC868" s="1687">
        <f>O782+O762+G739</f>
        <v>184</v>
      </c>
      <c r="AD868" s="1687"/>
      <c r="AE868" s="1687"/>
      <c r="AF868" s="1687"/>
      <c r="AG868" s="1687"/>
      <c r="AH868" s="1688"/>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2.95" customHeight="1">
      <c r="C869" s="41"/>
      <c r="D869" s="42"/>
      <c r="E869" s="1685" t="s">
        <v>32</v>
      </c>
      <c r="F869" s="1685"/>
      <c r="G869" s="1685"/>
      <c r="H869" s="1685"/>
      <c r="I869" s="1685"/>
      <c r="J869" s="1685"/>
      <c r="K869" s="1685"/>
      <c r="L869" s="1685"/>
      <c r="M869" s="1685"/>
      <c r="N869" s="1685"/>
      <c r="O869" s="1685"/>
      <c r="P869" s="1685"/>
      <c r="Q869" s="1685"/>
      <c r="R869" s="1685"/>
      <c r="S869" s="1685"/>
      <c r="T869" s="1685"/>
      <c r="U869" s="1685"/>
      <c r="V869" s="1685"/>
      <c r="W869" s="1685"/>
      <c r="X869" s="1685"/>
      <c r="Y869" s="1685"/>
      <c r="Z869" s="1685"/>
      <c r="AA869" s="1685"/>
      <c r="AB869" s="1686"/>
      <c r="AC869" s="1645">
        <f>IF(ISERROR((ROUNDDOWN(AC867/AC868,0))),0,(ROUNDDOWN(AC867/AC868,0)))</f>
        <v>16374</v>
      </c>
      <c r="AD869" s="1645"/>
      <c r="AE869" s="1645"/>
      <c r="AF869" s="1645"/>
      <c r="AG869" s="1645"/>
      <c r="AH869" s="1645"/>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2.95"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785</v>
      </c>
      <c r="AC870" s="1627">
        <f>867152</f>
        <v>867152</v>
      </c>
      <c r="AD870" s="1628"/>
      <c r="AE870" s="1628"/>
      <c r="AF870" s="1628"/>
      <c r="AG870" s="1628"/>
      <c r="AH870" s="1628"/>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2.95"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1301</v>
      </c>
      <c r="AC871" s="1611"/>
      <c r="AD871" s="1629"/>
      <c r="AE871" s="1629"/>
      <c r="AF871" s="1629"/>
      <c r="AG871" s="1629"/>
      <c r="AH871" s="1629"/>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2.95"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519</v>
      </c>
      <c r="AC872" s="1610">
        <v>86455</v>
      </c>
      <c r="AD872" s="1610"/>
      <c r="AE872" s="1610"/>
      <c r="AF872" s="1610"/>
      <c r="AG872" s="1610"/>
      <c r="AH872" s="1611"/>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2.95"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610">
        <v>92000</v>
      </c>
      <c r="AD873" s="1610"/>
      <c r="AE873" s="1610"/>
      <c r="AF873" s="1610"/>
      <c r="AG873" s="1610"/>
      <c r="AH873" s="1611"/>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2.95"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1936</v>
      </c>
      <c r="AC874" s="1588"/>
      <c r="AD874" s="1589"/>
      <c r="AE874" s="1589"/>
      <c r="AF874" s="1589"/>
      <c r="AG874" s="1589"/>
      <c r="AH874" s="1590"/>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2.95"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610"/>
      <c r="AD875" s="1610"/>
      <c r="AE875" s="1610"/>
      <c r="AF875" s="1610"/>
      <c r="AG875" s="1610"/>
      <c r="AH875" s="1611"/>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2.95"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1836</v>
      </c>
      <c r="AC876" s="1610">
        <v>7560</v>
      </c>
      <c r="AD876" s="1610"/>
      <c r="AE876" s="1610"/>
      <c r="AF876" s="1610"/>
      <c r="AG876" s="1610"/>
      <c r="AH876" s="1611"/>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2.95" customHeight="1">
      <c r="C877" s="1630" t="s">
        <v>2773</v>
      </c>
      <c r="D877" s="1631"/>
      <c r="E877" s="1631"/>
      <c r="F877" s="1631"/>
      <c r="G877" s="1631"/>
      <c r="H877" s="1631"/>
      <c r="I877" s="1631"/>
      <c r="J877" s="1631"/>
      <c r="K877" s="1631"/>
      <c r="L877" s="1631"/>
      <c r="M877" s="1631"/>
      <c r="N877" s="1631"/>
      <c r="O877" s="1631"/>
      <c r="P877" s="1631"/>
      <c r="Q877" s="1631"/>
      <c r="R877" s="1631"/>
      <c r="S877" s="1631"/>
      <c r="T877" s="1631"/>
      <c r="U877" s="1631"/>
      <c r="V877" s="1631"/>
      <c r="W877" s="1631"/>
      <c r="X877" s="1631"/>
      <c r="Y877" s="1631"/>
      <c r="Z877" s="1631"/>
      <c r="AA877" s="1631"/>
      <c r="AB877" s="1632"/>
      <c r="AC877" s="1629">
        <f>AF625</f>
        <v>117600</v>
      </c>
      <c r="AD877" s="1629"/>
      <c r="AE877" s="1629"/>
      <c r="AF877" s="1629"/>
      <c r="AG877" s="1629"/>
      <c r="AH877" s="1629"/>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2.95" customHeight="1">
      <c r="C878" s="1630" t="s">
        <v>996</v>
      </c>
      <c r="D878" s="1631"/>
      <c r="E878" s="1631"/>
      <c r="F878" s="1631"/>
      <c r="G878" s="1631"/>
      <c r="H878" s="1631"/>
      <c r="I878" s="1631"/>
      <c r="J878" s="1631"/>
      <c r="K878" s="1631"/>
      <c r="L878" s="1631"/>
      <c r="M878" s="1631"/>
      <c r="N878" s="1631"/>
      <c r="O878" s="1631"/>
      <c r="P878" s="1631"/>
      <c r="Q878" s="1631"/>
      <c r="R878" s="1631"/>
      <c r="S878" s="1631"/>
      <c r="T878" s="1631"/>
      <c r="U878" s="1631"/>
      <c r="V878" s="1631"/>
      <c r="W878" s="1631"/>
      <c r="X878" s="1631"/>
      <c r="Y878" s="1631"/>
      <c r="Z878" s="1631"/>
      <c r="AA878" s="1631"/>
      <c r="AB878" s="1632"/>
      <c r="AC878" s="1629"/>
      <c r="AD878" s="1629"/>
      <c r="AE878" s="1629"/>
      <c r="AF878" s="1629"/>
      <c r="AG878" s="1629"/>
      <c r="AH878" s="1629"/>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2.95"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2.95" customHeight="1">
      <c r="A880" s="2" t="s">
        <v>622</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B882" s="2"/>
      <c r="H882" s="121" t="s">
        <v>240</v>
      </c>
      <c r="I882" s="5"/>
      <c r="J882" s="5"/>
      <c r="K882" s="5"/>
      <c r="L882" s="5"/>
      <c r="M882" s="5"/>
      <c r="N882" s="5"/>
      <c r="O882" s="5"/>
      <c r="P882" s="5"/>
      <c r="Q882" s="5"/>
      <c r="R882" s="5"/>
      <c r="S882" s="5"/>
      <c r="T882" s="5"/>
      <c r="U882" s="5"/>
      <c r="V882" s="5"/>
      <c r="W882" s="5"/>
      <c r="X882" s="5"/>
      <c r="Y882" s="46"/>
      <c r="Z882" s="1609"/>
      <c r="AA882" s="1610"/>
      <c r="AB882" s="1610"/>
      <c r="AC882" s="1610"/>
      <c r="AD882" s="1610"/>
      <c r="AE882" s="1611"/>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H883" s="121" t="s">
        <v>241</v>
      </c>
      <c r="I883" s="5"/>
      <c r="J883" s="5"/>
      <c r="K883" s="5"/>
      <c r="L883" s="5"/>
      <c r="M883" s="5"/>
      <c r="N883" s="5"/>
      <c r="O883" s="5"/>
      <c r="P883" s="5"/>
      <c r="Q883" s="5"/>
      <c r="R883" s="5"/>
      <c r="S883" s="5"/>
      <c r="T883" s="5"/>
      <c r="U883" s="5"/>
      <c r="V883" s="5"/>
      <c r="W883" s="5"/>
      <c r="X883" s="5"/>
      <c r="Y883" s="5"/>
      <c r="Z883" s="1609"/>
      <c r="AA883" s="1610"/>
      <c r="AB883" s="1610"/>
      <c r="AC883" s="1610"/>
      <c r="AD883" s="1610"/>
      <c r="AE883" s="1611"/>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H884" s="121" t="s">
        <v>242</v>
      </c>
      <c r="I884" s="5"/>
      <c r="J884" s="5"/>
      <c r="K884" s="5"/>
      <c r="L884" s="5"/>
      <c r="M884" s="5"/>
      <c r="N884" s="5"/>
      <c r="O884" s="5"/>
      <c r="P884" s="5"/>
      <c r="Q884" s="5"/>
      <c r="R884" s="5"/>
      <c r="S884" s="5"/>
      <c r="T884" s="5"/>
      <c r="U884" s="5"/>
      <c r="V884" s="5"/>
      <c r="W884" s="5"/>
      <c r="X884" s="5"/>
      <c r="Y884" s="5"/>
      <c r="Z884" s="1609"/>
      <c r="AA884" s="1610"/>
      <c r="AB884" s="1610"/>
      <c r="AC884" s="1610"/>
      <c r="AD884" s="1610"/>
      <c r="AE884" s="1611"/>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H885" s="45"/>
      <c r="I885" s="5"/>
      <c r="J885" s="5"/>
      <c r="K885" s="5"/>
      <c r="L885" s="5"/>
      <c r="M885" s="5"/>
      <c r="N885" s="5"/>
      <c r="O885" s="5"/>
      <c r="P885" s="5"/>
      <c r="Q885" s="5"/>
      <c r="R885" s="5"/>
      <c r="S885" s="5"/>
      <c r="T885" s="5"/>
      <c r="U885" s="5"/>
      <c r="V885" s="5"/>
      <c r="W885" s="5"/>
      <c r="X885" s="5"/>
      <c r="Y885" s="190" t="s">
        <v>243</v>
      </c>
      <c r="Z885" s="1520">
        <f>Z882-(Z883+Z884)</f>
        <v>0</v>
      </c>
      <c r="AA885" s="1521"/>
      <c r="AB885" s="1521"/>
      <c r="AC885" s="1521"/>
      <c r="AD885" s="1521"/>
      <c r="AE885" s="1522"/>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623"/>
      <c r="BE887" s="1623"/>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623"/>
      <c r="BE888" s="1623"/>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24"/>
      <c r="BE889" s="1624"/>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369" t="s">
        <v>1070</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24"/>
      <c r="BE890" s="1624"/>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24"/>
      <c r="BE891" s="1624"/>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AZ892" s="34"/>
      <c r="BB892" s="30"/>
      <c r="BC892" s="852"/>
      <c r="BD892" s="1623"/>
      <c r="BE892" s="1624"/>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A893" s="1445" t="s">
        <v>97</v>
      </c>
      <c r="B893" s="1445"/>
      <c r="C893" s="1445"/>
      <c r="D893" s="1445"/>
      <c r="E893" s="1445"/>
      <c r="F893" s="1445"/>
      <c r="G893" s="1445"/>
      <c r="H893" s="1445"/>
      <c r="I893" s="1445"/>
      <c r="J893" s="1445"/>
      <c r="K893" s="1445"/>
      <c r="L893" s="1445"/>
      <c r="M893" s="1445"/>
      <c r="N893" s="1445"/>
      <c r="O893" s="1445"/>
      <c r="P893" s="1445"/>
      <c r="Q893" s="1445"/>
      <c r="R893" s="1445"/>
      <c r="S893" s="1445"/>
      <c r="T893" s="1445"/>
      <c r="U893" s="1445"/>
      <c r="V893" s="1445"/>
      <c r="W893" s="1445"/>
      <c r="X893" s="1445"/>
      <c r="Y893" s="1445"/>
      <c r="Z893" s="1445"/>
      <c r="AA893" s="1445"/>
      <c r="AB893" s="1445"/>
      <c r="AC893" s="1445"/>
      <c r="AD893" s="1445"/>
      <c r="AE893" s="1445"/>
      <c r="AF893" s="1445"/>
      <c r="AG893" s="1445"/>
      <c r="AH893" s="1445"/>
      <c r="AI893" s="1445"/>
      <c r="AJ893" s="1445"/>
      <c r="AK893" s="1445"/>
      <c r="AL893" s="1445"/>
      <c r="AM893" s="95"/>
      <c r="AN893" s="95"/>
      <c r="AO893" s="95"/>
      <c r="AP893" s="95"/>
      <c r="AQ893" s="95"/>
      <c r="AR893" s="95"/>
      <c r="AS893" s="95"/>
      <c r="AT893" s="95"/>
      <c r="AU893" s="95"/>
      <c r="AV893" s="95"/>
      <c r="AW893" s="95"/>
      <c r="AX893" s="95"/>
      <c r="AY893" s="95"/>
      <c r="AZ893" s="34"/>
      <c r="BB893" s="30"/>
      <c r="BC893" s="852"/>
      <c r="BD893" s="1622"/>
      <c r="BE893" s="1622"/>
      <c r="BF893" s="1622"/>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thickBot="1">
      <c r="A894" s="1446"/>
      <c r="B894" s="1446"/>
      <c r="C894" s="1446"/>
      <c r="D894" s="1446"/>
      <c r="E894" s="1446"/>
      <c r="F894" s="1446"/>
      <c r="G894" s="1446"/>
      <c r="H894" s="1446"/>
      <c r="I894" s="1446"/>
      <c r="J894" s="1446"/>
      <c r="K894" s="1446"/>
      <c r="L894" s="1446"/>
      <c r="M894" s="1446"/>
      <c r="N894" s="1446"/>
      <c r="O894" s="1446"/>
      <c r="P894" s="1446"/>
      <c r="Q894" s="1446"/>
      <c r="R894" s="1446"/>
      <c r="S894" s="1446"/>
      <c r="T894" s="1446"/>
      <c r="U894" s="1446"/>
      <c r="V894" s="1446"/>
      <c r="W894" s="1446"/>
      <c r="X894" s="1446"/>
      <c r="Y894" s="1446"/>
      <c r="Z894" s="1446"/>
      <c r="AA894" s="1446"/>
      <c r="AB894" s="1446"/>
      <c r="AC894" s="1446"/>
      <c r="AD894" s="1446"/>
      <c r="AE894" s="1446"/>
      <c r="AF894" s="1446"/>
      <c r="AG894" s="1446"/>
      <c r="AH894" s="1446"/>
      <c r="AI894" s="1446"/>
      <c r="AJ894" s="1446"/>
      <c r="AK894" s="1446"/>
      <c r="AL894" s="1446"/>
      <c r="AM894" s="95"/>
      <c r="AN894" s="95"/>
      <c r="AO894" s="95"/>
      <c r="AP894" s="95"/>
      <c r="AQ894" s="95"/>
      <c r="AR894" s="95"/>
      <c r="AS894" s="95"/>
      <c r="AT894" s="95"/>
      <c r="AU894" s="95"/>
      <c r="AV894" s="95"/>
      <c r="AW894" s="95"/>
      <c r="AX894" s="95"/>
      <c r="AY894" s="95"/>
      <c r="AZ894" s="34"/>
      <c r="BB894" s="30"/>
      <c r="BC894" s="852"/>
      <c r="BD894" s="1644"/>
      <c r="BE894" s="1644"/>
      <c r="BF894" s="164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24"/>
      <c r="BE895" s="1624"/>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623"/>
      <c r="BE896" s="162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2.95"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2.95" customHeight="1">
      <c r="F898" s="1817" t="s">
        <v>816</v>
      </c>
      <c r="G898" s="1818"/>
      <c r="H898" s="1818"/>
      <c r="I898" s="1818"/>
      <c r="J898" s="1818"/>
      <c r="K898" s="1818"/>
      <c r="L898" s="1818"/>
      <c r="M898" s="1818"/>
      <c r="N898" s="1818"/>
      <c r="O898" s="1818"/>
      <c r="P898" s="1818"/>
      <c r="Q898" s="1818"/>
      <c r="R898" s="1818"/>
      <c r="S898" s="1818"/>
      <c r="T898" s="1819"/>
      <c r="U898" s="1813" t="s">
        <v>31</v>
      </c>
      <c r="V898" s="1592"/>
      <c r="W898" s="1592"/>
      <c r="X898" s="1592"/>
      <c r="Y898" s="1592"/>
      <c r="Z898" s="1592"/>
      <c r="AA898" s="43"/>
      <c r="AB898" s="105"/>
      <c r="AC898" s="105"/>
      <c r="AD898" s="105"/>
      <c r="AE898" s="105"/>
      <c r="AF898" s="106"/>
      <c r="AZ898" s="34"/>
      <c r="BA898" s="34"/>
      <c r="BB898" s="30"/>
      <c r="BC898" s="30"/>
      <c r="BD898" s="1623"/>
      <c r="BE898" s="1624"/>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2.95" customHeight="1">
      <c r="B899" s="2"/>
      <c r="F899" s="1665" t="s">
        <v>844</v>
      </c>
      <c r="G899" s="1666"/>
      <c r="H899" s="1666"/>
      <c r="I899" s="1666"/>
      <c r="J899" s="1666"/>
      <c r="K899" s="1666"/>
      <c r="L899" s="1666"/>
      <c r="M899" s="1666"/>
      <c r="N899" s="1666"/>
      <c r="O899" s="1666"/>
      <c r="P899" s="1666"/>
      <c r="Q899" s="1666"/>
      <c r="R899" s="1666"/>
      <c r="S899" s="1666"/>
      <c r="T899" s="1667"/>
      <c r="U899" s="1665"/>
      <c r="V899" s="1666"/>
      <c r="W899" s="1666"/>
      <c r="X899" s="1666"/>
      <c r="Y899" s="1666"/>
      <c r="Z899" s="1666"/>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2.95" customHeight="1">
      <c r="B900" s="2"/>
      <c r="F900" s="1668"/>
      <c r="G900" s="1594"/>
      <c r="H900" s="1594"/>
      <c r="I900" s="1594"/>
      <c r="J900" s="1594"/>
      <c r="K900" s="1594"/>
      <c r="L900" s="1594"/>
      <c r="M900" s="1594"/>
      <c r="N900" s="1594"/>
      <c r="O900" s="1594"/>
      <c r="P900" s="1594"/>
      <c r="Q900" s="1594"/>
      <c r="R900" s="1594"/>
      <c r="S900" s="1594"/>
      <c r="T900" s="1595"/>
      <c r="U900" s="1668"/>
      <c r="V900" s="1594"/>
      <c r="W900" s="1594"/>
      <c r="X900" s="1594"/>
      <c r="Y900" s="1594"/>
      <c r="Z900" s="1594"/>
      <c r="AA900" s="108"/>
      <c r="AB900" s="1455" t="s">
        <v>393</v>
      </c>
      <c r="AC900" s="1455"/>
      <c r="AD900" s="1455"/>
      <c r="AE900" s="1455"/>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2.95" customHeight="1">
      <c r="B901" s="2"/>
      <c r="F901" s="45" t="s">
        <v>782</v>
      </c>
      <c r="G901" s="48"/>
      <c r="H901" s="48"/>
      <c r="I901" s="48"/>
      <c r="J901" s="48"/>
      <c r="K901" s="48"/>
      <c r="L901" s="48"/>
      <c r="M901" s="48"/>
      <c r="N901" s="48"/>
      <c r="O901" s="48"/>
      <c r="P901" s="48"/>
      <c r="Q901" s="48"/>
      <c r="R901" s="48"/>
      <c r="S901" s="48"/>
      <c r="T901" s="49"/>
      <c r="U901" s="1654" t="s">
        <v>554</v>
      </c>
      <c r="V901" s="1358"/>
      <c r="W901" s="1358"/>
      <c r="X901" s="1358"/>
      <c r="Y901" s="1358"/>
      <c r="Z901" s="1359"/>
      <c r="AA901" s="1651">
        <f>AM550</f>
        <v>95866019</v>
      </c>
      <c r="AB901" s="1444"/>
      <c r="AC901" s="1444"/>
      <c r="AD901" s="1444"/>
      <c r="AE901" s="1444"/>
      <c r="AF901" s="1652"/>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2.95" customHeight="1">
      <c r="B902" s="2"/>
      <c r="F902" s="66" t="s">
        <v>684</v>
      </c>
      <c r="G902" s="48"/>
      <c r="H902" s="48"/>
      <c r="I902" s="48"/>
      <c r="J902" s="48"/>
      <c r="K902" s="48"/>
      <c r="L902" s="48"/>
      <c r="M902" s="48"/>
      <c r="N902" s="48"/>
      <c r="O902" s="48"/>
      <c r="P902" s="48"/>
      <c r="Q902" s="48"/>
      <c r="R902" s="48"/>
      <c r="S902" s="48"/>
      <c r="T902" s="49"/>
      <c r="U902" s="1654" t="s">
        <v>554</v>
      </c>
      <c r="V902" s="1358"/>
      <c r="W902" s="1358"/>
      <c r="X902" s="1358"/>
      <c r="Y902" s="1358"/>
      <c r="Z902" s="1359"/>
      <c r="AA902" s="1651">
        <f>AM551</f>
        <v>9947946</v>
      </c>
      <c r="AB902" s="1444"/>
      <c r="AC902" s="1444"/>
      <c r="AD902" s="1444"/>
      <c r="AE902" s="1444"/>
      <c r="AF902" s="1652"/>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2.95" customHeight="1">
      <c r="F903" s="45" t="s">
        <v>825</v>
      </c>
      <c r="G903" s="5"/>
      <c r="H903" s="5"/>
      <c r="I903" s="5"/>
      <c r="J903" s="5"/>
      <c r="K903" s="5"/>
      <c r="L903" s="5"/>
      <c r="M903" s="5"/>
      <c r="N903" s="5"/>
      <c r="O903" s="5"/>
      <c r="P903" s="5"/>
      <c r="Q903" s="5"/>
      <c r="R903" s="5"/>
      <c r="S903" s="5"/>
      <c r="T903" s="46"/>
      <c r="U903" s="1654" t="s">
        <v>600</v>
      </c>
      <c r="V903" s="1358"/>
      <c r="W903" s="1358"/>
      <c r="X903" s="1358"/>
      <c r="Y903" s="1358"/>
      <c r="Z903" s="1359"/>
      <c r="AA903" s="1651"/>
      <c r="AB903" s="1444"/>
      <c r="AC903" s="1444"/>
      <c r="AD903" s="1444"/>
      <c r="AE903" s="1444"/>
      <c r="AF903" s="1652"/>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2.95" customHeight="1">
      <c r="F904" s="45" t="s">
        <v>687</v>
      </c>
      <c r="G904" s="5"/>
      <c r="H904" s="5"/>
      <c r="I904" s="5"/>
      <c r="J904" s="5"/>
      <c r="K904" s="5"/>
      <c r="L904" s="5"/>
      <c r="M904" s="5"/>
      <c r="N904" s="5"/>
      <c r="O904" s="5"/>
      <c r="P904" s="5"/>
      <c r="Q904" s="5"/>
      <c r="R904" s="5"/>
      <c r="S904" s="5"/>
      <c r="T904" s="46"/>
      <c r="U904" s="1654" t="s">
        <v>600</v>
      </c>
      <c r="V904" s="1358"/>
      <c r="W904" s="1358"/>
      <c r="X904" s="1358"/>
      <c r="Y904" s="1358"/>
      <c r="Z904" s="1359"/>
      <c r="AA904" s="1651"/>
      <c r="AB904" s="1444"/>
      <c r="AC904" s="1444"/>
      <c r="AD904" s="1444"/>
      <c r="AE904" s="1444"/>
      <c r="AF904" s="1652"/>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2.95" customHeight="1">
      <c r="F905" s="66" t="s">
        <v>810</v>
      </c>
      <c r="G905" s="5"/>
      <c r="H905" s="5"/>
      <c r="I905" s="5"/>
      <c r="J905" s="5"/>
      <c r="K905" s="5"/>
      <c r="L905" s="5"/>
      <c r="M905" s="5"/>
      <c r="N905" s="5"/>
      <c r="O905" s="5"/>
      <c r="P905" s="5"/>
      <c r="Q905" s="5"/>
      <c r="R905" s="5"/>
      <c r="S905" s="5"/>
      <c r="T905" s="46"/>
      <c r="U905" s="1654" t="s">
        <v>600</v>
      </c>
      <c r="V905" s="1358"/>
      <c r="W905" s="1358"/>
      <c r="X905" s="1358"/>
      <c r="Y905" s="1358"/>
      <c r="Z905" s="1359"/>
      <c r="AA905" s="1651"/>
      <c r="AB905" s="1444"/>
      <c r="AC905" s="1444"/>
      <c r="AD905" s="1444"/>
      <c r="AE905" s="1444"/>
      <c r="AF905" s="1652"/>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2.95" customHeight="1">
      <c r="F906" s="66" t="s">
        <v>811</v>
      </c>
      <c r="G906" s="5"/>
      <c r="H906" s="5"/>
      <c r="I906" s="5"/>
      <c r="J906" s="5"/>
      <c r="K906" s="5"/>
      <c r="L906" s="5"/>
      <c r="M906" s="5"/>
      <c r="N906" s="5"/>
      <c r="O906" s="5"/>
      <c r="P906" s="5"/>
      <c r="Q906" s="5"/>
      <c r="R906" s="5"/>
      <c r="S906" s="5"/>
      <c r="T906" s="46"/>
      <c r="U906" s="1654" t="s">
        <v>600</v>
      </c>
      <c r="V906" s="1358"/>
      <c r="W906" s="1358"/>
      <c r="X906" s="1358"/>
      <c r="Y906" s="1358"/>
      <c r="Z906" s="1359"/>
      <c r="AA906" s="1651"/>
      <c r="AB906" s="1444"/>
      <c r="AC906" s="1444"/>
      <c r="AD906" s="1444"/>
      <c r="AE906" s="1444"/>
      <c r="AF906" s="1652"/>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2.95" customHeight="1">
      <c r="F907" s="66" t="s">
        <v>812</v>
      </c>
      <c r="G907" s="5"/>
      <c r="H907" s="5"/>
      <c r="I907" s="5"/>
      <c r="J907" s="5"/>
      <c r="K907" s="5"/>
      <c r="L907" s="5"/>
      <c r="M907" s="5"/>
      <c r="N907" s="5"/>
      <c r="O907" s="5"/>
      <c r="P907" s="5"/>
      <c r="Q907" s="5"/>
      <c r="R907" s="5"/>
      <c r="S907" s="5"/>
      <c r="T907" s="46"/>
      <c r="U907" s="1654" t="s">
        <v>600</v>
      </c>
      <c r="V907" s="1358"/>
      <c r="W907" s="1358"/>
      <c r="X907" s="1358"/>
      <c r="Y907" s="1358"/>
      <c r="Z907" s="1359"/>
      <c r="AA907" s="1651"/>
      <c r="AB907" s="1444"/>
      <c r="AC907" s="1444"/>
      <c r="AD907" s="1444"/>
      <c r="AE907" s="1444"/>
      <c r="AF907" s="1652"/>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2.95" customHeight="1">
      <c r="F908" s="45" t="s">
        <v>686</v>
      </c>
      <c r="G908" s="5"/>
      <c r="H908" s="5"/>
      <c r="I908" s="5"/>
      <c r="J908" s="5"/>
      <c r="K908" s="5"/>
      <c r="L908" s="5"/>
      <c r="M908" s="5"/>
      <c r="N908" s="5"/>
      <c r="O908" s="5"/>
      <c r="P908" s="5"/>
      <c r="Q908" s="5"/>
      <c r="R908" s="5"/>
      <c r="S908" s="5"/>
      <c r="T908" s="46"/>
      <c r="U908" s="1654" t="s">
        <v>600</v>
      </c>
      <c r="V908" s="1358"/>
      <c r="W908" s="1358"/>
      <c r="X908" s="1358"/>
      <c r="Y908" s="1358"/>
      <c r="Z908" s="1359"/>
      <c r="AA908" s="1651"/>
      <c r="AB908" s="1444"/>
      <c r="AC908" s="1444"/>
      <c r="AD908" s="1444"/>
      <c r="AE908" s="1444"/>
      <c r="AF908" s="1652"/>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2.95" customHeight="1">
      <c r="F909" s="66" t="s">
        <v>688</v>
      </c>
      <c r="G909" s="5"/>
      <c r="H909" s="5"/>
      <c r="I909" s="5"/>
      <c r="J909" s="5"/>
      <c r="K909" s="5"/>
      <c r="L909" s="5"/>
      <c r="M909" s="5"/>
      <c r="N909" s="5"/>
      <c r="O909" s="5"/>
      <c r="P909" s="5"/>
      <c r="Q909" s="5"/>
      <c r="R909" s="5"/>
      <c r="S909" s="5"/>
      <c r="T909" s="46"/>
      <c r="U909" s="1654" t="s">
        <v>600</v>
      </c>
      <c r="V909" s="1358"/>
      <c r="W909" s="1358"/>
      <c r="X909" s="1358"/>
      <c r="Y909" s="1358"/>
      <c r="Z909" s="1359"/>
      <c r="AA909" s="1651"/>
      <c r="AB909" s="1444"/>
      <c r="AC909" s="1444"/>
      <c r="AD909" s="1444"/>
      <c r="AE909" s="1444"/>
      <c r="AF909" s="1652"/>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2.95" customHeight="1">
      <c r="F910" s="187" t="s">
        <v>685</v>
      </c>
      <c r="G910" s="5"/>
      <c r="H910" s="5"/>
      <c r="I910" s="5"/>
      <c r="J910" s="5"/>
      <c r="K910" s="5"/>
      <c r="L910" s="5"/>
      <c r="M910" s="5"/>
      <c r="N910" s="5"/>
      <c r="O910" s="5"/>
      <c r="P910" s="5"/>
      <c r="Q910" s="5"/>
      <c r="R910" s="5"/>
      <c r="S910" s="5"/>
      <c r="T910" s="46"/>
      <c r="U910" s="1654" t="s">
        <v>600</v>
      </c>
      <c r="V910" s="1358"/>
      <c r="W910" s="1358"/>
      <c r="X910" s="1358"/>
      <c r="Y910" s="1358"/>
      <c r="Z910" s="1359"/>
      <c r="AA910" s="1651"/>
      <c r="AB910" s="1444"/>
      <c r="AC910" s="1444"/>
      <c r="AD910" s="1444"/>
      <c r="AE910" s="1444"/>
      <c r="AF910" s="1652"/>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2.95" customHeight="1">
      <c r="F911" s="121" t="s">
        <v>1434</v>
      </c>
      <c r="G911" s="5"/>
      <c r="H911" s="5"/>
      <c r="I911" s="5"/>
      <c r="J911" s="5"/>
      <c r="K911" s="5"/>
      <c r="L911" s="5"/>
      <c r="M911" s="5"/>
      <c r="N911" s="5"/>
      <c r="O911" s="5"/>
      <c r="P911" s="5"/>
      <c r="Q911" s="5"/>
      <c r="R911" s="5"/>
      <c r="S911" s="5"/>
      <c r="T911" s="46"/>
      <c r="U911" s="1654" t="s">
        <v>600</v>
      </c>
      <c r="V911" s="1358"/>
      <c r="W911" s="1358"/>
      <c r="X911" s="1358"/>
      <c r="Y911" s="1358"/>
      <c r="Z911" s="1359"/>
      <c r="AA911" s="1651"/>
      <c r="AB911" s="1444"/>
      <c r="AC911" s="1444"/>
      <c r="AD911" s="1444"/>
      <c r="AE911" s="1444"/>
      <c r="AF911" s="1652"/>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2.95" customHeight="1">
      <c r="F912" s="66" t="s">
        <v>826</v>
      </c>
      <c r="G912" s="5"/>
      <c r="H912" s="5"/>
      <c r="I912" s="5"/>
      <c r="J912" s="5"/>
      <c r="K912" s="5"/>
      <c r="L912" s="5"/>
      <c r="M912" s="5"/>
      <c r="N912" s="5"/>
      <c r="O912" s="5"/>
      <c r="P912" s="5"/>
      <c r="Q912" s="5"/>
      <c r="R912" s="5"/>
      <c r="S912" s="5"/>
      <c r="T912" s="46"/>
      <c r="U912" s="1654" t="s">
        <v>600</v>
      </c>
      <c r="V912" s="1358"/>
      <c r="W912" s="1358"/>
      <c r="X912" s="1358"/>
      <c r="Y912" s="1358"/>
      <c r="Z912" s="1359"/>
      <c r="AA912" s="1651"/>
      <c r="AB912" s="1444"/>
      <c r="AC912" s="1444"/>
      <c r="AD912" s="1444"/>
      <c r="AE912" s="1444"/>
      <c r="AF912" s="1652"/>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2.95" customHeight="1">
      <c r="F913" s="66" t="s">
        <v>827</v>
      </c>
      <c r="G913" s="5"/>
      <c r="H913" s="5"/>
      <c r="I913" s="5"/>
      <c r="J913" s="5"/>
      <c r="K913" s="5"/>
      <c r="L913" s="5"/>
      <c r="M913" s="5"/>
      <c r="N913" s="5"/>
      <c r="O913" s="5"/>
      <c r="P913" s="5"/>
      <c r="Q913" s="5"/>
      <c r="R913" s="5"/>
      <c r="S913" s="5"/>
      <c r="T913" s="46"/>
      <c r="U913" s="1654" t="s">
        <v>600</v>
      </c>
      <c r="V913" s="1358"/>
      <c r="W913" s="1358"/>
      <c r="X913" s="1358"/>
      <c r="Y913" s="1358"/>
      <c r="Z913" s="1359"/>
      <c r="AA913" s="1651"/>
      <c r="AB913" s="1444"/>
      <c r="AC913" s="1444"/>
      <c r="AD913" s="1444"/>
      <c r="AE913" s="1444"/>
      <c r="AF913" s="1652"/>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2.95" customHeight="1">
      <c r="F914" s="121" t="s">
        <v>1418</v>
      </c>
      <c r="G914" s="5"/>
      <c r="H914" s="5"/>
      <c r="I914" s="5"/>
      <c r="J914" s="5"/>
      <c r="K914" s="5"/>
      <c r="L914" s="5"/>
      <c r="M914" s="5"/>
      <c r="N914" s="5"/>
      <c r="O914" s="5"/>
      <c r="P914" s="5"/>
      <c r="Q914" s="5"/>
      <c r="R914" s="5"/>
      <c r="S914" s="5"/>
      <c r="T914" s="46"/>
      <c r="U914" s="1654" t="s">
        <v>600</v>
      </c>
      <c r="V914" s="1358"/>
      <c r="W914" s="1358"/>
      <c r="X914" s="1358"/>
      <c r="Y914" s="1358"/>
      <c r="Z914" s="1359"/>
      <c r="AA914" s="1651"/>
      <c r="AB914" s="1444"/>
      <c r="AC914" s="1444"/>
      <c r="AD914" s="1444"/>
      <c r="AE914" s="1444"/>
      <c r="AF914" s="1652"/>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2.95" customHeight="1">
      <c r="F915" s="121" t="s">
        <v>1419</v>
      </c>
      <c r="G915" s="5"/>
      <c r="H915" s="5"/>
      <c r="I915" s="5"/>
      <c r="J915" s="5"/>
      <c r="K915" s="5"/>
      <c r="L915" s="5"/>
      <c r="M915" s="5"/>
      <c r="N915" s="5"/>
      <c r="O915" s="5"/>
      <c r="P915" s="5"/>
      <c r="Q915" s="5"/>
      <c r="R915" s="5"/>
      <c r="S915" s="5"/>
      <c r="T915" s="46"/>
      <c r="U915" s="1654" t="s">
        <v>600</v>
      </c>
      <c r="V915" s="1358"/>
      <c r="W915" s="1358"/>
      <c r="X915" s="1358"/>
      <c r="Y915" s="1358"/>
      <c r="Z915" s="1359"/>
      <c r="AA915" s="1651"/>
      <c r="AB915" s="1444"/>
      <c r="AC915" s="1444"/>
      <c r="AD915" s="1444"/>
      <c r="AE915" s="1444"/>
      <c r="AF915" s="1652"/>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2.95" customHeight="1">
      <c r="F916" s="45" t="s">
        <v>831</v>
      </c>
      <c r="G916" s="5"/>
      <c r="H916" s="5"/>
      <c r="I916" s="5"/>
      <c r="J916" s="5"/>
      <c r="K916" s="5"/>
      <c r="L916" s="5"/>
      <c r="M916" s="5"/>
      <c r="N916" s="5"/>
      <c r="O916" s="5"/>
      <c r="P916" s="1654" t="s">
        <v>678</v>
      </c>
      <c r="Q916" s="1358"/>
      <c r="R916" s="1358"/>
      <c r="S916" s="1358"/>
      <c r="T916" s="1359"/>
      <c r="U916" s="1654" t="s">
        <v>600</v>
      </c>
      <c r="V916" s="1358"/>
      <c r="W916" s="1358"/>
      <c r="X916" s="1358"/>
      <c r="Y916" s="1358"/>
      <c r="Z916" s="1359"/>
      <c r="AA916" s="1651"/>
      <c r="AB916" s="1444"/>
      <c r="AC916" s="1444"/>
      <c r="AD916" s="1444"/>
      <c r="AE916" s="1444"/>
      <c r="AF916" s="1652"/>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2.95" customHeight="1">
      <c r="F917" s="45" t="s">
        <v>87</v>
      </c>
      <c r="G917" s="48"/>
      <c r="H917" s="48"/>
      <c r="I917" s="1612" t="s">
        <v>2722</v>
      </c>
      <c r="J917" s="1613"/>
      <c r="K917" s="1613"/>
      <c r="L917" s="1613"/>
      <c r="M917" s="1613"/>
      <c r="N917" s="1613"/>
      <c r="O917" s="1613"/>
      <c r="P917" s="1613"/>
      <c r="Q917" s="1613"/>
      <c r="R917" s="1613"/>
      <c r="S917" s="1613"/>
      <c r="T917" s="1614"/>
      <c r="U917" s="1654" t="s">
        <v>554</v>
      </c>
      <c r="V917" s="1358"/>
      <c r="W917" s="1358"/>
      <c r="X917" s="1358"/>
      <c r="Y917" s="1358"/>
      <c r="Z917" s="1359"/>
      <c r="AA917" s="1651">
        <f>AO625</f>
        <v>28000000</v>
      </c>
      <c r="AB917" s="1444"/>
      <c r="AC917" s="1444"/>
      <c r="AD917" s="1444"/>
      <c r="AE917" s="1444"/>
      <c r="AF917" s="1652"/>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2.95" customHeight="1">
      <c r="F918" s="45" t="s">
        <v>10</v>
      </c>
      <c r="G918" s="48"/>
      <c r="H918" s="48"/>
      <c r="I918" s="1612" t="s">
        <v>2723</v>
      </c>
      <c r="J918" s="1663"/>
      <c r="K918" s="1663"/>
      <c r="L918" s="1663"/>
      <c r="M918" s="1663"/>
      <c r="N918" s="1663"/>
      <c r="O918" s="1663"/>
      <c r="P918" s="1663"/>
      <c r="Q918" s="1663"/>
      <c r="R918" s="1663"/>
      <c r="S918" s="1663"/>
      <c r="T918" s="1664"/>
      <c r="U918" s="1654" t="s">
        <v>554</v>
      </c>
      <c r="V918" s="1358"/>
      <c r="W918" s="1358"/>
      <c r="X918" s="1358"/>
      <c r="Y918" s="1358"/>
      <c r="Z918" s="1359"/>
      <c r="AA918" s="1651">
        <f>AO624</f>
        <v>65968539</v>
      </c>
      <c r="AB918" s="1444"/>
      <c r="AC918" s="1444"/>
      <c r="AD918" s="1444"/>
      <c r="AE918" s="1444"/>
      <c r="AF918" s="1652"/>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2.95" customHeight="1">
      <c r="F919" s="47" t="s">
        <v>171</v>
      </c>
      <c r="G919" s="48"/>
      <c r="H919" s="48"/>
      <c r="I919" s="1662" t="s">
        <v>336</v>
      </c>
      <c r="J919" s="1663"/>
      <c r="K919" s="1663"/>
      <c r="L919" s="1663"/>
      <c r="M919" s="1663"/>
      <c r="N919" s="1663"/>
      <c r="O919" s="1663"/>
      <c r="P919" s="1663"/>
      <c r="Q919" s="1663"/>
      <c r="R919" s="1663"/>
      <c r="S919" s="1663"/>
      <c r="T919" s="1664"/>
      <c r="U919" s="1654" t="s">
        <v>600</v>
      </c>
      <c r="V919" s="1358"/>
      <c r="W919" s="1358"/>
      <c r="X919" s="1358"/>
      <c r="Y919" s="1358"/>
      <c r="Z919" s="1359"/>
      <c r="AA919" s="1651"/>
      <c r="AB919" s="1444"/>
      <c r="AC919" s="1444"/>
      <c r="AD919" s="1444"/>
      <c r="AE919" s="1444"/>
      <c r="AF919" s="1652"/>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2.95" customHeight="1">
      <c r="F920" s="47" t="s">
        <v>171</v>
      </c>
      <c r="G920" s="48"/>
      <c r="H920" s="48"/>
      <c r="I920" s="1662" t="s">
        <v>336</v>
      </c>
      <c r="J920" s="1663"/>
      <c r="K920" s="1663"/>
      <c r="L920" s="1663"/>
      <c r="M920" s="1663"/>
      <c r="N920" s="1663"/>
      <c r="O920" s="1663"/>
      <c r="P920" s="1663"/>
      <c r="Q920" s="1663"/>
      <c r="R920" s="1663"/>
      <c r="S920" s="1663"/>
      <c r="T920" s="1664"/>
      <c r="U920" s="1654" t="s">
        <v>600</v>
      </c>
      <c r="V920" s="1358"/>
      <c r="W920" s="1358"/>
      <c r="X920" s="1358"/>
      <c r="Y920" s="1358"/>
      <c r="Z920" s="1359"/>
      <c r="AA920" s="1651"/>
      <c r="AB920" s="1444"/>
      <c r="AC920" s="1444"/>
      <c r="AD920" s="1444"/>
      <c r="AE920" s="1444"/>
      <c r="AF920" s="1652"/>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2.95"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2.95" customHeight="1">
      <c r="A922" s="2" t="s">
        <v>585</v>
      </c>
      <c r="C922" s="2" t="s">
        <v>763</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2.95"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2.95"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2.95" customHeight="1">
      <c r="C925" s="66" t="s">
        <v>11</v>
      </c>
      <c r="D925" s="5"/>
      <c r="E925" s="5"/>
      <c r="F925" s="5"/>
      <c r="G925" s="5"/>
      <c r="H925" s="5"/>
      <c r="I925" s="5"/>
      <c r="J925" s="5"/>
      <c r="K925" s="5"/>
      <c r="L925" s="46"/>
      <c r="M925" s="1661">
        <v>44993</v>
      </c>
      <c r="N925" s="1598"/>
      <c r="O925" s="1598"/>
      <c r="P925" s="1598"/>
      <c r="Q925" s="1598"/>
      <c r="R925" s="1598"/>
      <c r="S925" s="1621"/>
      <c r="U925" s="66" t="s">
        <v>11</v>
      </c>
      <c r="V925" s="5"/>
      <c r="W925" s="5"/>
      <c r="X925" s="5"/>
      <c r="Y925" s="5"/>
      <c r="Z925" s="5"/>
      <c r="AA925" s="5"/>
      <c r="AB925" s="5"/>
      <c r="AC925" s="5"/>
      <c r="AD925" s="46"/>
      <c r="AE925" s="1661"/>
      <c r="AF925" s="1598"/>
      <c r="AG925" s="1598"/>
      <c r="AH925" s="1598"/>
      <c r="AI925" s="1598"/>
      <c r="AJ925" s="1598"/>
      <c r="AK925" s="1621"/>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2.95" customHeight="1">
      <c r="C926" s="66" t="s">
        <v>12</v>
      </c>
      <c r="D926" s="5"/>
      <c r="E926" s="5"/>
      <c r="F926" s="5"/>
      <c r="G926" s="5"/>
      <c r="H926" s="5"/>
      <c r="I926" s="5"/>
      <c r="J926" s="5"/>
      <c r="K926" s="5"/>
      <c r="L926" s="46"/>
      <c r="M926" s="1368" t="s">
        <v>2730</v>
      </c>
      <c r="N926" s="1467"/>
      <c r="O926" s="1467"/>
      <c r="P926" s="1467"/>
      <c r="Q926" s="1467"/>
      <c r="R926" s="1467"/>
      <c r="S926" s="1653"/>
      <c r="U926" s="66" t="s">
        <v>12</v>
      </c>
      <c r="V926" s="5"/>
      <c r="W926" s="5"/>
      <c r="X926" s="5"/>
      <c r="Y926" s="5"/>
      <c r="Z926" s="5"/>
      <c r="AA926" s="5"/>
      <c r="AB926" s="5"/>
      <c r="AC926" s="5"/>
      <c r="AD926" s="46"/>
      <c r="AE926" s="1368"/>
      <c r="AF926" s="1467"/>
      <c r="AG926" s="1467"/>
      <c r="AH926" s="1467"/>
      <c r="AI926" s="1467"/>
      <c r="AJ926" s="1467"/>
      <c r="AK926" s="1653"/>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2.95" customHeight="1">
      <c r="C927" s="66" t="s">
        <v>909</v>
      </c>
      <c r="D927" s="5"/>
      <c r="E927" s="5"/>
      <c r="J927" s="1655" t="s">
        <v>309</v>
      </c>
      <c r="K927" s="1656"/>
      <c r="L927" s="1656"/>
      <c r="M927" s="1656"/>
      <c r="N927" s="1656"/>
      <c r="O927" s="1656"/>
      <c r="P927" s="1656"/>
      <c r="Q927" s="1656"/>
      <c r="R927" s="1656"/>
      <c r="S927" s="1657"/>
      <c r="U927" s="66" t="s">
        <v>909</v>
      </c>
      <c r="V927" s="5"/>
      <c r="W927" s="5"/>
      <c r="AB927" s="1655" t="s">
        <v>309</v>
      </c>
      <c r="AC927" s="1656"/>
      <c r="AD927" s="1656"/>
      <c r="AE927" s="1656"/>
      <c r="AF927" s="1656"/>
      <c r="AG927" s="1656"/>
      <c r="AH927" s="1656"/>
      <c r="AI927" s="1656"/>
      <c r="AJ927" s="1656"/>
      <c r="AK927" s="1657"/>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2.95" customHeight="1">
      <c r="C928" s="66" t="s">
        <v>13</v>
      </c>
      <c r="D928" s="5"/>
      <c r="E928" s="5"/>
      <c r="F928" s="5"/>
      <c r="G928" s="5"/>
      <c r="H928" s="5"/>
      <c r="I928" s="5"/>
      <c r="J928" s="5"/>
      <c r="K928" s="5"/>
      <c r="L928" s="46"/>
      <c r="M928" s="1821">
        <f>40/182</f>
        <v>0.21978021978021978</v>
      </c>
      <c r="N928" s="1673"/>
      <c r="O928" s="1673"/>
      <c r="P928" s="1673"/>
      <c r="Q928" s="1673"/>
      <c r="R928" s="1673"/>
      <c r="S928" s="1674"/>
      <c r="U928" s="66" t="s">
        <v>13</v>
      </c>
      <c r="V928" s="5"/>
      <c r="W928" s="5"/>
      <c r="X928" s="5"/>
      <c r="Y928" s="5"/>
      <c r="Z928" s="5"/>
      <c r="AA928" s="5"/>
      <c r="AB928" s="5"/>
      <c r="AC928" s="5"/>
      <c r="AD928" s="46"/>
      <c r="AE928" s="1672"/>
      <c r="AF928" s="1673"/>
      <c r="AG928" s="1673"/>
      <c r="AH928" s="1673"/>
      <c r="AI928" s="1673"/>
      <c r="AJ928" s="1673"/>
      <c r="AK928" s="1674"/>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95" customHeight="1">
      <c r="C929" s="66" t="s">
        <v>14</v>
      </c>
      <c r="D929" s="5"/>
      <c r="E929" s="5"/>
      <c r="F929" s="5"/>
      <c r="G929" s="5"/>
      <c r="H929" s="5"/>
      <c r="I929" s="5"/>
      <c r="J929" s="5"/>
      <c r="K929" s="5"/>
      <c r="L929" s="46"/>
      <c r="M929" s="1675">
        <v>40</v>
      </c>
      <c r="N929" s="1639"/>
      <c r="O929" s="1639"/>
      <c r="P929" s="1639"/>
      <c r="Q929" s="1639"/>
      <c r="R929" s="1639"/>
      <c r="S929" s="1640"/>
      <c r="U929" s="66" t="s">
        <v>14</v>
      </c>
      <c r="V929" s="5"/>
      <c r="W929" s="5"/>
      <c r="X929" s="5"/>
      <c r="Y929" s="5"/>
      <c r="Z929" s="5"/>
      <c r="AA929" s="5"/>
      <c r="AB929" s="5"/>
      <c r="AC929" s="5"/>
      <c r="AD929" s="46"/>
      <c r="AE929" s="1675"/>
      <c r="AF929" s="1639"/>
      <c r="AG929" s="1639"/>
      <c r="AH929" s="1639"/>
      <c r="AI929" s="1639"/>
      <c r="AJ929" s="1639"/>
      <c r="AK929" s="1640"/>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95" customHeight="1">
      <c r="C930" s="66" t="s">
        <v>15</v>
      </c>
      <c r="D930" s="5"/>
      <c r="E930" s="5"/>
      <c r="F930" s="5"/>
      <c r="G930" s="5"/>
      <c r="H930" s="5"/>
      <c r="I930" s="5"/>
      <c r="J930" s="5"/>
      <c r="K930" s="5"/>
      <c r="L930" s="46"/>
      <c r="M930" s="1651">
        <f>'15 Year Pro Forma'!E10</f>
        <v>729250</v>
      </c>
      <c r="N930" s="1444"/>
      <c r="O930" s="1444"/>
      <c r="P930" s="1444"/>
      <c r="Q930" s="1444"/>
      <c r="R930" s="1444"/>
      <c r="S930" s="1652"/>
      <c r="U930" s="66" t="s">
        <v>15</v>
      </c>
      <c r="V930" s="5"/>
      <c r="W930" s="5"/>
      <c r="X930" s="5"/>
      <c r="Y930" s="5"/>
      <c r="Z930" s="5"/>
      <c r="AA930" s="5"/>
      <c r="AB930" s="5"/>
      <c r="AC930" s="5"/>
      <c r="AD930" s="46"/>
      <c r="AE930" s="1651"/>
      <c r="AF930" s="1444"/>
      <c r="AG930" s="1444"/>
      <c r="AH930" s="1444"/>
      <c r="AI930" s="1444"/>
      <c r="AJ930" s="1444"/>
      <c r="AK930" s="165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95" customHeight="1">
      <c r="C931" s="66" t="s">
        <v>16</v>
      </c>
      <c r="D931" s="5"/>
      <c r="E931" s="5"/>
      <c r="F931" s="5"/>
      <c r="G931" s="5"/>
      <c r="H931" s="5"/>
      <c r="I931" s="5"/>
      <c r="J931" s="5"/>
      <c r="K931" s="5"/>
      <c r="L931" s="46"/>
      <c r="M931" s="1651">
        <f>SUM('15 Year Pro Forma'!E10:AG10)</f>
        <v>15232059</v>
      </c>
      <c r="N931" s="1444"/>
      <c r="O931" s="1444"/>
      <c r="P931" s="1444"/>
      <c r="Q931" s="1444"/>
      <c r="R931" s="1444"/>
      <c r="S931" s="1652"/>
      <c r="U931" s="66" t="s">
        <v>16</v>
      </c>
      <c r="V931" s="5"/>
      <c r="W931" s="5"/>
      <c r="X931" s="5"/>
      <c r="Y931" s="5"/>
      <c r="Z931" s="5"/>
      <c r="AA931" s="5"/>
      <c r="AB931" s="5"/>
      <c r="AC931" s="5"/>
      <c r="AD931" s="46"/>
      <c r="AE931" s="1651"/>
      <c r="AF931" s="1444"/>
      <c r="AG931" s="1444"/>
      <c r="AH931" s="1444"/>
      <c r="AI931" s="1444"/>
      <c r="AJ931" s="1444"/>
      <c r="AK931" s="1652"/>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95" customHeight="1">
      <c r="C932" s="121" t="s">
        <v>1841</v>
      </c>
      <c r="D932" s="5"/>
      <c r="E932" s="5"/>
      <c r="F932" s="5"/>
      <c r="G932" s="5"/>
      <c r="H932" s="5"/>
      <c r="I932" s="5"/>
      <c r="J932" s="5"/>
      <c r="K932" s="5"/>
      <c r="L932" s="46"/>
      <c r="M932" s="1669">
        <v>15</v>
      </c>
      <c r="N932" s="1670"/>
      <c r="O932" s="1670"/>
      <c r="P932" s="1670"/>
      <c r="Q932" s="1670"/>
      <c r="R932" s="1670"/>
      <c r="S932" s="1671"/>
      <c r="U932" s="121" t="s">
        <v>1841</v>
      </c>
      <c r="V932" s="5"/>
      <c r="W932" s="5"/>
      <c r="X932" s="5"/>
      <c r="Y932" s="5"/>
      <c r="Z932" s="5"/>
      <c r="AA932" s="5"/>
      <c r="AB932" s="5"/>
      <c r="AC932" s="5"/>
      <c r="AD932" s="46"/>
      <c r="AE932" s="1669"/>
      <c r="AF932" s="1670"/>
      <c r="AG932" s="1670"/>
      <c r="AH932" s="1670"/>
      <c r="AI932" s="1670"/>
      <c r="AJ932" s="1670"/>
      <c r="AK932" s="1671"/>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95"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95" customHeight="1">
      <c r="A934" s="2" t="s">
        <v>595</v>
      </c>
      <c r="C934" s="2" t="s">
        <v>659</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95"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95"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95" customHeight="1">
      <c r="F937" s="45" t="s">
        <v>580</v>
      </c>
      <c r="G937" s="5"/>
      <c r="H937" s="5"/>
      <c r="I937" s="5"/>
      <c r="J937" s="5"/>
      <c r="K937" s="5"/>
      <c r="L937" s="46"/>
      <c r="M937" s="1641" t="s">
        <v>600</v>
      </c>
      <c r="N937" s="1642"/>
      <c r="O937" s="1642"/>
      <c r="P937" s="1642"/>
      <c r="Q937" s="1642"/>
      <c r="R937" s="1642"/>
      <c r="S937" s="1643"/>
      <c r="T937" s="66" t="s">
        <v>814</v>
      </c>
      <c r="U937" s="5"/>
      <c r="V937" s="5"/>
      <c r="W937" s="5"/>
      <c r="X937" s="5"/>
      <c r="Y937" s="5"/>
      <c r="Z937" s="46"/>
      <c r="AA937" s="1641"/>
      <c r="AB937" s="1642"/>
      <c r="AC937" s="1642"/>
      <c r="AD937" s="1642"/>
      <c r="AE937" s="1642"/>
      <c r="AF937" s="1642"/>
      <c r="AG937" s="1643"/>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95" customHeight="1">
      <c r="F938" s="45" t="s">
        <v>581</v>
      </c>
      <c r="G938" s="5"/>
      <c r="H938" s="5"/>
      <c r="I938" s="5"/>
      <c r="J938" s="5"/>
      <c r="K938" s="5"/>
      <c r="L938" s="46"/>
      <c r="M938" s="1641" t="s">
        <v>600</v>
      </c>
      <c r="N938" s="1642"/>
      <c r="O938" s="1642"/>
      <c r="P938" s="1642"/>
      <c r="Q938" s="1642"/>
      <c r="R938" s="1642"/>
      <c r="S938" s="1643"/>
      <c r="T938" s="66" t="s">
        <v>813</v>
      </c>
      <c r="U938" s="5"/>
      <c r="V938" s="5"/>
      <c r="W938" s="5"/>
      <c r="X938" s="5"/>
      <c r="Y938" s="5"/>
      <c r="Z938" s="46"/>
      <c r="AA938" s="1641"/>
      <c r="AB938" s="1642"/>
      <c r="AC938" s="1642"/>
      <c r="AD938" s="1642"/>
      <c r="AE938" s="1642"/>
      <c r="AF938" s="1642"/>
      <c r="AG938" s="1643"/>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95" customHeight="1">
      <c r="F939" s="45" t="s">
        <v>934</v>
      </c>
      <c r="G939" s="5"/>
      <c r="H939" s="5"/>
      <c r="I939" s="5"/>
      <c r="J939" s="5"/>
      <c r="K939" s="5"/>
      <c r="L939" s="46"/>
      <c r="M939" s="1692" t="s">
        <v>600</v>
      </c>
      <c r="N939" s="1693"/>
      <c r="O939" s="1693"/>
      <c r="P939" s="1693"/>
      <c r="Q939" s="1693"/>
      <c r="R939" s="1693"/>
      <c r="S939" s="1694"/>
      <c r="T939" s="45" t="s">
        <v>339</v>
      </c>
      <c r="U939" s="5"/>
      <c r="V939" s="5"/>
      <c r="W939" s="5"/>
      <c r="X939" s="5"/>
      <c r="Y939" s="5"/>
      <c r="Z939" s="46"/>
      <c r="AA939" s="1641"/>
      <c r="AB939" s="1642"/>
      <c r="AC939" s="1642"/>
      <c r="AD939" s="1642"/>
      <c r="AE939" s="1642"/>
      <c r="AF939" s="1642"/>
      <c r="AG939" s="1643"/>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95" customHeight="1">
      <c r="F940" s="45" t="s">
        <v>582</v>
      </c>
      <c r="G940" s="5"/>
      <c r="H940" s="5"/>
      <c r="I940" s="5"/>
      <c r="J940" s="5"/>
      <c r="K940" s="5"/>
      <c r="L940" s="46"/>
      <c r="M940" s="1641" t="s">
        <v>600</v>
      </c>
      <c r="N940" s="1642"/>
      <c r="O940" s="1642"/>
      <c r="P940" s="1642"/>
      <c r="Q940" s="1642"/>
      <c r="R940" s="1642"/>
      <c r="S940" s="1643"/>
      <c r="T940" s="45" t="s">
        <v>340</v>
      </c>
      <c r="U940" s="5"/>
      <c r="V940" s="5"/>
      <c r="W940" s="5"/>
      <c r="X940" s="5"/>
      <c r="Y940" s="5"/>
      <c r="Z940" s="46"/>
      <c r="AA940" s="1641"/>
      <c r="AB940" s="1642"/>
      <c r="AC940" s="1642"/>
      <c r="AD940" s="1642"/>
      <c r="AE940" s="1642"/>
      <c r="AF940" s="1642"/>
      <c r="AG940" s="1643"/>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95" customHeight="1">
      <c r="F941" s="45" t="s">
        <v>473</v>
      </c>
      <c r="G941" s="5"/>
      <c r="H941" s="5"/>
      <c r="I941" s="5"/>
      <c r="J941" s="5"/>
      <c r="K941" s="5"/>
      <c r="L941" s="46"/>
      <c r="M941" s="1641" t="s">
        <v>600</v>
      </c>
      <c r="N941" s="1642"/>
      <c r="O941" s="1642"/>
      <c r="P941" s="1642"/>
      <c r="Q941" s="1642"/>
      <c r="R941" s="1642"/>
      <c r="S941" s="1643"/>
      <c r="T941" s="45" t="s">
        <v>378</v>
      </c>
      <c r="U941" s="5"/>
      <c r="V941" s="5"/>
      <c r="W941" s="5"/>
      <c r="X941" s="5"/>
      <c r="Y941" s="5"/>
      <c r="Z941" s="46"/>
      <c r="AA941" s="1641"/>
      <c r="AB941" s="1642"/>
      <c r="AC941" s="1642"/>
      <c r="AD941" s="1642"/>
      <c r="AE941" s="1642"/>
      <c r="AF941" s="1642"/>
      <c r="AG941" s="1643"/>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95" customHeight="1">
      <c r="F942" s="260" t="s">
        <v>909</v>
      </c>
      <c r="G942" s="42"/>
      <c r="H942" s="42"/>
      <c r="I942" s="42"/>
      <c r="J942" s="42"/>
      <c r="K942" s="42"/>
      <c r="L942" s="58"/>
      <c r="M942" s="1679" t="s">
        <v>309</v>
      </c>
      <c r="N942" s="1680"/>
      <c r="O942" s="1680"/>
      <c r="P942" s="1680"/>
      <c r="Q942" s="1680"/>
      <c r="R942" s="1680"/>
      <c r="S942" s="1681"/>
      <c r="T942" s="1658"/>
      <c r="U942" s="1659"/>
      <c r="V942" s="1659"/>
      <c r="W942" s="1659"/>
      <c r="X942" s="1659"/>
      <c r="Y942" s="1659"/>
      <c r="Z942" s="1660"/>
      <c r="AA942" s="1641"/>
      <c r="AB942" s="1642"/>
      <c r="AC942" s="1642"/>
      <c r="AD942" s="1642"/>
      <c r="AE942" s="1642"/>
      <c r="AF942" s="1642"/>
      <c r="AG942" s="1643"/>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95" customHeight="1">
      <c r="F943" s="41" t="s">
        <v>474</v>
      </c>
      <c r="G943" s="42"/>
      <c r="H943" s="42"/>
      <c r="I943" s="42"/>
      <c r="J943" s="42"/>
      <c r="K943" s="42"/>
      <c r="L943" s="58"/>
      <c r="M943" s="1641" t="s">
        <v>600</v>
      </c>
      <c r="N943" s="1642"/>
      <c r="O943" s="1642"/>
      <c r="P943" s="1642"/>
      <c r="Q943" s="1642"/>
      <c r="R943" s="1642"/>
      <c r="S943" s="1643"/>
      <c r="T943" s="1658"/>
      <c r="U943" s="1659"/>
      <c r="V943" s="1659"/>
      <c r="W943" s="1659"/>
      <c r="X943" s="1659"/>
      <c r="Y943" s="1659"/>
      <c r="Z943" s="1660"/>
      <c r="AA943" s="1641"/>
      <c r="AB943" s="1642"/>
      <c r="AC943" s="1642"/>
      <c r="AD943" s="1642"/>
      <c r="AE943" s="1642"/>
      <c r="AF943" s="1642"/>
      <c r="AG943" s="1643"/>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95" customHeight="1">
      <c r="F944" s="41" t="s">
        <v>338</v>
      </c>
      <c r="G944" s="42"/>
      <c r="H944" s="42"/>
      <c r="I944" s="42"/>
      <c r="J944" s="42"/>
      <c r="K944" s="42"/>
      <c r="L944" s="42"/>
      <c r="M944" s="42"/>
      <c r="N944" s="42"/>
      <c r="O944" s="1539" t="s">
        <v>678</v>
      </c>
      <c r="P944" s="1370"/>
      <c r="Q944" s="92"/>
      <c r="R944" s="92"/>
      <c r="S944" s="93"/>
      <c r="T944" s="41" t="s">
        <v>171</v>
      </c>
      <c r="U944" s="42"/>
      <c r="V944" s="42"/>
      <c r="W944" s="1676" t="s">
        <v>336</v>
      </c>
      <c r="X944" s="1677"/>
      <c r="Y944" s="1677"/>
      <c r="Z944" s="1677"/>
      <c r="AA944" s="1677"/>
      <c r="AB944" s="1677"/>
      <c r="AC944" s="1677"/>
      <c r="AD944" s="1677"/>
      <c r="AE944" s="1677"/>
      <c r="AF944" s="1677"/>
      <c r="AG944" s="1678"/>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596" t="s">
        <v>33</v>
      </c>
      <c r="G945" s="1517"/>
      <c r="H945" s="1517"/>
      <c r="I945" s="1517"/>
      <c r="J945" s="1517"/>
      <c r="K945" s="1517"/>
      <c r="L945" s="1517"/>
      <c r="M945" s="1641"/>
      <c r="N945" s="1642"/>
      <c r="O945" s="1642"/>
      <c r="P945" s="1642"/>
      <c r="Q945" s="1642"/>
      <c r="R945" s="1642"/>
      <c r="S945" s="1643"/>
      <c r="T945" s="47"/>
      <c r="U945" s="48"/>
      <c r="V945" s="48"/>
      <c r="W945" s="48"/>
      <c r="X945" s="48"/>
      <c r="Y945" s="48"/>
      <c r="Z945" s="124" t="s">
        <v>135</v>
      </c>
      <c r="AA945" s="1814"/>
      <c r="AB945" s="1815"/>
      <c r="AC945" s="1815"/>
      <c r="AD945" s="1815"/>
      <c r="AE945" s="1815"/>
      <c r="AF945" s="1815"/>
      <c r="AG945" s="1816"/>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A949" s="1820" t="s">
        <v>557</v>
      </c>
      <c r="B949" s="1820"/>
      <c r="C949" s="1820"/>
      <c r="D949" s="1820"/>
      <c r="E949" s="1820"/>
      <c r="F949" s="1820"/>
      <c r="G949" s="1820"/>
      <c r="H949" s="1820"/>
      <c r="I949" s="1820"/>
      <c r="J949" s="1820"/>
      <c r="K949" s="1820"/>
      <c r="L949" s="1820"/>
      <c r="M949" s="1820"/>
      <c r="N949" s="1820"/>
      <c r="O949" s="1820"/>
      <c r="P949" s="1820"/>
      <c r="Q949" s="1820"/>
      <c r="R949" s="1820"/>
      <c r="S949" s="1820"/>
      <c r="T949" s="1820"/>
      <c r="U949" s="1820"/>
      <c r="V949" s="1820"/>
      <c r="W949" s="1820"/>
      <c r="X949" s="1820"/>
      <c r="Y949" s="1820"/>
      <c r="Z949" s="1820"/>
      <c r="AA949" s="1820"/>
      <c r="AB949" s="1820"/>
      <c r="AC949" s="1820"/>
      <c r="AD949" s="1820"/>
      <c r="AE949" s="1820"/>
      <c r="AF949" s="1820"/>
      <c r="AG949" s="1820"/>
      <c r="AH949" s="1820"/>
      <c r="AI949" s="1820"/>
      <c r="AJ949" s="1820"/>
      <c r="AK949" s="1820"/>
      <c r="AL949" s="1820"/>
      <c r="AM949" s="1820"/>
      <c r="AN949" s="1820"/>
      <c r="AO949" s="1820"/>
      <c r="AP949" s="1820"/>
      <c r="AQ949" s="1820"/>
      <c r="AR949" s="1820"/>
      <c r="AS949" s="1820"/>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2.95" customHeight="1">
      <c r="A950" s="1820"/>
      <c r="B950" s="1820"/>
      <c r="C950" s="1820"/>
      <c r="D950" s="1820"/>
      <c r="E950" s="1820"/>
      <c r="F950" s="1820"/>
      <c r="G950" s="1820"/>
      <c r="H950" s="1820"/>
      <c r="I950" s="1820"/>
      <c r="J950" s="1820"/>
      <c r="K950" s="1820"/>
      <c r="L950" s="1820"/>
      <c r="M950" s="1820"/>
      <c r="N950" s="1820"/>
      <c r="O950" s="1820"/>
      <c r="P950" s="1820"/>
      <c r="Q950" s="1820"/>
      <c r="R950" s="1820"/>
      <c r="S950" s="1820"/>
      <c r="T950" s="1820"/>
      <c r="U950" s="1820"/>
      <c r="V950" s="1820"/>
      <c r="W950" s="1820"/>
      <c r="X950" s="1820"/>
      <c r="Y950" s="1820"/>
      <c r="Z950" s="1820"/>
      <c r="AA950" s="1820"/>
      <c r="AB950" s="1820"/>
      <c r="AC950" s="1820"/>
      <c r="AD950" s="1820"/>
      <c r="AE950" s="1820"/>
      <c r="AF950" s="1820"/>
      <c r="AG950" s="1820"/>
      <c r="AH950" s="1820"/>
      <c r="AI950" s="1820"/>
      <c r="AJ950" s="1820"/>
      <c r="AK950" s="1820"/>
      <c r="AL950" s="1820"/>
      <c r="AM950" s="1820"/>
      <c r="AN950" s="1820"/>
      <c r="AO950" s="1820"/>
      <c r="AP950" s="1820"/>
      <c r="AQ950" s="1820"/>
      <c r="AR950" s="1820"/>
      <c r="AS950" s="1820"/>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2.95" customHeight="1">
      <c r="D951"/>
      <c r="E951"/>
      <c r="F951"/>
      <c r="G951"/>
      <c r="H951"/>
      <c r="AL951" s="68"/>
      <c r="AM951" s="68"/>
      <c r="AN951" s="68"/>
      <c r="AO951" s="68"/>
      <c r="AP951" s="68"/>
      <c r="AQ951" s="68"/>
      <c r="AR951" s="68"/>
      <c r="AS951" s="68"/>
      <c r="AT951" s="68"/>
      <c r="AU951" s="68"/>
      <c r="AV951" s="68"/>
      <c r="AW951" s="68"/>
      <c r="AX951" s="68"/>
      <c r="AY951" s="68"/>
      <c r="BG951" s="1624"/>
      <c r="BH951" s="1624"/>
      <c r="BI951" s="1624"/>
      <c r="BJ951" s="1624"/>
      <c r="BK951" s="1624"/>
      <c r="BL951" s="1624"/>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2.95" customHeight="1">
      <c r="A952" s="2" t="s">
        <v>321</v>
      </c>
      <c r="B952"/>
      <c r="C952" s="2" t="s">
        <v>624</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2.95"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2.95" customHeight="1">
      <c r="A954" s="67"/>
      <c r="B954" s="79"/>
      <c r="C954" s="965"/>
      <c r="D954" s="1807" t="s">
        <v>647</v>
      </c>
      <c r="E954" s="1808"/>
      <c r="F954" s="1808"/>
      <c r="G954" s="1808"/>
      <c r="H954" s="1808"/>
      <c r="I954" s="1808"/>
      <c r="J954" s="1808"/>
      <c r="K954" s="1808"/>
      <c r="L954" s="1808"/>
      <c r="M954" s="1808"/>
      <c r="N954" s="1808"/>
      <c r="O954" s="1808"/>
      <c r="P954" s="1808"/>
      <c r="Q954" s="1809"/>
      <c r="R954" s="1807" t="s">
        <v>648</v>
      </c>
      <c r="S954" s="1808"/>
      <c r="T954" s="1808"/>
      <c r="U954" s="1808"/>
      <c r="V954" s="1808"/>
      <c r="W954" s="1808"/>
      <c r="X954" s="1808"/>
      <c r="Y954" s="1808"/>
      <c r="Z954" s="1808"/>
      <c r="AA954" s="1809"/>
      <c r="AB954" s="1807" t="s">
        <v>649</v>
      </c>
      <c r="AC954" s="1808"/>
      <c r="AD954" s="1808"/>
      <c r="AE954" s="1808"/>
      <c r="AF954" s="1808"/>
      <c r="AG954" s="1808"/>
      <c r="AH954" s="1808"/>
      <c r="AI954" s="1809"/>
      <c r="AJ954" s="1807" t="s">
        <v>650</v>
      </c>
      <c r="AK954" s="1808"/>
      <c r="AL954" s="1808"/>
      <c r="AM954" s="1808"/>
      <c r="AN954" s="1808"/>
      <c r="AO954" s="1808"/>
      <c r="AP954" s="1808"/>
      <c r="AQ954" s="1809"/>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2.95" customHeight="1">
      <c r="B955" s="73"/>
      <c r="C955" s="966"/>
      <c r="D955" s="1721" t="s">
        <v>642</v>
      </c>
      <c r="E955" s="1722"/>
      <c r="F955" s="1722"/>
      <c r="G955" s="1722"/>
      <c r="H955" s="1722"/>
      <c r="I955" s="1722"/>
      <c r="J955" s="1722"/>
      <c r="K955" s="1722"/>
      <c r="L955" s="1722"/>
      <c r="M955" s="1722"/>
      <c r="N955" s="1722"/>
      <c r="O955" s="1722"/>
      <c r="P955" s="1722"/>
      <c r="Q955" s="1723"/>
      <c r="R955" s="1698">
        <f>IF(ISNA(IF($BN$785="4%",(INDEX($BP$795:$BT$852,MATCH($CB$785,$BO$795:$BO$852,0),MATCH(D955,$BP$794:$BT$794,0))),(INDEX($BW$795:$CA$852,MATCH($CB$785,$BV$795:$BV$852,0),MATCH(D955,$BW$794:$CA$794,0))))),0,IF($BN$785="4%",(INDEX($BP$795:$BT$852,MATCH($CB$785,$BO$795:$BO$852,0),MATCH(D955,$BP$794:$BT$794,0))),(INDEX($BW$795:$CA$852,MATCH($CB$785,$BV$795:$BV$852,0),MATCH(D955,$BW$794:$CA$794,0)))))</f>
        <v>689665</v>
      </c>
      <c r="S955" s="1698"/>
      <c r="T955" s="1698"/>
      <c r="U955" s="1698"/>
      <c r="V955" s="1698"/>
      <c r="W955" s="1698"/>
      <c r="X955" s="1698"/>
      <c r="Y955" s="1698"/>
      <c r="Z955" s="1698"/>
      <c r="AA955" s="1698"/>
      <c r="AB955" s="1810">
        <f>BN649</f>
        <v>17</v>
      </c>
      <c r="AC955" s="1811"/>
      <c r="AD955" s="1811"/>
      <c r="AE955" s="1811"/>
      <c r="AF955" s="1811"/>
      <c r="AG955" s="1811"/>
      <c r="AH955" s="1811"/>
      <c r="AI955" s="1812"/>
      <c r="AJ955" s="1726">
        <f>IF(ISERROR((R955*AB955)),0,(R955*AB955))</f>
        <v>11724305</v>
      </c>
      <c r="AK955" s="1727"/>
      <c r="AL955" s="1727"/>
      <c r="AM955" s="1727"/>
      <c r="AN955" s="1727"/>
      <c r="AO955" s="1727"/>
      <c r="AP955" s="1727"/>
      <c r="AQ955" s="1728"/>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2.95" customHeight="1">
      <c r="B956" s="73"/>
      <c r="C956" s="83"/>
      <c r="D956" s="1721" t="s">
        <v>327</v>
      </c>
      <c r="E956" s="1722"/>
      <c r="F956" s="1722"/>
      <c r="G956" s="1722"/>
      <c r="H956" s="1722"/>
      <c r="I956" s="1722"/>
      <c r="J956" s="1722"/>
      <c r="K956" s="1722"/>
      <c r="L956" s="1722"/>
      <c r="M956" s="1722"/>
      <c r="N956" s="1722"/>
      <c r="O956" s="1722"/>
      <c r="P956" s="1722"/>
      <c r="Q956" s="1723"/>
      <c r="R956" s="1698">
        <f>IF(ISNA(IF($BN$785="4%",(INDEX($BP$795:$BT$852,MATCH($CB$785,$BO$795:$BO$852,0),MATCH(D956,$BP$794:$BT$794,0))),(INDEX($BW$795:$CA$852,MATCH($CB$785,$BV$795:$BV$852,0),MATCH(D956,$BW$794:$CA$794,0))))),0,IF($BN$785="4%",(INDEX($BP$795:$BT$852,MATCH($CB$785,$BO$795:$BO$852,0),MATCH(D956,$BP$794:$BT$794,0))),(INDEX($BW$795:$CA$852,MATCH($CB$785,$BV$795:$BV$852,0),MATCH(D956,$BW$794:$CA$794,0)))))</f>
        <v>795177</v>
      </c>
      <c r="S956" s="1698"/>
      <c r="T956" s="1698"/>
      <c r="U956" s="1698"/>
      <c r="V956" s="1698"/>
      <c r="W956" s="1698"/>
      <c r="X956" s="1698"/>
      <c r="Y956" s="1698"/>
      <c r="Z956" s="1698"/>
      <c r="AA956" s="1698"/>
      <c r="AB956" s="1810">
        <f>BS649</f>
        <v>76</v>
      </c>
      <c r="AC956" s="1811"/>
      <c r="AD956" s="1811"/>
      <c r="AE956" s="1811"/>
      <c r="AF956" s="1811"/>
      <c r="AG956" s="1811"/>
      <c r="AH956" s="1811"/>
      <c r="AI956" s="1812"/>
      <c r="AJ956" s="1726">
        <f>IF(ISERROR((R956*AB956)),0,(R956*AB956))</f>
        <v>60433452</v>
      </c>
      <c r="AK956" s="1727"/>
      <c r="AL956" s="1727"/>
      <c r="AM956" s="1727"/>
      <c r="AN956" s="1727"/>
      <c r="AO956" s="1727"/>
      <c r="AP956" s="1727"/>
      <c r="AQ956" s="1728"/>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2.95" customHeight="1">
      <c r="B957" s="73"/>
      <c r="C957" s="83"/>
      <c r="D957" s="1721" t="s">
        <v>164</v>
      </c>
      <c r="E957" s="1722"/>
      <c r="F957" s="1722"/>
      <c r="G957" s="1722"/>
      <c r="H957" s="1722"/>
      <c r="I957" s="1722"/>
      <c r="J957" s="1722"/>
      <c r="K957" s="1722"/>
      <c r="L957" s="1722"/>
      <c r="M957" s="1722"/>
      <c r="N957" s="1722"/>
      <c r="O957" s="1722"/>
      <c r="P957" s="1722"/>
      <c r="Q957" s="1723"/>
      <c r="R957" s="1698">
        <f>IF(ISNA(IF($BN$785="4%",(INDEX($BP$795:$BT$852,MATCH($CB$785,$BO$795:$BO$852,0),MATCH(D957,$BP$794:$BT$794,0))),(INDEX($BW$795:$CA$852,MATCH($CB$785,$BV$795:$BV$852,0),MATCH(D957,$BW$794:$CA$794,0))))),0,IF($BN$785="4%",(INDEX($BP$795:$BT$852,MATCH($CB$785,$BO$795:$BO$852,0),MATCH(D957,$BP$794:$BT$794,0))),(INDEX($BW$795:$CA$852,MATCH($CB$785,$BV$795:$BV$852,0),MATCH(D957,$BW$794:$CA$794,0)))))</f>
        <v>959200</v>
      </c>
      <c r="S957" s="1698"/>
      <c r="T957" s="1698"/>
      <c r="U957" s="1698"/>
      <c r="V957" s="1698"/>
      <c r="W957" s="1698"/>
      <c r="X957" s="1698"/>
      <c r="Y957" s="1698"/>
      <c r="Z957" s="1698"/>
      <c r="AA957" s="1698"/>
      <c r="AB957" s="1810">
        <f>BX649</f>
        <v>54</v>
      </c>
      <c r="AC957" s="1811"/>
      <c r="AD957" s="1811"/>
      <c r="AE957" s="1811"/>
      <c r="AF957" s="1811"/>
      <c r="AG957" s="1811"/>
      <c r="AH957" s="1811"/>
      <c r="AI957" s="1812"/>
      <c r="AJ957" s="1726">
        <f>IF(ISERROR((R957*AB957)),0,(R957*AB957))</f>
        <v>51796800</v>
      </c>
      <c r="AK957" s="1727"/>
      <c r="AL957" s="1727"/>
      <c r="AM957" s="1727"/>
      <c r="AN957" s="1727"/>
      <c r="AO957" s="1727"/>
      <c r="AP957" s="1727"/>
      <c r="AQ957" s="1728"/>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2.95" customHeight="1">
      <c r="B958" s="73"/>
      <c r="C958" s="83"/>
      <c r="D958" s="1721" t="s">
        <v>165</v>
      </c>
      <c r="E958" s="1722"/>
      <c r="F958" s="1722"/>
      <c r="G958" s="1722"/>
      <c r="H958" s="1722"/>
      <c r="I958" s="1722"/>
      <c r="J958" s="1722"/>
      <c r="K958" s="1722"/>
      <c r="L958" s="1722"/>
      <c r="M958" s="1722"/>
      <c r="N958" s="1722"/>
      <c r="O958" s="1722"/>
      <c r="P958" s="1722"/>
      <c r="Q958" s="1723"/>
      <c r="R958" s="1698">
        <f>IF(ISNA(IF($BN$785="4%",(INDEX($BP$795:$BT$852,MATCH($CB$785,$BO$795:$BO$852,0),MATCH(D958,$BP$794:$BT$794,0))),(INDEX($BW$795:$CA$852,MATCH($CB$785,$BV$795:$BV$852,0),MATCH(D958,$BW$794:$CA$794,0))))),0,IF($BN$785="4%",(INDEX($BP$795:$BT$852,MATCH($CB$785,$BO$795:$BO$852,0),MATCH(D958,$BP$794:$BT$794,0))),(INDEX($BW$795:$CA$852,MATCH($CB$785,$BV$795:$BV$852,0),MATCH(D958,$BW$794:$CA$794,0)))))</f>
        <v>1227776</v>
      </c>
      <c r="S958" s="1698"/>
      <c r="T958" s="1698"/>
      <c r="U958" s="1698"/>
      <c r="V958" s="1698"/>
      <c r="W958" s="1698"/>
      <c r="X958" s="1698"/>
      <c r="Y958" s="1698"/>
      <c r="Z958" s="1698"/>
      <c r="AA958" s="1698"/>
      <c r="AB958" s="1810">
        <f>CC649</f>
        <v>37</v>
      </c>
      <c r="AC958" s="1811"/>
      <c r="AD958" s="1811"/>
      <c r="AE958" s="1811"/>
      <c r="AF958" s="1811"/>
      <c r="AG958" s="1811"/>
      <c r="AH958" s="1811"/>
      <c r="AI958" s="1812"/>
      <c r="AJ958" s="1726">
        <f>IF(ISERROR((R958*AB958)),0,(R958*AB958))</f>
        <v>45427712</v>
      </c>
      <c r="AK958" s="1727"/>
      <c r="AL958" s="1727"/>
      <c r="AM958" s="1727"/>
      <c r="AN958" s="1727"/>
      <c r="AO958" s="1727"/>
      <c r="AP958" s="1727"/>
      <c r="AQ958" s="1728"/>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2.95" customHeight="1">
      <c r="A959" s="14"/>
      <c r="B959" s="47"/>
      <c r="C959" s="78"/>
      <c r="D959" s="1721" t="s">
        <v>469</v>
      </c>
      <c r="E959" s="1722"/>
      <c r="F959" s="1722"/>
      <c r="G959" s="1722"/>
      <c r="H959" s="1722"/>
      <c r="I959" s="1722"/>
      <c r="J959" s="1722"/>
      <c r="K959" s="1722"/>
      <c r="L959" s="1722"/>
      <c r="M959" s="1722"/>
      <c r="N959" s="1722"/>
      <c r="O959" s="1722"/>
      <c r="P959" s="1722"/>
      <c r="Q959" s="1723"/>
      <c r="R959" s="1698">
        <f>IF(ISNA(IF($BN$785="4%",(INDEX($BP$795:$BT$852,MATCH($CB$785,$BO$795:$BO$852,0),MATCH(D959,$BP$794:$BT$794,0))),(INDEX($BW$795:$CA$852,MATCH($CB$785,$BV$795:$BV$852,0),MATCH(D959,$BW$794:$CA$794,0))))),0,IF($BN$785="4%",(INDEX($BP$795:$BT$852,MATCH($CB$785,$BO$795:$BO$852,0),MATCH(D959,$BP$794:$BT$794,0))),(INDEX($BW$795:$CA$852,MATCH($CB$785,$BV$795:$BV$852,0),MATCH(D959,$BW$794:$CA$794,0)))))</f>
        <v>1367819</v>
      </c>
      <c r="S959" s="1698"/>
      <c r="T959" s="1698"/>
      <c r="U959" s="1698"/>
      <c r="V959" s="1698"/>
      <c r="W959" s="1698"/>
      <c r="X959" s="1698"/>
      <c r="Y959" s="1698"/>
      <c r="Z959" s="1698"/>
      <c r="AA959" s="1698"/>
      <c r="AB959" s="1810">
        <f>CM649+CH649</f>
        <v>0</v>
      </c>
      <c r="AC959" s="1811"/>
      <c r="AD959" s="1811"/>
      <c r="AE959" s="1811"/>
      <c r="AF959" s="1811"/>
      <c r="AG959" s="1811"/>
      <c r="AH959" s="1811"/>
      <c r="AI959" s="1812"/>
      <c r="AJ959" s="1726">
        <f>IF(ISERROR((R959*AB959)),0,(R959*AB959))</f>
        <v>0</v>
      </c>
      <c r="AK959" s="1727"/>
      <c r="AL959" s="1727"/>
      <c r="AM959" s="1727"/>
      <c r="AN959" s="1727"/>
      <c r="AO959" s="1727"/>
      <c r="AP959" s="1727"/>
      <c r="AQ959" s="1728"/>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A960" s="14"/>
      <c r="B960" s="1822" t="s">
        <v>815</v>
      </c>
      <c r="C960" s="1823"/>
      <c r="D960" s="1823"/>
      <c r="E960" s="1823"/>
      <c r="F960" s="1823"/>
      <c r="G960" s="1823"/>
      <c r="H960" s="1823"/>
      <c r="I960" s="1823"/>
      <c r="J960" s="1823"/>
      <c r="K960" s="1823"/>
      <c r="L960" s="1823"/>
      <c r="M960" s="1823"/>
      <c r="N960" s="1823"/>
      <c r="O960" s="1823"/>
      <c r="P960" s="1823"/>
      <c r="Q960" s="1823"/>
      <c r="R960" s="1823"/>
      <c r="S960" s="1823"/>
      <c r="T960" s="1823"/>
      <c r="U960" s="1823"/>
      <c r="V960" s="1823"/>
      <c r="W960" s="1823"/>
      <c r="X960" s="1823"/>
      <c r="Y960" s="1823"/>
      <c r="Z960" s="1823"/>
      <c r="AA960" s="1824"/>
      <c r="AB960" s="1810">
        <f>SUM(AB955:AI959)</f>
        <v>184</v>
      </c>
      <c r="AC960" s="1811"/>
      <c r="AD960" s="1811"/>
      <c r="AE960" s="1811"/>
      <c r="AF960" s="1811"/>
      <c r="AG960" s="1811"/>
      <c r="AH960" s="1811"/>
      <c r="AI960" s="1812"/>
      <c r="AJ960" s="1726"/>
      <c r="AK960" s="1727"/>
      <c r="AL960" s="1727"/>
      <c r="AM960" s="1727"/>
      <c r="AN960" s="1727"/>
      <c r="AO960" s="1727"/>
      <c r="AP960" s="1727"/>
      <c r="AQ960" s="1728"/>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95" customHeight="1">
      <c r="A961" s="14"/>
      <c r="B961" s="1840" t="s">
        <v>521</v>
      </c>
      <c r="C961" s="1841"/>
      <c r="D961" s="1841"/>
      <c r="E961" s="1841"/>
      <c r="F961" s="1841"/>
      <c r="G961" s="1841"/>
      <c r="H961" s="1841"/>
      <c r="I961" s="1841"/>
      <c r="J961" s="1841"/>
      <c r="K961" s="1841"/>
      <c r="L961" s="1841"/>
      <c r="M961" s="1841"/>
      <c r="N961" s="1841"/>
      <c r="O961" s="1841"/>
      <c r="P961" s="1841"/>
      <c r="Q961" s="1841"/>
      <c r="R961" s="1841"/>
      <c r="S961" s="1841"/>
      <c r="T961" s="1841"/>
      <c r="U961" s="1841"/>
      <c r="V961" s="1841"/>
      <c r="W961" s="1841"/>
      <c r="X961" s="1841"/>
      <c r="Y961" s="1841"/>
      <c r="Z961" s="1841"/>
      <c r="AA961" s="1841"/>
      <c r="AB961" s="1841"/>
      <c r="AC961" s="1841"/>
      <c r="AD961" s="1841"/>
      <c r="AE961" s="1841"/>
      <c r="AF961" s="1841"/>
      <c r="AG961" s="1841"/>
      <c r="AH961" s="1841"/>
      <c r="AI961" s="1842"/>
      <c r="AJ961" s="1726">
        <f>SUM(AJ955:AQ959)</f>
        <v>169382269</v>
      </c>
      <c r="AK961" s="1727"/>
      <c r="AL961" s="1727"/>
      <c r="AM961" s="1727"/>
      <c r="AN961" s="1727"/>
      <c r="AO961" s="1727"/>
      <c r="AP961" s="1727"/>
      <c r="AQ961" s="1728"/>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95" customHeight="1">
      <c r="A962" s="14"/>
      <c r="B962" s="1801"/>
      <c r="C962" s="1802"/>
      <c r="D962" s="1802"/>
      <c r="E962" s="1802"/>
      <c r="F962" s="1802"/>
      <c r="G962" s="1802"/>
      <c r="H962" s="1802"/>
      <c r="I962" s="1802"/>
      <c r="J962" s="1802"/>
      <c r="K962" s="1802"/>
      <c r="L962" s="1802"/>
      <c r="M962" s="1802"/>
      <c r="N962" s="1802"/>
      <c r="O962" s="1802"/>
      <c r="P962" s="1802"/>
      <c r="Q962" s="1802"/>
      <c r="R962" s="1802"/>
      <c r="S962" s="1802"/>
      <c r="T962" s="1802"/>
      <c r="U962" s="1802"/>
      <c r="V962" s="1802"/>
      <c r="W962" s="1802"/>
      <c r="X962" s="1802"/>
      <c r="Y962" s="1802"/>
      <c r="Z962" s="1802"/>
      <c r="AA962" s="1802"/>
      <c r="AB962" s="1802"/>
      <c r="AC962" s="1802"/>
      <c r="AD962" s="1802"/>
      <c r="AE962" s="1803"/>
      <c r="AF962" s="1843" t="s">
        <v>675</v>
      </c>
      <c r="AG962" s="1844"/>
      <c r="AH962" s="1844"/>
      <c r="AI962" s="1845"/>
      <c r="AJ962" s="1801"/>
      <c r="AK962" s="1802"/>
      <c r="AL962" s="1802"/>
      <c r="AM962" s="1802"/>
      <c r="AN962" s="1802"/>
      <c r="AO962" s="1802"/>
      <c r="AP962" s="1802"/>
      <c r="AQ962" s="1803"/>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95" customHeight="1">
      <c r="A963" s="14"/>
      <c r="B963" s="73"/>
      <c r="C963" s="964" t="s">
        <v>677</v>
      </c>
      <c r="D963" s="1804" t="s">
        <v>1363</v>
      </c>
      <c r="E963" s="1805"/>
      <c r="F963" s="1805"/>
      <c r="G963" s="1805"/>
      <c r="H963" s="1805"/>
      <c r="I963" s="1805"/>
      <c r="J963" s="1805"/>
      <c r="K963" s="1805"/>
      <c r="L963" s="1805"/>
      <c r="M963" s="1805"/>
      <c r="N963" s="1805"/>
      <c r="O963" s="1805"/>
      <c r="P963" s="1805"/>
      <c r="Q963" s="1805"/>
      <c r="R963" s="1805"/>
      <c r="S963" s="1805"/>
      <c r="T963" s="1805"/>
      <c r="U963" s="1805"/>
      <c r="V963" s="1805"/>
      <c r="W963" s="1805"/>
      <c r="X963" s="1805"/>
      <c r="Y963" s="1805"/>
      <c r="Z963" s="1805"/>
      <c r="AA963" s="1805"/>
      <c r="AB963" s="1805"/>
      <c r="AC963" s="1805"/>
      <c r="AD963" s="1805"/>
      <c r="AE963" s="1806"/>
      <c r="AF963" s="79"/>
      <c r="AG963" s="1846" t="s">
        <v>554</v>
      </c>
      <c r="AH963" s="1847"/>
      <c r="AI963" s="87"/>
      <c r="AJ963" s="1784">
        <f>ROUND(IF(AND(AG963="yes",D965&gt;0),AJ961*0.2,0),0)</f>
        <v>33876454</v>
      </c>
      <c r="AK963" s="1785"/>
      <c r="AL963" s="1785"/>
      <c r="AM963" s="1785"/>
      <c r="AN963" s="1785"/>
      <c r="AO963" s="1785"/>
      <c r="AP963" s="1785"/>
      <c r="AQ963" s="1786"/>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825" t="s">
        <v>1364</v>
      </c>
      <c r="E964" s="1826"/>
      <c r="F964" s="1826"/>
      <c r="G964" s="1826"/>
      <c r="H964" s="1826"/>
      <c r="I964" s="1826"/>
      <c r="J964" s="1826"/>
      <c r="K964" s="1826"/>
      <c r="L964" s="1826"/>
      <c r="M964" s="1826"/>
      <c r="N964" s="1826"/>
      <c r="O964" s="1826"/>
      <c r="P964" s="1826"/>
      <c r="Q964" s="1826"/>
      <c r="R964" s="1826"/>
      <c r="S964" s="1826"/>
      <c r="T964" s="1826"/>
      <c r="U964" s="1826"/>
      <c r="V964" s="1826"/>
      <c r="W964" s="1826"/>
      <c r="X964" s="1826"/>
      <c r="Y964" s="1826"/>
      <c r="Z964" s="1826"/>
      <c r="AA964" s="1826"/>
      <c r="AB964" s="1826"/>
      <c r="AC964" s="1826"/>
      <c r="AD964" s="1826"/>
      <c r="AE964" s="1827"/>
      <c r="AF964" s="73"/>
      <c r="AG964" s="14"/>
      <c r="AH964" s="14"/>
      <c r="AI964" s="83"/>
      <c r="AJ964" s="1787"/>
      <c r="AK964" s="1788"/>
      <c r="AL964" s="1788"/>
      <c r="AM964" s="1788"/>
      <c r="AN964" s="1788"/>
      <c r="AO964" s="1788"/>
      <c r="AP964" s="1788"/>
      <c r="AQ964" s="1789"/>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2.95" customHeight="1">
      <c r="A965" s="14"/>
      <c r="B965" s="277"/>
      <c r="C965" s="276"/>
      <c r="D965" s="1828" t="s">
        <v>2766</v>
      </c>
      <c r="E965" s="1829"/>
      <c r="F965" s="1829"/>
      <c r="G965" s="1829"/>
      <c r="H965" s="1829"/>
      <c r="I965" s="1829"/>
      <c r="J965" s="1829"/>
      <c r="K965" s="1829"/>
      <c r="L965" s="1829"/>
      <c r="M965" s="1829"/>
      <c r="N965" s="1829"/>
      <c r="O965" s="1829"/>
      <c r="P965" s="1829"/>
      <c r="Q965" s="1829"/>
      <c r="R965" s="1829"/>
      <c r="S965" s="1829"/>
      <c r="T965" s="1829"/>
      <c r="U965" s="1829"/>
      <c r="V965" s="1829"/>
      <c r="W965" s="1829"/>
      <c r="X965" s="1829"/>
      <c r="Y965" s="1829"/>
      <c r="Z965" s="1829"/>
      <c r="AA965" s="1829"/>
      <c r="AB965" s="1829"/>
      <c r="AC965" s="1829"/>
      <c r="AD965" s="1829"/>
      <c r="AE965" s="1830"/>
      <c r="AF965" s="77"/>
      <c r="AG965" s="7"/>
      <c r="AH965" s="7"/>
      <c r="AI965" s="78"/>
      <c r="AJ965" s="1790"/>
      <c r="AK965" s="1791"/>
      <c r="AL965" s="1791"/>
      <c r="AM965" s="1791"/>
      <c r="AN965" s="1791"/>
      <c r="AO965" s="1791"/>
      <c r="AP965" s="1791"/>
      <c r="AQ965" s="1792"/>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2.95" customHeight="1">
      <c r="A966" s="14"/>
      <c r="B966" s="275"/>
      <c r="C966" s="345"/>
      <c r="D966" s="1765" t="s">
        <v>1449</v>
      </c>
      <c r="E966" s="1766"/>
      <c r="F966" s="1766"/>
      <c r="G966" s="1766"/>
      <c r="H966" s="1766"/>
      <c r="I966" s="1766"/>
      <c r="J966" s="1766"/>
      <c r="K966" s="1766"/>
      <c r="L966" s="1766"/>
      <c r="M966" s="1766"/>
      <c r="N966" s="1766"/>
      <c r="O966" s="1766"/>
      <c r="P966" s="1766"/>
      <c r="Q966" s="1766"/>
      <c r="R966" s="1766"/>
      <c r="S966" s="1766"/>
      <c r="T966" s="1766"/>
      <c r="U966" s="1766"/>
      <c r="V966" s="1766"/>
      <c r="W966" s="1766"/>
      <c r="X966" s="1766"/>
      <c r="Y966" s="1766"/>
      <c r="Z966" s="1766"/>
      <c r="AA966" s="1766"/>
      <c r="AB966" s="1766"/>
      <c r="AC966" s="1766"/>
      <c r="AD966" s="1766"/>
      <c r="AE966" s="1767"/>
      <c r="AF966" s="79"/>
      <c r="AG966" s="1777" t="s">
        <v>678</v>
      </c>
      <c r="AH966" s="1778"/>
      <c r="AI966" s="87"/>
      <c r="AJ966" s="1784">
        <f>ROUND(IF(AG966="yes",AJ961*0.05,0),0)</f>
        <v>0</v>
      </c>
      <c r="AK966" s="1785"/>
      <c r="AL966" s="1785"/>
      <c r="AM966" s="1785"/>
      <c r="AN966" s="1785"/>
      <c r="AO966" s="1785"/>
      <c r="AP966" s="1785"/>
      <c r="AQ966" s="1786"/>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2.95" customHeight="1">
      <c r="A967" s="14"/>
      <c r="B967" s="277"/>
      <c r="C967" s="82"/>
      <c r="D967" s="1825" t="s">
        <v>1447</v>
      </c>
      <c r="E967" s="1826"/>
      <c r="F967" s="1826"/>
      <c r="G967" s="1826"/>
      <c r="H967" s="1826"/>
      <c r="I967" s="1826"/>
      <c r="J967" s="1826"/>
      <c r="K967" s="1826"/>
      <c r="L967" s="1826"/>
      <c r="M967" s="1826"/>
      <c r="N967" s="1826"/>
      <c r="O967" s="1826"/>
      <c r="P967" s="1826"/>
      <c r="Q967" s="1826"/>
      <c r="R967" s="1826"/>
      <c r="S967" s="1826"/>
      <c r="T967" s="1826"/>
      <c r="U967" s="1826"/>
      <c r="V967" s="1826"/>
      <c r="W967" s="1826"/>
      <c r="X967" s="1826"/>
      <c r="Y967" s="1826"/>
      <c r="Z967" s="1826"/>
      <c r="AA967" s="1826"/>
      <c r="AB967" s="1826"/>
      <c r="AC967" s="1826"/>
      <c r="AD967" s="1826"/>
      <c r="AE967" s="1827"/>
      <c r="AF967" s="73"/>
      <c r="AG967" s="14"/>
      <c r="AH967" s="14"/>
      <c r="AI967" s="83"/>
      <c r="AJ967" s="1787"/>
      <c r="AK967" s="1788"/>
      <c r="AL967" s="1788"/>
      <c r="AM967" s="1788"/>
      <c r="AN967" s="1788"/>
      <c r="AO967" s="1788"/>
      <c r="AP967" s="1788"/>
      <c r="AQ967" s="1789"/>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2.95" customHeight="1">
      <c r="A968" s="14"/>
      <c r="B968" s="277"/>
      <c r="C968" s="82"/>
      <c r="D968" s="1825"/>
      <c r="E968" s="1826"/>
      <c r="F968" s="1826"/>
      <c r="G968" s="1826"/>
      <c r="H968" s="1826"/>
      <c r="I968" s="1826"/>
      <c r="J968" s="1826"/>
      <c r="K968" s="1826"/>
      <c r="L968" s="1826"/>
      <c r="M968" s="1826"/>
      <c r="N968" s="1826"/>
      <c r="O968" s="1826"/>
      <c r="P968" s="1826"/>
      <c r="Q968" s="1826"/>
      <c r="R968" s="1826"/>
      <c r="S968" s="1826"/>
      <c r="T968" s="1826"/>
      <c r="U968" s="1826"/>
      <c r="V968" s="1826"/>
      <c r="W968" s="1826"/>
      <c r="X968" s="1826"/>
      <c r="Y968" s="1826"/>
      <c r="Z968" s="1826"/>
      <c r="AA968" s="1826"/>
      <c r="AB968" s="1826"/>
      <c r="AC968" s="1826"/>
      <c r="AD968" s="1826"/>
      <c r="AE968" s="1827"/>
      <c r="AF968" s="73"/>
      <c r="AG968" s="14"/>
      <c r="AH968" s="14"/>
      <c r="AI968" s="83"/>
      <c r="AJ968" s="1787"/>
      <c r="AK968" s="1788"/>
      <c r="AL968" s="1788"/>
      <c r="AM968" s="1788"/>
      <c r="AN968" s="1788"/>
      <c r="AO968" s="1788"/>
      <c r="AP968" s="1788"/>
      <c r="AQ968" s="1789"/>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2.95" customHeight="1">
      <c r="A969" s="14"/>
      <c r="B969" s="277"/>
      <c r="C969" s="82"/>
      <c r="D969" s="1825"/>
      <c r="E969" s="1826"/>
      <c r="F969" s="1826"/>
      <c r="G969" s="1826"/>
      <c r="H969" s="1826"/>
      <c r="I969" s="1826"/>
      <c r="J969" s="1826"/>
      <c r="K969" s="1826"/>
      <c r="L969" s="1826"/>
      <c r="M969" s="1826"/>
      <c r="N969" s="1826"/>
      <c r="O969" s="1826"/>
      <c r="P969" s="1826"/>
      <c r="Q969" s="1826"/>
      <c r="R969" s="1826"/>
      <c r="S969" s="1826"/>
      <c r="T969" s="1826"/>
      <c r="U969" s="1826"/>
      <c r="V969" s="1826"/>
      <c r="W969" s="1826"/>
      <c r="X969" s="1826"/>
      <c r="Y969" s="1826"/>
      <c r="Z969" s="1826"/>
      <c r="AA969" s="1826"/>
      <c r="AB969" s="1826"/>
      <c r="AC969" s="1826"/>
      <c r="AD969" s="1826"/>
      <c r="AE969" s="1827"/>
      <c r="AF969" s="73"/>
      <c r="AG969" s="14"/>
      <c r="AH969" s="14"/>
      <c r="AI969" s="83"/>
      <c r="AJ969" s="1787"/>
      <c r="AK969" s="1788"/>
      <c r="AL969" s="1788"/>
      <c r="AM969" s="1788"/>
      <c r="AN969" s="1788"/>
      <c r="AO969" s="1788"/>
      <c r="AP969" s="1788"/>
      <c r="AQ969" s="1789"/>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2.95" customHeight="1">
      <c r="A970" s="14"/>
      <c r="B970" s="277"/>
      <c r="C970" s="82"/>
      <c r="D970" s="1825"/>
      <c r="E970" s="1826"/>
      <c r="F970" s="1826"/>
      <c r="G970" s="1826"/>
      <c r="H970" s="1826"/>
      <c r="I970" s="1826"/>
      <c r="J970" s="1826"/>
      <c r="K970" s="1826"/>
      <c r="L970" s="1826"/>
      <c r="M970" s="1826"/>
      <c r="N970" s="1826"/>
      <c r="O970" s="1826"/>
      <c r="P970" s="1826"/>
      <c r="Q970" s="1826"/>
      <c r="R970" s="1826"/>
      <c r="S970" s="1826"/>
      <c r="T970" s="1826"/>
      <c r="U970" s="1826"/>
      <c r="V970" s="1826"/>
      <c r="W970" s="1826"/>
      <c r="X970" s="1826"/>
      <c r="Y970" s="1826"/>
      <c r="Z970" s="1826"/>
      <c r="AA970" s="1826"/>
      <c r="AB970" s="1826"/>
      <c r="AC970" s="1826"/>
      <c r="AD970" s="1826"/>
      <c r="AE970" s="1827"/>
      <c r="AF970" s="73"/>
      <c r="AG970" s="14"/>
      <c r="AH970" s="14"/>
      <c r="AI970" s="83"/>
      <c r="AJ970" s="1787"/>
      <c r="AK970" s="1788"/>
      <c r="AL970" s="1788"/>
      <c r="AM970" s="1788"/>
      <c r="AN970" s="1788"/>
      <c r="AO970" s="1788"/>
      <c r="AP970" s="1788"/>
      <c r="AQ970" s="1789"/>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2.95" customHeight="1">
      <c r="A971" s="14"/>
      <c r="B971" s="75"/>
      <c r="C971" s="76"/>
      <c r="D971" s="1831"/>
      <c r="E971" s="1832"/>
      <c r="F971" s="1832"/>
      <c r="G971" s="1832"/>
      <c r="H971" s="1832"/>
      <c r="I971" s="1832"/>
      <c r="J971" s="1832"/>
      <c r="K971" s="1832"/>
      <c r="L971" s="1832"/>
      <c r="M971" s="1832"/>
      <c r="N971" s="1832"/>
      <c r="O971" s="1832"/>
      <c r="P971" s="1832"/>
      <c r="Q971" s="1832"/>
      <c r="R971" s="1832"/>
      <c r="S971" s="1832"/>
      <c r="T971" s="1832"/>
      <c r="U971" s="1832"/>
      <c r="V971" s="1832"/>
      <c r="W971" s="1832"/>
      <c r="X971" s="1832"/>
      <c r="Y971" s="1832"/>
      <c r="Z971" s="1832"/>
      <c r="AA971" s="1832"/>
      <c r="AB971" s="1832"/>
      <c r="AC971" s="1832"/>
      <c r="AD971" s="1832"/>
      <c r="AE971" s="1833"/>
      <c r="AF971" s="77"/>
      <c r="AG971" s="7"/>
      <c r="AH971" s="7"/>
      <c r="AI971" s="78"/>
      <c r="AJ971" s="1790"/>
      <c r="AK971" s="1791"/>
      <c r="AL971" s="1791"/>
      <c r="AM971" s="1791"/>
      <c r="AN971" s="1791"/>
      <c r="AO971" s="1791"/>
      <c r="AP971" s="1791"/>
      <c r="AQ971" s="1792"/>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2.95" customHeight="1">
      <c r="A972" s="14"/>
      <c r="B972" s="275"/>
      <c r="C972" s="80" t="s">
        <v>681</v>
      </c>
      <c r="D972" s="1765" t="s">
        <v>1942</v>
      </c>
      <c r="E972" s="1766"/>
      <c r="F972" s="1766"/>
      <c r="G972" s="1766"/>
      <c r="H972" s="1766"/>
      <c r="I972" s="1766"/>
      <c r="J972" s="1766"/>
      <c r="K972" s="1766"/>
      <c r="L972" s="1766"/>
      <c r="M972" s="1766"/>
      <c r="N972" s="1766"/>
      <c r="O972" s="1766"/>
      <c r="P972" s="1766"/>
      <c r="Q972" s="1766"/>
      <c r="R972" s="1766"/>
      <c r="S972" s="1766"/>
      <c r="T972" s="1766"/>
      <c r="U972" s="1766"/>
      <c r="V972" s="1766"/>
      <c r="W972" s="1766"/>
      <c r="X972" s="1766"/>
      <c r="Y972" s="1766"/>
      <c r="Z972" s="1766"/>
      <c r="AA972" s="1766"/>
      <c r="AB972" s="1766"/>
      <c r="AC972" s="1766"/>
      <c r="AD972" s="1766"/>
      <c r="AE972" s="1767"/>
      <c r="AF972" s="86"/>
      <c r="AG972" s="1777" t="s">
        <v>678</v>
      </c>
      <c r="AH972" s="1778"/>
      <c r="AI972" s="87"/>
      <c r="AJ972" s="1784">
        <f>ROUND(IF(AG972="yes",AJ961*0.1,0),0)</f>
        <v>0</v>
      </c>
      <c r="AK972" s="1785"/>
      <c r="AL972" s="1785"/>
      <c r="AM972" s="1785"/>
      <c r="AN972" s="1785"/>
      <c r="AO972" s="1785"/>
      <c r="AP972" s="1785"/>
      <c r="AQ972" s="1786"/>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2.95" customHeight="1">
      <c r="A973" s="14"/>
      <c r="B973" s="73"/>
      <c r="C973" s="74"/>
      <c r="D973" s="1768" t="s">
        <v>1448</v>
      </c>
      <c r="E973" s="1769"/>
      <c r="F973" s="1769"/>
      <c r="G973" s="1769"/>
      <c r="H973" s="1769"/>
      <c r="I973" s="1769"/>
      <c r="J973" s="1769"/>
      <c r="K973" s="1769"/>
      <c r="L973" s="1769"/>
      <c r="M973" s="1769"/>
      <c r="N973" s="1769"/>
      <c r="O973" s="1769"/>
      <c r="P973" s="1769"/>
      <c r="Q973" s="1769"/>
      <c r="R973" s="1769"/>
      <c r="S973" s="1769"/>
      <c r="T973" s="1769"/>
      <c r="U973" s="1769"/>
      <c r="V973" s="1769"/>
      <c r="W973" s="1769"/>
      <c r="X973" s="1769"/>
      <c r="Y973" s="1769"/>
      <c r="Z973" s="1769"/>
      <c r="AA973" s="1769"/>
      <c r="AB973" s="1769"/>
      <c r="AC973" s="1769"/>
      <c r="AD973" s="1769"/>
      <c r="AE973" s="1770"/>
      <c r="AF973" s="73"/>
      <c r="AI973" s="83"/>
      <c r="AJ973" s="1787"/>
      <c r="AK973" s="1788"/>
      <c r="AL973" s="1788"/>
      <c r="AM973" s="1788"/>
      <c r="AN973" s="1788"/>
      <c r="AO973" s="1788"/>
      <c r="AP973" s="1788"/>
      <c r="AQ973" s="1789"/>
      <c r="AR973" s="68"/>
      <c r="AS973" s="68"/>
      <c r="AT973" s="68"/>
      <c r="AU973" s="68"/>
      <c r="AV973" s="68"/>
      <c r="AW973" s="68"/>
      <c r="AX973" s="68"/>
      <c r="AY973" s="68"/>
      <c r="AZ973" s="34"/>
      <c r="BA973" s="951">
        <f>G739+O782</f>
        <v>182</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95" customHeight="1">
      <c r="A974" s="14"/>
      <c r="B974" s="73"/>
      <c r="C974" s="74"/>
      <c r="D974" s="1768"/>
      <c r="E974" s="1769"/>
      <c r="F974" s="1769"/>
      <c r="G974" s="1769"/>
      <c r="H974" s="1769"/>
      <c r="I974" s="1769"/>
      <c r="J974" s="1769"/>
      <c r="K974" s="1769"/>
      <c r="L974" s="1769"/>
      <c r="M974" s="1769"/>
      <c r="N974" s="1769"/>
      <c r="O974" s="1769"/>
      <c r="P974" s="1769"/>
      <c r="Q974" s="1769"/>
      <c r="R974" s="1769"/>
      <c r="S974" s="1769"/>
      <c r="T974" s="1769"/>
      <c r="U974" s="1769"/>
      <c r="V974" s="1769"/>
      <c r="W974" s="1769"/>
      <c r="X974" s="1769"/>
      <c r="Y974" s="1769"/>
      <c r="Z974" s="1769"/>
      <c r="AA974" s="1769"/>
      <c r="AB974" s="1769"/>
      <c r="AC974" s="1769"/>
      <c r="AD974" s="1769"/>
      <c r="AE974" s="1770"/>
      <c r="AF974" s="73"/>
      <c r="AG974" s="14"/>
      <c r="AH974" s="14"/>
      <c r="AI974" s="83"/>
      <c r="AJ974" s="1787"/>
      <c r="AK974" s="1788"/>
      <c r="AL974" s="1788"/>
      <c r="AM974" s="1788"/>
      <c r="AN974" s="1788"/>
      <c r="AO974" s="1788"/>
      <c r="AP974" s="1788"/>
      <c r="AQ974" s="1789"/>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95" customHeight="1">
      <c r="A975" s="14"/>
      <c r="B975" s="85"/>
      <c r="C975" s="76"/>
      <c r="D975" s="1781"/>
      <c r="E975" s="1782"/>
      <c r="F975" s="1782"/>
      <c r="G975" s="1782"/>
      <c r="H975" s="1782"/>
      <c r="I975" s="1782"/>
      <c r="J975" s="1782"/>
      <c r="K975" s="1782"/>
      <c r="L975" s="1782"/>
      <c r="M975" s="1782"/>
      <c r="N975" s="1782"/>
      <c r="O975" s="1782"/>
      <c r="P975" s="1782"/>
      <c r="Q975" s="1782"/>
      <c r="R975" s="1782"/>
      <c r="S975" s="1782"/>
      <c r="T975" s="1782"/>
      <c r="U975" s="1782"/>
      <c r="V975" s="1782"/>
      <c r="W975" s="1782"/>
      <c r="X975" s="1782"/>
      <c r="Y975" s="1782"/>
      <c r="Z975" s="1782"/>
      <c r="AA975" s="1782"/>
      <c r="AB975" s="1782"/>
      <c r="AC975" s="1782"/>
      <c r="AD975" s="1782"/>
      <c r="AE975" s="1783"/>
      <c r="AF975" s="77"/>
      <c r="AG975" s="7"/>
      <c r="AH975" s="7"/>
      <c r="AI975" s="78"/>
      <c r="AJ975" s="1790"/>
      <c r="AK975" s="1791"/>
      <c r="AL975" s="1791"/>
      <c r="AM975" s="1791"/>
      <c r="AN975" s="1791"/>
      <c r="AO975" s="1791"/>
      <c r="AP975" s="1791"/>
      <c r="AQ975" s="1792"/>
      <c r="AR975" s="68"/>
      <c r="AS975" s="68"/>
      <c r="AT975" s="68"/>
      <c r="AU975" s="68"/>
      <c r="AV975" s="68"/>
      <c r="AW975" s="68"/>
      <c r="AX975" s="68"/>
      <c r="AY975" s="68"/>
      <c r="AZ975" s="34"/>
      <c r="BA975" s="950">
        <f>ROUNDDOWN(X1013/I1013,2)</f>
        <v>0.52</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95" customHeight="1">
      <c r="A976" s="14"/>
      <c r="B976" s="79"/>
      <c r="C976" s="80" t="s">
        <v>214</v>
      </c>
      <c r="D976" s="1765" t="s">
        <v>1450</v>
      </c>
      <c r="E976" s="1766"/>
      <c r="F976" s="1766"/>
      <c r="G976" s="1766"/>
      <c r="H976" s="1766"/>
      <c r="I976" s="1766"/>
      <c r="J976" s="1766"/>
      <c r="K976" s="1766"/>
      <c r="L976" s="1766"/>
      <c r="M976" s="1766"/>
      <c r="N976" s="1766"/>
      <c r="O976" s="1766"/>
      <c r="P976" s="1766"/>
      <c r="Q976" s="1766"/>
      <c r="R976" s="1766"/>
      <c r="S976" s="1766"/>
      <c r="T976" s="1766"/>
      <c r="U976" s="1766"/>
      <c r="V976" s="1766"/>
      <c r="W976" s="1766"/>
      <c r="X976" s="1766"/>
      <c r="Y976" s="1766"/>
      <c r="Z976" s="1766"/>
      <c r="AA976" s="1766"/>
      <c r="AB976" s="1766"/>
      <c r="AC976" s="1766"/>
      <c r="AD976" s="1766"/>
      <c r="AE976" s="1767"/>
      <c r="AF976" s="79"/>
      <c r="AG976" s="1777" t="s">
        <v>678</v>
      </c>
      <c r="AH976" s="1778"/>
      <c r="AI976" s="87"/>
      <c r="AJ976" s="1784">
        <f>ROUND(IF(AG976="yes",AJ961*0.02,0),0)</f>
        <v>0</v>
      </c>
      <c r="AK976" s="1785"/>
      <c r="AL976" s="1785"/>
      <c r="AM976" s="1785"/>
      <c r="AN976" s="1785"/>
      <c r="AO976" s="1785"/>
      <c r="AP976" s="1785"/>
      <c r="AQ976" s="1786"/>
      <c r="AR976" s="68"/>
      <c r="AS976" s="68"/>
      <c r="AT976" s="68"/>
      <c r="AU976" s="68"/>
      <c r="AV976" s="68"/>
      <c r="AW976" s="68"/>
      <c r="AX976" s="68"/>
      <c r="AY976" s="68"/>
      <c r="AZ976" s="34"/>
      <c r="BA976" s="950">
        <f>ROUNDDOWN(X1017/I1017,2)</f>
        <v>0.28000000000000003</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2.95" customHeight="1">
      <c r="A977" s="14"/>
      <c r="B977" s="73"/>
      <c r="C977" s="74"/>
      <c r="D977" s="1781" t="s">
        <v>1451</v>
      </c>
      <c r="E977" s="1782"/>
      <c r="F977" s="1782"/>
      <c r="G977" s="1782"/>
      <c r="H977" s="1782"/>
      <c r="I977" s="1782"/>
      <c r="J977" s="1782"/>
      <c r="K977" s="1782"/>
      <c r="L977" s="1782"/>
      <c r="M977" s="1782"/>
      <c r="N977" s="1782"/>
      <c r="O977" s="1782"/>
      <c r="P977" s="1782"/>
      <c r="Q977" s="1782"/>
      <c r="R977" s="1782"/>
      <c r="S977" s="1782"/>
      <c r="T977" s="1782"/>
      <c r="U977" s="1782"/>
      <c r="V977" s="1782"/>
      <c r="W977" s="1782"/>
      <c r="X977" s="1782"/>
      <c r="Y977" s="1782"/>
      <c r="Z977" s="1782"/>
      <c r="AA977" s="1782"/>
      <c r="AB977" s="1782"/>
      <c r="AC977" s="1782"/>
      <c r="AD977" s="1782"/>
      <c r="AE977" s="1783"/>
      <c r="AF977" s="77"/>
      <c r="AG977" s="7"/>
      <c r="AH977" s="7"/>
      <c r="AI977" s="78"/>
      <c r="AJ977" s="1790"/>
      <c r="AK977" s="1791"/>
      <c r="AL977" s="1791"/>
      <c r="AM977" s="1791"/>
      <c r="AN977" s="1791"/>
      <c r="AO977" s="1791"/>
      <c r="AP977" s="1791"/>
      <c r="AQ977" s="1792"/>
      <c r="AR977" s="68"/>
      <c r="AS977" s="68"/>
      <c r="AT977" s="68"/>
      <c r="AU977" s="68"/>
      <c r="AV977" s="68"/>
      <c r="AW977" s="68"/>
      <c r="AX977" s="68"/>
      <c r="AY977" s="68"/>
      <c r="BB977" s="34"/>
      <c r="BC977" s="34"/>
      <c r="BD977" s="34"/>
      <c r="BE977" s="34"/>
      <c r="BF977" s="34"/>
    </row>
    <row r="978" spans="1:58" ht="12.95" customHeight="1">
      <c r="A978" s="14"/>
      <c r="B978" s="79"/>
      <c r="C978" s="80" t="s">
        <v>217</v>
      </c>
      <c r="D978" s="1765" t="s">
        <v>1452</v>
      </c>
      <c r="E978" s="1766"/>
      <c r="F978" s="1766"/>
      <c r="G978" s="1766"/>
      <c r="H978" s="1766"/>
      <c r="I978" s="1766"/>
      <c r="J978" s="1766"/>
      <c r="K978" s="1766"/>
      <c r="L978" s="1766"/>
      <c r="M978" s="1766"/>
      <c r="N978" s="1766"/>
      <c r="O978" s="1766"/>
      <c r="P978" s="1766"/>
      <c r="Q978" s="1766"/>
      <c r="R978" s="1766"/>
      <c r="S978" s="1766"/>
      <c r="T978" s="1766"/>
      <c r="U978" s="1766"/>
      <c r="V978" s="1766"/>
      <c r="W978" s="1766"/>
      <c r="X978" s="1766"/>
      <c r="Y978" s="1766"/>
      <c r="Z978" s="1766"/>
      <c r="AA978" s="1766"/>
      <c r="AB978" s="1766"/>
      <c r="AC978" s="1766"/>
      <c r="AD978" s="1766"/>
      <c r="AE978" s="1767"/>
      <c r="AF978" s="79"/>
      <c r="AG978" s="1777" t="s">
        <v>678</v>
      </c>
      <c r="AH978" s="1778"/>
      <c r="AI978" s="79"/>
      <c r="AJ978" s="1784">
        <f>ROUND(IF(AG978="yes",AJ961*0.02,0),0)</f>
        <v>0</v>
      </c>
      <c r="AK978" s="1785"/>
      <c r="AL978" s="1785"/>
      <c r="AM978" s="1785"/>
      <c r="AN978" s="1785"/>
      <c r="AO978" s="1785"/>
      <c r="AP978" s="1785"/>
      <c r="AQ978" s="1786"/>
      <c r="AR978" s="68"/>
      <c r="AS978" s="68"/>
      <c r="AT978" s="68"/>
      <c r="AU978" s="68"/>
      <c r="AV978" s="68"/>
      <c r="AW978" s="68"/>
      <c r="AX978" s="68"/>
      <c r="AY978" s="68"/>
    </row>
    <row r="979" spans="1:58" ht="12.95" customHeight="1">
      <c r="A979" s="14"/>
      <c r="B979" s="73"/>
      <c r="C979" s="74"/>
      <c r="D979" s="1768" t="s">
        <v>1453</v>
      </c>
      <c r="E979" s="1769"/>
      <c r="F979" s="1769"/>
      <c r="G979" s="1769"/>
      <c r="H979" s="1769"/>
      <c r="I979" s="1769"/>
      <c r="J979" s="1769"/>
      <c r="K979" s="1769"/>
      <c r="L979" s="1769"/>
      <c r="M979" s="1769"/>
      <c r="N979" s="1769"/>
      <c r="O979" s="1769"/>
      <c r="P979" s="1769"/>
      <c r="Q979" s="1769"/>
      <c r="R979" s="1769"/>
      <c r="S979" s="1769"/>
      <c r="T979" s="1769"/>
      <c r="U979" s="1769"/>
      <c r="V979" s="1769"/>
      <c r="W979" s="1769"/>
      <c r="X979" s="1769"/>
      <c r="Y979" s="1769"/>
      <c r="Z979" s="1769"/>
      <c r="AA979" s="1769"/>
      <c r="AB979" s="1769"/>
      <c r="AC979" s="1769"/>
      <c r="AD979" s="1769"/>
      <c r="AE979" s="1770"/>
      <c r="AF979" s="73"/>
      <c r="AI979" s="14"/>
      <c r="AJ979" s="1787"/>
      <c r="AK979" s="1788"/>
      <c r="AL979" s="1788"/>
      <c r="AM979" s="1788"/>
      <c r="AN979" s="1788"/>
      <c r="AO979" s="1788"/>
      <c r="AP979" s="1788"/>
      <c r="AQ979" s="1789"/>
      <c r="AR979" s="68"/>
      <c r="AS979" s="68"/>
      <c r="AT979" s="68"/>
      <c r="AU979" s="68"/>
      <c r="AV979" s="68"/>
      <c r="AW979" s="68"/>
      <c r="AX979" s="68"/>
      <c r="AY979" s="68"/>
    </row>
    <row r="980" spans="1:58" ht="12.95" customHeight="1">
      <c r="A980" s="14"/>
      <c r="B980" s="75"/>
      <c r="C980" s="76"/>
      <c r="D980" s="1781"/>
      <c r="E980" s="1782"/>
      <c r="F980" s="1782"/>
      <c r="G980" s="1782"/>
      <c r="H980" s="1782"/>
      <c r="I980" s="1782"/>
      <c r="J980" s="1782"/>
      <c r="K980" s="1782"/>
      <c r="L980" s="1782"/>
      <c r="M980" s="1782"/>
      <c r="N980" s="1782"/>
      <c r="O980" s="1782"/>
      <c r="P980" s="1782"/>
      <c r="Q980" s="1782"/>
      <c r="R980" s="1782"/>
      <c r="S980" s="1782"/>
      <c r="T980" s="1782"/>
      <c r="U980" s="1782"/>
      <c r="V980" s="1782"/>
      <c r="W980" s="1782"/>
      <c r="X980" s="1782"/>
      <c r="Y980" s="1782"/>
      <c r="Z980" s="1782"/>
      <c r="AA980" s="1782"/>
      <c r="AB980" s="1782"/>
      <c r="AC980" s="1782"/>
      <c r="AD980" s="1782"/>
      <c r="AE980" s="1783"/>
      <c r="AF980" s="77"/>
      <c r="AG980" s="7"/>
      <c r="AH980" s="7"/>
      <c r="AI980" s="78"/>
      <c r="AJ980" s="1790"/>
      <c r="AK980" s="1791"/>
      <c r="AL980" s="1791"/>
      <c r="AM980" s="1791"/>
      <c r="AN980" s="1791"/>
      <c r="AO980" s="1791"/>
      <c r="AP980" s="1791"/>
      <c r="AQ980" s="1792"/>
      <c r="AR980" s="68"/>
      <c r="AS980" s="68"/>
      <c r="AT980" s="68"/>
      <c r="AU980" s="68"/>
      <c r="AV980" s="68"/>
      <c r="AW980" s="68"/>
      <c r="AX980" s="68"/>
      <c r="AY980" s="68"/>
    </row>
    <row r="981" spans="1:58" ht="12.95" customHeight="1">
      <c r="A981" s="14"/>
      <c r="B981" s="79"/>
      <c r="C981" s="80" t="s">
        <v>220</v>
      </c>
      <c r="D981" s="1804" t="s">
        <v>1454</v>
      </c>
      <c r="E981" s="1805"/>
      <c r="F981" s="1805"/>
      <c r="G981" s="1805"/>
      <c r="H981" s="1805"/>
      <c r="I981" s="1805"/>
      <c r="J981" s="1805"/>
      <c r="K981" s="1805"/>
      <c r="L981" s="1805"/>
      <c r="M981" s="1805"/>
      <c r="N981" s="1805"/>
      <c r="O981" s="1805"/>
      <c r="P981" s="1805"/>
      <c r="Q981" s="1805"/>
      <c r="R981" s="1805"/>
      <c r="S981" s="1805"/>
      <c r="T981" s="1805"/>
      <c r="U981" s="1805"/>
      <c r="V981" s="1805"/>
      <c r="W981" s="1805"/>
      <c r="X981" s="1805"/>
      <c r="Y981" s="1805"/>
      <c r="Z981" s="1805"/>
      <c r="AA981" s="1805"/>
      <c r="AB981" s="1805"/>
      <c r="AC981" s="1805"/>
      <c r="AD981" s="1805"/>
      <c r="AE981" s="1806"/>
      <c r="AF981" s="79"/>
      <c r="AG981" s="1777" t="s">
        <v>678</v>
      </c>
      <c r="AH981" s="1778"/>
      <c r="AI981" s="87"/>
      <c r="AJ981" s="1784">
        <f>IF(AG981="yes",AJ961*BA981,0)</f>
        <v>0</v>
      </c>
      <c r="AK981" s="1785"/>
      <c r="AL981" s="1785"/>
      <c r="AM981" s="1785"/>
      <c r="AN981" s="1785"/>
      <c r="AO981" s="1785"/>
      <c r="AP981" s="1785"/>
      <c r="AQ981" s="1786"/>
      <c r="AR981" s="68"/>
      <c r="AS981" s="68"/>
      <c r="AT981" s="68"/>
      <c r="AU981" s="68"/>
      <c r="AV981" s="68"/>
      <c r="AW981" s="68"/>
      <c r="AX981" s="68"/>
      <c r="AY981" s="68"/>
      <c r="BA981" s="215">
        <f>IF(SUM(BA983:BA991)&lt;=0.1,SUM(BA983:BA991),0.1)</f>
        <v>0</v>
      </c>
    </row>
    <row r="982" spans="1:58" ht="12.95" customHeight="1">
      <c r="A982" s="14"/>
      <c r="B982" s="73"/>
      <c r="C982" s="74"/>
      <c r="D982" s="1768" t="s">
        <v>1455</v>
      </c>
      <c r="E982" s="1769"/>
      <c r="F982" s="1769"/>
      <c r="G982" s="1769"/>
      <c r="H982" s="1769"/>
      <c r="I982" s="1769"/>
      <c r="J982" s="1769"/>
      <c r="K982" s="1769"/>
      <c r="L982" s="1769"/>
      <c r="M982" s="1769"/>
      <c r="N982" s="1769"/>
      <c r="O982" s="1769"/>
      <c r="P982" s="1769"/>
      <c r="Q982" s="1769"/>
      <c r="R982" s="1769"/>
      <c r="S982" s="1769"/>
      <c r="T982" s="1769"/>
      <c r="U982" s="1769"/>
      <c r="V982" s="1769"/>
      <c r="W982" s="1769"/>
      <c r="X982" s="1769"/>
      <c r="Y982" s="1769"/>
      <c r="Z982" s="1769"/>
      <c r="AA982" s="1769"/>
      <c r="AB982" s="1769"/>
      <c r="AC982" s="1769"/>
      <c r="AD982" s="1769"/>
      <c r="AE982" s="1770"/>
      <c r="AF982" s="73"/>
      <c r="AG982" s="14"/>
      <c r="AH982" s="14"/>
      <c r="AI982" s="83"/>
      <c r="AJ982" s="1787"/>
      <c r="AK982" s="1788"/>
      <c r="AL982" s="1788"/>
      <c r="AM982" s="1788"/>
      <c r="AN982" s="1788"/>
      <c r="AO982" s="1788"/>
      <c r="AP982" s="1788"/>
      <c r="AQ982" s="1789"/>
      <c r="AR982" s="68"/>
      <c r="AS982" s="68"/>
      <c r="AT982" s="68"/>
      <c r="AU982" s="68"/>
      <c r="AV982" s="68"/>
      <c r="AW982" s="68"/>
      <c r="AX982" s="68"/>
      <c r="AY982" s="68"/>
    </row>
    <row r="983" spans="1:58" ht="12.95" customHeight="1">
      <c r="A983" s="14"/>
      <c r="B983" s="73"/>
      <c r="C983" s="74"/>
      <c r="D983" s="1768"/>
      <c r="E983" s="1769"/>
      <c r="F983" s="1769"/>
      <c r="G983" s="1769"/>
      <c r="H983" s="1769"/>
      <c r="I983" s="1769"/>
      <c r="J983" s="1769"/>
      <c r="K983" s="1769"/>
      <c r="L983" s="1769"/>
      <c r="M983" s="1769"/>
      <c r="N983" s="1769"/>
      <c r="O983" s="1769"/>
      <c r="P983" s="1769"/>
      <c r="Q983" s="1769"/>
      <c r="R983" s="1769"/>
      <c r="S983" s="1769"/>
      <c r="T983" s="1769"/>
      <c r="U983" s="1769"/>
      <c r="V983" s="1769"/>
      <c r="W983" s="1769"/>
      <c r="X983" s="1769"/>
      <c r="Y983" s="1769"/>
      <c r="Z983" s="1769"/>
      <c r="AA983" s="1769"/>
      <c r="AB983" s="1769"/>
      <c r="AC983" s="1769"/>
      <c r="AD983" s="1769"/>
      <c r="AE983" s="1770"/>
      <c r="AF983" s="73"/>
      <c r="AG983" s="14"/>
      <c r="AH983" s="14"/>
      <c r="AI983" s="83"/>
      <c r="AJ983" s="1787"/>
      <c r="AK983" s="1788"/>
      <c r="AL983" s="1788"/>
      <c r="AM983" s="1788"/>
      <c r="AN983" s="1788"/>
      <c r="AO983" s="1788"/>
      <c r="AP983" s="1788"/>
      <c r="AQ983" s="1789"/>
      <c r="AR983" s="68"/>
      <c r="AS983" s="68"/>
      <c r="AT983" s="68"/>
      <c r="AU983" s="68"/>
      <c r="AV983" s="68"/>
      <c r="AW983" s="68"/>
      <c r="AX983" s="68"/>
      <c r="AY983" s="68"/>
      <c r="BA983" s="213">
        <f>IF(A1030="Yes",0.05,0)</f>
        <v>0</v>
      </c>
    </row>
    <row r="984" spans="1:58" ht="12.95" customHeight="1">
      <c r="A984" s="14"/>
      <c r="B984" s="81"/>
      <c r="C984" s="82"/>
      <c r="D984" s="1781"/>
      <c r="E984" s="1782"/>
      <c r="F984" s="1782"/>
      <c r="G984" s="1782"/>
      <c r="H984" s="1782"/>
      <c r="I984" s="1782"/>
      <c r="J984" s="1782"/>
      <c r="K984" s="1782"/>
      <c r="L984" s="1782"/>
      <c r="M984" s="1782"/>
      <c r="N984" s="1782"/>
      <c r="O984" s="1782"/>
      <c r="P984" s="1782"/>
      <c r="Q984" s="1782"/>
      <c r="R984" s="1782"/>
      <c r="S984" s="1782"/>
      <c r="T984" s="1782"/>
      <c r="U984" s="1782"/>
      <c r="V984" s="1782"/>
      <c r="W984" s="1782"/>
      <c r="X984" s="1782"/>
      <c r="Y984" s="1782"/>
      <c r="Z984" s="1782"/>
      <c r="AA984" s="1782"/>
      <c r="AB984" s="1782"/>
      <c r="AC984" s="1782"/>
      <c r="AD984" s="1782"/>
      <c r="AE984" s="1783"/>
      <c r="AF984" s="77"/>
      <c r="AG984" s="7"/>
      <c r="AH984" s="7"/>
      <c r="AI984" s="78"/>
      <c r="AJ984" s="1790"/>
      <c r="AK984" s="1791"/>
      <c r="AL984" s="1791"/>
      <c r="AM984" s="1791"/>
      <c r="AN984" s="1791"/>
      <c r="AO984" s="1791"/>
      <c r="AP984" s="1791"/>
      <c r="AQ984" s="1792"/>
      <c r="AR984" s="68"/>
      <c r="AS984" s="68"/>
      <c r="AT984" s="68"/>
      <c r="AU984" s="68"/>
      <c r="AV984" s="68"/>
      <c r="AW984" s="68"/>
      <c r="AX984" s="68"/>
      <c r="AY984" s="68"/>
      <c r="BA984" s="213">
        <f>IF(A1036="Yes",0.02,0)</f>
        <v>0</v>
      </c>
    </row>
    <row r="985" spans="1:58" ht="12.95" customHeight="1">
      <c r="A985" s="14"/>
      <c r="B985" s="79"/>
      <c r="C985" s="80" t="s">
        <v>225</v>
      </c>
      <c r="D985" s="1834" t="s">
        <v>1456</v>
      </c>
      <c r="E985" s="1835"/>
      <c r="F985" s="1835"/>
      <c r="G985" s="1835"/>
      <c r="H985" s="1835"/>
      <c r="I985" s="1835"/>
      <c r="J985" s="1835"/>
      <c r="K985" s="1835"/>
      <c r="L985" s="1835"/>
      <c r="M985" s="1835"/>
      <c r="N985" s="1835"/>
      <c r="O985" s="1835"/>
      <c r="P985" s="1835"/>
      <c r="Q985" s="1835"/>
      <c r="R985" s="1835"/>
      <c r="S985" s="1835"/>
      <c r="T985" s="1835"/>
      <c r="U985" s="1835"/>
      <c r="V985" s="1835"/>
      <c r="W985" s="1835"/>
      <c r="X985" s="1835"/>
      <c r="Y985" s="1835"/>
      <c r="Z985" s="1835"/>
      <c r="AA985" s="1835"/>
      <c r="AB985" s="1835"/>
      <c r="AC985" s="1835"/>
      <c r="AD985" s="1835"/>
      <c r="AE985" s="1836"/>
      <c r="AF985" s="79"/>
      <c r="AG985" s="1777" t="s">
        <v>678</v>
      </c>
      <c r="AH985" s="1778"/>
      <c r="AI985" s="87"/>
      <c r="AJ985" s="1784">
        <f>ROUND(IF(AG985="Yes",MIN(AF988,(0.15*AJ961)),0),0)</f>
        <v>0</v>
      </c>
      <c r="AK985" s="1785"/>
      <c r="AL985" s="1785"/>
      <c r="AM985" s="1785"/>
      <c r="AN985" s="1785"/>
      <c r="AO985" s="1785"/>
      <c r="AP985" s="1785"/>
      <c r="AQ985" s="1786"/>
      <c r="AR985" s="68"/>
      <c r="AS985" s="68"/>
      <c r="AT985" s="68"/>
      <c r="AU985" s="68"/>
      <c r="AV985" s="68"/>
      <c r="AW985" s="68"/>
      <c r="AX985" s="68"/>
      <c r="AY985" s="68"/>
      <c r="BA985" s="213">
        <f>IF(A1042="Yes",0.04,0)</f>
        <v>0</v>
      </c>
    </row>
    <row r="986" spans="1:58" ht="12.95" customHeight="1">
      <c r="A986" s="14"/>
      <c r="B986" s="81"/>
      <c r="C986" s="84"/>
      <c r="D986" s="1837"/>
      <c r="E986" s="1838"/>
      <c r="F986" s="1838"/>
      <c r="G986" s="1838"/>
      <c r="H986" s="1838"/>
      <c r="I986" s="1838"/>
      <c r="J986" s="1838"/>
      <c r="K986" s="1838"/>
      <c r="L986" s="1838"/>
      <c r="M986" s="1838"/>
      <c r="N986" s="1838"/>
      <c r="O986" s="1838"/>
      <c r="P986" s="1838"/>
      <c r="Q986" s="1838"/>
      <c r="R986" s="1838"/>
      <c r="S986" s="1838"/>
      <c r="T986" s="1838"/>
      <c r="U986" s="1838"/>
      <c r="V986" s="1838"/>
      <c r="W986" s="1838"/>
      <c r="X986" s="1838"/>
      <c r="Y986" s="1838"/>
      <c r="Z986" s="1838"/>
      <c r="AA986" s="1838"/>
      <c r="AB986" s="1838"/>
      <c r="AC986" s="1838"/>
      <c r="AD986" s="1838"/>
      <c r="AE986" s="1839"/>
      <c r="AF986" s="1848" t="str">
        <f>IF(AG985="yes","Please Select Type and Enter Amount:","")</f>
        <v/>
      </c>
      <c r="AG986" s="1849"/>
      <c r="AH986" s="1849"/>
      <c r="AI986" s="1850"/>
      <c r="AJ986" s="1787"/>
      <c r="AK986" s="1788"/>
      <c r="AL986" s="1788"/>
      <c r="AM986" s="1788"/>
      <c r="AN986" s="1788"/>
      <c r="AO986" s="1788"/>
      <c r="AP986" s="1788"/>
      <c r="AQ986" s="1789"/>
      <c r="AR986" s="68"/>
      <c r="AS986" s="68"/>
      <c r="AT986" s="68"/>
      <c r="AU986" s="68"/>
      <c r="AV986" s="68"/>
      <c r="AW986" s="68"/>
      <c r="AX986" s="68"/>
      <c r="AY986" s="68"/>
      <c r="BA986" s="213">
        <f>IF(A1049="Yes",0.04,0)</f>
        <v>0</v>
      </c>
    </row>
    <row r="987" spans="1:58" ht="12.95" customHeight="1">
      <c r="A987" s="14"/>
      <c r="B987" s="81"/>
      <c r="C987" s="84"/>
      <c r="D987" s="1768" t="s">
        <v>1457</v>
      </c>
      <c r="E987" s="1769"/>
      <c r="F987" s="1769"/>
      <c r="G987" s="1769"/>
      <c r="H987" s="1769"/>
      <c r="I987" s="1769"/>
      <c r="J987" s="1769"/>
      <c r="K987" s="1769"/>
      <c r="L987" s="1769"/>
      <c r="M987" s="1769"/>
      <c r="N987" s="1769"/>
      <c r="O987" s="1769"/>
      <c r="P987" s="1769"/>
      <c r="Q987" s="1769"/>
      <c r="R987" s="1769"/>
      <c r="S987" s="1769"/>
      <c r="T987" s="1769"/>
      <c r="U987" s="1769"/>
      <c r="V987" s="1769"/>
      <c r="W987" s="1769"/>
      <c r="X987" s="1769"/>
      <c r="Y987" s="1769"/>
      <c r="Z987" s="1769"/>
      <c r="AA987" s="1769"/>
      <c r="AB987" s="1769"/>
      <c r="AC987" s="1769"/>
      <c r="AD987" s="1769"/>
      <c r="AE987" s="1770"/>
      <c r="AF987" s="1848"/>
      <c r="AG987" s="1849"/>
      <c r="AH987" s="1849"/>
      <c r="AI987" s="1850"/>
      <c r="AJ987" s="1787"/>
      <c r="AK987" s="1788"/>
      <c r="AL987" s="1788"/>
      <c r="AM987" s="1788"/>
      <c r="AN987" s="1788"/>
      <c r="AO987" s="1788"/>
      <c r="AP987" s="1788"/>
      <c r="AQ987" s="1789"/>
      <c r="AR987" s="68"/>
      <c r="AS987" s="68"/>
      <c r="AT987" s="68"/>
      <c r="AU987" s="68"/>
      <c r="AV987" s="68"/>
      <c r="AW987" s="68"/>
      <c r="AX987" s="68"/>
      <c r="AY987" s="68"/>
      <c r="BA987" s="213">
        <f>IF(A1052="Yes",0.01,0)</f>
        <v>0</v>
      </c>
    </row>
    <row r="988" spans="1:58" ht="12.95" customHeight="1">
      <c r="A988" s="14"/>
      <c r="B988" s="81"/>
      <c r="C988" s="84"/>
      <c r="D988" s="1768"/>
      <c r="E988" s="1769"/>
      <c r="F988" s="1769"/>
      <c r="G988" s="1769"/>
      <c r="H988" s="1769"/>
      <c r="I988" s="1769"/>
      <c r="J988" s="1769"/>
      <c r="K988" s="1769"/>
      <c r="L988" s="1769"/>
      <c r="M988" s="1769"/>
      <c r="N988" s="1769"/>
      <c r="O988" s="1769"/>
      <c r="P988" s="1769"/>
      <c r="Q988" s="1769"/>
      <c r="R988" s="1769"/>
      <c r="S988" s="1769"/>
      <c r="T988" s="1769"/>
      <c r="U988" s="1769"/>
      <c r="V988" s="1769"/>
      <c r="W988" s="1769"/>
      <c r="X988" s="1769"/>
      <c r="Y988" s="1769"/>
      <c r="Z988" s="1769"/>
      <c r="AA988" s="1769"/>
      <c r="AB988" s="1769"/>
      <c r="AC988" s="1769"/>
      <c r="AD988" s="1769"/>
      <c r="AE988" s="1770"/>
      <c r="AF988" s="1851"/>
      <c r="AG988" s="1851"/>
      <c r="AH988" s="1851"/>
      <c r="AI988" s="1851"/>
      <c r="AJ988" s="1787"/>
      <c r="AK988" s="1788"/>
      <c r="AL988" s="1788"/>
      <c r="AM988" s="1788"/>
      <c r="AN988" s="1788"/>
      <c r="AO988" s="1788"/>
      <c r="AP988" s="1788"/>
      <c r="AQ988" s="1789"/>
      <c r="AR988" s="68"/>
      <c r="AS988" s="68"/>
      <c r="AT988" s="68"/>
      <c r="AU988" s="68"/>
      <c r="AV988" s="68"/>
      <c r="AW988" s="68"/>
      <c r="AX988" s="68"/>
      <c r="AY988" s="68"/>
      <c r="BA988" s="213">
        <f>IF(A1057="Yes",0.01,0)</f>
        <v>0</v>
      </c>
    </row>
    <row r="989" spans="1:58" ht="12.95" customHeight="1">
      <c r="A989" s="14"/>
      <c r="B989" s="81"/>
      <c r="C989" s="84"/>
      <c r="D989" s="561" t="s">
        <v>361</v>
      </c>
      <c r="E989" s="90"/>
      <c r="F989" s="90"/>
      <c r="G989" s="104"/>
      <c r="H989" s="104"/>
      <c r="I989" s="49"/>
      <c r="J989" s="1856" t="s">
        <v>600</v>
      </c>
      <c r="K989" s="1857"/>
      <c r="L989" s="1857"/>
      <c r="M989" s="1857"/>
      <c r="N989" s="1857"/>
      <c r="O989" s="1857"/>
      <c r="P989" s="1857"/>
      <c r="Q989" s="1857"/>
      <c r="R989" s="1857"/>
      <c r="S989" s="1857"/>
      <c r="T989" s="1857"/>
      <c r="U989" s="1857"/>
      <c r="V989" s="1857"/>
      <c r="W989" s="1857"/>
      <c r="X989" s="1857"/>
      <c r="Y989" s="1857"/>
      <c r="Z989" s="1857"/>
      <c r="AA989" s="1857"/>
      <c r="AB989" s="1857"/>
      <c r="AC989" s="1857"/>
      <c r="AD989" s="1857"/>
      <c r="AE989" s="1858"/>
      <c r="AF989" s="1851"/>
      <c r="AG989" s="1851"/>
      <c r="AH989" s="1851"/>
      <c r="AI989" s="1851"/>
      <c r="AJ989" s="1790"/>
      <c r="AK989" s="1791"/>
      <c r="AL989" s="1791"/>
      <c r="AM989" s="1791"/>
      <c r="AN989" s="1791"/>
      <c r="AO989" s="1791"/>
      <c r="AP989" s="1791"/>
      <c r="AQ989" s="1792"/>
      <c r="AR989" s="68"/>
      <c r="AS989" s="68"/>
      <c r="AT989" s="68"/>
      <c r="AU989" s="68"/>
      <c r="AV989" s="68"/>
      <c r="AW989" s="68"/>
      <c r="AX989" s="68"/>
      <c r="AY989" s="68"/>
      <c r="BA989" s="213">
        <f>IF(A1060="Yes",0.01,0)</f>
        <v>0</v>
      </c>
    </row>
    <row r="990" spans="1:58" ht="12.95" customHeight="1">
      <c r="A990" s="14"/>
      <c r="B990" s="79"/>
      <c r="C990" s="80" t="s">
        <v>231</v>
      </c>
      <c r="D990" s="1765" t="s">
        <v>1458</v>
      </c>
      <c r="E990" s="1766"/>
      <c r="F990" s="1766"/>
      <c r="G990" s="1766"/>
      <c r="H990" s="1766"/>
      <c r="I990" s="1766"/>
      <c r="J990" s="1766"/>
      <c r="K990" s="1766"/>
      <c r="L990" s="1766"/>
      <c r="M990" s="1766"/>
      <c r="N990" s="1766"/>
      <c r="O990" s="1766"/>
      <c r="P990" s="1766"/>
      <c r="Q990" s="1766"/>
      <c r="R990" s="1766"/>
      <c r="S990" s="1766"/>
      <c r="T990" s="1766"/>
      <c r="U990" s="1766"/>
      <c r="V990" s="1766"/>
      <c r="W990" s="1766"/>
      <c r="X990" s="1766"/>
      <c r="Y990" s="1766"/>
      <c r="Z990" s="1766"/>
      <c r="AA990" s="1766"/>
      <c r="AB990" s="1766"/>
      <c r="AC990" s="1766"/>
      <c r="AD990" s="1766"/>
      <c r="AE990" s="1767"/>
      <c r="AF990" s="79"/>
      <c r="AG990" s="1777" t="s">
        <v>678</v>
      </c>
      <c r="AH990" s="1778"/>
      <c r="AI990" s="87"/>
      <c r="AJ990" s="1784">
        <f>ROUND(IF(AG990="Yes",AF992,0),0)</f>
        <v>0</v>
      </c>
      <c r="AK990" s="1785"/>
      <c r="AL990" s="1785"/>
      <c r="AM990" s="1785"/>
      <c r="AN990" s="1785"/>
      <c r="AO990" s="1785"/>
      <c r="AP990" s="1785"/>
      <c r="AQ990" s="1786"/>
      <c r="AR990" s="68"/>
      <c r="AS990" s="68"/>
      <c r="AT990" s="68"/>
      <c r="AU990" s="68"/>
      <c r="AV990" s="68"/>
      <c r="AW990" s="68"/>
      <c r="AX990" s="68"/>
      <c r="AY990" s="68"/>
      <c r="BA990" s="213">
        <f>IF(A1064="Yes",0.02,0)</f>
        <v>0</v>
      </c>
    </row>
    <row r="991" spans="1:58" ht="12.95" customHeight="1">
      <c r="A991" s="14"/>
      <c r="B991" s="73"/>
      <c r="C991" s="74"/>
      <c r="D991" s="1768" t="s">
        <v>1949</v>
      </c>
      <c r="E991" s="1769"/>
      <c r="F991" s="1769"/>
      <c r="G991" s="1769"/>
      <c r="H991" s="1769"/>
      <c r="I991" s="1769"/>
      <c r="J991" s="1769"/>
      <c r="K991" s="1769"/>
      <c r="L991" s="1769"/>
      <c r="M991" s="1769"/>
      <c r="N991" s="1769"/>
      <c r="O991" s="1769"/>
      <c r="P991" s="1769"/>
      <c r="Q991" s="1769"/>
      <c r="R991" s="1769"/>
      <c r="S991" s="1769"/>
      <c r="T991" s="1769"/>
      <c r="U991" s="1769"/>
      <c r="V991" s="1769"/>
      <c r="W991" s="1769"/>
      <c r="X991" s="1769"/>
      <c r="Y991" s="1769"/>
      <c r="Z991" s="1769"/>
      <c r="AA991" s="1769"/>
      <c r="AB991" s="1769"/>
      <c r="AC991" s="1769"/>
      <c r="AD991" s="1769"/>
      <c r="AE991" s="1770"/>
      <c r="AF991" s="1852" t="str">
        <f>IF(AG990="yes","Enter Amount:","")</f>
        <v/>
      </c>
      <c r="AG991" s="1853"/>
      <c r="AH991" s="1853"/>
      <c r="AI991" s="1854"/>
      <c r="AJ991" s="1787"/>
      <c r="AK991" s="1788"/>
      <c r="AL991" s="1788"/>
      <c r="AM991" s="1788"/>
      <c r="AN991" s="1788"/>
      <c r="AO991" s="1788"/>
      <c r="AP991" s="1788"/>
      <c r="AQ991" s="1789"/>
      <c r="AR991" s="68"/>
      <c r="AS991" s="68"/>
      <c r="AT991" s="68"/>
      <c r="AU991" s="68"/>
      <c r="AV991" s="68"/>
      <c r="AW991" s="68"/>
      <c r="AX991" s="68"/>
      <c r="AY991" s="68"/>
      <c r="BA991" s="214">
        <f>IF(A1068="Yes",0.02,0)</f>
        <v>0</v>
      </c>
    </row>
    <row r="992" spans="1:58" ht="12.95" customHeight="1">
      <c r="A992" s="14"/>
      <c r="B992" s="73"/>
      <c r="C992" s="74"/>
      <c r="D992" s="1768"/>
      <c r="E992" s="1769"/>
      <c r="F992" s="1769"/>
      <c r="G992" s="1769"/>
      <c r="H992" s="1769"/>
      <c r="I992" s="1769"/>
      <c r="J992" s="1769"/>
      <c r="K992" s="1769"/>
      <c r="L992" s="1769"/>
      <c r="M992" s="1769"/>
      <c r="N992" s="1769"/>
      <c r="O992" s="1769"/>
      <c r="P992" s="1769"/>
      <c r="Q992" s="1769"/>
      <c r="R992" s="1769"/>
      <c r="S992" s="1769"/>
      <c r="T992" s="1769"/>
      <c r="U992" s="1769"/>
      <c r="V992" s="1769"/>
      <c r="W992" s="1769"/>
      <c r="X992" s="1769"/>
      <c r="Y992" s="1769"/>
      <c r="Z992" s="1769"/>
      <c r="AA992" s="1769"/>
      <c r="AB992" s="1769"/>
      <c r="AC992" s="1769"/>
      <c r="AD992" s="1769"/>
      <c r="AE992" s="1770"/>
      <c r="AF992" s="1851"/>
      <c r="AG992" s="1851"/>
      <c r="AH992" s="1851"/>
      <c r="AI992" s="1851"/>
      <c r="AJ992" s="1787"/>
      <c r="AK992" s="1788"/>
      <c r="AL992" s="1788"/>
      <c r="AM992" s="1788"/>
      <c r="AN992" s="1788"/>
      <c r="AO992" s="1788"/>
      <c r="AP992" s="1788"/>
      <c r="AQ992" s="1789"/>
      <c r="AR992" s="68"/>
      <c r="AS992" s="68"/>
      <c r="AT992" s="68"/>
      <c r="AU992" s="68"/>
      <c r="AV992" s="68"/>
      <c r="AW992" s="68"/>
      <c r="AX992" s="68"/>
      <c r="AY992" s="68"/>
    </row>
    <row r="993" spans="1:51" ht="12.95" customHeight="1">
      <c r="A993" s="14"/>
      <c r="B993" s="85"/>
      <c r="C993" s="84"/>
      <c r="D993" s="1781"/>
      <c r="E993" s="1782"/>
      <c r="F993" s="1782"/>
      <c r="G993" s="1782"/>
      <c r="H993" s="1782"/>
      <c r="I993" s="1782"/>
      <c r="J993" s="1782"/>
      <c r="K993" s="1782"/>
      <c r="L993" s="1782"/>
      <c r="M993" s="1782"/>
      <c r="N993" s="1782"/>
      <c r="O993" s="1782"/>
      <c r="P993" s="1782"/>
      <c r="Q993" s="1782"/>
      <c r="R993" s="1782"/>
      <c r="S993" s="1782"/>
      <c r="T993" s="1782"/>
      <c r="U993" s="1782"/>
      <c r="V993" s="1782"/>
      <c r="W993" s="1782"/>
      <c r="X993" s="1782"/>
      <c r="Y993" s="1782"/>
      <c r="Z993" s="1782"/>
      <c r="AA993" s="1782"/>
      <c r="AB993" s="1782"/>
      <c r="AC993" s="1782"/>
      <c r="AD993" s="1782"/>
      <c r="AE993" s="1783"/>
      <c r="AF993" s="1851"/>
      <c r="AG993" s="1851"/>
      <c r="AH993" s="1851"/>
      <c r="AI993" s="1851"/>
      <c r="AJ993" s="1790"/>
      <c r="AK993" s="1791"/>
      <c r="AL993" s="1791"/>
      <c r="AM993" s="1791"/>
      <c r="AN993" s="1791"/>
      <c r="AO993" s="1791"/>
      <c r="AP993" s="1791"/>
      <c r="AQ993" s="1792"/>
      <c r="AR993" s="68"/>
      <c r="AS993" s="68"/>
      <c r="AT993" s="68"/>
      <c r="AU993" s="68"/>
      <c r="AV993" s="68"/>
      <c r="AW993" s="68"/>
      <c r="AX993" s="68"/>
      <c r="AY993" s="68"/>
    </row>
    <row r="994" spans="1:51" ht="12.95" customHeight="1">
      <c r="A994" s="14"/>
      <c r="B994" s="79"/>
      <c r="C994" s="80" t="s">
        <v>236</v>
      </c>
      <c r="D994" s="1804" t="s">
        <v>1459</v>
      </c>
      <c r="E994" s="1805"/>
      <c r="F994" s="1805"/>
      <c r="G994" s="1805"/>
      <c r="H994" s="1805"/>
      <c r="I994" s="1805"/>
      <c r="J994" s="1805"/>
      <c r="K994" s="1805"/>
      <c r="L994" s="1805"/>
      <c r="M994" s="1805"/>
      <c r="N994" s="1805"/>
      <c r="O994" s="1805"/>
      <c r="P994" s="1805"/>
      <c r="Q994" s="1805"/>
      <c r="R994" s="1805"/>
      <c r="S994" s="1805"/>
      <c r="T994" s="1805"/>
      <c r="U994" s="1805"/>
      <c r="V994" s="1805"/>
      <c r="W994" s="1805"/>
      <c r="X994" s="1805"/>
      <c r="Y994" s="1805"/>
      <c r="Z994" s="1805"/>
      <c r="AA994" s="1805"/>
      <c r="AB994" s="1805"/>
      <c r="AC994" s="1805"/>
      <c r="AD994" s="1805"/>
      <c r="AE994" s="1806"/>
      <c r="AF994" s="79"/>
      <c r="AG994" s="1777" t="s">
        <v>554</v>
      </c>
      <c r="AH994" s="1778"/>
      <c r="AI994" s="87"/>
      <c r="AJ994" s="1784">
        <f>ROUND(IF(AG994="yes",(AJ961*0.1),0),0)</f>
        <v>16938227</v>
      </c>
      <c r="AK994" s="1785"/>
      <c r="AL994" s="1785"/>
      <c r="AM994" s="1785"/>
      <c r="AN994" s="1785"/>
      <c r="AO994" s="1785"/>
      <c r="AP994" s="1785"/>
      <c r="AQ994" s="1786"/>
      <c r="AR994" s="68"/>
      <c r="AS994" s="68"/>
      <c r="AT994" s="68"/>
      <c r="AU994" s="68"/>
      <c r="AV994" s="68"/>
      <c r="AW994" s="68"/>
      <c r="AX994" s="68"/>
      <c r="AY994" s="68"/>
    </row>
    <row r="995" spans="1:51" ht="12.95" customHeight="1">
      <c r="A995" s="14"/>
      <c r="B995" s="73"/>
      <c r="C995" s="74"/>
      <c r="D995" s="1768" t="s">
        <v>1460</v>
      </c>
      <c r="E995" s="1769"/>
      <c r="F995" s="1769"/>
      <c r="G995" s="1769"/>
      <c r="H995" s="1769"/>
      <c r="I995" s="1769"/>
      <c r="J995" s="1769"/>
      <c r="K995" s="1769"/>
      <c r="L995" s="1769"/>
      <c r="M995" s="1769"/>
      <c r="N995" s="1769"/>
      <c r="O995" s="1769"/>
      <c r="P995" s="1769"/>
      <c r="Q995" s="1769"/>
      <c r="R995" s="1769"/>
      <c r="S995" s="1769"/>
      <c r="T995" s="1769"/>
      <c r="U995" s="1769"/>
      <c r="V995" s="1769"/>
      <c r="W995" s="1769"/>
      <c r="X995" s="1769"/>
      <c r="Y995" s="1769"/>
      <c r="Z995" s="1769"/>
      <c r="AA995" s="1769"/>
      <c r="AB995" s="1769"/>
      <c r="AC995" s="1769"/>
      <c r="AD995" s="1769"/>
      <c r="AE995" s="1770"/>
      <c r="AF995" s="73"/>
      <c r="AG995" s="14"/>
      <c r="AH995" s="14"/>
      <c r="AI995" s="83"/>
      <c r="AJ995" s="1787"/>
      <c r="AK995" s="1788"/>
      <c r="AL995" s="1788"/>
      <c r="AM995" s="1788"/>
      <c r="AN995" s="1788"/>
      <c r="AO995" s="1788"/>
      <c r="AP995" s="1788"/>
      <c r="AQ995" s="1789"/>
      <c r="AR995" s="68"/>
      <c r="AS995" s="68"/>
      <c r="AT995" s="68"/>
      <c r="AU995" s="68"/>
      <c r="AV995" s="68"/>
      <c r="AW995" s="68"/>
      <c r="AX995" s="68"/>
      <c r="AY995" s="68"/>
    </row>
    <row r="996" spans="1:51" ht="12.95" customHeight="1">
      <c r="A996" s="14"/>
      <c r="B996" s="77"/>
      <c r="C996" s="74"/>
      <c r="D996" s="1781"/>
      <c r="E996" s="1782"/>
      <c r="F996" s="1782"/>
      <c r="G996" s="1782"/>
      <c r="H996" s="1782"/>
      <c r="I996" s="1782"/>
      <c r="J996" s="1782"/>
      <c r="K996" s="1782"/>
      <c r="L996" s="1782"/>
      <c r="M996" s="1782"/>
      <c r="N996" s="1782"/>
      <c r="O996" s="1782"/>
      <c r="P996" s="1782"/>
      <c r="Q996" s="1782"/>
      <c r="R996" s="1782"/>
      <c r="S996" s="1782"/>
      <c r="T996" s="1782"/>
      <c r="U996" s="1782"/>
      <c r="V996" s="1782"/>
      <c r="W996" s="1782"/>
      <c r="X996" s="1782"/>
      <c r="Y996" s="1782"/>
      <c r="Z996" s="1782"/>
      <c r="AA996" s="1782"/>
      <c r="AB996" s="1782"/>
      <c r="AC996" s="1782"/>
      <c r="AD996" s="1782"/>
      <c r="AE996" s="1783"/>
      <c r="AF996" s="73"/>
      <c r="AG996" s="14"/>
      <c r="AH996" s="14"/>
      <c r="AI996" s="83"/>
      <c r="AJ996" s="1790"/>
      <c r="AK996" s="1791"/>
      <c r="AL996" s="1791"/>
      <c r="AM996" s="1791"/>
      <c r="AN996" s="1791"/>
      <c r="AO996" s="1791"/>
      <c r="AP996" s="1791"/>
      <c r="AQ996" s="1792"/>
      <c r="AR996" s="68"/>
      <c r="AS996" s="68"/>
      <c r="AT996" s="68"/>
      <c r="AU996" s="68"/>
      <c r="AV996" s="68"/>
      <c r="AW996" s="68"/>
      <c r="AX996" s="68"/>
      <c r="AY996" s="68"/>
    </row>
    <row r="997" spans="1:51" ht="12.95" customHeight="1">
      <c r="A997" s="14"/>
      <c r="B997" s="73"/>
      <c r="C997" s="368" t="s">
        <v>697</v>
      </c>
      <c r="D997" s="1765" t="s">
        <v>1945</v>
      </c>
      <c r="E997" s="1766"/>
      <c r="F997" s="1766"/>
      <c r="G997" s="1766"/>
      <c r="H997" s="1766"/>
      <c r="I997" s="1766"/>
      <c r="J997" s="1766"/>
      <c r="K997" s="1766"/>
      <c r="L997" s="1766"/>
      <c r="M997" s="1766"/>
      <c r="N997" s="1766"/>
      <c r="O997" s="1766"/>
      <c r="P997" s="1766"/>
      <c r="Q997" s="1766"/>
      <c r="R997" s="1766"/>
      <c r="S997" s="1766"/>
      <c r="T997" s="1766"/>
      <c r="U997" s="1766"/>
      <c r="V997" s="1766"/>
      <c r="W997" s="1766"/>
      <c r="X997" s="1766"/>
      <c r="Y997" s="1766"/>
      <c r="Z997" s="1766"/>
      <c r="AA997" s="1766"/>
      <c r="AB997" s="1766"/>
      <c r="AC997" s="1766"/>
      <c r="AD997" s="1766"/>
      <c r="AE997" s="1767"/>
      <c r="AF997" s="79"/>
      <c r="AG997" s="1777" t="s">
        <v>554</v>
      </c>
      <c r="AH997" s="1778"/>
      <c r="AI997" s="87"/>
      <c r="AJ997" s="1784">
        <f>ROUND(IF(AG997="yes",(AJ961*0.15),0),0)</f>
        <v>25407340</v>
      </c>
      <c r="AK997" s="1785"/>
      <c r="AL997" s="1785"/>
      <c r="AM997" s="1785"/>
      <c r="AN997" s="1785"/>
      <c r="AO997" s="1785"/>
      <c r="AP997" s="1785"/>
      <c r="AQ997" s="1786"/>
      <c r="AR997" s="68"/>
      <c r="AS997" s="68"/>
      <c r="AT997" s="68"/>
      <c r="AU997" s="68"/>
      <c r="AV997" s="68"/>
      <c r="AW997" s="68"/>
      <c r="AX997" s="68"/>
      <c r="AY997" s="68"/>
    </row>
    <row r="998" spans="1:51" ht="12.95" customHeight="1">
      <c r="A998" s="14"/>
      <c r="B998" s="73"/>
      <c r="C998" s="74"/>
      <c r="D998" s="1796" t="s">
        <v>1946</v>
      </c>
      <c r="E998" s="1269"/>
      <c r="F998" s="1269"/>
      <c r="G998" s="1269"/>
      <c r="H998" s="1269"/>
      <c r="I998" s="1269"/>
      <c r="J998" s="1269"/>
      <c r="K998" s="1269"/>
      <c r="L998" s="1269"/>
      <c r="M998" s="1269"/>
      <c r="N998" s="1269"/>
      <c r="O998" s="1269"/>
      <c r="P998" s="1269"/>
      <c r="Q998" s="1269"/>
      <c r="R998" s="1269"/>
      <c r="S998" s="1269"/>
      <c r="T998" s="1269"/>
      <c r="U998" s="1269"/>
      <c r="V998" s="1269"/>
      <c r="W998" s="1269"/>
      <c r="X998" s="1269"/>
      <c r="Y998" s="1269"/>
      <c r="Z998" s="1269"/>
      <c r="AA998" s="1269"/>
      <c r="AB998" s="1269"/>
      <c r="AC998" s="1269"/>
      <c r="AD998" s="1269"/>
      <c r="AE998" s="1797"/>
      <c r="AF998" s="952"/>
      <c r="AG998" s="953"/>
      <c r="AH998" s="953"/>
      <c r="AI998" s="954"/>
      <c r="AJ998" s="1787"/>
      <c r="AK998" s="1788"/>
      <c r="AL998" s="1788"/>
      <c r="AM998" s="1788"/>
      <c r="AN998" s="1788"/>
      <c r="AO998" s="1788"/>
      <c r="AP998" s="1788"/>
      <c r="AQ998" s="1789"/>
      <c r="AR998" s="68"/>
      <c r="AS998" s="68"/>
      <c r="AT998" s="68"/>
      <c r="AU998" s="68"/>
      <c r="AV998" s="68"/>
      <c r="AW998" s="68"/>
      <c r="AX998" s="68"/>
      <c r="AY998" s="68"/>
    </row>
    <row r="999" spans="1:51" ht="12.95" customHeight="1">
      <c r="A999" s="14"/>
      <c r="B999" s="73"/>
      <c r="C999" s="74"/>
      <c r="D999" s="1796"/>
      <c r="E999" s="1269"/>
      <c r="F999" s="1269"/>
      <c r="G999" s="1269"/>
      <c r="H999" s="1269"/>
      <c r="I999" s="1269"/>
      <c r="J999" s="1269"/>
      <c r="K999" s="1269"/>
      <c r="L999" s="1269"/>
      <c r="M999" s="1269"/>
      <c r="N999" s="1269"/>
      <c r="O999" s="1269"/>
      <c r="P999" s="1269"/>
      <c r="Q999" s="1269"/>
      <c r="R999" s="1269"/>
      <c r="S999" s="1269"/>
      <c r="T999" s="1269"/>
      <c r="U999" s="1269"/>
      <c r="V999" s="1269"/>
      <c r="W999" s="1269"/>
      <c r="X999" s="1269"/>
      <c r="Y999" s="1269"/>
      <c r="Z999" s="1269"/>
      <c r="AA999" s="1269"/>
      <c r="AB999" s="1269"/>
      <c r="AC999" s="1269"/>
      <c r="AD999" s="1269"/>
      <c r="AE999" s="1797"/>
      <c r="AF999" s="952"/>
      <c r="AG999" s="953"/>
      <c r="AH999" s="953"/>
      <c r="AI999" s="954"/>
      <c r="AJ999" s="1787"/>
      <c r="AK999" s="1788"/>
      <c r="AL999" s="1788"/>
      <c r="AM999" s="1788"/>
      <c r="AN999" s="1788"/>
      <c r="AO999" s="1788"/>
      <c r="AP999" s="1788"/>
      <c r="AQ999" s="1789"/>
      <c r="AR999" s="68"/>
      <c r="AS999" s="68"/>
      <c r="AT999" s="68"/>
      <c r="AU999" s="68"/>
      <c r="AV999" s="68"/>
      <c r="AW999" s="68"/>
      <c r="AX999" s="68"/>
      <c r="AY999" s="68"/>
    </row>
    <row r="1000" spans="1:51" ht="12.95" customHeight="1">
      <c r="A1000" s="14"/>
      <c r="B1000" s="73"/>
      <c r="C1000" s="74"/>
      <c r="D1000" s="1798"/>
      <c r="E1000" s="1799"/>
      <c r="F1000" s="1799"/>
      <c r="G1000" s="1799"/>
      <c r="H1000" s="1799"/>
      <c r="I1000" s="1799"/>
      <c r="J1000" s="1799"/>
      <c r="K1000" s="1799"/>
      <c r="L1000" s="1799"/>
      <c r="M1000" s="1799"/>
      <c r="N1000" s="1799"/>
      <c r="O1000" s="1799"/>
      <c r="P1000" s="1799"/>
      <c r="Q1000" s="1799"/>
      <c r="R1000" s="1799"/>
      <c r="S1000" s="1799"/>
      <c r="T1000" s="1799"/>
      <c r="U1000" s="1799"/>
      <c r="V1000" s="1799"/>
      <c r="W1000" s="1799"/>
      <c r="X1000" s="1799"/>
      <c r="Y1000" s="1799"/>
      <c r="Z1000" s="1799"/>
      <c r="AA1000" s="1799"/>
      <c r="AB1000" s="1799"/>
      <c r="AC1000" s="1799"/>
      <c r="AD1000" s="1799"/>
      <c r="AE1000" s="1800"/>
      <c r="AF1000" s="955"/>
      <c r="AG1000" s="956"/>
      <c r="AH1000" s="956"/>
      <c r="AI1000" s="957"/>
      <c r="AJ1000" s="1790"/>
      <c r="AK1000" s="1791"/>
      <c r="AL1000" s="1791"/>
      <c r="AM1000" s="1791"/>
      <c r="AN1000" s="1791"/>
      <c r="AO1000" s="1791"/>
      <c r="AP1000" s="1791"/>
      <c r="AQ1000" s="1792"/>
      <c r="AR1000" s="68"/>
      <c r="AS1000" s="68"/>
      <c r="AT1000" s="68"/>
      <c r="AU1000" s="68"/>
      <c r="AV1000" s="68"/>
      <c r="AW1000" s="68"/>
      <c r="AX1000" s="68"/>
      <c r="AY1000" s="68"/>
    </row>
    <row r="1001" spans="1:51" ht="12.95" customHeight="1">
      <c r="A1001" s="14"/>
      <c r="B1001" s="73"/>
      <c r="C1001" s="368" t="s">
        <v>697</v>
      </c>
      <c r="D1001" s="1804" t="s">
        <v>1947</v>
      </c>
      <c r="E1001" s="1805"/>
      <c r="F1001" s="1805"/>
      <c r="G1001" s="1805"/>
      <c r="H1001" s="1805"/>
      <c r="I1001" s="1805"/>
      <c r="J1001" s="1805"/>
      <c r="K1001" s="1805"/>
      <c r="L1001" s="1805"/>
      <c r="M1001" s="1805"/>
      <c r="N1001" s="1805"/>
      <c r="O1001" s="1805"/>
      <c r="P1001" s="1805"/>
      <c r="Q1001" s="1805"/>
      <c r="R1001" s="1805"/>
      <c r="S1001" s="1805"/>
      <c r="T1001" s="1805"/>
      <c r="U1001" s="1805"/>
      <c r="V1001" s="1805"/>
      <c r="W1001" s="1805"/>
      <c r="X1001" s="1805"/>
      <c r="Y1001" s="1805"/>
      <c r="Z1001" s="1805"/>
      <c r="AA1001" s="1805"/>
      <c r="AB1001" s="1805"/>
      <c r="AC1001" s="1805"/>
      <c r="AD1001" s="1805"/>
      <c r="AE1001" s="1806"/>
      <c r="AF1001" s="73"/>
      <c r="AG1001" s="1779" t="s">
        <v>678</v>
      </c>
      <c r="AH1001" s="1780"/>
      <c r="AI1001" s="83"/>
      <c r="AJ1001" s="1784">
        <f>ROUND(IF(AND(AG1001="yes",AJ997=0),(AJ961*0.1),0),0)</f>
        <v>0</v>
      </c>
      <c r="AK1001" s="1785"/>
      <c r="AL1001" s="1785"/>
      <c r="AM1001" s="1785"/>
      <c r="AN1001" s="1785"/>
      <c r="AO1001" s="1785"/>
      <c r="AP1001" s="1785"/>
      <c r="AQ1001" s="1786"/>
      <c r="AR1001" s="68"/>
      <c r="AS1001" s="68"/>
      <c r="AT1001" s="68"/>
      <c r="AU1001" s="68"/>
      <c r="AV1001" s="68"/>
      <c r="AW1001" s="68"/>
      <c r="AX1001" s="68"/>
      <c r="AY1001" s="68"/>
    </row>
    <row r="1002" spans="1:51" ht="12.95" customHeight="1">
      <c r="A1002" s="14"/>
      <c r="B1002" s="73"/>
      <c r="C1002" s="74"/>
      <c r="D1002" s="1796" t="s">
        <v>1948</v>
      </c>
      <c r="E1002" s="1269"/>
      <c r="F1002" s="1269"/>
      <c r="G1002" s="1269"/>
      <c r="H1002" s="1269"/>
      <c r="I1002" s="1269"/>
      <c r="J1002" s="1269"/>
      <c r="K1002" s="1269"/>
      <c r="L1002" s="1269"/>
      <c r="M1002" s="1269"/>
      <c r="N1002" s="1269"/>
      <c r="O1002" s="1269"/>
      <c r="P1002" s="1269"/>
      <c r="Q1002" s="1269"/>
      <c r="R1002" s="1269"/>
      <c r="S1002" s="1269"/>
      <c r="T1002" s="1269"/>
      <c r="U1002" s="1269"/>
      <c r="V1002" s="1269"/>
      <c r="W1002" s="1269"/>
      <c r="X1002" s="1269"/>
      <c r="Y1002" s="1269"/>
      <c r="Z1002" s="1269"/>
      <c r="AA1002" s="1269"/>
      <c r="AB1002" s="1269"/>
      <c r="AC1002" s="1269"/>
      <c r="AD1002" s="1269"/>
      <c r="AE1002" s="1797"/>
      <c r="AF1002" s="73"/>
      <c r="AG1002" s="14"/>
      <c r="AH1002" s="14"/>
      <c r="AI1002" s="83"/>
      <c r="AJ1002" s="1787"/>
      <c r="AK1002" s="1788"/>
      <c r="AL1002" s="1788"/>
      <c r="AM1002" s="1788"/>
      <c r="AN1002" s="1788"/>
      <c r="AO1002" s="1788"/>
      <c r="AP1002" s="1788"/>
      <c r="AQ1002" s="1789"/>
      <c r="AR1002" s="68"/>
      <c r="AS1002" s="68"/>
      <c r="AT1002" s="68"/>
      <c r="AU1002" s="68"/>
      <c r="AV1002" s="68"/>
      <c r="AW1002" s="68"/>
      <c r="AX1002" s="68"/>
      <c r="AY1002" s="68"/>
    </row>
    <row r="1003" spans="1:51" ht="12.95" customHeight="1">
      <c r="A1003" s="14"/>
      <c r="B1003" s="73"/>
      <c r="C1003" s="74"/>
      <c r="D1003" s="1796"/>
      <c r="E1003" s="1269"/>
      <c r="F1003" s="1269"/>
      <c r="G1003" s="1269"/>
      <c r="H1003" s="1269"/>
      <c r="I1003" s="1269"/>
      <c r="J1003" s="1269"/>
      <c r="K1003" s="1269"/>
      <c r="L1003" s="1269"/>
      <c r="M1003" s="1269"/>
      <c r="N1003" s="1269"/>
      <c r="O1003" s="1269"/>
      <c r="P1003" s="1269"/>
      <c r="Q1003" s="1269"/>
      <c r="R1003" s="1269"/>
      <c r="S1003" s="1269"/>
      <c r="T1003" s="1269"/>
      <c r="U1003" s="1269"/>
      <c r="V1003" s="1269"/>
      <c r="W1003" s="1269"/>
      <c r="X1003" s="1269"/>
      <c r="Y1003" s="1269"/>
      <c r="Z1003" s="1269"/>
      <c r="AA1003" s="1269"/>
      <c r="AB1003" s="1269"/>
      <c r="AC1003" s="1269"/>
      <c r="AD1003" s="1269"/>
      <c r="AE1003" s="1797"/>
      <c r="AF1003" s="73"/>
      <c r="AG1003" s="14"/>
      <c r="AH1003" s="14"/>
      <c r="AI1003" s="83"/>
      <c r="AJ1003" s="1787"/>
      <c r="AK1003" s="1788"/>
      <c r="AL1003" s="1788"/>
      <c r="AM1003" s="1788"/>
      <c r="AN1003" s="1788"/>
      <c r="AO1003" s="1788"/>
      <c r="AP1003" s="1788"/>
      <c r="AQ1003" s="1789"/>
      <c r="AR1003" s="68"/>
      <c r="AS1003" s="68"/>
      <c r="AT1003" s="68"/>
      <c r="AU1003" s="68"/>
      <c r="AV1003" s="68"/>
      <c r="AW1003" s="68"/>
      <c r="AX1003" s="68"/>
      <c r="AY1003" s="68"/>
    </row>
    <row r="1004" spans="1:51" ht="12.95" customHeight="1">
      <c r="A1004" s="14"/>
      <c r="B1004" s="73"/>
      <c r="C1004" s="74"/>
      <c r="D1004" s="1796"/>
      <c r="E1004" s="1269"/>
      <c r="F1004" s="1269"/>
      <c r="G1004" s="1269"/>
      <c r="H1004" s="1269"/>
      <c r="I1004" s="1269"/>
      <c r="J1004" s="1269"/>
      <c r="K1004" s="1269"/>
      <c r="L1004" s="1269"/>
      <c r="M1004" s="1269"/>
      <c r="N1004" s="1269"/>
      <c r="O1004" s="1269"/>
      <c r="P1004" s="1269"/>
      <c r="Q1004" s="1269"/>
      <c r="R1004" s="1269"/>
      <c r="S1004" s="1269"/>
      <c r="T1004" s="1269"/>
      <c r="U1004" s="1269"/>
      <c r="V1004" s="1269"/>
      <c r="W1004" s="1269"/>
      <c r="X1004" s="1269"/>
      <c r="Y1004" s="1269"/>
      <c r="Z1004" s="1269"/>
      <c r="AA1004" s="1269"/>
      <c r="AB1004" s="1269"/>
      <c r="AC1004" s="1269"/>
      <c r="AD1004" s="1269"/>
      <c r="AE1004" s="1797"/>
      <c r="AF1004" s="73"/>
      <c r="AG1004" s="14"/>
      <c r="AH1004" s="14"/>
      <c r="AI1004" s="83"/>
      <c r="AJ1004" s="1787"/>
      <c r="AK1004" s="1788"/>
      <c r="AL1004" s="1788"/>
      <c r="AM1004" s="1788"/>
      <c r="AN1004" s="1788"/>
      <c r="AO1004" s="1788"/>
      <c r="AP1004" s="1788"/>
      <c r="AQ1004" s="1789"/>
      <c r="AR1004" s="68"/>
      <c r="AS1004" s="68"/>
      <c r="AT1004" s="68"/>
      <c r="AU1004" s="68"/>
      <c r="AV1004" s="68"/>
      <c r="AW1004" s="68"/>
      <c r="AX1004" s="68"/>
      <c r="AY1004" s="68"/>
    </row>
    <row r="1005" spans="1:51" ht="12.95" customHeight="1">
      <c r="A1005" s="14"/>
      <c r="B1005" s="73"/>
      <c r="C1005" s="74"/>
      <c r="D1005" s="1798"/>
      <c r="E1005" s="1799"/>
      <c r="F1005" s="1799"/>
      <c r="G1005" s="1799"/>
      <c r="H1005" s="1799"/>
      <c r="I1005" s="1799"/>
      <c r="J1005" s="1799"/>
      <c r="K1005" s="1799"/>
      <c r="L1005" s="1799"/>
      <c r="M1005" s="1799"/>
      <c r="N1005" s="1799"/>
      <c r="O1005" s="1799"/>
      <c r="P1005" s="1799"/>
      <c r="Q1005" s="1799"/>
      <c r="R1005" s="1799"/>
      <c r="S1005" s="1799"/>
      <c r="T1005" s="1799"/>
      <c r="U1005" s="1799"/>
      <c r="V1005" s="1799"/>
      <c r="W1005" s="1799"/>
      <c r="X1005" s="1799"/>
      <c r="Y1005" s="1799"/>
      <c r="Z1005" s="1799"/>
      <c r="AA1005" s="1799"/>
      <c r="AB1005" s="1799"/>
      <c r="AC1005" s="1799"/>
      <c r="AD1005" s="1799"/>
      <c r="AE1005" s="1800"/>
      <c r="AF1005" s="73"/>
      <c r="AG1005" s="14"/>
      <c r="AH1005" s="14"/>
      <c r="AI1005" s="83"/>
      <c r="AJ1005" s="1787"/>
      <c r="AK1005" s="1788"/>
      <c r="AL1005" s="1788"/>
      <c r="AM1005" s="1788"/>
      <c r="AN1005" s="1788"/>
      <c r="AO1005" s="1788"/>
      <c r="AP1005" s="1788"/>
      <c r="AQ1005" s="1789"/>
      <c r="AR1005" s="68"/>
      <c r="AS1005" s="68"/>
      <c r="AT1005" s="68"/>
      <c r="AU1005" s="68"/>
      <c r="AV1005" s="68"/>
      <c r="AW1005" s="68"/>
      <c r="AX1005" s="68"/>
      <c r="AY1005" s="68"/>
    </row>
    <row r="1006" spans="1:51" ht="12.95" customHeight="1">
      <c r="A1006" s="14"/>
      <c r="B1006" s="79"/>
      <c r="C1006" s="131" t="s">
        <v>1066</v>
      </c>
      <c r="D1006" s="1765" t="s">
        <v>1461</v>
      </c>
      <c r="E1006" s="1766"/>
      <c r="F1006" s="1766"/>
      <c r="G1006" s="1766"/>
      <c r="H1006" s="1766"/>
      <c r="I1006" s="1766"/>
      <c r="J1006" s="1766"/>
      <c r="K1006" s="1766"/>
      <c r="L1006" s="1766"/>
      <c r="M1006" s="1766"/>
      <c r="N1006" s="1766"/>
      <c r="O1006" s="1766"/>
      <c r="P1006" s="1766"/>
      <c r="Q1006" s="1766"/>
      <c r="R1006" s="1766"/>
      <c r="S1006" s="1766"/>
      <c r="T1006" s="1766"/>
      <c r="U1006" s="1766"/>
      <c r="V1006" s="1766"/>
      <c r="W1006" s="1766"/>
      <c r="X1006" s="1766"/>
      <c r="Y1006" s="1766"/>
      <c r="Z1006" s="1766"/>
      <c r="AA1006" s="1766"/>
      <c r="AB1006" s="1766"/>
      <c r="AC1006" s="1766"/>
      <c r="AD1006" s="1766"/>
      <c r="AE1006" s="1767"/>
      <c r="AF1006" s="79"/>
      <c r="AG1006" s="1777" t="s">
        <v>678</v>
      </c>
      <c r="AH1006" s="1778"/>
      <c r="AI1006" s="87"/>
      <c r="AJ1006" s="1784">
        <f>ROUND(IF(AG1006="yes",(AJ961*0.1),0),0)</f>
        <v>0</v>
      </c>
      <c r="AK1006" s="1785"/>
      <c r="AL1006" s="1785"/>
      <c r="AM1006" s="1785"/>
      <c r="AN1006" s="1785"/>
      <c r="AO1006" s="1785"/>
      <c r="AP1006" s="1785"/>
      <c r="AQ1006" s="1786"/>
      <c r="AR1006" s="68"/>
      <c r="AS1006" s="68"/>
      <c r="AT1006" s="68"/>
      <c r="AU1006" s="68"/>
      <c r="AV1006" s="68"/>
      <c r="AW1006" s="68"/>
      <c r="AX1006" s="68"/>
      <c r="AY1006" s="68"/>
    </row>
    <row r="1007" spans="1:51" ht="12.95" customHeight="1">
      <c r="A1007" s="14"/>
      <c r="B1007" s="73"/>
      <c r="C1007" s="74"/>
      <c r="D1007" s="1768" t="s">
        <v>2616</v>
      </c>
      <c r="E1007" s="1769"/>
      <c r="F1007" s="1769"/>
      <c r="G1007" s="1769"/>
      <c r="H1007" s="1769"/>
      <c r="I1007" s="1769"/>
      <c r="J1007" s="1769"/>
      <c r="K1007" s="1769"/>
      <c r="L1007" s="1769"/>
      <c r="M1007" s="1769"/>
      <c r="N1007" s="1769"/>
      <c r="O1007" s="1769"/>
      <c r="P1007" s="1769"/>
      <c r="Q1007" s="1769"/>
      <c r="R1007" s="1769"/>
      <c r="S1007" s="1769"/>
      <c r="T1007" s="1769"/>
      <c r="U1007" s="1769"/>
      <c r="V1007" s="1769"/>
      <c r="W1007" s="1769"/>
      <c r="X1007" s="1769"/>
      <c r="Y1007" s="1769"/>
      <c r="Z1007" s="1769"/>
      <c r="AA1007" s="1769"/>
      <c r="AB1007" s="1769"/>
      <c r="AC1007" s="1769"/>
      <c r="AD1007" s="1769"/>
      <c r="AE1007" s="1770"/>
      <c r="AF1007" s="73"/>
      <c r="AG1007" s="14"/>
      <c r="AH1007" s="14"/>
      <c r="AI1007" s="83"/>
      <c r="AJ1007" s="1787"/>
      <c r="AK1007" s="1788"/>
      <c r="AL1007" s="1788"/>
      <c r="AM1007" s="1788"/>
      <c r="AN1007" s="1788"/>
      <c r="AO1007" s="1788"/>
      <c r="AP1007" s="1788"/>
      <c r="AQ1007" s="1789"/>
      <c r="AR1007" s="68"/>
      <c r="AS1007" s="68"/>
      <c r="AT1007" s="68"/>
      <c r="AU1007" s="68"/>
      <c r="AV1007" s="68"/>
      <c r="AW1007" s="68"/>
      <c r="AX1007" s="68"/>
      <c r="AY1007" s="68"/>
    </row>
    <row r="1008" spans="1:51" ht="12.95" customHeight="1">
      <c r="A1008" s="14"/>
      <c r="B1008" s="73"/>
      <c r="C1008" s="74"/>
      <c r="D1008" s="1768"/>
      <c r="E1008" s="1769"/>
      <c r="F1008" s="1769"/>
      <c r="G1008" s="1769"/>
      <c r="H1008" s="1769"/>
      <c r="I1008" s="1769"/>
      <c r="J1008" s="1769"/>
      <c r="K1008" s="1769"/>
      <c r="L1008" s="1769"/>
      <c r="M1008" s="1769"/>
      <c r="N1008" s="1769"/>
      <c r="O1008" s="1769"/>
      <c r="P1008" s="1769"/>
      <c r="Q1008" s="1769"/>
      <c r="R1008" s="1769"/>
      <c r="S1008" s="1769"/>
      <c r="T1008" s="1769"/>
      <c r="U1008" s="1769"/>
      <c r="V1008" s="1769"/>
      <c r="W1008" s="1769"/>
      <c r="X1008" s="1769"/>
      <c r="Y1008" s="1769"/>
      <c r="Z1008" s="1769"/>
      <c r="AA1008" s="1769"/>
      <c r="AB1008" s="1769"/>
      <c r="AC1008" s="1769"/>
      <c r="AD1008" s="1769"/>
      <c r="AE1008" s="1770"/>
      <c r="AF1008" s="73"/>
      <c r="AG1008" s="14"/>
      <c r="AH1008" s="14"/>
      <c r="AI1008" s="83"/>
      <c r="AJ1008" s="1787"/>
      <c r="AK1008" s="1788"/>
      <c r="AL1008" s="1788"/>
      <c r="AM1008" s="1788"/>
      <c r="AN1008" s="1788"/>
      <c r="AO1008" s="1788"/>
      <c r="AP1008" s="1788"/>
      <c r="AQ1008" s="1789"/>
      <c r="AR1008" s="68"/>
      <c r="AS1008" s="68"/>
      <c r="AT1008" s="68"/>
      <c r="AU1008" s="68"/>
      <c r="AV1008" s="68"/>
      <c r="AW1008" s="68"/>
      <c r="AX1008" s="68"/>
      <c r="AY1008" s="68"/>
    </row>
    <row r="1009" spans="1:51" ht="12.95" customHeight="1">
      <c r="A1009" s="14"/>
      <c r="B1009" s="73"/>
      <c r="C1009" s="74"/>
      <c r="D1009" s="1781"/>
      <c r="E1009" s="1782"/>
      <c r="F1009" s="1782"/>
      <c r="G1009" s="1782"/>
      <c r="H1009" s="1782"/>
      <c r="I1009" s="1782"/>
      <c r="J1009" s="1782"/>
      <c r="K1009" s="1782"/>
      <c r="L1009" s="1782"/>
      <c r="M1009" s="1782"/>
      <c r="N1009" s="1782"/>
      <c r="O1009" s="1782"/>
      <c r="P1009" s="1782"/>
      <c r="Q1009" s="1782"/>
      <c r="R1009" s="1782"/>
      <c r="S1009" s="1782"/>
      <c r="T1009" s="1782"/>
      <c r="U1009" s="1782"/>
      <c r="V1009" s="1782"/>
      <c r="W1009" s="1782"/>
      <c r="X1009" s="1782"/>
      <c r="Y1009" s="1782"/>
      <c r="Z1009" s="1782"/>
      <c r="AA1009" s="1782"/>
      <c r="AB1009" s="1782"/>
      <c r="AC1009" s="1782"/>
      <c r="AD1009" s="1782"/>
      <c r="AE1009" s="1783"/>
      <c r="AF1009" s="73"/>
      <c r="AG1009" s="14"/>
      <c r="AH1009" s="14"/>
      <c r="AI1009" s="83"/>
      <c r="AJ1009" s="1790"/>
      <c r="AK1009" s="1791"/>
      <c r="AL1009" s="1791"/>
      <c r="AM1009" s="1791"/>
      <c r="AN1009" s="1791"/>
      <c r="AO1009" s="1791"/>
      <c r="AP1009" s="1791"/>
      <c r="AQ1009" s="1792"/>
      <c r="AR1009" s="68"/>
      <c r="AS1009" s="68"/>
      <c r="AT1009" s="68"/>
      <c r="AU1009" s="68"/>
      <c r="AV1009" s="68"/>
      <c r="AW1009" s="68"/>
      <c r="AX1009" s="68"/>
      <c r="AY1009" s="68"/>
    </row>
    <row r="1010" spans="1:51" ht="12.95" customHeight="1">
      <c r="A1010" s="14"/>
      <c r="B1010" s="79"/>
      <c r="C1010" s="131" t="s">
        <v>1943</v>
      </c>
      <c r="D1010" s="1804" t="s">
        <v>2127</v>
      </c>
      <c r="E1010" s="1805"/>
      <c r="F1010" s="1805"/>
      <c r="G1010" s="1805"/>
      <c r="H1010" s="1805"/>
      <c r="I1010" s="1805"/>
      <c r="J1010" s="1805"/>
      <c r="K1010" s="1805"/>
      <c r="L1010" s="1805"/>
      <c r="M1010" s="1805"/>
      <c r="N1010" s="1805"/>
      <c r="O1010" s="1805"/>
      <c r="P1010" s="1805"/>
      <c r="Q1010" s="1805"/>
      <c r="R1010" s="1805"/>
      <c r="S1010" s="1805"/>
      <c r="T1010" s="1805"/>
      <c r="U1010" s="1805"/>
      <c r="V1010" s="1805"/>
      <c r="W1010" s="1805"/>
      <c r="X1010" s="1805"/>
      <c r="Y1010" s="1805"/>
      <c r="Z1010" s="1805"/>
      <c r="AA1010" s="1805"/>
      <c r="AB1010" s="1805"/>
      <c r="AC1010" s="1805"/>
      <c r="AD1010" s="1805"/>
      <c r="AE1010" s="1806"/>
      <c r="AF1010" s="79"/>
      <c r="AG1010" s="1775" t="str">
        <f>IF(X1013&gt;0,"Yes","No")</f>
        <v>Yes</v>
      </c>
      <c r="AH1010" s="1776"/>
      <c r="AI1010" s="87"/>
      <c r="AJ1010" s="1784">
        <f>IF((X1013=0),0,BA975*AJ961)</f>
        <v>88078779.88000001</v>
      </c>
      <c r="AK1010" s="1785"/>
      <c r="AL1010" s="1785"/>
      <c r="AM1010" s="1785"/>
      <c r="AN1010" s="1785"/>
      <c r="AO1010" s="1785"/>
      <c r="AP1010" s="1785"/>
      <c r="AQ1010" s="1786"/>
      <c r="AR1010" s="68"/>
      <c r="AS1010" s="68"/>
      <c r="AT1010" s="68"/>
      <c r="AU1010" s="68"/>
      <c r="AV1010" s="68"/>
      <c r="AW1010" s="68"/>
      <c r="AX1010" s="68"/>
      <c r="AY1010" s="68"/>
    </row>
    <row r="1011" spans="1:51" ht="12.95" customHeight="1">
      <c r="A1011" s="14"/>
      <c r="B1011" s="73"/>
      <c r="C1011" s="477"/>
      <c r="D1011" s="1768" t="s">
        <v>1463</v>
      </c>
      <c r="E1011" s="1769"/>
      <c r="F1011" s="1769"/>
      <c r="G1011" s="1769"/>
      <c r="H1011" s="1769"/>
      <c r="I1011" s="1769"/>
      <c r="J1011" s="1769"/>
      <c r="K1011" s="1769"/>
      <c r="L1011" s="1769"/>
      <c r="M1011" s="1769"/>
      <c r="N1011" s="1769"/>
      <c r="O1011" s="1769"/>
      <c r="P1011" s="1769"/>
      <c r="Q1011" s="1769"/>
      <c r="R1011" s="1769"/>
      <c r="S1011" s="1769"/>
      <c r="T1011" s="1769"/>
      <c r="U1011" s="1769"/>
      <c r="V1011" s="1769"/>
      <c r="W1011" s="1769"/>
      <c r="X1011" s="1769"/>
      <c r="Y1011" s="1769"/>
      <c r="Z1011" s="1769"/>
      <c r="AA1011" s="1769"/>
      <c r="AB1011" s="1769"/>
      <c r="AC1011" s="1769"/>
      <c r="AD1011" s="1769"/>
      <c r="AE1011" s="1770"/>
      <c r="AF1011" s="73"/>
      <c r="AG1011" s="478"/>
      <c r="AH1011" s="478"/>
      <c r="AI1011" s="83"/>
      <c r="AJ1011" s="1787"/>
      <c r="AK1011" s="1788"/>
      <c r="AL1011" s="1788"/>
      <c r="AM1011" s="1788"/>
      <c r="AN1011" s="1788"/>
      <c r="AO1011" s="1788"/>
      <c r="AP1011" s="1788"/>
      <c r="AQ1011" s="1789"/>
      <c r="AR1011" s="68"/>
      <c r="AS1011" s="68"/>
      <c r="AT1011" s="68"/>
      <c r="AU1011" s="68"/>
      <c r="AV1011" s="68"/>
      <c r="AW1011" s="68"/>
      <c r="AX1011" s="68"/>
      <c r="AY1011" s="68"/>
    </row>
    <row r="1012" spans="1:51" ht="12.95" customHeight="1">
      <c r="A1012" s="14"/>
      <c r="B1012" s="73"/>
      <c r="C1012" s="477"/>
      <c r="D1012" s="1768"/>
      <c r="E1012" s="1769"/>
      <c r="F1012" s="1769"/>
      <c r="G1012" s="1769"/>
      <c r="H1012" s="1769"/>
      <c r="I1012" s="1769"/>
      <c r="J1012" s="1769"/>
      <c r="K1012" s="1769"/>
      <c r="L1012" s="1769"/>
      <c r="M1012" s="1769"/>
      <c r="N1012" s="1769"/>
      <c r="O1012" s="1769"/>
      <c r="P1012" s="1769"/>
      <c r="Q1012" s="1769"/>
      <c r="R1012" s="1769"/>
      <c r="S1012" s="1769"/>
      <c r="T1012" s="1769"/>
      <c r="U1012" s="1769"/>
      <c r="V1012" s="1769"/>
      <c r="W1012" s="1769"/>
      <c r="X1012" s="1769"/>
      <c r="Y1012" s="1769"/>
      <c r="Z1012" s="1769"/>
      <c r="AA1012" s="1769"/>
      <c r="AB1012" s="1769"/>
      <c r="AC1012" s="1769"/>
      <c r="AD1012" s="1769"/>
      <c r="AE1012" s="1770"/>
      <c r="AF1012" s="73"/>
      <c r="AG1012" s="478"/>
      <c r="AH1012" s="478"/>
      <c r="AI1012" s="83"/>
      <c r="AJ1012" s="1787"/>
      <c r="AK1012" s="1788"/>
      <c r="AL1012" s="1788"/>
      <c r="AM1012" s="1788"/>
      <c r="AN1012" s="1788"/>
      <c r="AO1012" s="1788"/>
      <c r="AP1012" s="1788"/>
      <c r="AQ1012" s="1789"/>
      <c r="AR1012" s="68"/>
      <c r="AS1012" s="68"/>
      <c r="AT1012" s="68"/>
      <c r="AU1012" s="68"/>
      <c r="AV1012" s="68"/>
      <c r="AW1012" s="68"/>
      <c r="AX1012" s="68"/>
      <c r="AY1012" s="68"/>
    </row>
    <row r="1013" spans="1:51" ht="12.95" customHeight="1">
      <c r="A1013" s="14"/>
      <c r="B1013" s="77"/>
      <c r="C1013" s="78"/>
      <c r="D1013" s="132" t="s">
        <v>1011</v>
      </c>
      <c r="E1013" s="133"/>
      <c r="F1013" s="133"/>
      <c r="G1013" s="133"/>
      <c r="H1013" s="133"/>
      <c r="I1013" s="1773">
        <f>BA973</f>
        <v>182</v>
      </c>
      <c r="J1013" s="1774"/>
      <c r="K1013" s="7"/>
      <c r="L1013" s="133"/>
      <c r="M1013" s="133"/>
      <c r="N1013" s="133"/>
      <c r="O1013" s="133"/>
      <c r="P1013" s="133"/>
      <c r="Q1013" s="133"/>
      <c r="R1013" s="133"/>
      <c r="S1013" s="133"/>
      <c r="T1013" s="133"/>
      <c r="U1013" s="133"/>
      <c r="V1013" s="134" t="s">
        <v>1012</v>
      </c>
      <c r="W1013" s="48"/>
      <c r="X1013" s="1771">
        <f>BG621</f>
        <v>95</v>
      </c>
      <c r="Y1013" s="1772"/>
      <c r="Z1013" s="48"/>
      <c r="AA1013" s="48"/>
      <c r="AB1013" s="48"/>
      <c r="AC1013" s="48"/>
      <c r="AD1013" s="48"/>
      <c r="AE1013" s="49"/>
      <c r="AF1013" s="961"/>
      <c r="AG1013" s="962"/>
      <c r="AH1013" s="962"/>
      <c r="AI1013" s="963"/>
      <c r="AJ1013" s="1790"/>
      <c r="AK1013" s="1791"/>
      <c r="AL1013" s="1791"/>
      <c r="AM1013" s="1791"/>
      <c r="AN1013" s="1791"/>
      <c r="AO1013" s="1791"/>
      <c r="AP1013" s="1791"/>
      <c r="AQ1013" s="1792"/>
      <c r="AR1013" s="68"/>
      <c r="AS1013" s="68"/>
      <c r="AT1013" s="68"/>
      <c r="AU1013" s="68"/>
      <c r="AV1013" s="68"/>
      <c r="AW1013" s="68"/>
      <c r="AX1013" s="68"/>
      <c r="AY1013" s="68"/>
    </row>
    <row r="1014" spans="1:51" ht="12.95" customHeight="1">
      <c r="A1014" s="14"/>
      <c r="B1014" s="79"/>
      <c r="C1014" s="131" t="s">
        <v>1944</v>
      </c>
      <c r="D1014" s="1765" t="s">
        <v>2128</v>
      </c>
      <c r="E1014" s="1766"/>
      <c r="F1014" s="1766"/>
      <c r="G1014" s="1766"/>
      <c r="H1014" s="1766"/>
      <c r="I1014" s="1766"/>
      <c r="J1014" s="1766"/>
      <c r="K1014" s="1766"/>
      <c r="L1014" s="1766"/>
      <c r="M1014" s="1766"/>
      <c r="N1014" s="1766"/>
      <c r="O1014" s="1766"/>
      <c r="P1014" s="1766"/>
      <c r="Q1014" s="1766"/>
      <c r="R1014" s="1766"/>
      <c r="S1014" s="1766"/>
      <c r="T1014" s="1766"/>
      <c r="U1014" s="1766"/>
      <c r="V1014" s="1766"/>
      <c r="W1014" s="1766"/>
      <c r="X1014" s="1766"/>
      <c r="Y1014" s="1766"/>
      <c r="Z1014" s="1766"/>
      <c r="AA1014" s="1766"/>
      <c r="AB1014" s="1766"/>
      <c r="AC1014" s="1766"/>
      <c r="AD1014" s="1766"/>
      <c r="AE1014" s="1767"/>
      <c r="AF1014" s="73"/>
      <c r="AG1014" s="1775" t="str">
        <f>IF(X1017&gt;0,"Yes","No")</f>
        <v>Yes</v>
      </c>
      <c r="AH1014" s="1776"/>
      <c r="AI1014" s="83"/>
      <c r="AJ1014" s="1784">
        <f>IF((X1017=0),0,(2*BA976)*AJ961)</f>
        <v>94854070.640000015</v>
      </c>
      <c r="AK1014" s="1785"/>
      <c r="AL1014" s="1785"/>
      <c r="AM1014" s="1785"/>
      <c r="AN1014" s="1785"/>
      <c r="AO1014" s="1785"/>
      <c r="AP1014" s="1785"/>
      <c r="AQ1014" s="1786"/>
      <c r="AR1014" s="68"/>
      <c r="AS1014" s="68"/>
      <c r="AT1014" s="68"/>
      <c r="AU1014" s="68"/>
      <c r="AV1014" s="68"/>
      <c r="AW1014" s="68"/>
      <c r="AX1014" s="68"/>
      <c r="AY1014" s="68"/>
    </row>
    <row r="1015" spans="1:51" ht="12.95" customHeight="1">
      <c r="A1015" s="14"/>
      <c r="B1015" s="73"/>
      <c r="C1015" s="477"/>
      <c r="D1015" s="1768" t="s">
        <v>1462</v>
      </c>
      <c r="E1015" s="1769"/>
      <c r="F1015" s="1769"/>
      <c r="G1015" s="1769"/>
      <c r="H1015" s="1769"/>
      <c r="I1015" s="1769"/>
      <c r="J1015" s="1769"/>
      <c r="K1015" s="1769"/>
      <c r="L1015" s="1769"/>
      <c r="M1015" s="1769"/>
      <c r="N1015" s="1769"/>
      <c r="O1015" s="1769"/>
      <c r="P1015" s="1769"/>
      <c r="Q1015" s="1769"/>
      <c r="R1015" s="1769"/>
      <c r="S1015" s="1769"/>
      <c r="T1015" s="1769"/>
      <c r="U1015" s="1769"/>
      <c r="V1015" s="1769"/>
      <c r="W1015" s="1769"/>
      <c r="X1015" s="1769"/>
      <c r="Y1015" s="1769"/>
      <c r="Z1015" s="1769"/>
      <c r="AA1015" s="1769"/>
      <c r="AB1015" s="1769"/>
      <c r="AC1015" s="1769"/>
      <c r="AD1015" s="1769"/>
      <c r="AE1015" s="1770"/>
      <c r="AF1015" s="73"/>
      <c r="AG1015" s="478"/>
      <c r="AH1015" s="478"/>
      <c r="AI1015" s="83"/>
      <c r="AJ1015" s="1787"/>
      <c r="AK1015" s="1788"/>
      <c r="AL1015" s="1788"/>
      <c r="AM1015" s="1788"/>
      <c r="AN1015" s="1788"/>
      <c r="AO1015" s="1788"/>
      <c r="AP1015" s="1788"/>
      <c r="AQ1015" s="1789"/>
      <c r="AR1015" s="68"/>
      <c r="AS1015" s="68"/>
      <c r="AT1015" s="68"/>
      <c r="AU1015" s="68"/>
      <c r="AV1015" s="68"/>
      <c r="AW1015" s="68"/>
      <c r="AX1015" s="68"/>
      <c r="AY1015" s="68"/>
    </row>
    <row r="1016" spans="1:51" ht="12.95" customHeight="1">
      <c r="A1016" s="14"/>
      <c r="B1016" s="73"/>
      <c r="C1016" s="83"/>
      <c r="D1016" s="1768"/>
      <c r="E1016" s="1769"/>
      <c r="F1016" s="1769"/>
      <c r="G1016" s="1769"/>
      <c r="H1016" s="1769"/>
      <c r="I1016" s="1769"/>
      <c r="J1016" s="1769"/>
      <c r="K1016" s="1769"/>
      <c r="L1016" s="1769"/>
      <c r="M1016" s="1769"/>
      <c r="N1016" s="1769"/>
      <c r="O1016" s="1769"/>
      <c r="P1016" s="1769"/>
      <c r="Q1016" s="1769"/>
      <c r="R1016" s="1769"/>
      <c r="S1016" s="1769"/>
      <c r="T1016" s="1769"/>
      <c r="U1016" s="1769"/>
      <c r="V1016" s="1769"/>
      <c r="W1016" s="1769"/>
      <c r="X1016" s="1769"/>
      <c r="Y1016" s="1769"/>
      <c r="Z1016" s="1769"/>
      <c r="AA1016" s="1769"/>
      <c r="AB1016" s="1769"/>
      <c r="AC1016" s="1769"/>
      <c r="AD1016" s="1769"/>
      <c r="AE1016" s="1770"/>
      <c r="AF1016" s="958"/>
      <c r="AG1016" s="959"/>
      <c r="AH1016" s="959"/>
      <c r="AI1016" s="960"/>
      <c r="AJ1016" s="1787"/>
      <c r="AK1016" s="1788"/>
      <c r="AL1016" s="1788"/>
      <c r="AM1016" s="1788"/>
      <c r="AN1016" s="1788"/>
      <c r="AO1016" s="1788"/>
      <c r="AP1016" s="1788"/>
      <c r="AQ1016" s="1789"/>
      <c r="AR1016" s="68"/>
      <c r="AS1016" s="68"/>
      <c r="AT1016" s="68"/>
      <c r="AU1016" s="68"/>
      <c r="AV1016" s="68"/>
      <c r="AW1016" s="68"/>
      <c r="AX1016" s="68"/>
      <c r="AY1016" s="68"/>
    </row>
    <row r="1017" spans="1:51" ht="12.95" customHeight="1">
      <c r="A1017" s="14"/>
      <c r="B1017" s="77"/>
      <c r="C1017" s="78"/>
      <c r="D1017" s="132" t="s">
        <v>1011</v>
      </c>
      <c r="E1017" s="133"/>
      <c r="F1017" s="133"/>
      <c r="G1017" s="133"/>
      <c r="H1017" s="133"/>
      <c r="I1017" s="1773">
        <f>BA973</f>
        <v>182</v>
      </c>
      <c r="J1017" s="1774"/>
      <c r="K1017" s="14"/>
      <c r="L1017" s="133"/>
      <c r="M1017" s="133"/>
      <c r="N1017" s="133"/>
      <c r="O1017" s="133"/>
      <c r="P1017" s="133"/>
      <c r="Q1017" s="133"/>
      <c r="R1017" s="133"/>
      <c r="S1017" s="133"/>
      <c r="T1017" s="133"/>
      <c r="U1017" s="133"/>
      <c r="V1017" s="134" t="s">
        <v>1013</v>
      </c>
      <c r="X1017" s="1771">
        <f>BK621</f>
        <v>51</v>
      </c>
      <c r="Y1017" s="1772"/>
      <c r="AF1017" s="961"/>
      <c r="AG1017" s="962"/>
      <c r="AH1017" s="962"/>
      <c r="AI1017" s="963"/>
      <c r="AJ1017" s="1790"/>
      <c r="AK1017" s="1791"/>
      <c r="AL1017" s="1791"/>
      <c r="AM1017" s="1791"/>
      <c r="AN1017" s="1791"/>
      <c r="AO1017" s="1791"/>
      <c r="AP1017" s="1791"/>
      <c r="AQ1017" s="1792"/>
      <c r="AR1017" s="68"/>
      <c r="AS1017" s="68"/>
      <c r="AT1017" s="68"/>
      <c r="AU1017" s="68"/>
      <c r="AV1017" s="68"/>
      <c r="AW1017" s="68"/>
      <c r="AX1017" s="68"/>
      <c r="AY1017" s="68"/>
    </row>
    <row r="1018" spans="1:51" ht="12.95" customHeight="1">
      <c r="A1018" s="14"/>
      <c r="B1018" s="102"/>
      <c r="C1018" s="103"/>
      <c r="D1018" s="1763" t="s">
        <v>522</v>
      </c>
      <c r="E1018" s="1763"/>
      <c r="F1018" s="1763"/>
      <c r="G1018" s="1763"/>
      <c r="H1018" s="1763"/>
      <c r="I1018" s="1763"/>
      <c r="J1018" s="1763"/>
      <c r="K1018" s="1763"/>
      <c r="L1018" s="1763"/>
      <c r="M1018" s="1763"/>
      <c r="N1018" s="1763"/>
      <c r="O1018" s="1763"/>
      <c r="P1018" s="1763"/>
      <c r="Q1018" s="1763"/>
      <c r="R1018" s="1763"/>
      <c r="S1018" s="1763"/>
      <c r="T1018" s="1763"/>
      <c r="U1018" s="1763"/>
      <c r="V1018" s="1763"/>
      <c r="W1018" s="1763"/>
      <c r="X1018" s="1763"/>
      <c r="Y1018" s="1763"/>
      <c r="Z1018" s="1763"/>
      <c r="AA1018" s="1763"/>
      <c r="AB1018" s="1763"/>
      <c r="AC1018" s="1763"/>
      <c r="AD1018" s="1763"/>
      <c r="AE1018" s="1763"/>
      <c r="AF1018" s="1763"/>
      <c r="AG1018" s="1763"/>
      <c r="AH1018" s="1763"/>
      <c r="AI1018" s="1764"/>
      <c r="AJ1018" s="1793">
        <f>SUM(AJ961:AQ1017)</f>
        <v>428537140.51999998</v>
      </c>
      <c r="AK1018" s="1794"/>
      <c r="AL1018" s="1794"/>
      <c r="AM1018" s="1794"/>
      <c r="AN1018" s="1794"/>
      <c r="AO1018" s="1794"/>
      <c r="AP1018" s="1794"/>
      <c r="AQ1018" s="1795"/>
      <c r="AR1018" s="68"/>
      <c r="AS1018" s="68"/>
      <c r="AT1018" s="68"/>
      <c r="AU1018" s="68"/>
      <c r="AV1018" s="68"/>
      <c r="AW1018" s="68"/>
      <c r="AX1018" s="68"/>
      <c r="AY1018" s="68"/>
    </row>
    <row r="1019" spans="1:51" ht="12.95"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2.95"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2.95"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2.95"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2.95"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2.95"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2.95" customHeight="1">
      <c r="A1025" s="88"/>
      <c r="B1025" s="1729">
        <f>IF(ISNA(IF((AJ985&gt;(AJ961*0.15)),"(f) cannot be greater than 15% of unadjusted eligible basis.",0)),"",(IF((AJ985&gt;(AJ961*0.15)),"(f) cannot be greater than 15% of unadjusted eligible basis.",0)))</f>
        <v>0</v>
      </c>
      <c r="C1025" s="1729"/>
      <c r="D1025" s="1729"/>
      <c r="E1025" s="1729"/>
      <c r="F1025" s="1729"/>
      <c r="G1025" s="1729"/>
      <c r="H1025" s="1729"/>
      <c r="I1025" s="1729"/>
      <c r="J1025" s="1729"/>
      <c r="K1025" s="1729"/>
      <c r="L1025" s="1729"/>
      <c r="M1025" s="1729"/>
      <c r="N1025" s="1729"/>
      <c r="O1025" s="1729"/>
      <c r="P1025" s="1729"/>
      <c r="Q1025" s="1729"/>
      <c r="R1025" s="1729"/>
      <c r="S1025" s="1729"/>
      <c r="T1025" s="1729"/>
      <c r="U1025" s="1729"/>
      <c r="V1025" s="1729"/>
      <c r="W1025" s="1729"/>
      <c r="X1025" s="1729"/>
      <c r="Y1025" s="1729"/>
      <c r="Z1025" s="1729"/>
      <c r="AA1025" s="1729"/>
      <c r="AB1025" s="1729"/>
      <c r="AC1025" s="1729"/>
      <c r="AD1025" s="1729"/>
      <c r="AE1025" s="1729"/>
      <c r="AF1025" s="1729"/>
      <c r="AG1025" s="1729"/>
      <c r="AH1025" s="1729"/>
      <c r="AI1025" s="1729"/>
      <c r="AJ1025" s="1729"/>
      <c r="AK1025" s="1729"/>
      <c r="AL1025" s="68"/>
      <c r="AM1025" s="68"/>
      <c r="AN1025" s="68"/>
      <c r="AO1025" s="68"/>
      <c r="AP1025" s="68"/>
      <c r="AQ1025" s="68"/>
      <c r="AR1025" s="68"/>
      <c r="AS1025" s="68"/>
      <c r="AT1025" s="68"/>
      <c r="AU1025" s="68"/>
      <c r="AV1025" s="68"/>
      <c r="AW1025" s="68"/>
      <c r="AX1025" s="68"/>
      <c r="AY1025" s="68"/>
    </row>
    <row r="1026" spans="1:51" ht="12.95" customHeight="1" thickBot="1">
      <c r="A1026" s="1691" t="s">
        <v>818</v>
      </c>
      <c r="B1026" s="1691"/>
      <c r="C1026" s="1691"/>
      <c r="D1026" s="1691"/>
      <c r="E1026" s="1691"/>
      <c r="F1026" s="1691"/>
      <c r="G1026" s="1691"/>
      <c r="H1026" s="1691"/>
      <c r="I1026" s="1691"/>
      <c r="J1026" s="1691"/>
      <c r="K1026" s="1691"/>
      <c r="L1026" s="1691"/>
      <c r="M1026" s="1691"/>
      <c r="N1026" s="1691"/>
      <c r="O1026" s="1691"/>
      <c r="P1026" s="1691"/>
      <c r="Q1026" s="1691"/>
      <c r="R1026" s="1691"/>
      <c r="S1026" s="1691"/>
      <c r="T1026" s="1691"/>
      <c r="U1026" s="1691"/>
      <c r="V1026" s="1691"/>
      <c r="W1026" s="1691"/>
      <c r="X1026" s="1691"/>
      <c r="Y1026" s="1691"/>
      <c r="Z1026" s="1691"/>
      <c r="AA1026" s="1691"/>
      <c r="AB1026" s="1691"/>
      <c r="AC1026" s="1691"/>
      <c r="AD1026" s="1691"/>
      <c r="AE1026" s="1691"/>
      <c r="AF1026" s="1691"/>
      <c r="AG1026" s="1691"/>
      <c r="AH1026" s="1691"/>
      <c r="AI1026" s="1691"/>
      <c r="AJ1026" s="1691"/>
      <c r="AK1026" s="1691"/>
      <c r="AL1026" s="1691"/>
      <c r="AM1026" s="13"/>
      <c r="AN1026" s="13"/>
      <c r="AO1026" s="13"/>
      <c r="AP1026" s="13"/>
      <c r="AQ1026" s="13"/>
      <c r="AR1026" s="13"/>
      <c r="AS1026" s="13"/>
      <c r="AT1026" s="13"/>
      <c r="AU1026" s="13"/>
      <c r="AV1026" s="13"/>
      <c r="AW1026" s="13"/>
      <c r="AX1026" s="13"/>
      <c r="AY1026" s="13"/>
    </row>
    <row r="1027" spans="1:51" ht="12.9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5" customHeight="1">
      <c r="A1028" s="57" t="s">
        <v>819</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5" customHeight="1">
      <c r="A1029" s="211" t="s">
        <v>820</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2.95" customHeight="1">
      <c r="A1030" s="1376" t="s">
        <v>600</v>
      </c>
      <c r="B1030" s="1376"/>
      <c r="C1030" s="8">
        <v>1</v>
      </c>
      <c r="D1030" s="1263" t="s">
        <v>1169</v>
      </c>
      <c r="E1030" s="1263"/>
      <c r="F1030" s="1263"/>
      <c r="G1030" s="1263"/>
      <c r="H1030" s="1263"/>
      <c r="I1030" s="1263"/>
      <c r="J1030" s="1263"/>
      <c r="K1030" s="1263"/>
      <c r="L1030" s="1263"/>
      <c r="M1030" s="1263"/>
      <c r="N1030" s="1263"/>
      <c r="O1030" s="1263"/>
      <c r="P1030" s="1263"/>
      <c r="Q1030" s="1263"/>
      <c r="R1030" s="1263"/>
      <c r="S1030" s="1263"/>
      <c r="T1030" s="1263"/>
      <c r="U1030" s="1263"/>
      <c r="V1030" s="1263"/>
      <c r="W1030" s="1263"/>
      <c r="X1030" s="1263"/>
      <c r="Y1030" s="1263"/>
      <c r="Z1030" s="1263"/>
      <c r="AA1030" s="1263"/>
      <c r="AB1030" s="1263"/>
      <c r="AC1030" s="1263"/>
      <c r="AD1030" s="1263"/>
      <c r="AE1030" s="1263"/>
      <c r="AF1030" s="1263"/>
      <c r="AG1030" s="1263"/>
      <c r="AH1030" s="1263"/>
      <c r="AI1030" s="1263"/>
      <c r="AJ1030" s="1263"/>
      <c r="AK1030" s="1263"/>
      <c r="AL1030" s="68"/>
      <c r="AM1030" s="68"/>
      <c r="AN1030" s="68"/>
      <c r="AO1030" s="68"/>
      <c r="AP1030" s="68"/>
      <c r="AQ1030" s="68"/>
      <c r="AR1030" s="68"/>
      <c r="AS1030" s="68"/>
      <c r="AT1030" s="68"/>
      <c r="AU1030" s="68"/>
      <c r="AV1030" s="68"/>
      <c r="AW1030" s="68"/>
      <c r="AX1030" s="68"/>
      <c r="AY1030" s="68"/>
    </row>
    <row r="1031" spans="1:51" ht="12.95" customHeight="1">
      <c r="A1031" s="1"/>
      <c r="B1031" s="1"/>
      <c r="C1031" s="8"/>
      <c r="D1031" s="1263"/>
      <c r="E1031" s="1263"/>
      <c r="F1031" s="1263"/>
      <c r="G1031" s="1263"/>
      <c r="H1031" s="1263"/>
      <c r="I1031" s="1263"/>
      <c r="J1031" s="1263"/>
      <c r="K1031" s="1263"/>
      <c r="L1031" s="1263"/>
      <c r="M1031" s="1263"/>
      <c r="N1031" s="1263"/>
      <c r="O1031" s="1263"/>
      <c r="P1031" s="1263"/>
      <c r="Q1031" s="1263"/>
      <c r="R1031" s="1263"/>
      <c r="S1031" s="1263"/>
      <c r="T1031" s="1263"/>
      <c r="U1031" s="1263"/>
      <c r="V1031" s="1263"/>
      <c r="W1031" s="1263"/>
      <c r="X1031" s="1263"/>
      <c r="Y1031" s="1263"/>
      <c r="Z1031" s="1263"/>
      <c r="AA1031" s="1263"/>
      <c r="AB1031" s="1263"/>
      <c r="AC1031" s="1263"/>
      <c r="AD1031" s="1263"/>
      <c r="AE1031" s="1263"/>
      <c r="AF1031" s="1263"/>
      <c r="AG1031" s="1263"/>
      <c r="AH1031" s="1263"/>
      <c r="AI1031" s="1263"/>
      <c r="AJ1031" s="1263"/>
      <c r="AK1031" s="1263"/>
      <c r="AL1031" s="68"/>
      <c r="AM1031" s="68"/>
      <c r="AN1031" s="68"/>
      <c r="AO1031" s="68"/>
      <c r="AP1031" s="68"/>
      <c r="AQ1031" s="68"/>
      <c r="AR1031" s="68"/>
      <c r="AS1031" s="68"/>
      <c r="AT1031" s="68"/>
      <c r="AU1031" s="68"/>
      <c r="AV1031" s="68"/>
      <c r="AW1031" s="68"/>
      <c r="AX1031" s="68"/>
      <c r="AY1031" s="68"/>
    </row>
    <row r="1032" spans="1:51" ht="12.95" customHeight="1">
      <c r="A1032" s="1"/>
      <c r="B1032" s="1"/>
      <c r="C1032" s="8"/>
      <c r="D1032" s="1263"/>
      <c r="E1032" s="1263"/>
      <c r="F1032" s="1263"/>
      <c r="G1032" s="1263"/>
      <c r="H1032" s="1263"/>
      <c r="I1032" s="1263"/>
      <c r="J1032" s="1263"/>
      <c r="K1032" s="1263"/>
      <c r="L1032" s="1263"/>
      <c r="M1032" s="1263"/>
      <c r="N1032" s="1263"/>
      <c r="O1032" s="1263"/>
      <c r="P1032" s="1263"/>
      <c r="Q1032" s="1263"/>
      <c r="R1032" s="1263"/>
      <c r="S1032" s="1263"/>
      <c r="T1032" s="1263"/>
      <c r="U1032" s="1263"/>
      <c r="V1032" s="1263"/>
      <c r="W1032" s="1263"/>
      <c r="X1032" s="1263"/>
      <c r="Y1032" s="1263"/>
      <c r="Z1032" s="1263"/>
      <c r="AA1032" s="1263"/>
      <c r="AB1032" s="1263"/>
      <c r="AC1032" s="1263"/>
      <c r="AD1032" s="1263"/>
      <c r="AE1032" s="1263"/>
      <c r="AF1032" s="1263"/>
      <c r="AG1032" s="1263"/>
      <c r="AH1032" s="1263"/>
      <c r="AI1032" s="1263"/>
      <c r="AJ1032" s="1263"/>
      <c r="AK1032" s="1263"/>
      <c r="AL1032" s="68"/>
      <c r="AM1032" s="68"/>
      <c r="AN1032" s="68"/>
      <c r="AO1032" s="68"/>
      <c r="AP1032" s="68"/>
      <c r="AQ1032" s="68"/>
      <c r="AR1032" s="68"/>
      <c r="AS1032" s="68"/>
      <c r="AT1032" s="68"/>
      <c r="AU1032" s="68"/>
      <c r="AV1032" s="68"/>
      <c r="AW1032" s="68"/>
      <c r="AX1032" s="68"/>
      <c r="AY1032" s="68"/>
    </row>
    <row r="1033" spans="1:51" ht="12.95" customHeight="1">
      <c r="A1033" s="1"/>
      <c r="B1033" s="1"/>
      <c r="C1033" s="8"/>
      <c r="D1033" s="1263"/>
      <c r="E1033" s="1263"/>
      <c r="F1033" s="1263"/>
      <c r="G1033" s="1263"/>
      <c r="H1033" s="1263"/>
      <c r="I1033" s="1263"/>
      <c r="J1033" s="1263"/>
      <c r="K1033" s="1263"/>
      <c r="L1033" s="1263"/>
      <c r="M1033" s="1263"/>
      <c r="N1033" s="1263"/>
      <c r="O1033" s="1263"/>
      <c r="P1033" s="1263"/>
      <c r="Q1033" s="1263"/>
      <c r="R1033" s="1263"/>
      <c r="S1033" s="1263"/>
      <c r="T1033" s="1263"/>
      <c r="U1033" s="1263"/>
      <c r="V1033" s="1263"/>
      <c r="W1033" s="1263"/>
      <c r="X1033" s="1263"/>
      <c r="Y1033" s="1263"/>
      <c r="Z1033" s="1263"/>
      <c r="AA1033" s="1263"/>
      <c r="AB1033" s="1263"/>
      <c r="AC1033" s="1263"/>
      <c r="AD1033" s="1263"/>
      <c r="AE1033" s="1263"/>
      <c r="AF1033" s="1263"/>
      <c r="AG1033" s="1263"/>
      <c r="AH1033" s="1263"/>
      <c r="AI1033" s="1263"/>
      <c r="AJ1033" s="1263"/>
      <c r="AK1033" s="1263"/>
      <c r="AL1033" s="68"/>
      <c r="AM1033" s="68"/>
      <c r="AN1033" s="68"/>
      <c r="AO1033" s="68"/>
      <c r="AP1033" s="68"/>
      <c r="AQ1033" s="68"/>
      <c r="AR1033" s="68"/>
      <c r="AS1033" s="68"/>
      <c r="AT1033" s="68"/>
      <c r="AU1033" s="68"/>
      <c r="AV1033" s="68"/>
      <c r="AW1033" s="68"/>
      <c r="AX1033" s="68"/>
      <c r="AY1033" s="68"/>
    </row>
    <row r="1034" spans="1:51" ht="12.95" customHeight="1">
      <c r="A1034" s="1"/>
      <c r="B1034" s="1"/>
      <c r="C1034" s="8"/>
      <c r="D1034" s="1263"/>
      <c r="E1034" s="1263"/>
      <c r="F1034" s="1263"/>
      <c r="G1034" s="1263"/>
      <c r="H1034" s="1263"/>
      <c r="I1034" s="1263"/>
      <c r="J1034" s="1263"/>
      <c r="K1034" s="1263"/>
      <c r="L1034" s="1263"/>
      <c r="M1034" s="1263"/>
      <c r="N1034" s="1263"/>
      <c r="O1034" s="1263"/>
      <c r="P1034" s="1263"/>
      <c r="Q1034" s="1263"/>
      <c r="R1034" s="1263"/>
      <c r="S1034" s="1263"/>
      <c r="T1034" s="1263"/>
      <c r="U1034" s="1263"/>
      <c r="V1034" s="1263"/>
      <c r="W1034" s="1263"/>
      <c r="X1034" s="1263"/>
      <c r="Y1034" s="1263"/>
      <c r="Z1034" s="1263"/>
      <c r="AA1034" s="1263"/>
      <c r="AB1034" s="1263"/>
      <c r="AC1034" s="1263"/>
      <c r="AD1034" s="1263"/>
      <c r="AE1034" s="1263"/>
      <c r="AF1034" s="1263"/>
      <c r="AG1034" s="1263"/>
      <c r="AH1034" s="1263"/>
      <c r="AI1034" s="1263"/>
      <c r="AJ1034" s="1263"/>
      <c r="AK1034" s="1263"/>
      <c r="AL1034" s="68"/>
      <c r="AM1034" s="68"/>
      <c r="AN1034" s="68"/>
      <c r="AO1034" s="68"/>
      <c r="AP1034" s="68"/>
      <c r="AQ1034" s="68"/>
      <c r="AR1034" s="68"/>
      <c r="AS1034" s="68"/>
      <c r="AT1034" s="68"/>
      <c r="AU1034" s="68"/>
      <c r="AV1034" s="68"/>
      <c r="AW1034" s="68"/>
      <c r="AX1034" s="68"/>
      <c r="AY1034" s="68"/>
    </row>
    <row r="1035" spans="1:51" ht="12.95" customHeight="1">
      <c r="A1035" s="2"/>
      <c r="B1035" s="25"/>
      <c r="C1035" s="8"/>
      <c r="D1035" s="1263"/>
      <c r="E1035" s="1263"/>
      <c r="F1035" s="1263"/>
      <c r="G1035" s="1263"/>
      <c r="H1035" s="1263"/>
      <c r="I1035" s="1263"/>
      <c r="J1035" s="1263"/>
      <c r="K1035" s="1263"/>
      <c r="L1035" s="1263"/>
      <c r="M1035" s="1263"/>
      <c r="N1035" s="1263"/>
      <c r="O1035" s="1263"/>
      <c r="P1035" s="1263"/>
      <c r="Q1035" s="1263"/>
      <c r="R1035" s="1263"/>
      <c r="S1035" s="1263"/>
      <c r="T1035" s="1263"/>
      <c r="U1035" s="1263"/>
      <c r="V1035" s="1263"/>
      <c r="W1035" s="1263"/>
      <c r="X1035" s="1263"/>
      <c r="Y1035" s="1263"/>
      <c r="Z1035" s="1263"/>
      <c r="AA1035" s="1263"/>
      <c r="AB1035" s="1263"/>
      <c r="AC1035" s="1263"/>
      <c r="AD1035" s="1263"/>
      <c r="AE1035" s="1263"/>
      <c r="AF1035" s="1263"/>
      <c r="AG1035" s="1263"/>
      <c r="AH1035" s="1263"/>
      <c r="AI1035" s="1263"/>
      <c r="AJ1035" s="1263"/>
      <c r="AK1035" s="1263"/>
      <c r="AL1035" s="68"/>
      <c r="AM1035" s="68"/>
      <c r="AN1035" s="68"/>
      <c r="AO1035" s="68"/>
      <c r="AP1035" s="68"/>
      <c r="AQ1035" s="68"/>
      <c r="AR1035" s="68"/>
      <c r="AS1035" s="68"/>
      <c r="AT1035" s="68"/>
      <c r="AU1035" s="68"/>
      <c r="AV1035" s="68"/>
      <c r="AW1035" s="68"/>
      <c r="AX1035" s="68"/>
      <c r="AY1035" s="68"/>
    </row>
    <row r="1036" spans="1:51" ht="12.95" customHeight="1">
      <c r="A1036" s="1376" t="s">
        <v>600</v>
      </c>
      <c r="B1036" s="1376"/>
      <c r="C1036" s="8">
        <v>2</v>
      </c>
      <c r="D1036" s="1263" t="s">
        <v>1168</v>
      </c>
      <c r="E1036" s="1263"/>
      <c r="F1036" s="1263"/>
      <c r="G1036" s="1263"/>
      <c r="H1036" s="1263"/>
      <c r="I1036" s="1263"/>
      <c r="J1036" s="1263"/>
      <c r="K1036" s="1263"/>
      <c r="L1036" s="1263"/>
      <c r="M1036" s="1263"/>
      <c r="N1036" s="1263"/>
      <c r="O1036" s="1263"/>
      <c r="P1036" s="1263"/>
      <c r="Q1036" s="1263"/>
      <c r="R1036" s="1263"/>
      <c r="S1036" s="1263"/>
      <c r="T1036" s="1263"/>
      <c r="U1036" s="1263"/>
      <c r="V1036" s="1263"/>
      <c r="W1036" s="1263"/>
      <c r="X1036" s="1263"/>
      <c r="Y1036" s="1263"/>
      <c r="Z1036" s="1263"/>
      <c r="AA1036" s="1263"/>
      <c r="AB1036" s="1263"/>
      <c r="AC1036" s="1263"/>
      <c r="AD1036" s="1263"/>
      <c r="AE1036" s="1263"/>
      <c r="AF1036" s="1263"/>
      <c r="AG1036" s="1263"/>
      <c r="AH1036" s="1263"/>
      <c r="AI1036" s="1263"/>
      <c r="AJ1036" s="1263"/>
      <c r="AK1036" s="1263"/>
      <c r="AL1036" s="68"/>
      <c r="AM1036" s="68"/>
      <c r="AN1036" s="68"/>
      <c r="AO1036" s="68"/>
      <c r="AP1036" s="68"/>
      <c r="AQ1036" s="68"/>
      <c r="AR1036" s="68"/>
      <c r="AS1036" s="68"/>
      <c r="AT1036" s="68"/>
      <c r="AU1036" s="68"/>
      <c r="AV1036" s="68"/>
      <c r="AW1036" s="68"/>
      <c r="AX1036" s="68"/>
      <c r="AY1036" s="68"/>
    </row>
    <row r="1037" spans="1:51" ht="12.95" customHeight="1">
      <c r="A1037" s="1"/>
      <c r="B1037" s="1"/>
      <c r="C1037" s="8"/>
      <c r="D1037" s="1263"/>
      <c r="E1037" s="1263"/>
      <c r="F1037" s="1263"/>
      <c r="G1037" s="1263"/>
      <c r="H1037" s="1263"/>
      <c r="I1037" s="1263"/>
      <c r="J1037" s="1263"/>
      <c r="K1037" s="1263"/>
      <c r="L1037" s="1263"/>
      <c r="M1037" s="1263"/>
      <c r="N1037" s="1263"/>
      <c r="O1037" s="1263"/>
      <c r="P1037" s="1263"/>
      <c r="Q1037" s="1263"/>
      <c r="R1037" s="1263"/>
      <c r="S1037" s="1263"/>
      <c r="T1037" s="1263"/>
      <c r="U1037" s="1263"/>
      <c r="V1037" s="1263"/>
      <c r="W1037" s="1263"/>
      <c r="X1037" s="1263"/>
      <c r="Y1037" s="1263"/>
      <c r="Z1037" s="1263"/>
      <c r="AA1037" s="1263"/>
      <c r="AB1037" s="1263"/>
      <c r="AC1037" s="1263"/>
      <c r="AD1037" s="1263"/>
      <c r="AE1037" s="1263"/>
      <c r="AF1037" s="1263"/>
      <c r="AG1037" s="1263"/>
      <c r="AH1037" s="1263"/>
      <c r="AI1037" s="1263"/>
      <c r="AJ1037" s="1263"/>
      <c r="AK1037" s="1263"/>
      <c r="AL1037" s="68"/>
      <c r="AM1037" s="68"/>
      <c r="AN1037" s="68"/>
      <c r="AO1037" s="68"/>
      <c r="AP1037" s="68"/>
      <c r="AQ1037" s="68"/>
      <c r="AR1037" s="68"/>
      <c r="AS1037" s="68"/>
      <c r="AT1037" s="68"/>
      <c r="AU1037" s="68"/>
      <c r="AV1037" s="68"/>
      <c r="AW1037" s="68"/>
      <c r="AX1037" s="68"/>
      <c r="AY1037" s="68"/>
    </row>
    <row r="1038" spans="1:51" ht="12.95" customHeight="1">
      <c r="A1038" s="1"/>
      <c r="B1038" s="1"/>
      <c r="C1038" s="8"/>
      <c r="D1038" s="1263"/>
      <c r="E1038" s="1263"/>
      <c r="F1038" s="1263"/>
      <c r="G1038" s="1263"/>
      <c r="H1038" s="1263"/>
      <c r="I1038" s="1263"/>
      <c r="J1038" s="1263"/>
      <c r="K1038" s="1263"/>
      <c r="L1038" s="1263"/>
      <c r="M1038" s="1263"/>
      <c r="N1038" s="1263"/>
      <c r="O1038" s="1263"/>
      <c r="P1038" s="1263"/>
      <c r="Q1038" s="1263"/>
      <c r="R1038" s="1263"/>
      <c r="S1038" s="1263"/>
      <c r="T1038" s="1263"/>
      <c r="U1038" s="1263"/>
      <c r="V1038" s="1263"/>
      <c r="W1038" s="1263"/>
      <c r="X1038" s="1263"/>
      <c r="Y1038" s="1263"/>
      <c r="Z1038" s="1263"/>
      <c r="AA1038" s="1263"/>
      <c r="AB1038" s="1263"/>
      <c r="AC1038" s="1263"/>
      <c r="AD1038" s="1263"/>
      <c r="AE1038" s="1263"/>
      <c r="AF1038" s="1263"/>
      <c r="AG1038" s="1263"/>
      <c r="AH1038" s="1263"/>
      <c r="AI1038" s="1263"/>
      <c r="AJ1038" s="1263"/>
      <c r="AK1038" s="1263"/>
      <c r="AL1038" s="68"/>
      <c r="AM1038" s="68"/>
      <c r="AN1038" s="68"/>
      <c r="AO1038" s="68"/>
      <c r="AP1038" s="68"/>
      <c r="AQ1038" s="68"/>
      <c r="AR1038" s="68"/>
      <c r="AS1038" s="68"/>
      <c r="AT1038" s="68"/>
      <c r="AU1038" s="68"/>
      <c r="AV1038" s="68"/>
      <c r="AW1038" s="68"/>
      <c r="AX1038" s="68"/>
      <c r="AY1038" s="68"/>
    </row>
    <row r="1039" spans="1:51" ht="12.95" customHeight="1">
      <c r="A1039" s="1"/>
      <c r="B1039" s="1"/>
      <c r="C1039" s="8"/>
      <c r="D1039" s="1263"/>
      <c r="E1039" s="1263"/>
      <c r="F1039" s="1263"/>
      <c r="G1039" s="1263"/>
      <c r="H1039" s="1263"/>
      <c r="I1039" s="1263"/>
      <c r="J1039" s="1263"/>
      <c r="K1039" s="1263"/>
      <c r="L1039" s="1263"/>
      <c r="M1039" s="1263"/>
      <c r="N1039" s="1263"/>
      <c r="O1039" s="1263"/>
      <c r="P1039" s="1263"/>
      <c r="Q1039" s="1263"/>
      <c r="R1039" s="1263"/>
      <c r="S1039" s="1263"/>
      <c r="T1039" s="1263"/>
      <c r="U1039" s="1263"/>
      <c r="V1039" s="1263"/>
      <c r="W1039" s="1263"/>
      <c r="X1039" s="1263"/>
      <c r="Y1039" s="1263"/>
      <c r="Z1039" s="1263"/>
      <c r="AA1039" s="1263"/>
      <c r="AB1039" s="1263"/>
      <c r="AC1039" s="1263"/>
      <c r="AD1039" s="1263"/>
      <c r="AE1039" s="1263"/>
      <c r="AF1039" s="1263"/>
      <c r="AG1039" s="1263"/>
      <c r="AH1039" s="1263"/>
      <c r="AI1039" s="1263"/>
      <c r="AJ1039" s="1263"/>
      <c r="AK1039" s="1263"/>
      <c r="AL1039" s="68"/>
      <c r="AM1039" s="68"/>
      <c r="AN1039" s="68"/>
      <c r="AO1039" s="68"/>
      <c r="AP1039" s="68"/>
      <c r="AQ1039" s="68"/>
      <c r="AR1039" s="68"/>
      <c r="AS1039" s="68"/>
      <c r="AT1039" s="68"/>
      <c r="AU1039" s="68"/>
      <c r="AV1039" s="68"/>
      <c r="AW1039" s="68"/>
      <c r="AX1039" s="68"/>
      <c r="AY1039" s="68"/>
    </row>
    <row r="1040" spans="1:51" ht="12.95" customHeight="1">
      <c r="A1040" s="1"/>
      <c r="B1040" s="1"/>
      <c r="C1040" s="8"/>
      <c r="D1040" s="1263"/>
      <c r="E1040" s="1263"/>
      <c r="F1040" s="1263"/>
      <c r="G1040" s="1263"/>
      <c r="H1040" s="1263"/>
      <c r="I1040" s="1263"/>
      <c r="J1040" s="1263"/>
      <c r="K1040" s="1263"/>
      <c r="L1040" s="1263"/>
      <c r="M1040" s="1263"/>
      <c r="N1040" s="1263"/>
      <c r="O1040" s="1263"/>
      <c r="P1040" s="1263"/>
      <c r="Q1040" s="1263"/>
      <c r="R1040" s="1263"/>
      <c r="S1040" s="1263"/>
      <c r="T1040" s="1263"/>
      <c r="U1040" s="1263"/>
      <c r="V1040" s="1263"/>
      <c r="W1040" s="1263"/>
      <c r="X1040" s="1263"/>
      <c r="Y1040" s="1263"/>
      <c r="Z1040" s="1263"/>
      <c r="AA1040" s="1263"/>
      <c r="AB1040" s="1263"/>
      <c r="AC1040" s="1263"/>
      <c r="AD1040" s="1263"/>
      <c r="AE1040" s="1263"/>
      <c r="AF1040" s="1263"/>
      <c r="AG1040" s="1263"/>
      <c r="AH1040" s="1263"/>
      <c r="AI1040" s="1263"/>
      <c r="AJ1040" s="1263"/>
      <c r="AK1040" s="1263"/>
      <c r="AL1040" s="68"/>
      <c r="AM1040" s="68"/>
      <c r="AN1040" s="68"/>
      <c r="AO1040" s="68"/>
      <c r="AP1040" s="68"/>
      <c r="AQ1040" s="68"/>
      <c r="AR1040" s="68"/>
      <c r="AS1040" s="68"/>
      <c r="AT1040" s="68"/>
      <c r="AU1040" s="68"/>
      <c r="AV1040" s="68"/>
      <c r="AW1040" s="68"/>
      <c r="AX1040" s="68"/>
      <c r="AY1040" s="68"/>
    </row>
    <row r="1041" spans="1:37" ht="12.95" customHeight="1">
      <c r="A1041" s="1"/>
      <c r="B1041" s="1"/>
      <c r="C1041" s="8"/>
      <c r="D1041" s="1263"/>
      <c r="E1041" s="1263"/>
      <c r="F1041" s="1263"/>
      <c r="G1041" s="1263"/>
      <c r="H1041" s="1263"/>
      <c r="I1041" s="1263"/>
      <c r="J1041" s="1263"/>
      <c r="K1041" s="1263"/>
      <c r="L1041" s="1263"/>
      <c r="M1041" s="1263"/>
      <c r="N1041" s="1263"/>
      <c r="O1041" s="1263"/>
      <c r="P1041" s="1263"/>
      <c r="Q1041" s="1263"/>
      <c r="R1041" s="1263"/>
      <c r="S1041" s="1263"/>
      <c r="T1041" s="1263"/>
      <c r="U1041" s="1263"/>
      <c r="V1041" s="1263"/>
      <c r="W1041" s="1263"/>
      <c r="X1041" s="1263"/>
      <c r="Y1041" s="1263"/>
      <c r="Z1041" s="1263"/>
      <c r="AA1041" s="1263"/>
      <c r="AB1041" s="1263"/>
      <c r="AC1041" s="1263"/>
      <c r="AD1041" s="1263"/>
      <c r="AE1041" s="1263"/>
      <c r="AF1041" s="1263"/>
      <c r="AG1041" s="1263"/>
      <c r="AH1041" s="1263"/>
      <c r="AI1041" s="1263"/>
      <c r="AJ1041" s="1263"/>
      <c r="AK1041" s="1263"/>
    </row>
    <row r="1042" spans="1:37" ht="12.95" customHeight="1">
      <c r="A1042" s="1376" t="s">
        <v>600</v>
      </c>
      <c r="B1042" s="1376"/>
      <c r="C1042" s="8">
        <v>3</v>
      </c>
      <c r="D1042" s="1263" t="s">
        <v>2559</v>
      </c>
      <c r="E1042" s="1263"/>
      <c r="F1042" s="1263"/>
      <c r="G1042" s="1263"/>
      <c r="H1042" s="1263"/>
      <c r="I1042" s="1263"/>
      <c r="J1042" s="1263"/>
      <c r="K1042" s="1263"/>
      <c r="L1042" s="1263"/>
      <c r="M1042" s="1263"/>
      <c r="N1042" s="1263"/>
      <c r="O1042" s="1263"/>
      <c r="P1042" s="1263"/>
      <c r="Q1042" s="1263"/>
      <c r="R1042" s="1263"/>
      <c r="S1042" s="1263"/>
      <c r="T1042" s="1263"/>
      <c r="U1042" s="1263"/>
      <c r="V1042" s="1263"/>
      <c r="W1042" s="1263"/>
      <c r="X1042" s="1263"/>
      <c r="Y1042" s="1263"/>
      <c r="Z1042" s="1263"/>
      <c r="AA1042" s="1263"/>
      <c r="AB1042" s="1263"/>
      <c r="AC1042" s="1263"/>
      <c r="AD1042" s="1263"/>
      <c r="AE1042" s="1263"/>
      <c r="AF1042" s="1263"/>
      <c r="AG1042" s="1263"/>
      <c r="AH1042" s="1263"/>
      <c r="AI1042" s="1263"/>
      <c r="AJ1042" s="1263"/>
      <c r="AK1042" s="1263"/>
    </row>
    <row r="1043" spans="1:37" ht="12.95" customHeight="1">
      <c r="A1043" s="4"/>
      <c r="B1043" s="4"/>
      <c r="C1043" s="8"/>
      <c r="D1043" s="1263"/>
      <c r="E1043" s="1263"/>
      <c r="F1043" s="1263"/>
      <c r="G1043" s="1263"/>
      <c r="H1043" s="1263"/>
      <c r="I1043" s="1263"/>
      <c r="J1043" s="1263"/>
      <c r="K1043" s="1263"/>
      <c r="L1043" s="1263"/>
      <c r="M1043" s="1263"/>
      <c r="N1043" s="1263"/>
      <c r="O1043" s="1263"/>
      <c r="P1043" s="1263"/>
      <c r="Q1043" s="1263"/>
      <c r="R1043" s="1263"/>
      <c r="S1043" s="1263"/>
      <c r="T1043" s="1263"/>
      <c r="U1043" s="1263"/>
      <c r="V1043" s="1263"/>
      <c r="W1043" s="1263"/>
      <c r="X1043" s="1263"/>
      <c r="Y1043" s="1263"/>
      <c r="Z1043" s="1263"/>
      <c r="AA1043" s="1263"/>
      <c r="AB1043" s="1263"/>
      <c r="AC1043" s="1263"/>
      <c r="AD1043" s="1263"/>
      <c r="AE1043" s="1263"/>
      <c r="AF1043" s="1263"/>
      <c r="AG1043" s="1263"/>
      <c r="AH1043" s="1263"/>
      <c r="AI1043" s="1263"/>
      <c r="AJ1043" s="1263"/>
      <c r="AK1043" s="1263"/>
    </row>
    <row r="1044" spans="1:37" ht="12.95" customHeight="1">
      <c r="A1044" s="4"/>
      <c r="B1044" s="4"/>
      <c r="C1044" s="8"/>
      <c r="D1044" s="1263"/>
      <c r="E1044" s="1263"/>
      <c r="F1044" s="1263"/>
      <c r="G1044" s="1263"/>
      <c r="H1044" s="1263"/>
      <c r="I1044" s="1263"/>
      <c r="J1044" s="1263"/>
      <c r="K1044" s="1263"/>
      <c r="L1044" s="1263"/>
      <c r="M1044" s="1263"/>
      <c r="N1044" s="1263"/>
      <c r="O1044" s="1263"/>
      <c r="P1044" s="1263"/>
      <c r="Q1044" s="1263"/>
      <c r="R1044" s="1263"/>
      <c r="S1044" s="1263"/>
      <c r="T1044" s="1263"/>
      <c r="U1044" s="1263"/>
      <c r="V1044" s="1263"/>
      <c r="W1044" s="1263"/>
      <c r="X1044" s="1263"/>
      <c r="Y1044" s="1263"/>
      <c r="Z1044" s="1263"/>
      <c r="AA1044" s="1263"/>
      <c r="AB1044" s="1263"/>
      <c r="AC1044" s="1263"/>
      <c r="AD1044" s="1263"/>
      <c r="AE1044" s="1263"/>
      <c r="AF1044" s="1263"/>
      <c r="AG1044" s="1263"/>
      <c r="AH1044" s="1263"/>
      <c r="AI1044" s="1263"/>
      <c r="AJ1044" s="1263"/>
      <c r="AK1044" s="1263"/>
    </row>
    <row r="1045" spans="1:37" ht="12.95" customHeight="1">
      <c r="A1045" s="35"/>
      <c r="B1045" s="25"/>
      <c r="C1045" s="8"/>
      <c r="D1045" s="1263"/>
      <c r="E1045" s="1263"/>
      <c r="F1045" s="1263"/>
      <c r="G1045" s="1263"/>
      <c r="H1045" s="1263"/>
      <c r="I1045" s="1263"/>
      <c r="J1045" s="1263"/>
      <c r="K1045" s="1263"/>
      <c r="L1045" s="1263"/>
      <c r="M1045" s="1263"/>
      <c r="N1045" s="1263"/>
      <c r="O1045" s="1263"/>
      <c r="P1045" s="1263"/>
      <c r="Q1045" s="1263"/>
      <c r="R1045" s="1263"/>
      <c r="S1045" s="1263"/>
      <c r="T1045" s="1263"/>
      <c r="U1045" s="1263"/>
      <c r="V1045" s="1263"/>
      <c r="W1045" s="1263"/>
      <c r="X1045" s="1263"/>
      <c r="Y1045" s="1263"/>
      <c r="Z1045" s="1263"/>
      <c r="AA1045" s="1263"/>
      <c r="AB1045" s="1263"/>
      <c r="AC1045" s="1263"/>
      <c r="AD1045" s="1263"/>
      <c r="AE1045" s="1263"/>
      <c r="AF1045" s="1263"/>
      <c r="AG1045" s="1263"/>
      <c r="AH1045" s="1263"/>
      <c r="AI1045" s="1263"/>
      <c r="AJ1045" s="1263"/>
      <c r="AK1045" s="1263"/>
    </row>
    <row r="1046" spans="1:37" ht="12.95" customHeight="1">
      <c r="A1046" s="35"/>
      <c r="B1046" s="25"/>
      <c r="C1046" s="8"/>
      <c r="D1046" s="1263"/>
      <c r="E1046" s="1263"/>
      <c r="F1046" s="1263"/>
      <c r="G1046" s="1263"/>
      <c r="H1046" s="1263"/>
      <c r="I1046" s="1263"/>
      <c r="J1046" s="1263"/>
      <c r="K1046" s="1263"/>
      <c r="L1046" s="1263"/>
      <c r="M1046" s="1263"/>
      <c r="N1046" s="1263"/>
      <c r="O1046" s="1263"/>
      <c r="P1046" s="1263"/>
      <c r="Q1046" s="1263"/>
      <c r="R1046" s="1263"/>
      <c r="S1046" s="1263"/>
      <c r="T1046" s="1263"/>
      <c r="U1046" s="1263"/>
      <c r="V1046" s="1263"/>
      <c r="W1046" s="1263"/>
      <c r="X1046" s="1263"/>
      <c r="Y1046" s="1263"/>
      <c r="Z1046" s="1263"/>
      <c r="AA1046" s="1263"/>
      <c r="AB1046" s="1263"/>
      <c r="AC1046" s="1263"/>
      <c r="AD1046" s="1263"/>
      <c r="AE1046" s="1263"/>
      <c r="AF1046" s="1263"/>
      <c r="AG1046" s="1263"/>
      <c r="AH1046" s="1263"/>
      <c r="AI1046" s="1263"/>
      <c r="AJ1046" s="1263"/>
      <c r="AK1046" s="1263"/>
    </row>
    <row r="1047" spans="1:37" ht="12.95" customHeight="1">
      <c r="A1047" s="35"/>
      <c r="B1047" s="25"/>
      <c r="C1047" s="8"/>
      <c r="D1047" s="1263"/>
      <c r="E1047" s="1263"/>
      <c r="F1047" s="1263"/>
      <c r="G1047" s="1263"/>
      <c r="H1047" s="1263"/>
      <c r="I1047" s="1263"/>
      <c r="J1047" s="1263"/>
      <c r="K1047" s="1263"/>
      <c r="L1047" s="1263"/>
      <c r="M1047" s="1263"/>
      <c r="N1047" s="1263"/>
      <c r="O1047" s="1263"/>
      <c r="P1047" s="1263"/>
      <c r="Q1047" s="1263"/>
      <c r="R1047" s="1263"/>
      <c r="S1047" s="1263"/>
      <c r="T1047" s="1263"/>
      <c r="U1047" s="1263"/>
      <c r="V1047" s="1263"/>
      <c r="W1047" s="1263"/>
      <c r="X1047" s="1263"/>
      <c r="Y1047" s="1263"/>
      <c r="Z1047" s="1263"/>
      <c r="AA1047" s="1263"/>
      <c r="AB1047" s="1263"/>
      <c r="AC1047" s="1263"/>
      <c r="AD1047" s="1263"/>
      <c r="AE1047" s="1263"/>
      <c r="AF1047" s="1263"/>
      <c r="AG1047" s="1263"/>
      <c r="AH1047" s="1263"/>
      <c r="AI1047" s="1263"/>
      <c r="AJ1047" s="1263"/>
      <c r="AK1047" s="1263"/>
    </row>
    <row r="1048" spans="1:37" ht="12.95" customHeight="1">
      <c r="A1048" s="35"/>
      <c r="B1048" s="25"/>
      <c r="C1048" s="8"/>
      <c r="D1048" s="1263"/>
      <c r="E1048" s="1263"/>
      <c r="F1048" s="1263"/>
      <c r="G1048" s="1263"/>
      <c r="H1048" s="1263"/>
      <c r="I1048" s="1263"/>
      <c r="J1048" s="1263"/>
      <c r="K1048" s="1263"/>
      <c r="L1048" s="1263"/>
      <c r="M1048" s="1263"/>
      <c r="N1048" s="1263"/>
      <c r="O1048" s="1263"/>
      <c r="P1048" s="1263"/>
      <c r="Q1048" s="1263"/>
      <c r="R1048" s="1263"/>
      <c r="S1048" s="1263"/>
      <c r="T1048" s="1263"/>
      <c r="U1048" s="1263"/>
      <c r="V1048" s="1263"/>
      <c r="W1048" s="1263"/>
      <c r="X1048" s="1263"/>
      <c r="Y1048" s="1263"/>
      <c r="Z1048" s="1263"/>
      <c r="AA1048" s="1263"/>
      <c r="AB1048" s="1263"/>
      <c r="AC1048" s="1263"/>
      <c r="AD1048" s="1263"/>
      <c r="AE1048" s="1263"/>
      <c r="AF1048" s="1263"/>
      <c r="AG1048" s="1263"/>
      <c r="AH1048" s="1263"/>
      <c r="AI1048" s="1263"/>
      <c r="AJ1048" s="1263"/>
      <c r="AK1048" s="1263"/>
    </row>
    <row r="1049" spans="1:37" ht="12.95" customHeight="1">
      <c r="A1049" s="1376" t="s">
        <v>600</v>
      </c>
      <c r="B1049" s="1376"/>
      <c r="C1049" s="8">
        <v>4</v>
      </c>
      <c r="D1049" s="1263" t="s">
        <v>1154</v>
      </c>
      <c r="E1049" s="1263"/>
      <c r="F1049" s="1263"/>
      <c r="G1049" s="1263"/>
      <c r="H1049" s="1263"/>
      <c r="I1049" s="1263"/>
      <c r="J1049" s="1263"/>
      <c r="K1049" s="1263"/>
      <c r="L1049" s="1263"/>
      <c r="M1049" s="1263"/>
      <c r="N1049" s="1263"/>
      <c r="O1049" s="1263"/>
      <c r="P1049" s="1263"/>
      <c r="Q1049" s="1263"/>
      <c r="R1049" s="1263"/>
      <c r="S1049" s="1263"/>
      <c r="T1049" s="1263"/>
      <c r="U1049" s="1263"/>
      <c r="V1049" s="1263"/>
      <c r="W1049" s="1263"/>
      <c r="X1049" s="1263"/>
      <c r="Y1049" s="1263"/>
      <c r="Z1049" s="1263"/>
      <c r="AA1049" s="1263"/>
      <c r="AB1049" s="1263"/>
      <c r="AC1049" s="1263"/>
      <c r="AD1049" s="1263"/>
      <c r="AE1049" s="1263"/>
      <c r="AF1049" s="1263"/>
      <c r="AG1049" s="1263"/>
      <c r="AH1049" s="1263"/>
      <c r="AI1049" s="1263"/>
      <c r="AJ1049" s="1263"/>
      <c r="AK1049" s="1263"/>
    </row>
    <row r="1050" spans="1:37" ht="12.95" customHeight="1">
      <c r="A1050" s="1"/>
      <c r="B1050" s="1"/>
      <c r="C1050" s="8"/>
      <c r="D1050" s="1263"/>
      <c r="E1050" s="1263"/>
      <c r="F1050" s="1263"/>
      <c r="G1050" s="1263"/>
      <c r="H1050" s="1263"/>
      <c r="I1050" s="1263"/>
      <c r="J1050" s="1263"/>
      <c r="K1050" s="1263"/>
      <c r="L1050" s="1263"/>
      <c r="M1050" s="1263"/>
      <c r="N1050" s="1263"/>
      <c r="O1050" s="1263"/>
      <c r="P1050" s="1263"/>
      <c r="Q1050" s="1263"/>
      <c r="R1050" s="1263"/>
      <c r="S1050" s="1263"/>
      <c r="T1050" s="1263"/>
      <c r="U1050" s="1263"/>
      <c r="V1050" s="1263"/>
      <c r="W1050" s="1263"/>
      <c r="X1050" s="1263"/>
      <c r="Y1050" s="1263"/>
      <c r="Z1050" s="1263"/>
      <c r="AA1050" s="1263"/>
      <c r="AB1050" s="1263"/>
      <c r="AC1050" s="1263"/>
      <c r="AD1050" s="1263"/>
      <c r="AE1050" s="1263"/>
      <c r="AF1050" s="1263"/>
      <c r="AG1050" s="1263"/>
      <c r="AH1050" s="1263"/>
      <c r="AI1050" s="1263"/>
      <c r="AJ1050" s="1263"/>
      <c r="AK1050" s="1263"/>
    </row>
    <row r="1051" spans="1:37" ht="12.95" customHeight="1">
      <c r="A1051" s="35"/>
      <c r="B1051" s="25"/>
      <c r="C1051" s="8"/>
      <c r="D1051" s="1263"/>
      <c r="E1051" s="1263"/>
      <c r="F1051" s="1263"/>
      <c r="G1051" s="1263"/>
      <c r="H1051" s="1263"/>
      <c r="I1051" s="1263"/>
      <c r="J1051" s="1263"/>
      <c r="K1051" s="1263"/>
      <c r="L1051" s="1263"/>
      <c r="M1051" s="1263"/>
      <c r="N1051" s="1263"/>
      <c r="O1051" s="1263"/>
      <c r="P1051" s="1263"/>
      <c r="Q1051" s="1263"/>
      <c r="R1051" s="1263"/>
      <c r="S1051" s="1263"/>
      <c r="T1051" s="1263"/>
      <c r="U1051" s="1263"/>
      <c r="V1051" s="1263"/>
      <c r="W1051" s="1263"/>
      <c r="X1051" s="1263"/>
      <c r="Y1051" s="1263"/>
      <c r="Z1051" s="1263"/>
      <c r="AA1051" s="1263"/>
      <c r="AB1051" s="1263"/>
      <c r="AC1051" s="1263"/>
      <c r="AD1051" s="1263"/>
      <c r="AE1051" s="1263"/>
      <c r="AF1051" s="1263"/>
      <c r="AG1051" s="1263"/>
      <c r="AH1051" s="1263"/>
      <c r="AI1051" s="1263"/>
      <c r="AJ1051" s="1263"/>
      <c r="AK1051" s="1263"/>
    </row>
    <row r="1052" spans="1:37" ht="12.95" customHeight="1">
      <c r="A1052" s="1376" t="s">
        <v>600</v>
      </c>
      <c r="B1052" s="1376"/>
      <c r="C1052" s="8">
        <v>5</v>
      </c>
      <c r="D1052" s="1263" t="s">
        <v>2560</v>
      </c>
      <c r="E1052" s="1263"/>
      <c r="F1052" s="1263"/>
      <c r="G1052" s="1263"/>
      <c r="H1052" s="1263"/>
      <c r="I1052" s="1263"/>
      <c r="J1052" s="1263"/>
      <c r="K1052" s="1263"/>
      <c r="L1052" s="1263"/>
      <c r="M1052" s="1263"/>
      <c r="N1052" s="1263"/>
      <c r="O1052" s="1263"/>
      <c r="P1052" s="1263"/>
      <c r="Q1052" s="1263"/>
      <c r="R1052" s="1263"/>
      <c r="S1052" s="1263"/>
      <c r="T1052" s="1263"/>
      <c r="U1052" s="1263"/>
      <c r="V1052" s="1263"/>
      <c r="W1052" s="1263"/>
      <c r="X1052" s="1263"/>
      <c r="Y1052" s="1263"/>
      <c r="Z1052" s="1263"/>
      <c r="AA1052" s="1263"/>
      <c r="AB1052" s="1263"/>
      <c r="AC1052" s="1263"/>
      <c r="AD1052" s="1263"/>
      <c r="AE1052" s="1263"/>
      <c r="AF1052" s="1263"/>
      <c r="AG1052" s="1263"/>
      <c r="AH1052" s="1263"/>
      <c r="AI1052" s="1263"/>
      <c r="AJ1052" s="1263"/>
      <c r="AK1052" s="1263"/>
    </row>
    <row r="1053" spans="1:37" ht="12.95" customHeight="1">
      <c r="A1053" s="1"/>
      <c r="B1053" s="1"/>
      <c r="C1053" s="8"/>
      <c r="D1053" s="1263"/>
      <c r="E1053" s="1263"/>
      <c r="F1053" s="1263"/>
      <c r="G1053" s="1263"/>
      <c r="H1053" s="1263"/>
      <c r="I1053" s="1263"/>
      <c r="J1053" s="1263"/>
      <c r="K1053" s="1263"/>
      <c r="L1053" s="1263"/>
      <c r="M1053" s="1263"/>
      <c r="N1053" s="1263"/>
      <c r="O1053" s="1263"/>
      <c r="P1053" s="1263"/>
      <c r="Q1053" s="1263"/>
      <c r="R1053" s="1263"/>
      <c r="S1053" s="1263"/>
      <c r="T1053" s="1263"/>
      <c r="U1053" s="1263"/>
      <c r="V1053" s="1263"/>
      <c r="W1053" s="1263"/>
      <c r="X1053" s="1263"/>
      <c r="Y1053" s="1263"/>
      <c r="Z1053" s="1263"/>
      <c r="AA1053" s="1263"/>
      <c r="AB1053" s="1263"/>
      <c r="AC1053" s="1263"/>
      <c r="AD1053" s="1263"/>
      <c r="AE1053" s="1263"/>
      <c r="AF1053" s="1263"/>
      <c r="AG1053" s="1263"/>
      <c r="AH1053" s="1263"/>
      <c r="AI1053" s="1263"/>
      <c r="AJ1053" s="1263"/>
      <c r="AK1053" s="1263"/>
    </row>
    <row r="1054" spans="1:37" ht="12.95" customHeight="1">
      <c r="A1054" s="1"/>
      <c r="B1054" s="1"/>
      <c r="C1054" s="8"/>
      <c r="D1054" s="1263"/>
      <c r="E1054" s="1263"/>
      <c r="F1054" s="1263"/>
      <c r="G1054" s="1263"/>
      <c r="H1054" s="1263"/>
      <c r="I1054" s="1263"/>
      <c r="J1054" s="1263"/>
      <c r="K1054" s="1263"/>
      <c r="L1054" s="1263"/>
      <c r="M1054" s="1263"/>
      <c r="N1054" s="1263"/>
      <c r="O1054" s="1263"/>
      <c r="P1054" s="1263"/>
      <c r="Q1054" s="1263"/>
      <c r="R1054" s="1263"/>
      <c r="S1054" s="1263"/>
      <c r="T1054" s="1263"/>
      <c r="U1054" s="1263"/>
      <c r="V1054" s="1263"/>
      <c r="W1054" s="1263"/>
      <c r="X1054" s="1263"/>
      <c r="Y1054" s="1263"/>
      <c r="Z1054" s="1263"/>
      <c r="AA1054" s="1263"/>
      <c r="AB1054" s="1263"/>
      <c r="AC1054" s="1263"/>
      <c r="AD1054" s="1263"/>
      <c r="AE1054" s="1263"/>
      <c r="AF1054" s="1263"/>
      <c r="AG1054" s="1263"/>
      <c r="AH1054" s="1263"/>
      <c r="AI1054" s="1263"/>
      <c r="AJ1054" s="1263"/>
      <c r="AK1054" s="1263"/>
    </row>
    <row r="1055" spans="1:37" ht="12.95" hidden="1" customHeight="1">
      <c r="A1055" s="1"/>
      <c r="B1055" s="1"/>
      <c r="C1055" s="8"/>
      <c r="D1055" s="1263"/>
      <c r="E1055" s="1263"/>
      <c r="F1055" s="1263"/>
      <c r="G1055" s="1263"/>
      <c r="H1055" s="1263"/>
      <c r="I1055" s="1263"/>
      <c r="J1055" s="1263"/>
      <c r="K1055" s="1263"/>
      <c r="L1055" s="1263"/>
      <c r="M1055" s="1263"/>
      <c r="N1055" s="1263"/>
      <c r="O1055" s="1263"/>
      <c r="P1055" s="1263"/>
      <c r="Q1055" s="1263"/>
      <c r="R1055" s="1263"/>
      <c r="S1055" s="1263"/>
      <c r="T1055" s="1263"/>
      <c r="U1055" s="1263"/>
      <c r="V1055" s="1263"/>
      <c r="W1055" s="1263"/>
      <c r="X1055" s="1263"/>
      <c r="Y1055" s="1263"/>
      <c r="Z1055" s="1263"/>
      <c r="AA1055" s="1263"/>
      <c r="AB1055" s="1263"/>
      <c r="AC1055" s="1263"/>
      <c r="AD1055" s="1263"/>
      <c r="AE1055" s="1263"/>
      <c r="AF1055" s="1263"/>
      <c r="AG1055" s="1263"/>
      <c r="AH1055" s="1263"/>
      <c r="AI1055" s="1263"/>
      <c r="AJ1055" s="1263"/>
      <c r="AK1055" s="1263"/>
    </row>
    <row r="1056" spans="1:37" ht="12.95" customHeight="1">
      <c r="A1056" s="35"/>
      <c r="B1056" s="25"/>
      <c r="C1056" s="8"/>
      <c r="D1056" s="1263"/>
      <c r="E1056" s="1263"/>
      <c r="F1056" s="1263"/>
      <c r="G1056" s="1263"/>
      <c r="H1056" s="1263"/>
      <c r="I1056" s="1263"/>
      <c r="J1056" s="1263"/>
      <c r="K1056" s="1263"/>
      <c r="L1056" s="1263"/>
      <c r="M1056" s="1263"/>
      <c r="N1056" s="1263"/>
      <c r="O1056" s="1263"/>
      <c r="P1056" s="1263"/>
      <c r="Q1056" s="1263"/>
      <c r="R1056" s="1263"/>
      <c r="S1056" s="1263"/>
      <c r="T1056" s="1263"/>
      <c r="U1056" s="1263"/>
      <c r="V1056" s="1263"/>
      <c r="W1056" s="1263"/>
      <c r="X1056" s="1263"/>
      <c r="Y1056" s="1263"/>
      <c r="Z1056" s="1263"/>
      <c r="AA1056" s="1263"/>
      <c r="AB1056" s="1263"/>
      <c r="AC1056" s="1263"/>
      <c r="AD1056" s="1263"/>
      <c r="AE1056" s="1263"/>
      <c r="AF1056" s="1263"/>
      <c r="AG1056" s="1263"/>
      <c r="AH1056" s="1263"/>
      <c r="AI1056" s="1263"/>
      <c r="AJ1056" s="1263"/>
      <c r="AK1056" s="1263"/>
    </row>
    <row r="1057" spans="1:37" ht="12.95" customHeight="1">
      <c r="A1057" s="1376" t="s">
        <v>600</v>
      </c>
      <c r="B1057" s="1376"/>
      <c r="C1057" s="8">
        <v>6</v>
      </c>
      <c r="D1057" s="1263" t="s">
        <v>1155</v>
      </c>
      <c r="E1057" s="1263"/>
      <c r="F1057" s="1263"/>
      <c r="G1057" s="1263"/>
      <c r="H1057" s="1263"/>
      <c r="I1057" s="1263"/>
      <c r="J1057" s="1263"/>
      <c r="K1057" s="1263"/>
      <c r="L1057" s="1263"/>
      <c r="M1057" s="1263"/>
      <c r="N1057" s="1263"/>
      <c r="O1057" s="1263"/>
      <c r="P1057" s="1263"/>
      <c r="Q1057" s="1263"/>
      <c r="R1057" s="1263"/>
      <c r="S1057" s="1263"/>
      <c r="T1057" s="1263"/>
      <c r="U1057" s="1263"/>
      <c r="V1057" s="1263"/>
      <c r="W1057" s="1263"/>
      <c r="X1057" s="1263"/>
      <c r="Y1057" s="1263"/>
      <c r="Z1057" s="1263"/>
      <c r="AA1057" s="1263"/>
      <c r="AB1057" s="1263"/>
      <c r="AC1057" s="1263"/>
      <c r="AD1057" s="1263"/>
      <c r="AE1057" s="1263"/>
      <c r="AF1057" s="1263"/>
      <c r="AG1057" s="1263"/>
      <c r="AH1057" s="1263"/>
      <c r="AI1057" s="1263"/>
      <c r="AJ1057" s="1263"/>
      <c r="AK1057" s="1263"/>
    </row>
    <row r="1058" spans="1:37" ht="12.95" customHeight="1">
      <c r="A1058" s="35"/>
      <c r="B1058" s="25"/>
      <c r="C1058" s="8"/>
      <c r="D1058" s="1263"/>
      <c r="E1058" s="1263"/>
      <c r="F1058" s="1263"/>
      <c r="G1058" s="1263"/>
      <c r="H1058" s="1263"/>
      <c r="I1058" s="1263"/>
      <c r="J1058" s="1263"/>
      <c r="K1058" s="1263"/>
      <c r="L1058" s="1263"/>
      <c r="M1058" s="1263"/>
      <c r="N1058" s="1263"/>
      <c r="O1058" s="1263"/>
      <c r="P1058" s="1263"/>
      <c r="Q1058" s="1263"/>
      <c r="R1058" s="1263"/>
      <c r="S1058" s="1263"/>
      <c r="T1058" s="1263"/>
      <c r="U1058" s="1263"/>
      <c r="V1058" s="1263"/>
      <c r="W1058" s="1263"/>
      <c r="X1058" s="1263"/>
      <c r="Y1058" s="1263"/>
      <c r="Z1058" s="1263"/>
      <c r="AA1058" s="1263"/>
      <c r="AB1058" s="1263"/>
      <c r="AC1058" s="1263"/>
      <c r="AD1058" s="1263"/>
      <c r="AE1058" s="1263"/>
      <c r="AF1058" s="1263"/>
      <c r="AG1058" s="1263"/>
      <c r="AH1058" s="1263"/>
      <c r="AI1058" s="1263"/>
      <c r="AJ1058" s="1263"/>
      <c r="AK1058" s="1263"/>
    </row>
    <row r="1059" spans="1:37" ht="12.95" customHeight="1">
      <c r="A1059" s="35"/>
      <c r="B1059" s="25"/>
      <c r="C1059" s="8"/>
      <c r="D1059" s="1263"/>
      <c r="E1059" s="1263"/>
      <c r="F1059" s="1263"/>
      <c r="G1059" s="1263"/>
      <c r="H1059" s="1263"/>
      <c r="I1059" s="1263"/>
      <c r="J1059" s="1263"/>
      <c r="K1059" s="1263"/>
      <c r="L1059" s="1263"/>
      <c r="M1059" s="1263"/>
      <c r="N1059" s="1263"/>
      <c r="O1059" s="1263"/>
      <c r="P1059" s="1263"/>
      <c r="Q1059" s="1263"/>
      <c r="R1059" s="1263"/>
      <c r="S1059" s="1263"/>
      <c r="T1059" s="1263"/>
      <c r="U1059" s="1263"/>
      <c r="V1059" s="1263"/>
      <c r="W1059" s="1263"/>
      <c r="X1059" s="1263"/>
      <c r="Y1059" s="1263"/>
      <c r="Z1059" s="1263"/>
      <c r="AA1059" s="1263"/>
      <c r="AB1059" s="1263"/>
      <c r="AC1059" s="1263"/>
      <c r="AD1059" s="1263"/>
      <c r="AE1059" s="1263"/>
      <c r="AF1059" s="1263"/>
      <c r="AG1059" s="1263"/>
      <c r="AH1059" s="1263"/>
      <c r="AI1059" s="1263"/>
      <c r="AJ1059" s="1263"/>
      <c r="AK1059" s="1263"/>
    </row>
    <row r="1060" spans="1:37" ht="12.95" customHeight="1">
      <c r="A1060" s="1376" t="s">
        <v>600</v>
      </c>
      <c r="B1060" s="1376"/>
      <c r="C1060" s="212">
        <v>7</v>
      </c>
      <c r="D1060" s="1263" t="s">
        <v>1157</v>
      </c>
      <c r="E1060" s="1263"/>
      <c r="F1060" s="1263"/>
      <c r="G1060" s="1263"/>
      <c r="H1060" s="1263"/>
      <c r="I1060" s="1263"/>
      <c r="J1060" s="1263"/>
      <c r="K1060" s="1263"/>
      <c r="L1060" s="1263"/>
      <c r="M1060" s="1263"/>
      <c r="N1060" s="1263"/>
      <c r="O1060" s="1263"/>
      <c r="P1060" s="1263"/>
      <c r="Q1060" s="1263"/>
      <c r="R1060" s="1263"/>
      <c r="S1060" s="1263"/>
      <c r="T1060" s="1263"/>
      <c r="U1060" s="1263"/>
      <c r="V1060" s="1263"/>
      <c r="W1060" s="1263"/>
      <c r="X1060" s="1263"/>
      <c r="Y1060" s="1263"/>
      <c r="Z1060" s="1263"/>
      <c r="AA1060" s="1263"/>
      <c r="AB1060" s="1263"/>
      <c r="AC1060" s="1263"/>
      <c r="AD1060" s="1263"/>
      <c r="AE1060" s="1263"/>
      <c r="AF1060" s="1263"/>
      <c r="AG1060" s="1263"/>
      <c r="AH1060" s="1263"/>
      <c r="AI1060" s="1263"/>
      <c r="AJ1060" s="1263"/>
      <c r="AK1060" s="1263"/>
    </row>
    <row r="1061" spans="1:37" ht="12.95" customHeight="1">
      <c r="A1061" s="1"/>
      <c r="B1061" s="1"/>
      <c r="C1061" s="212"/>
      <c r="D1061" s="1263"/>
      <c r="E1061" s="1263"/>
      <c r="F1061" s="1263"/>
      <c r="G1061" s="1263"/>
      <c r="H1061" s="1263"/>
      <c r="I1061" s="1263"/>
      <c r="J1061" s="1263"/>
      <c r="K1061" s="1263"/>
      <c r="L1061" s="1263"/>
      <c r="M1061" s="1263"/>
      <c r="N1061" s="1263"/>
      <c r="O1061" s="1263"/>
      <c r="P1061" s="1263"/>
      <c r="Q1061" s="1263"/>
      <c r="R1061" s="1263"/>
      <c r="S1061" s="1263"/>
      <c r="T1061" s="1263"/>
      <c r="U1061" s="1263"/>
      <c r="V1061" s="1263"/>
      <c r="W1061" s="1263"/>
      <c r="X1061" s="1263"/>
      <c r="Y1061" s="1263"/>
      <c r="Z1061" s="1263"/>
      <c r="AA1061" s="1263"/>
      <c r="AB1061" s="1263"/>
      <c r="AC1061" s="1263"/>
      <c r="AD1061" s="1263"/>
      <c r="AE1061" s="1263"/>
      <c r="AF1061" s="1263"/>
      <c r="AG1061" s="1263"/>
      <c r="AH1061" s="1263"/>
      <c r="AI1061" s="1263"/>
      <c r="AJ1061" s="1263"/>
      <c r="AK1061" s="1263"/>
    </row>
    <row r="1062" spans="1:37" ht="12.95" customHeight="1">
      <c r="A1062" s="1"/>
      <c r="B1062" s="1"/>
      <c r="C1062" s="212"/>
      <c r="D1062" s="1263"/>
      <c r="E1062" s="1263"/>
      <c r="F1062" s="1263"/>
      <c r="G1062" s="1263"/>
      <c r="H1062" s="1263"/>
      <c r="I1062" s="1263"/>
      <c r="J1062" s="1263"/>
      <c r="K1062" s="1263"/>
      <c r="L1062" s="1263"/>
      <c r="M1062" s="1263"/>
      <c r="N1062" s="1263"/>
      <c r="O1062" s="1263"/>
      <c r="P1062" s="1263"/>
      <c r="Q1062" s="1263"/>
      <c r="R1062" s="1263"/>
      <c r="S1062" s="1263"/>
      <c r="T1062" s="1263"/>
      <c r="U1062" s="1263"/>
      <c r="V1062" s="1263"/>
      <c r="W1062" s="1263"/>
      <c r="X1062" s="1263"/>
      <c r="Y1062" s="1263"/>
      <c r="Z1062" s="1263"/>
      <c r="AA1062" s="1263"/>
      <c r="AB1062" s="1263"/>
      <c r="AC1062" s="1263"/>
      <c r="AD1062" s="1263"/>
      <c r="AE1062" s="1263"/>
      <c r="AF1062" s="1263"/>
      <c r="AG1062" s="1263"/>
      <c r="AH1062" s="1263"/>
      <c r="AI1062" s="1263"/>
      <c r="AJ1062" s="1263"/>
      <c r="AK1062" s="1263"/>
    </row>
    <row r="1063" spans="1:37" ht="12.95" customHeight="1">
      <c r="A1063" s="35"/>
      <c r="B1063" s="25"/>
      <c r="C1063" s="212"/>
      <c r="D1063" s="1263"/>
      <c r="E1063" s="1263"/>
      <c r="F1063" s="1263"/>
      <c r="G1063" s="1263"/>
      <c r="H1063" s="1263"/>
      <c r="I1063" s="1263"/>
      <c r="J1063" s="1263"/>
      <c r="K1063" s="1263"/>
      <c r="L1063" s="1263"/>
      <c r="M1063" s="1263"/>
      <c r="N1063" s="1263"/>
      <c r="O1063" s="1263"/>
      <c r="P1063" s="1263"/>
      <c r="Q1063" s="1263"/>
      <c r="R1063" s="1263"/>
      <c r="S1063" s="1263"/>
      <c r="T1063" s="1263"/>
      <c r="U1063" s="1263"/>
      <c r="V1063" s="1263"/>
      <c r="W1063" s="1263"/>
      <c r="X1063" s="1263"/>
      <c r="Y1063" s="1263"/>
      <c r="Z1063" s="1263"/>
      <c r="AA1063" s="1263"/>
      <c r="AB1063" s="1263"/>
      <c r="AC1063" s="1263"/>
      <c r="AD1063" s="1263"/>
      <c r="AE1063" s="1263"/>
      <c r="AF1063" s="1263"/>
      <c r="AG1063" s="1263"/>
      <c r="AH1063" s="1263"/>
      <c r="AI1063" s="1263"/>
      <c r="AJ1063" s="1263"/>
      <c r="AK1063" s="1263"/>
    </row>
    <row r="1064" spans="1:37" ht="12.95" customHeight="1">
      <c r="A1064" s="1376" t="s">
        <v>600</v>
      </c>
      <c r="B1064" s="1376"/>
      <c r="C1064" s="212">
        <v>8</v>
      </c>
      <c r="D1064" s="1347" t="s">
        <v>1941</v>
      </c>
      <c r="E1064" s="1347"/>
      <c r="F1064" s="1347"/>
      <c r="G1064" s="1347"/>
      <c r="H1064" s="1347"/>
      <c r="I1064" s="1347"/>
      <c r="J1064" s="1347"/>
      <c r="K1064" s="1347"/>
      <c r="L1064" s="1347"/>
      <c r="M1064" s="1347"/>
      <c r="N1064" s="1347"/>
      <c r="O1064" s="1347"/>
      <c r="P1064" s="1347"/>
      <c r="Q1064" s="1347"/>
      <c r="R1064" s="1347"/>
      <c r="S1064" s="1347"/>
      <c r="T1064" s="1347"/>
      <c r="U1064" s="1347"/>
      <c r="V1064" s="1347"/>
      <c r="W1064" s="1347"/>
      <c r="X1064" s="1347"/>
      <c r="Y1064" s="1347"/>
      <c r="Z1064" s="1347"/>
      <c r="AA1064" s="1347"/>
      <c r="AB1064" s="1347"/>
      <c r="AC1064" s="1347"/>
      <c r="AD1064" s="1347"/>
      <c r="AE1064" s="1347"/>
      <c r="AF1064" s="1347"/>
      <c r="AG1064" s="1347"/>
      <c r="AH1064" s="1347"/>
      <c r="AI1064" s="1347"/>
      <c r="AJ1064" s="1347"/>
      <c r="AK1064" s="1347"/>
    </row>
    <row r="1065" spans="1:37" ht="12.95" customHeight="1">
      <c r="A1065" s="1"/>
      <c r="B1065" s="1"/>
      <c r="C1065" s="212"/>
      <c r="D1065" s="1347"/>
      <c r="E1065" s="1347"/>
      <c r="F1065" s="1347"/>
      <c r="G1065" s="1347"/>
      <c r="H1065" s="1347"/>
      <c r="I1065" s="1347"/>
      <c r="J1065" s="1347"/>
      <c r="K1065" s="1347"/>
      <c r="L1065" s="1347"/>
      <c r="M1065" s="1347"/>
      <c r="N1065" s="1347"/>
      <c r="O1065" s="1347"/>
      <c r="P1065" s="1347"/>
      <c r="Q1065" s="1347"/>
      <c r="R1065" s="1347"/>
      <c r="S1065" s="1347"/>
      <c r="T1065" s="1347"/>
      <c r="U1065" s="1347"/>
      <c r="V1065" s="1347"/>
      <c r="W1065" s="1347"/>
      <c r="X1065" s="1347"/>
      <c r="Y1065" s="1347"/>
      <c r="Z1065" s="1347"/>
      <c r="AA1065" s="1347"/>
      <c r="AB1065" s="1347"/>
      <c r="AC1065" s="1347"/>
      <c r="AD1065" s="1347"/>
      <c r="AE1065" s="1347"/>
      <c r="AF1065" s="1347"/>
      <c r="AG1065" s="1347"/>
      <c r="AH1065" s="1347"/>
      <c r="AI1065" s="1347"/>
      <c r="AJ1065" s="1347"/>
      <c r="AK1065" s="1347"/>
    </row>
    <row r="1066" spans="1:37" ht="12.95" customHeight="1">
      <c r="A1066" s="1"/>
      <c r="B1066" s="1"/>
      <c r="C1066" s="212"/>
      <c r="D1066" s="1347"/>
      <c r="E1066" s="1347"/>
      <c r="F1066" s="1347"/>
      <c r="G1066" s="1347"/>
      <c r="H1066" s="1347"/>
      <c r="I1066" s="1347"/>
      <c r="J1066" s="1347"/>
      <c r="K1066" s="1347"/>
      <c r="L1066" s="1347"/>
      <c r="M1066" s="1347"/>
      <c r="N1066" s="1347"/>
      <c r="O1066" s="1347"/>
      <c r="P1066" s="1347"/>
      <c r="Q1066" s="1347"/>
      <c r="R1066" s="1347"/>
      <c r="S1066" s="1347"/>
      <c r="T1066" s="1347"/>
      <c r="U1066" s="1347"/>
      <c r="V1066" s="1347"/>
      <c r="W1066" s="1347"/>
      <c r="X1066" s="1347"/>
      <c r="Y1066" s="1347"/>
      <c r="Z1066" s="1347"/>
      <c r="AA1066" s="1347"/>
      <c r="AB1066" s="1347"/>
      <c r="AC1066" s="1347"/>
      <c r="AD1066" s="1347"/>
      <c r="AE1066" s="1347"/>
      <c r="AF1066" s="1347"/>
      <c r="AG1066" s="1347"/>
      <c r="AH1066" s="1347"/>
      <c r="AI1066" s="1347"/>
      <c r="AJ1066" s="1347"/>
      <c r="AK1066" s="1347"/>
    </row>
    <row r="1067" spans="1:37" ht="12.95" customHeight="1">
      <c r="A1067" s="35"/>
      <c r="B1067" s="25"/>
      <c r="C1067" s="212"/>
      <c r="D1067" s="1347"/>
      <c r="E1067" s="1347"/>
      <c r="F1067" s="1347"/>
      <c r="G1067" s="1347"/>
      <c r="H1067" s="1347"/>
      <c r="I1067" s="1347"/>
      <c r="J1067" s="1347"/>
      <c r="K1067" s="1347"/>
      <c r="L1067" s="1347"/>
      <c r="M1067" s="1347"/>
      <c r="N1067" s="1347"/>
      <c r="O1067" s="1347"/>
      <c r="P1067" s="1347"/>
      <c r="Q1067" s="1347"/>
      <c r="R1067" s="1347"/>
      <c r="S1067" s="1347"/>
      <c r="T1067" s="1347"/>
      <c r="U1067" s="1347"/>
      <c r="V1067" s="1347"/>
      <c r="W1067" s="1347"/>
      <c r="X1067" s="1347"/>
      <c r="Y1067" s="1347"/>
      <c r="Z1067" s="1347"/>
      <c r="AA1067" s="1347"/>
      <c r="AB1067" s="1347"/>
      <c r="AC1067" s="1347"/>
      <c r="AD1067" s="1347"/>
      <c r="AE1067" s="1347"/>
      <c r="AF1067" s="1347"/>
      <c r="AG1067" s="1347"/>
      <c r="AH1067" s="1347"/>
      <c r="AI1067" s="1347"/>
      <c r="AJ1067" s="1347"/>
      <c r="AK1067" s="1347"/>
    </row>
    <row r="1068" spans="1:37" ht="12.95" customHeight="1">
      <c r="A1068" s="1376" t="s">
        <v>600</v>
      </c>
      <c r="B1068" s="1376"/>
      <c r="C1068" s="212">
        <v>9</v>
      </c>
      <c r="D1068" s="1263" t="s">
        <v>1156</v>
      </c>
      <c r="E1068" s="1263"/>
      <c r="F1068" s="1263"/>
      <c r="G1068" s="1263"/>
      <c r="H1068" s="1263"/>
      <c r="I1068" s="1263"/>
      <c r="J1068" s="1263"/>
      <c r="K1068" s="1263"/>
      <c r="L1068" s="1263"/>
      <c r="M1068" s="1263"/>
      <c r="N1068" s="1263"/>
      <c r="O1068" s="1263"/>
      <c r="P1068" s="1263"/>
      <c r="Q1068" s="1263"/>
      <c r="R1068" s="1263"/>
      <c r="S1068" s="1263"/>
      <c r="T1068" s="1263"/>
      <c r="U1068" s="1263"/>
      <c r="V1068" s="1263"/>
      <c r="W1068" s="1263"/>
      <c r="X1068" s="1263"/>
      <c r="Y1068" s="1263"/>
      <c r="Z1068" s="1263"/>
      <c r="AA1068" s="1263"/>
      <c r="AB1068" s="1263"/>
      <c r="AC1068" s="1263"/>
      <c r="AD1068" s="1263"/>
      <c r="AE1068" s="1263"/>
      <c r="AF1068" s="1263"/>
      <c r="AG1068" s="1263"/>
      <c r="AH1068" s="1263"/>
      <c r="AI1068" s="1263"/>
      <c r="AJ1068" s="1263"/>
      <c r="AK1068" s="1263"/>
    </row>
    <row r="1069" spans="1:37" ht="12.95" customHeight="1">
      <c r="A1069" s="35"/>
      <c r="B1069" s="25"/>
      <c r="C1069" s="212"/>
      <c r="D1069" s="1263"/>
      <c r="E1069" s="1263"/>
      <c r="F1069" s="1263"/>
      <c r="G1069" s="1263"/>
      <c r="H1069" s="1263"/>
      <c r="I1069" s="1263"/>
      <c r="J1069" s="1263"/>
      <c r="K1069" s="1263"/>
      <c r="L1069" s="1263"/>
      <c r="M1069" s="1263"/>
      <c r="N1069" s="1263"/>
      <c r="O1069" s="1263"/>
      <c r="P1069" s="1263"/>
      <c r="Q1069" s="1263"/>
      <c r="R1069" s="1263"/>
      <c r="S1069" s="1263"/>
      <c r="T1069" s="1263"/>
      <c r="U1069" s="1263"/>
      <c r="V1069" s="1263"/>
      <c r="W1069" s="1263"/>
      <c r="X1069" s="1263"/>
      <c r="Y1069" s="1263"/>
      <c r="Z1069" s="1263"/>
      <c r="AA1069" s="1263"/>
      <c r="AB1069" s="1263"/>
      <c r="AC1069" s="1263"/>
      <c r="AD1069" s="1263"/>
      <c r="AE1069" s="1263"/>
      <c r="AF1069" s="1263"/>
      <c r="AG1069" s="1263"/>
      <c r="AH1069" s="1263"/>
      <c r="AI1069" s="1263"/>
      <c r="AJ1069" s="1263"/>
      <c r="AK1069" s="1263"/>
    </row>
    <row r="1070" spans="1:37" ht="12.95" customHeight="1">
      <c r="D1070" s="1263"/>
      <c r="E1070" s="1263"/>
      <c r="F1070" s="1263"/>
      <c r="G1070" s="1263"/>
      <c r="H1070" s="1263"/>
      <c r="I1070" s="1263"/>
      <c r="J1070" s="1263"/>
      <c r="K1070" s="1263"/>
      <c r="L1070" s="1263"/>
      <c r="M1070" s="1263"/>
      <c r="N1070" s="1263"/>
      <c r="O1070" s="1263"/>
      <c r="P1070" s="1263"/>
      <c r="Q1070" s="1263"/>
      <c r="R1070" s="1263"/>
      <c r="S1070" s="1263"/>
      <c r="T1070" s="1263"/>
      <c r="U1070" s="1263"/>
      <c r="V1070" s="1263"/>
      <c r="W1070" s="1263"/>
      <c r="X1070" s="1263"/>
      <c r="Y1070" s="1263"/>
      <c r="Z1070" s="1263"/>
      <c r="AA1070" s="1263"/>
      <c r="AB1070" s="1263"/>
      <c r="AC1070" s="1263"/>
      <c r="AD1070" s="1263"/>
      <c r="AE1070" s="1263"/>
      <c r="AF1070" s="1263"/>
      <c r="AG1070" s="1263"/>
      <c r="AH1070" s="1263"/>
      <c r="AI1070" s="1263"/>
      <c r="AJ1070" s="1263"/>
      <c r="AK1070" s="1263"/>
    </row>
  </sheetData>
  <sheetProtection algorithmName="SHA-512" hashValue="/TvFzFOTunR//b7zfm1cLbRybXKQaQjrfnww5/Rh8xYTLCaTfQf/T4LZ0LgXlA5P9eaF9ZxK1AIZ+W/EPW3eEQ==" saltValue="sTgA+KZgoU38w4YIYwsVb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O154:AH154"/>
    <mergeCell ref="O156:AH156"/>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M242:AE242"/>
    <mergeCell ref="AC233:AE233"/>
    <mergeCell ref="M248:T248"/>
    <mergeCell ref="M26:Q26"/>
    <mergeCell ref="H16:AJ16"/>
    <mergeCell ref="A21:AL21"/>
    <mergeCell ref="F150:T150"/>
    <mergeCell ref="M253:AE253"/>
    <mergeCell ref="J173:S173"/>
    <mergeCell ref="A11:AL11"/>
    <mergeCell ref="O155:AH155"/>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Y132:AK132"/>
    <mergeCell ref="R177:S177"/>
    <mergeCell ref="U235:W235"/>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H196:AI196"/>
    <mergeCell ref="A13:AL14"/>
    <mergeCell ref="A12:AL12"/>
    <mergeCell ref="G122:H122"/>
    <mergeCell ref="L122:N122"/>
    <mergeCell ref="Y129:AK129"/>
    <mergeCell ref="I184:AE184"/>
    <mergeCell ref="A221:AL222"/>
    <mergeCell ref="X176:Y176"/>
    <mergeCell ref="X180:Y180"/>
    <mergeCell ref="O153:AH153"/>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s>
  <phoneticPr fontId="0" type="noConversion"/>
  <conditionalFormatting sqref="B740:AH741">
    <cfRule type="expression" dxfId="96" priority="14">
      <formula>NOT($D$210="Special Needs")</formula>
    </cfRule>
  </conditionalFormatting>
  <conditionalFormatting sqref="C551:C561 Q551:AS561 Q624:Z634 AC624:AS634">
    <cfRule type="expression" dxfId="95" priority="17">
      <formula>$AT551="!"</formula>
    </cfRule>
  </conditionalFormatting>
  <conditionalFormatting sqref="C624:C634">
    <cfRule type="expression" dxfId="94" priority="16">
      <formula>$AT624="!"</formula>
    </cfRule>
  </conditionalFormatting>
  <conditionalFormatting sqref="C877:AB878">
    <cfRule type="expression" dxfId="93" priority="2">
      <formula>AND(AC877&lt;&gt;"",OR(C877="Other (Specify):",C877=""))</formula>
    </cfRule>
  </conditionalFormatting>
  <conditionalFormatting sqref="D212">
    <cfRule type="expression" dxfId="92" priority="28">
      <formula>AND($Y$211&gt;0,$AB$211&lt;75%)</formula>
    </cfRule>
  </conditionalFormatting>
  <conditionalFormatting sqref="D215">
    <cfRule type="expression" dxfId="91" priority="25">
      <formula>NOT($D$210="At-Risk")</formula>
    </cfRule>
  </conditionalFormatting>
  <conditionalFormatting sqref="D214:U214">
    <cfRule type="expression" dxfId="90" priority="29">
      <formula>NOT(OR($D$213="Seniors",$D$210="Seniors"))</formula>
    </cfRule>
  </conditionalFormatting>
  <conditionalFormatting sqref="D211:X211">
    <cfRule type="expression" dxfId="89" priority="32">
      <formula>NOT($D$210="Special Needs")</formula>
    </cfRule>
  </conditionalFormatting>
  <conditionalFormatting sqref="D213:Z213">
    <cfRule type="expression" dxfId="88" priority="27">
      <formula>AND($Y$211&gt;0,$AB$211&lt;75%)</formula>
    </cfRule>
  </conditionalFormatting>
  <conditionalFormatting sqref="E703:AK703">
    <cfRule type="expression" dxfId="87" priority="15">
      <formula>AND($W$702="Other",OR($E$703="(specify here)",$E$703=""))</formula>
    </cfRule>
  </conditionalFormatting>
  <conditionalFormatting sqref="F815:L815">
    <cfRule type="expression" dxfId="86" priority="10">
      <formula>AND(OR(M815&lt;&gt;"",$Q$795&lt;&gt;"",$U$795&lt;&gt;"",$Y$795&lt;&gt;"",$AC$795&lt;&gt;"",$AG$795&lt;&gt;"",SUM($M$815:$AJ$815)&gt;0),OR(F815="(specify here)",F815=""))</formula>
    </cfRule>
  </conditionalFormatting>
  <conditionalFormatting sqref="L506:AB506">
    <cfRule type="expression" dxfId="85" priority="24">
      <formula>AND(NOT(AC506="N/A"),AH506&lt;&gt;"",OR(L506="(specify here)",L506=""))</formula>
    </cfRule>
  </conditionalFormatting>
  <conditionalFormatting sqref="M830:V830">
    <cfRule type="expression" dxfId="84" priority="9">
      <formula>AND(W830&lt;&gt;"",OR(M830="(specify here)",M830=""))</formula>
    </cfRule>
  </conditionalFormatting>
  <conditionalFormatting sqref="M845:V845">
    <cfRule type="expression" dxfId="83" priority="8">
      <formula>AND(W845&lt;&gt;"",OR(M845="(specify here)",M845=""))</formula>
    </cfRule>
  </conditionalFormatting>
  <conditionalFormatting sqref="M855:V855">
    <cfRule type="expression" dxfId="82" priority="7">
      <formula>AND(W855&lt;&gt;"",OR(M855="(specify here)",M855=""))</formula>
    </cfRule>
  </conditionalFormatting>
  <conditionalFormatting sqref="M858:V862">
    <cfRule type="expression" dxfId="81" priority="6">
      <formula>AND(W858&lt;&gt;"",OR(M858="(specify here)",M858=""))</formula>
    </cfRule>
  </conditionalFormatting>
  <conditionalFormatting sqref="O518:AA518">
    <cfRule type="expression" dxfId="80" priority="23">
      <formula>AND(OR(AND(NOT(AC518="N/A"),AH518&lt;&gt;""),AND(NOT(AC519="N/A"),AH519&lt;&gt;""),AND(NOT(AC520="N/A"),AH520&lt;&gt;"")),OR(O518="(specify here)",O518=""))</formula>
    </cfRule>
  </conditionalFormatting>
  <conditionalFormatting sqref="O521:AA521">
    <cfRule type="expression" dxfId="79" priority="22">
      <formula>AND(OR(AND(NOT(AC521="N/A"),AH521&lt;&gt;""),AND(NOT(AC522="N/A"),AH522&lt;&gt;""),AND(NOT(AC523="N/A"),AH523&lt;&gt;"")),OR(O521="(specify here)",O521=""))</formula>
    </cfRule>
  </conditionalFormatting>
  <conditionalFormatting sqref="O524:AA524">
    <cfRule type="expression" dxfId="78" priority="21">
      <formula>AND(OR(AND(NOT(AC524="N/A"),AH524&lt;&gt;""),AND(NOT(AC525="N/A"),AH525&lt;&gt;""),AND(NOT(AC526="N/A"),AH526&lt;&gt;"")),OR(O524="(specify here)",O524=""))</formula>
    </cfRule>
  </conditionalFormatting>
  <conditionalFormatting sqref="O527:AA527">
    <cfRule type="expression" dxfId="77" priority="20">
      <formula>AND(OR(AND(NOT(AC527="N/A"),AH527&lt;&gt;""),AND(NOT(AC528="N/A"),AH528&lt;&gt;""),AND(NOT(AC529="N/A"),AH529&lt;&gt;"")),OR(O527="(specify here)",O527=""))</formula>
    </cfRule>
  </conditionalFormatting>
  <conditionalFormatting sqref="O530:AA530">
    <cfRule type="expression" dxfId="76" priority="19">
      <formula>AND(OR(AND(NOT(AC530="N/A"),AH530&lt;&gt;""),AND(NOT(AC531="N/A"),AH531&lt;&gt;""),AND(NOT(AC532="N/A"),AH532&lt;&gt;"")),OR(O530="(specify here)",O530=""))</formula>
    </cfRule>
  </conditionalFormatting>
  <conditionalFormatting sqref="O533:AA533">
    <cfRule type="expression" dxfId="75" priority="18">
      <formula>AND(OR(AND(NOT(AC533="N/A"),AH533&lt;&gt;""),AND(NOT(AC534="N/A"),AH534&lt;&gt;""),AND(NOT(AC535="N/A"),AH535&lt;&gt;"")),OR(O533="(specify here)",O533=""))</formula>
    </cfRule>
  </conditionalFormatting>
  <conditionalFormatting sqref="P800:Y800">
    <cfRule type="expression" dxfId="74" priority="11">
      <formula>AND(Z800&lt;&gt;"",OR(P800="(specify here)",P800=""))</formula>
    </cfRule>
  </conditionalFormatting>
  <conditionalFormatting sqref="U742">
    <cfRule type="expression" dxfId="73" priority="13">
      <formula>NOT($D$210="Special Needs")</formula>
    </cfRule>
  </conditionalFormatting>
  <conditionalFormatting sqref="W944:AG944">
    <cfRule type="expression" dxfId="72" priority="1">
      <formula>AND($AA$923&lt;&gt;"",OR($W$922="",$W$922="(specify here)"))</formula>
    </cfRule>
  </conditionalFormatting>
  <conditionalFormatting sqref="Y211:AC211">
    <cfRule type="expression" dxfId="71" priority="31">
      <formula>NOT($D$210="Special Needs")</formula>
    </cfRule>
  </conditionalFormatting>
  <conditionalFormatting sqref="AA214:AO214">
    <cfRule type="expression" dxfId="70" priority="30">
      <formula>NOT(OR($D$213="Seniors",$D$210="Seniors"))</formula>
    </cfRule>
  </conditionalFormatting>
  <conditionalFormatting sqref="AB215:AM215">
    <cfRule type="expression" dxfId="69" priority="26">
      <formula>NOT($D$210="At-Risk")</formula>
    </cfRule>
  </conditionalFormatting>
  <conditionalFormatting sqref="AF986">
    <cfRule type="cellIs" dxfId="68" priority="36" stopIfTrue="1" operator="equal">
      <formula>"Please Enter Amount:"</formula>
    </cfRule>
  </conditionalFormatting>
  <conditionalFormatting sqref="AF991">
    <cfRule type="cellIs" dxfId="67" priority="33" stopIfTrue="1" operator="equal">
      <formula>"Please Enter Amount:"</formula>
    </cfRule>
  </conditionalFormatting>
  <conditionalFormatting sqref="AF998">
    <cfRule type="cellIs" dxfId="66" priority="34" stopIfTrue="1" operator="equal">
      <formula>"Please Enter Amount:"</formula>
    </cfRule>
  </conditionalFormatting>
  <conditionalFormatting sqref="AG440:AJ440">
    <cfRule type="expression" dxfId="65" priority="40" stopIfTrue="1">
      <formula>"iserror(d31)"</formula>
    </cfRule>
  </conditionalFormatting>
  <conditionalFormatting sqref="AG742:AJ742">
    <cfRule type="expression" dxfId="64" priority="12">
      <formula>NOT($D$210="Special Needs")</formula>
    </cfRule>
  </conditionalFormatting>
  <conditionalFormatting sqref="AJ1010">
    <cfRule type="cellIs" dxfId="63" priority="39" stopIfTrue="1" operator="equal">
      <formula>"#DIV/0!"</formula>
    </cfRule>
  </conditionalFormatting>
  <dataValidations xWindow="329" yWindow="269" count="58">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 type="whole" operator="greaterThanOrEqual" allowBlank="1" showInputMessage="1" showErrorMessage="1" error="Please enter the number of units designated for each population type. If N/A, enter 0." sqref="W464:Y472" xr:uid="{5517D19B-D7E5-437A-9ED1-0C3293C1F3B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69" zoomScaleNormal="100" zoomScaleSheetLayoutView="90" workbookViewId="0">
      <selection activeCell="C46" sqref="C46"/>
    </sheetView>
  </sheetViews>
  <sheetFormatPr defaultColWidth="0" defaultRowHeight="12" zeroHeight="1"/>
  <cols>
    <col min="1" max="1" width="35.5703125" style="199" customWidth="1"/>
    <col min="2" max="12" width="12.140625" style="158" customWidth="1"/>
    <col min="13" max="17" width="11.42578125" style="158" customWidth="1"/>
    <col min="18" max="18" width="12.5703125" style="158" customWidth="1"/>
    <col min="19" max="20" width="12.140625" style="158" customWidth="1"/>
    <col min="21" max="21" width="0.42578125" style="161" customWidth="1"/>
    <col min="22" max="16383" width="8.85546875" style="158" hidden="1"/>
    <col min="16384" max="16384" width="0.140625" style="158" customWidth="1"/>
  </cols>
  <sheetData>
    <row r="1" spans="1:21" s="110" customFormat="1" ht="13.5">
      <c r="A1" s="168" t="s">
        <v>558</v>
      </c>
      <c r="B1" s="125"/>
      <c r="C1" s="125"/>
      <c r="D1" s="125"/>
      <c r="E1" s="126"/>
      <c r="F1" s="1870" t="s">
        <v>630</v>
      </c>
      <c r="G1" s="1871"/>
      <c r="H1" s="1871"/>
      <c r="I1" s="1871"/>
      <c r="J1" s="1871"/>
      <c r="K1" s="1871"/>
      <c r="L1" s="1871"/>
      <c r="M1" s="1871"/>
      <c r="N1" s="1871"/>
      <c r="O1" s="1871"/>
      <c r="P1" s="1871"/>
      <c r="Q1" s="1871"/>
      <c r="R1" s="1872"/>
      <c r="S1" s="112"/>
      <c r="T1" s="111"/>
      <c r="U1" s="113"/>
    </row>
    <row r="2" spans="1:21" s="138" customFormat="1" ht="71.25" customHeight="1">
      <c r="A2" s="137"/>
      <c r="B2" s="138" t="s">
        <v>23</v>
      </c>
      <c r="C2" s="138" t="s">
        <v>376</v>
      </c>
      <c r="D2" s="138" t="s">
        <v>375</v>
      </c>
      <c r="E2" s="138" t="s">
        <v>24</v>
      </c>
      <c r="F2" s="139" t="str">
        <f>Application!B623&amp;Application!C623</f>
        <v>1)US Bank Permanent Loan</v>
      </c>
      <c r="G2" s="139" t="str">
        <f>Application!B624&amp;Application!C624</f>
        <v>2)Office of Community Investment and Infrastructure</v>
      </c>
      <c r="H2" s="139" t="str">
        <f>Application!B625&amp;Application!C625</f>
        <v>3)HCD AHSC</v>
      </c>
      <c r="I2" s="139" t="str">
        <f>Application!B626&amp;Application!C626</f>
        <v>4)Deferred Developer Fee</v>
      </c>
      <c r="J2" s="139" t="str">
        <f>Application!B627&amp;Application!C627</f>
        <v>5)</v>
      </c>
      <c r="K2" s="139" t="str">
        <f>Application!B628&amp;Application!C628</f>
        <v>6)</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c r="F4" s="147"/>
      <c r="G4" s="147"/>
      <c r="H4" s="147"/>
      <c r="I4" s="147"/>
      <c r="J4" s="147"/>
      <c r="K4" s="147"/>
      <c r="L4" s="147"/>
      <c r="M4" s="147"/>
      <c r="N4" s="147"/>
      <c r="O4" s="147"/>
      <c r="P4" s="147"/>
      <c r="Q4" s="147"/>
      <c r="R4" s="551">
        <f>SUM(E4:Q4)</f>
        <v>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1">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1">
        <f>SUM(E6:Q6)</f>
        <v>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c r="A8" s="149" t="s">
        <v>602</v>
      </c>
      <c r="B8" s="146">
        <f>SUM(C8:D8)</f>
        <v>0</v>
      </c>
      <c r="C8" s="146">
        <f t="shared" ref="C8:Q8" si="0">SUM(C4:C7)</f>
        <v>0</v>
      </c>
      <c r="D8" s="146">
        <f t="shared" si="0"/>
        <v>0</v>
      </c>
      <c r="E8" s="146">
        <f t="shared" si="0"/>
        <v>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1">
        <f>SUM(R4:R7)</f>
        <v>0</v>
      </c>
      <c r="S8" s="148"/>
      <c r="T8" s="148"/>
      <c r="U8" s="143"/>
    </row>
    <row r="9" spans="1:21" s="144" customFormat="1">
      <c r="A9" s="145" t="s">
        <v>603</v>
      </c>
      <c r="B9" s="146">
        <f>SUM(C9+D9)</f>
        <v>0</v>
      </c>
      <c r="C9" s="147"/>
      <c r="D9" s="147"/>
      <c r="E9" s="147"/>
      <c r="F9" s="147"/>
      <c r="G9" s="147"/>
      <c r="H9" s="147"/>
      <c r="I9" s="147"/>
      <c r="J9" s="147"/>
      <c r="K9" s="147"/>
      <c r="L9" s="147"/>
      <c r="M9" s="147"/>
      <c r="N9" s="147"/>
      <c r="O9" s="147"/>
      <c r="P9" s="147"/>
      <c r="Q9" s="147"/>
      <c r="R9" s="551">
        <f>SUM(E9:Q9)</f>
        <v>0</v>
      </c>
      <c r="S9" s="148"/>
      <c r="T9" s="147"/>
      <c r="U9" s="143"/>
    </row>
    <row r="10" spans="1:21" s="144" customFormat="1">
      <c r="A10" s="145" t="s">
        <v>604</v>
      </c>
      <c r="B10" s="146">
        <f>SUM(C10+D10)</f>
        <v>0</v>
      </c>
      <c r="C10" s="147"/>
      <c r="D10" s="147"/>
      <c r="E10" s="147"/>
      <c r="F10" s="147"/>
      <c r="G10" s="147"/>
      <c r="H10" s="147"/>
      <c r="I10" s="147"/>
      <c r="J10" s="147"/>
      <c r="K10" s="147"/>
      <c r="L10" s="147"/>
      <c r="M10" s="147"/>
      <c r="N10" s="147"/>
      <c r="O10" s="147"/>
      <c r="P10" s="147"/>
      <c r="Q10" s="147"/>
      <c r="R10" s="551">
        <f>SUM(E10:Q10)</f>
        <v>0</v>
      </c>
      <c r="S10" s="147"/>
      <c r="T10" s="147"/>
      <c r="U10" s="143"/>
    </row>
    <row r="11" spans="1:21" s="144" customFormat="1">
      <c r="A11" s="149" t="s">
        <v>605</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1">
        <f>SUM(R9:R10)</f>
        <v>0</v>
      </c>
      <c r="S11" s="148"/>
      <c r="T11" s="150">
        <f>SUM(T9:T10)</f>
        <v>0</v>
      </c>
      <c r="U11" s="143"/>
    </row>
    <row r="12" spans="1:21" s="144" customFormat="1">
      <c r="A12" s="149" t="s">
        <v>85</v>
      </c>
      <c r="B12" s="146">
        <f t="shared" ref="B12:Q12" si="2">SUM(B8+B11)</f>
        <v>0</v>
      </c>
      <c r="C12" s="146">
        <f t="shared" si="2"/>
        <v>0</v>
      </c>
      <c r="D12" s="146">
        <f t="shared" si="2"/>
        <v>0</v>
      </c>
      <c r="E12" s="146">
        <f t="shared" si="2"/>
        <v>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1">
        <f>SUM(R8+R11)</f>
        <v>0</v>
      </c>
      <c r="S12" s="148"/>
      <c r="T12" s="148"/>
      <c r="U12" s="143"/>
    </row>
    <row r="13" spans="1:21" s="144" customFormat="1">
      <c r="A13" s="309" t="s">
        <v>935</v>
      </c>
      <c r="B13" s="146">
        <f>SUM(C13+D13)</f>
        <v>0</v>
      </c>
      <c r="C13" s="147"/>
      <c r="D13" s="147"/>
      <c r="E13" s="147"/>
      <c r="F13" s="147"/>
      <c r="G13" s="147"/>
      <c r="H13" s="147"/>
      <c r="I13" s="147"/>
      <c r="J13" s="147"/>
      <c r="K13" s="147"/>
      <c r="L13" s="147"/>
      <c r="M13" s="147"/>
      <c r="N13" s="147"/>
      <c r="O13" s="147"/>
      <c r="P13" s="147"/>
      <c r="Q13" s="147"/>
      <c r="R13" s="551">
        <f>SUM(E13:Q13)</f>
        <v>0</v>
      </c>
      <c r="S13" s="147"/>
      <c r="T13" s="147"/>
      <c r="U13" s="143"/>
    </row>
    <row r="14" spans="1:21" s="144" customFormat="1" ht="24">
      <c r="A14" s="310" t="s">
        <v>1822</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1302</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1">
        <f>SUM(E17:Q17)</f>
        <v>0</v>
      </c>
      <c r="S17" s="147"/>
      <c r="T17" s="147"/>
      <c r="U17" s="143"/>
    </row>
    <row r="18" spans="1:21" s="144" customFormat="1">
      <c r="A18" s="145" t="s">
        <v>608</v>
      </c>
      <c r="B18" s="146">
        <f t="shared" si="3"/>
        <v>0</v>
      </c>
      <c r="C18" s="147"/>
      <c r="D18" s="147"/>
      <c r="E18" s="147"/>
      <c r="F18" s="147"/>
      <c r="G18" s="147"/>
      <c r="H18" s="147"/>
      <c r="I18" s="147"/>
      <c r="J18" s="147"/>
      <c r="K18" s="147"/>
      <c r="L18" s="147"/>
      <c r="M18" s="147"/>
      <c r="N18" s="147"/>
      <c r="O18" s="147"/>
      <c r="P18" s="147"/>
      <c r="Q18" s="147"/>
      <c r="R18" s="551">
        <f>SUM(E18:Q18)</f>
        <v>0</v>
      </c>
      <c r="S18" s="147"/>
      <c r="T18" s="147"/>
      <c r="U18" s="143"/>
    </row>
    <row r="19" spans="1:21" s="144" customFormat="1">
      <c r="A19" s="145" t="s">
        <v>609</v>
      </c>
      <c r="B19" s="146">
        <f t="shared" si="3"/>
        <v>0</v>
      </c>
      <c r="C19" s="147"/>
      <c r="D19" s="147"/>
      <c r="E19" s="147"/>
      <c r="F19" s="147"/>
      <c r="G19" s="147"/>
      <c r="H19" s="147"/>
      <c r="I19" s="147"/>
      <c r="J19" s="147"/>
      <c r="K19" s="147"/>
      <c r="L19" s="147"/>
      <c r="M19" s="147"/>
      <c r="N19" s="147"/>
      <c r="O19" s="147"/>
      <c r="P19" s="147"/>
      <c r="Q19" s="147"/>
      <c r="R19" s="551">
        <f>SUM(E19:Q19)</f>
        <v>0</v>
      </c>
      <c r="S19" s="147"/>
      <c r="T19" s="147"/>
      <c r="U19" s="143"/>
    </row>
    <row r="20" spans="1:21" s="144" customFormat="1">
      <c r="A20" s="145" t="s">
        <v>138</v>
      </c>
      <c r="B20" s="146">
        <f t="shared" si="3"/>
        <v>0</v>
      </c>
      <c r="C20" s="147"/>
      <c r="D20" s="147"/>
      <c r="E20" s="147"/>
      <c r="F20" s="147"/>
      <c r="G20" s="147"/>
      <c r="H20" s="147"/>
      <c r="I20" s="147"/>
      <c r="J20" s="147"/>
      <c r="K20" s="147"/>
      <c r="L20" s="147"/>
      <c r="M20" s="147"/>
      <c r="N20" s="147"/>
      <c r="O20" s="147"/>
      <c r="P20" s="147"/>
      <c r="Q20" s="147"/>
      <c r="R20" s="551">
        <f t="shared" ref="R20:R27" si="4">SUM(E20:Q20)</f>
        <v>0</v>
      </c>
      <c r="S20" s="147"/>
      <c r="T20" s="147"/>
      <c r="U20" s="143"/>
    </row>
    <row r="21" spans="1:21" s="144" customFormat="1">
      <c r="A21" s="145" t="s">
        <v>139</v>
      </c>
      <c r="B21" s="146">
        <f t="shared" si="3"/>
        <v>0</v>
      </c>
      <c r="C21" s="147"/>
      <c r="D21" s="147"/>
      <c r="E21" s="147"/>
      <c r="F21" s="147"/>
      <c r="G21" s="147"/>
      <c r="H21" s="147"/>
      <c r="I21" s="147"/>
      <c r="J21" s="147"/>
      <c r="K21" s="147"/>
      <c r="L21" s="147"/>
      <c r="M21" s="147"/>
      <c r="N21" s="147"/>
      <c r="O21" s="147"/>
      <c r="P21" s="147"/>
      <c r="Q21" s="147"/>
      <c r="R21" s="551">
        <f t="shared" si="4"/>
        <v>0</v>
      </c>
      <c r="S21" s="147"/>
      <c r="T21" s="147"/>
      <c r="U21" s="143"/>
    </row>
    <row r="22" spans="1:21" s="144" customFormat="1">
      <c r="A22" s="145" t="s">
        <v>140</v>
      </c>
      <c r="B22" s="146">
        <f t="shared" si="3"/>
        <v>0</v>
      </c>
      <c r="C22" s="147"/>
      <c r="D22" s="147"/>
      <c r="E22" s="147"/>
      <c r="F22" s="147"/>
      <c r="G22" s="147"/>
      <c r="H22" s="147"/>
      <c r="I22" s="147"/>
      <c r="J22" s="147"/>
      <c r="K22" s="147"/>
      <c r="L22" s="147"/>
      <c r="M22" s="147"/>
      <c r="N22" s="147"/>
      <c r="O22" s="147"/>
      <c r="P22" s="147"/>
      <c r="Q22" s="147"/>
      <c r="R22" s="551">
        <f t="shared" si="4"/>
        <v>0</v>
      </c>
      <c r="S22" s="147"/>
      <c r="T22" s="147"/>
      <c r="U22" s="143"/>
    </row>
    <row r="23" spans="1:21" s="144" customFormat="1">
      <c r="A23" s="145" t="s">
        <v>141</v>
      </c>
      <c r="B23" s="146">
        <f t="shared" si="3"/>
        <v>0</v>
      </c>
      <c r="C23" s="147"/>
      <c r="D23" s="147"/>
      <c r="E23" s="147"/>
      <c r="F23" s="147"/>
      <c r="G23" s="147"/>
      <c r="H23" s="147"/>
      <c r="I23" s="147"/>
      <c r="J23" s="147"/>
      <c r="K23" s="147"/>
      <c r="L23" s="147"/>
      <c r="M23" s="147"/>
      <c r="N23" s="147"/>
      <c r="O23" s="147"/>
      <c r="P23" s="147"/>
      <c r="Q23" s="147"/>
      <c r="R23" s="551">
        <f t="shared" si="4"/>
        <v>0</v>
      </c>
      <c r="S23" s="147"/>
      <c r="T23" s="147"/>
      <c r="U23" s="143"/>
    </row>
    <row r="24" spans="1:21" s="144" customFormat="1">
      <c r="A24" s="543" t="s">
        <v>1819</v>
      </c>
      <c r="B24" s="146">
        <f t="shared" si="3"/>
        <v>0</v>
      </c>
      <c r="C24" s="147"/>
      <c r="D24" s="147"/>
      <c r="E24" s="147"/>
      <c r="F24" s="147"/>
      <c r="G24" s="147"/>
      <c r="H24" s="147"/>
      <c r="I24" s="147"/>
      <c r="J24" s="147"/>
      <c r="K24" s="147"/>
      <c r="L24" s="147"/>
      <c r="M24" s="147"/>
      <c r="N24" s="147"/>
      <c r="O24" s="147"/>
      <c r="P24" s="147"/>
      <c r="Q24" s="147"/>
      <c r="R24" s="551">
        <f t="shared" si="4"/>
        <v>0</v>
      </c>
      <c r="S24" s="147"/>
      <c r="T24" s="147"/>
      <c r="U24" s="143"/>
    </row>
    <row r="25" spans="1:21" s="144" customFormat="1">
      <c r="A25" s="1202" t="s">
        <v>34</v>
      </c>
      <c r="B25" s="146">
        <f t="shared" si="3"/>
        <v>0</v>
      </c>
      <c r="C25" s="147"/>
      <c r="D25" s="147"/>
      <c r="E25" s="147"/>
      <c r="F25" s="147"/>
      <c r="G25" s="147"/>
      <c r="H25" s="147"/>
      <c r="I25" s="147"/>
      <c r="J25" s="147"/>
      <c r="K25" s="147"/>
      <c r="L25" s="147"/>
      <c r="M25" s="147"/>
      <c r="N25" s="147"/>
      <c r="O25" s="147"/>
      <c r="P25" s="147"/>
      <c r="Q25" s="147"/>
      <c r="R25" s="551">
        <f t="shared" si="4"/>
        <v>0</v>
      </c>
      <c r="S25" s="147"/>
      <c r="T25" s="147"/>
      <c r="U25" s="143"/>
    </row>
    <row r="26" spans="1:21" s="144" customFormat="1">
      <c r="A26" s="149" t="s">
        <v>134</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1">
        <f>SUM(R17:R25)</f>
        <v>0</v>
      </c>
      <c r="S26" s="150">
        <f>SUM(S17:S25)</f>
        <v>0</v>
      </c>
      <c r="T26" s="150">
        <f>SUM(T17:T25)</f>
        <v>0</v>
      </c>
      <c r="U26" s="143"/>
    </row>
    <row r="27" spans="1:21" s="144" customFormat="1">
      <c r="A27" s="149" t="s">
        <v>142</v>
      </c>
      <c r="B27" s="146">
        <f>SUM(C27:D27)</f>
        <v>0</v>
      </c>
      <c r="C27" s="147"/>
      <c r="D27" s="147"/>
      <c r="E27" s="147"/>
      <c r="F27" s="147"/>
      <c r="G27" s="147"/>
      <c r="H27" s="147"/>
      <c r="I27" s="147"/>
      <c r="J27" s="147"/>
      <c r="K27" s="147"/>
      <c r="L27" s="147"/>
      <c r="M27" s="147"/>
      <c r="N27" s="147"/>
      <c r="O27" s="147"/>
      <c r="P27" s="147"/>
      <c r="Q27" s="147"/>
      <c r="R27" s="551">
        <f t="shared" si="4"/>
        <v>0</v>
      </c>
      <c r="S27" s="147"/>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0</v>
      </c>
      <c r="C29" s="147"/>
      <c r="D29" s="147"/>
      <c r="E29" s="147"/>
      <c r="F29" s="147"/>
      <c r="G29" s="147"/>
      <c r="H29" s="147"/>
      <c r="I29" s="147"/>
      <c r="J29" s="147"/>
      <c r="K29" s="147"/>
      <c r="L29" s="147"/>
      <c r="M29" s="147"/>
      <c r="N29" s="147"/>
      <c r="O29" s="147"/>
      <c r="P29" s="147"/>
      <c r="Q29" s="147"/>
      <c r="R29" s="551">
        <f t="shared" ref="R29:R37" si="7">SUM(E29:Q29)</f>
        <v>0</v>
      </c>
      <c r="S29" s="147"/>
      <c r="T29" s="147"/>
      <c r="U29" s="143"/>
    </row>
    <row r="30" spans="1:21" s="144" customFormat="1">
      <c r="A30" s="145" t="s">
        <v>608</v>
      </c>
      <c r="B30" s="146">
        <f t="shared" si="6"/>
        <v>133915463</v>
      </c>
      <c r="C30" s="147">
        <f>124282199+2568055+7065209</f>
        <v>133915463</v>
      </c>
      <c r="D30" s="147"/>
      <c r="E30" s="147">
        <f>C30-SUM(F30:H30)</f>
        <v>38106924</v>
      </c>
      <c r="F30" s="147">
        <f>Application!AO623</f>
        <v>1840000</v>
      </c>
      <c r="G30" s="147">
        <f>Application!AO624</f>
        <v>65968539</v>
      </c>
      <c r="H30" s="147">
        <f>Application!AO625</f>
        <v>28000000</v>
      </c>
      <c r="I30" s="147"/>
      <c r="J30" s="147"/>
      <c r="K30" s="147"/>
      <c r="L30" s="147"/>
      <c r="M30" s="147"/>
      <c r="N30" s="147"/>
      <c r="O30" s="147"/>
      <c r="P30" s="147"/>
      <c r="Q30" s="147"/>
      <c r="R30" s="551">
        <f t="shared" si="7"/>
        <v>133915463</v>
      </c>
      <c r="S30" s="147">
        <f>R30</f>
        <v>133915463</v>
      </c>
      <c r="T30" s="147"/>
      <c r="U30" s="143"/>
    </row>
    <row r="31" spans="1:21" s="144" customFormat="1">
      <c r="A31" s="145" t="s">
        <v>609</v>
      </c>
      <c r="B31" s="146">
        <f t="shared" si="6"/>
        <v>5227916</v>
      </c>
      <c r="C31" s="147">
        <v>5227916</v>
      </c>
      <c r="D31" s="147"/>
      <c r="E31" s="147">
        <f>C31</f>
        <v>5227916</v>
      </c>
      <c r="F31" s="147"/>
      <c r="G31" s="147"/>
      <c r="H31" s="147"/>
      <c r="I31" s="147"/>
      <c r="J31" s="147"/>
      <c r="K31" s="147"/>
      <c r="L31" s="147"/>
      <c r="M31" s="147"/>
      <c r="N31" s="147"/>
      <c r="O31" s="147"/>
      <c r="P31" s="147"/>
      <c r="Q31" s="147"/>
      <c r="R31" s="551">
        <f t="shared" si="7"/>
        <v>5227916</v>
      </c>
      <c r="S31" s="147">
        <f t="shared" ref="S31:S32" si="8">R31</f>
        <v>5227916</v>
      </c>
      <c r="T31" s="147"/>
      <c r="U31" s="143"/>
    </row>
    <row r="32" spans="1:21" s="144" customFormat="1">
      <c r="A32" s="145" t="s">
        <v>138</v>
      </c>
      <c r="B32" s="146">
        <f t="shared" si="6"/>
        <v>3406372</v>
      </c>
      <c r="C32" s="147">
        <v>3406372</v>
      </c>
      <c r="D32" s="147"/>
      <c r="E32" s="147">
        <f>C32</f>
        <v>3406372</v>
      </c>
      <c r="F32" s="147"/>
      <c r="G32" s="147"/>
      <c r="H32" s="147"/>
      <c r="I32" s="147"/>
      <c r="J32" s="147"/>
      <c r="K32" s="147"/>
      <c r="L32" s="147"/>
      <c r="M32" s="147"/>
      <c r="N32" s="147"/>
      <c r="O32" s="147"/>
      <c r="P32" s="147"/>
      <c r="Q32" s="147"/>
      <c r="R32" s="551">
        <f t="shared" si="7"/>
        <v>3406372</v>
      </c>
      <c r="S32" s="147">
        <f t="shared" si="8"/>
        <v>3406372</v>
      </c>
      <c r="T32" s="147"/>
      <c r="U32" s="143"/>
    </row>
    <row r="33" spans="1:21" s="144" customFormat="1">
      <c r="A33" s="145" t="s">
        <v>139</v>
      </c>
      <c r="B33" s="146">
        <f t="shared" si="6"/>
        <v>0</v>
      </c>
      <c r="C33" s="147"/>
      <c r="D33" s="147"/>
      <c r="E33" s="147"/>
      <c r="F33" s="147"/>
      <c r="G33" s="147"/>
      <c r="H33" s="147"/>
      <c r="I33" s="147"/>
      <c r="J33" s="147"/>
      <c r="K33" s="147"/>
      <c r="L33" s="147"/>
      <c r="M33" s="147"/>
      <c r="N33" s="147"/>
      <c r="O33" s="147"/>
      <c r="P33" s="147"/>
      <c r="Q33" s="147"/>
      <c r="R33" s="551">
        <f t="shared" si="7"/>
        <v>0</v>
      </c>
      <c r="S33" s="147"/>
      <c r="T33" s="147"/>
      <c r="U33" s="143"/>
    </row>
    <row r="34" spans="1:21" s="144" customFormat="1">
      <c r="A34" s="145" t="s">
        <v>140</v>
      </c>
      <c r="B34" s="146">
        <f t="shared" si="6"/>
        <v>0</v>
      </c>
      <c r="C34" s="147"/>
      <c r="D34" s="147"/>
      <c r="E34" s="147"/>
      <c r="F34" s="147"/>
      <c r="G34" s="147"/>
      <c r="H34" s="147"/>
      <c r="I34" s="147"/>
      <c r="J34" s="147"/>
      <c r="K34" s="147"/>
      <c r="L34" s="147"/>
      <c r="M34" s="147"/>
      <c r="N34" s="147"/>
      <c r="O34" s="147"/>
      <c r="P34" s="147"/>
      <c r="Q34" s="147"/>
      <c r="R34" s="551">
        <f t="shared" si="7"/>
        <v>0</v>
      </c>
      <c r="S34" s="147"/>
      <c r="T34" s="147"/>
      <c r="U34" s="143"/>
    </row>
    <row r="35" spans="1:21" s="144" customFormat="1">
      <c r="A35" s="145" t="s">
        <v>141</v>
      </c>
      <c r="B35" s="146">
        <f t="shared" si="6"/>
        <v>4655557</v>
      </c>
      <c r="C35" s="147">
        <f>3691894+963663</f>
        <v>4655557</v>
      </c>
      <c r="D35" s="147"/>
      <c r="E35" s="147">
        <f>C35</f>
        <v>4655557</v>
      </c>
      <c r="F35" s="147"/>
      <c r="G35" s="147"/>
      <c r="H35" s="147"/>
      <c r="I35" s="147"/>
      <c r="J35" s="147"/>
      <c r="K35" s="147"/>
      <c r="L35" s="147"/>
      <c r="M35" s="147"/>
      <c r="N35" s="147"/>
      <c r="O35" s="147"/>
      <c r="P35" s="147"/>
      <c r="Q35" s="147"/>
      <c r="R35" s="551">
        <f t="shared" si="7"/>
        <v>4655557</v>
      </c>
      <c r="S35" s="147">
        <f>R35</f>
        <v>4655557</v>
      </c>
      <c r="T35" s="147"/>
      <c r="U35" s="143"/>
    </row>
    <row r="36" spans="1:21" s="144" customFormat="1">
      <c r="A36" s="304" t="s">
        <v>1819</v>
      </c>
      <c r="B36" s="146">
        <f t="shared" si="6"/>
        <v>206431</v>
      </c>
      <c r="C36" s="147">
        <v>206431</v>
      </c>
      <c r="D36" s="147"/>
      <c r="E36" s="147">
        <f>C36</f>
        <v>206431</v>
      </c>
      <c r="F36" s="147"/>
      <c r="G36" s="147"/>
      <c r="H36" s="147"/>
      <c r="I36" s="147"/>
      <c r="J36" s="147"/>
      <c r="K36" s="147"/>
      <c r="L36" s="147"/>
      <c r="M36" s="147"/>
      <c r="N36" s="147"/>
      <c r="O36" s="147"/>
      <c r="P36" s="147"/>
      <c r="Q36" s="147"/>
      <c r="R36" s="551">
        <f t="shared" si="7"/>
        <v>206431</v>
      </c>
      <c r="S36" s="147">
        <f>R36</f>
        <v>206431</v>
      </c>
      <c r="T36" s="147"/>
      <c r="U36" s="143"/>
    </row>
    <row r="37" spans="1:21" s="144" customFormat="1">
      <c r="A37" s="1202" t="s">
        <v>2725</v>
      </c>
      <c r="B37" s="146">
        <f t="shared" si="6"/>
        <v>1164068</v>
      </c>
      <c r="C37" s="147">
        <f>535593+628475</f>
        <v>1164068</v>
      </c>
      <c r="D37" s="147"/>
      <c r="E37" s="147">
        <f>C37</f>
        <v>1164068</v>
      </c>
      <c r="F37" s="147"/>
      <c r="G37" s="147"/>
      <c r="H37" s="147"/>
      <c r="I37" s="147"/>
      <c r="J37" s="147"/>
      <c r="K37" s="147"/>
      <c r="L37" s="147"/>
      <c r="M37" s="147"/>
      <c r="N37" s="147"/>
      <c r="O37" s="147"/>
      <c r="P37" s="147"/>
      <c r="Q37" s="147"/>
      <c r="R37" s="551">
        <f t="shared" si="7"/>
        <v>1164068</v>
      </c>
      <c r="S37" s="147">
        <f>R37</f>
        <v>1164068</v>
      </c>
      <c r="T37" s="147"/>
      <c r="U37" s="143"/>
    </row>
    <row r="38" spans="1:21" s="144" customFormat="1">
      <c r="A38" s="149" t="s">
        <v>144</v>
      </c>
      <c r="B38" s="146">
        <f t="shared" si="6"/>
        <v>148575807</v>
      </c>
      <c r="C38" s="146">
        <f>SUM(C29:C37)</f>
        <v>148575807</v>
      </c>
      <c r="D38" s="146">
        <f t="shared" ref="D38:Q38" si="9">SUM(D29:D37)</f>
        <v>0</v>
      </c>
      <c r="E38" s="146">
        <f t="shared" si="9"/>
        <v>52767268</v>
      </c>
      <c r="F38" s="146">
        <f t="shared" si="9"/>
        <v>1840000</v>
      </c>
      <c r="G38" s="146">
        <f t="shared" si="9"/>
        <v>65968539</v>
      </c>
      <c r="H38" s="146">
        <f t="shared" si="9"/>
        <v>28000000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71">
        <f>SUM(R29:R37)</f>
        <v>148575807</v>
      </c>
      <c r="S38" s="150">
        <f>SUM(S29:S37)</f>
        <v>148575807</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3769108</v>
      </c>
      <c r="C40" s="147">
        <v>3769108</v>
      </c>
      <c r="D40" s="147"/>
      <c r="E40" s="147">
        <f>C40</f>
        <v>3769108</v>
      </c>
      <c r="F40" s="147"/>
      <c r="G40" s="147"/>
      <c r="H40" s="147"/>
      <c r="I40" s="147"/>
      <c r="J40" s="147"/>
      <c r="K40" s="147"/>
      <c r="L40" s="147"/>
      <c r="M40" s="147"/>
      <c r="N40" s="147"/>
      <c r="O40" s="147"/>
      <c r="P40" s="147"/>
      <c r="Q40" s="147"/>
      <c r="R40" s="551">
        <f>SUM(E40:Q40)</f>
        <v>3769108</v>
      </c>
      <c r="S40" s="147">
        <f>R40</f>
        <v>3769108</v>
      </c>
      <c r="T40" s="147"/>
      <c r="U40" s="143"/>
    </row>
    <row r="41" spans="1:21" s="144" customFormat="1">
      <c r="A41" s="145" t="s">
        <v>147</v>
      </c>
      <c r="B41" s="146">
        <f>SUM(C41+D41)</f>
        <v>0</v>
      </c>
      <c r="C41" s="147"/>
      <c r="D41" s="147"/>
      <c r="E41" s="147"/>
      <c r="F41" s="147"/>
      <c r="G41" s="147"/>
      <c r="H41" s="147"/>
      <c r="I41" s="147"/>
      <c r="J41" s="147"/>
      <c r="K41" s="147"/>
      <c r="L41" s="147"/>
      <c r="M41" s="147"/>
      <c r="N41" s="147"/>
      <c r="O41" s="147"/>
      <c r="P41" s="147"/>
      <c r="Q41" s="147"/>
      <c r="R41" s="551">
        <f>SUM(E41:Q41)</f>
        <v>0</v>
      </c>
      <c r="S41" s="147"/>
      <c r="T41" s="147"/>
      <c r="U41" s="143"/>
    </row>
    <row r="42" spans="1:21" s="144" customFormat="1">
      <c r="A42" s="149" t="s">
        <v>148</v>
      </c>
      <c r="B42" s="146">
        <f>SUM(C42:D42)</f>
        <v>3769108</v>
      </c>
      <c r="C42" s="146">
        <f>SUM(C39:C41)</f>
        <v>3769108</v>
      </c>
      <c r="D42" s="146">
        <f>SUM(D39:D41)</f>
        <v>0</v>
      </c>
      <c r="E42" s="146">
        <f t="shared" ref="E42:T42" si="10">SUM(E40:E41)</f>
        <v>3769108</v>
      </c>
      <c r="F42" s="146">
        <f t="shared" si="10"/>
        <v>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71">
        <f>SUM(R40:R41)</f>
        <v>3769108</v>
      </c>
      <c r="S42" s="150">
        <f t="shared" si="10"/>
        <v>3769108</v>
      </c>
      <c r="T42" s="150">
        <f t="shared" si="10"/>
        <v>0</v>
      </c>
      <c r="U42" s="143"/>
    </row>
    <row r="43" spans="1:21" s="144" customFormat="1">
      <c r="A43" s="149" t="s">
        <v>149</v>
      </c>
      <c r="B43" s="146">
        <f>SUM(C43:D43)</f>
        <v>1159725</v>
      </c>
      <c r="C43" s="147">
        <v>1159725</v>
      </c>
      <c r="D43" s="147"/>
      <c r="E43" s="147">
        <f>C43</f>
        <v>1159725</v>
      </c>
      <c r="F43" s="147"/>
      <c r="G43" s="147"/>
      <c r="H43" s="147"/>
      <c r="I43" s="147"/>
      <c r="J43" s="147"/>
      <c r="K43" s="147"/>
      <c r="L43" s="147"/>
      <c r="M43" s="147"/>
      <c r="N43" s="147"/>
      <c r="O43" s="147"/>
      <c r="P43" s="147"/>
      <c r="Q43" s="147"/>
      <c r="R43" s="551">
        <f>SUM(E43:Q43)</f>
        <v>1159725</v>
      </c>
      <c r="S43" s="147">
        <f>R43</f>
        <v>1159725</v>
      </c>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1">SUM(C45+D45)</f>
        <v>11065258</v>
      </c>
      <c r="C45" s="147">
        <f>11065261-3</f>
        <v>11065258</v>
      </c>
      <c r="D45" s="147"/>
      <c r="E45" s="147">
        <f>C45</f>
        <v>11065258</v>
      </c>
      <c r="F45" s="147"/>
      <c r="G45" s="147"/>
      <c r="H45" s="147"/>
      <c r="I45" s="147"/>
      <c r="J45" s="147"/>
      <c r="K45" s="147"/>
      <c r="L45" s="147"/>
      <c r="M45" s="147"/>
      <c r="N45" s="147"/>
      <c r="O45" s="147"/>
      <c r="P45" s="147"/>
      <c r="Q45" s="147"/>
      <c r="R45" s="551">
        <f t="shared" ref="R45:R53" si="12">SUM(E45:Q45)</f>
        <v>11065258</v>
      </c>
      <c r="S45" s="147">
        <f>5142571</f>
        <v>5142571</v>
      </c>
      <c r="T45" s="147"/>
      <c r="U45" s="143"/>
    </row>
    <row r="46" spans="1:21" s="144" customFormat="1">
      <c r="A46" s="145" t="s">
        <v>152</v>
      </c>
      <c r="B46" s="146">
        <f t="shared" si="11"/>
        <v>828959</v>
      </c>
      <c r="C46" s="147">
        <f>1058140-229181</f>
        <v>828959</v>
      </c>
      <c r="D46" s="147"/>
      <c r="E46" s="147">
        <f>C46</f>
        <v>828959</v>
      </c>
      <c r="F46" s="147"/>
      <c r="G46" s="147"/>
      <c r="H46" s="147"/>
      <c r="I46" s="147"/>
      <c r="J46" s="147"/>
      <c r="K46" s="147"/>
      <c r="L46" s="147"/>
      <c r="M46" s="147"/>
      <c r="N46" s="147"/>
      <c r="O46" s="147"/>
      <c r="P46" s="147"/>
      <c r="Q46" s="147"/>
      <c r="R46" s="551">
        <f t="shared" si="12"/>
        <v>828959</v>
      </c>
      <c r="S46" s="147">
        <v>385845</v>
      </c>
      <c r="T46" s="147"/>
      <c r="U46" s="143"/>
    </row>
    <row r="47" spans="1:21" s="144" customFormat="1">
      <c r="A47" s="198" t="s">
        <v>153</v>
      </c>
      <c r="B47" s="146">
        <f t="shared" si="11"/>
        <v>0</v>
      </c>
      <c r="C47" s="147"/>
      <c r="D47" s="147"/>
      <c r="E47" s="147"/>
      <c r="F47" s="147"/>
      <c r="G47" s="147"/>
      <c r="H47" s="147"/>
      <c r="I47" s="147"/>
      <c r="J47" s="147"/>
      <c r="K47" s="147"/>
      <c r="L47" s="147"/>
      <c r="M47" s="147"/>
      <c r="N47" s="147"/>
      <c r="O47" s="147"/>
      <c r="P47" s="147"/>
      <c r="Q47" s="147"/>
      <c r="R47" s="551">
        <f t="shared" si="12"/>
        <v>0</v>
      </c>
      <c r="S47" s="147"/>
      <c r="T47" s="147"/>
      <c r="U47" s="143"/>
    </row>
    <row r="48" spans="1:21" s="144" customFormat="1">
      <c r="A48" s="145" t="s">
        <v>154</v>
      </c>
      <c r="B48" s="146">
        <f t="shared" si="11"/>
        <v>0</v>
      </c>
      <c r="C48" s="147"/>
      <c r="D48" s="147"/>
      <c r="E48" s="147"/>
      <c r="F48" s="147"/>
      <c r="G48" s="147"/>
      <c r="H48" s="147"/>
      <c r="I48" s="147"/>
      <c r="J48" s="147"/>
      <c r="K48" s="147"/>
      <c r="L48" s="147"/>
      <c r="M48" s="147"/>
      <c r="N48" s="147"/>
      <c r="O48" s="147"/>
      <c r="P48" s="147"/>
      <c r="Q48" s="147"/>
      <c r="R48" s="551">
        <f t="shared" si="12"/>
        <v>0</v>
      </c>
      <c r="S48" s="147"/>
      <c r="T48" s="147"/>
      <c r="U48" s="143"/>
    </row>
    <row r="49" spans="1:21" s="144" customFormat="1">
      <c r="A49" s="145" t="s">
        <v>57</v>
      </c>
      <c r="B49" s="146">
        <f t="shared" si="11"/>
        <v>811140</v>
      </c>
      <c r="C49" s="147">
        <f>811140</f>
        <v>811140</v>
      </c>
      <c r="D49" s="147"/>
      <c r="E49" s="147">
        <f>C49</f>
        <v>811140</v>
      </c>
      <c r="F49" s="147"/>
      <c r="G49" s="147"/>
      <c r="H49" s="147"/>
      <c r="I49" s="147"/>
      <c r="J49" s="147"/>
      <c r="K49" s="147"/>
      <c r="L49" s="147"/>
      <c r="M49" s="147"/>
      <c r="N49" s="147"/>
      <c r="O49" s="147"/>
      <c r="P49" s="147"/>
      <c r="Q49" s="147"/>
      <c r="R49" s="551">
        <f t="shared" si="12"/>
        <v>811140</v>
      </c>
      <c r="S49" s="147"/>
      <c r="T49" s="147"/>
      <c r="U49" s="143"/>
    </row>
    <row r="50" spans="1:21" s="144" customFormat="1">
      <c r="A50" s="145" t="s">
        <v>157</v>
      </c>
      <c r="B50" s="146">
        <f t="shared" si="11"/>
        <v>96644</v>
      </c>
      <c r="C50" s="147">
        <v>96644</v>
      </c>
      <c r="D50" s="147"/>
      <c r="E50" s="147">
        <f>C50</f>
        <v>96644</v>
      </c>
      <c r="F50" s="147"/>
      <c r="G50" s="147"/>
      <c r="H50" s="147"/>
      <c r="I50" s="147"/>
      <c r="J50" s="147"/>
      <c r="K50" s="147"/>
      <c r="L50" s="147"/>
      <c r="M50" s="147"/>
      <c r="N50" s="147"/>
      <c r="O50" s="147"/>
      <c r="P50" s="147"/>
      <c r="Q50" s="147"/>
      <c r="R50" s="551">
        <f t="shared" si="12"/>
        <v>96644</v>
      </c>
      <c r="S50" s="147">
        <f>R50</f>
        <v>96644</v>
      </c>
      <c r="T50" s="147"/>
      <c r="U50" s="143"/>
    </row>
    <row r="51" spans="1:21" s="144" customFormat="1">
      <c r="A51" s="304" t="s">
        <v>155</v>
      </c>
      <c r="B51" s="146">
        <f t="shared" si="11"/>
        <v>0</v>
      </c>
      <c r="C51" s="147"/>
      <c r="D51" s="147"/>
      <c r="E51" s="147"/>
      <c r="F51" s="147"/>
      <c r="G51" s="147"/>
      <c r="H51" s="147"/>
      <c r="I51" s="147"/>
      <c r="J51" s="147"/>
      <c r="K51" s="147"/>
      <c r="L51" s="147"/>
      <c r="M51" s="147"/>
      <c r="N51" s="147"/>
      <c r="O51" s="147"/>
      <c r="P51" s="147"/>
      <c r="Q51" s="147"/>
      <c r="R51" s="551">
        <f t="shared" si="12"/>
        <v>0</v>
      </c>
      <c r="S51" s="147"/>
      <c r="T51" s="147"/>
      <c r="U51" s="143"/>
    </row>
    <row r="52" spans="1:21" s="144" customFormat="1">
      <c r="A52" s="145" t="s">
        <v>156</v>
      </c>
      <c r="B52" s="146">
        <f t="shared" si="11"/>
        <v>1932876</v>
      </c>
      <c r="C52" s="147">
        <v>1932876</v>
      </c>
      <c r="D52" s="147"/>
      <c r="E52" s="147">
        <f>C52</f>
        <v>1932876</v>
      </c>
      <c r="F52" s="147"/>
      <c r="G52" s="147"/>
      <c r="H52" s="147"/>
      <c r="I52" s="147"/>
      <c r="J52" s="147"/>
      <c r="K52" s="147"/>
      <c r="L52" s="147"/>
      <c r="M52" s="147"/>
      <c r="N52" s="147"/>
      <c r="O52" s="147"/>
      <c r="P52" s="147"/>
      <c r="Q52" s="147"/>
      <c r="R52" s="551">
        <f t="shared" si="12"/>
        <v>1932876</v>
      </c>
      <c r="S52" s="147">
        <f>R52</f>
        <v>1932876</v>
      </c>
      <c r="T52" s="147"/>
      <c r="U52" s="143"/>
    </row>
    <row r="53" spans="1:21" s="144" customFormat="1">
      <c r="A53" s="1202" t="s">
        <v>34</v>
      </c>
      <c r="B53" s="146">
        <f t="shared" si="11"/>
        <v>0</v>
      </c>
      <c r="C53" s="147"/>
      <c r="D53" s="147"/>
      <c r="E53" s="147"/>
      <c r="F53" s="147"/>
      <c r="G53" s="147"/>
      <c r="H53" s="147"/>
      <c r="I53" s="147"/>
      <c r="J53" s="147"/>
      <c r="K53" s="147"/>
      <c r="L53" s="147"/>
      <c r="M53" s="147"/>
      <c r="N53" s="147"/>
      <c r="O53" s="147"/>
      <c r="P53" s="147"/>
      <c r="Q53" s="147"/>
      <c r="R53" s="551">
        <f t="shared" si="12"/>
        <v>0</v>
      </c>
      <c r="S53" s="147"/>
      <c r="T53" s="147"/>
      <c r="U53" s="143"/>
    </row>
    <row r="54" spans="1:21" s="153" customFormat="1">
      <c r="A54" s="149" t="s">
        <v>158</v>
      </c>
      <c r="B54" s="150">
        <f>SUM(C54:D54)</f>
        <v>14734877</v>
      </c>
      <c r="C54" s="150">
        <f t="shared" ref="C54:T54" si="13">SUM(C45:C53)</f>
        <v>14734877</v>
      </c>
      <c r="D54" s="150">
        <f t="shared" si="13"/>
        <v>0</v>
      </c>
      <c r="E54" s="150">
        <f t="shared" si="13"/>
        <v>14734877</v>
      </c>
      <c r="F54" s="150">
        <f t="shared" si="13"/>
        <v>0</v>
      </c>
      <c r="G54" s="150">
        <f t="shared" si="13"/>
        <v>0</v>
      </c>
      <c r="H54" s="150">
        <f t="shared" si="13"/>
        <v>0</v>
      </c>
      <c r="I54" s="150">
        <f t="shared" si="13"/>
        <v>0</v>
      </c>
      <c r="J54" s="150">
        <f t="shared" si="13"/>
        <v>0</v>
      </c>
      <c r="K54" s="150">
        <f t="shared" si="13"/>
        <v>0</v>
      </c>
      <c r="L54" s="150">
        <f t="shared" si="13"/>
        <v>0</v>
      </c>
      <c r="M54" s="150">
        <f t="shared" si="13"/>
        <v>0</v>
      </c>
      <c r="N54" s="150">
        <f t="shared" si="13"/>
        <v>0</v>
      </c>
      <c r="O54" s="150">
        <f t="shared" si="13"/>
        <v>0</v>
      </c>
      <c r="P54" s="150">
        <f t="shared" si="13"/>
        <v>0</v>
      </c>
      <c r="Q54" s="150">
        <f t="shared" si="13"/>
        <v>0</v>
      </c>
      <c r="R54" s="371">
        <f t="shared" si="13"/>
        <v>14734877</v>
      </c>
      <c r="S54" s="150">
        <f t="shared" si="13"/>
        <v>7557936</v>
      </c>
      <c r="T54" s="150">
        <f t="shared" si="13"/>
        <v>0</v>
      </c>
      <c r="U54" s="152"/>
    </row>
    <row r="55" spans="1:21" s="144" customFormat="1">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4">SUM(C56+D56)</f>
        <v>27447</v>
      </c>
      <c r="C56" s="147">
        <v>27447</v>
      </c>
      <c r="D56" s="147"/>
      <c r="E56" s="147">
        <f>C56</f>
        <v>27447</v>
      </c>
      <c r="F56" s="147"/>
      <c r="G56" s="147"/>
      <c r="H56" s="147"/>
      <c r="I56" s="147"/>
      <c r="J56" s="147"/>
      <c r="K56" s="147"/>
      <c r="L56" s="147"/>
      <c r="M56" s="147"/>
      <c r="N56" s="147"/>
      <c r="O56" s="147"/>
      <c r="P56" s="147"/>
      <c r="Q56" s="147"/>
      <c r="R56" s="551">
        <f t="shared" ref="R56:R61" si="15">SUM(E56:Q56)</f>
        <v>27447</v>
      </c>
      <c r="S56" s="148"/>
      <c r="T56" s="148"/>
      <c r="U56" s="143"/>
    </row>
    <row r="57" spans="1:21" s="204" customFormat="1">
      <c r="A57" s="198" t="s">
        <v>153</v>
      </c>
      <c r="B57" s="205">
        <f t="shared" si="14"/>
        <v>0</v>
      </c>
      <c r="C57" s="202"/>
      <c r="D57" s="202"/>
      <c r="E57" s="202"/>
      <c r="F57" s="202"/>
      <c r="G57" s="202"/>
      <c r="H57" s="202"/>
      <c r="I57" s="202"/>
      <c r="J57" s="202"/>
      <c r="K57" s="202"/>
      <c r="L57" s="202"/>
      <c r="M57" s="202"/>
      <c r="N57" s="202"/>
      <c r="O57" s="202"/>
      <c r="P57" s="202"/>
      <c r="Q57" s="202"/>
      <c r="R57" s="551">
        <f t="shared" si="15"/>
        <v>0</v>
      </c>
      <c r="S57" s="206"/>
      <c r="T57" s="206"/>
      <c r="U57" s="203"/>
    </row>
    <row r="58" spans="1:21" s="144" customFormat="1">
      <c r="A58" s="145" t="s">
        <v>157</v>
      </c>
      <c r="B58" s="146">
        <f t="shared" si="14"/>
        <v>19329</v>
      </c>
      <c r="C58" s="147">
        <v>19329</v>
      </c>
      <c r="D58" s="147"/>
      <c r="E58" s="147">
        <f>C58</f>
        <v>19329</v>
      </c>
      <c r="F58" s="147"/>
      <c r="G58" s="147"/>
      <c r="H58" s="147"/>
      <c r="I58" s="147"/>
      <c r="J58" s="147"/>
      <c r="K58" s="147"/>
      <c r="L58" s="147"/>
      <c r="M58" s="147"/>
      <c r="N58" s="147"/>
      <c r="O58" s="147"/>
      <c r="P58" s="147"/>
      <c r="Q58" s="147"/>
      <c r="R58" s="551">
        <f t="shared" si="15"/>
        <v>19329</v>
      </c>
      <c r="S58" s="148"/>
      <c r="T58" s="148"/>
      <c r="U58" s="143"/>
    </row>
    <row r="59" spans="1:21" s="144" customFormat="1">
      <c r="A59" s="304" t="s">
        <v>155</v>
      </c>
      <c r="B59" s="146">
        <f t="shared" si="14"/>
        <v>0</v>
      </c>
      <c r="C59" s="147"/>
      <c r="D59" s="147"/>
      <c r="E59" s="147"/>
      <c r="F59" s="147"/>
      <c r="G59" s="147"/>
      <c r="H59" s="147"/>
      <c r="I59" s="147"/>
      <c r="J59" s="147"/>
      <c r="K59" s="147"/>
      <c r="L59" s="147"/>
      <c r="M59" s="147"/>
      <c r="N59" s="147"/>
      <c r="O59" s="147"/>
      <c r="P59" s="147"/>
      <c r="Q59" s="147"/>
      <c r="R59" s="551">
        <f t="shared" si="15"/>
        <v>0</v>
      </c>
      <c r="S59" s="148"/>
      <c r="T59" s="148"/>
      <c r="U59" s="143"/>
    </row>
    <row r="60" spans="1:21" s="144" customFormat="1">
      <c r="A60" s="145" t="s">
        <v>156</v>
      </c>
      <c r="B60" s="146">
        <f t="shared" si="14"/>
        <v>0</v>
      </c>
      <c r="C60" s="147"/>
      <c r="D60" s="147"/>
      <c r="E60" s="147"/>
      <c r="F60" s="147"/>
      <c r="G60" s="147"/>
      <c r="H60" s="147"/>
      <c r="I60" s="147"/>
      <c r="J60" s="147"/>
      <c r="K60" s="147"/>
      <c r="L60" s="147"/>
      <c r="M60" s="147"/>
      <c r="N60" s="147"/>
      <c r="O60" s="147"/>
      <c r="P60" s="147"/>
      <c r="Q60" s="147"/>
      <c r="R60" s="551">
        <f t="shared" si="15"/>
        <v>0</v>
      </c>
      <c r="S60" s="148"/>
      <c r="T60" s="148"/>
      <c r="U60" s="143"/>
    </row>
    <row r="61" spans="1:21" s="144" customFormat="1">
      <c r="A61" s="1202" t="s">
        <v>2734</v>
      </c>
      <c r="B61" s="146">
        <f t="shared" si="14"/>
        <v>14497</v>
      </c>
      <c r="C61" s="147">
        <v>14497</v>
      </c>
      <c r="D61" s="147"/>
      <c r="E61" s="147">
        <f>C61</f>
        <v>14497</v>
      </c>
      <c r="F61" s="147"/>
      <c r="G61" s="147"/>
      <c r="H61" s="147"/>
      <c r="I61" s="147"/>
      <c r="J61" s="147"/>
      <c r="K61" s="147"/>
      <c r="L61" s="147"/>
      <c r="M61" s="147"/>
      <c r="N61" s="147"/>
      <c r="O61" s="147"/>
      <c r="P61" s="147"/>
      <c r="Q61" s="147"/>
      <c r="R61" s="551">
        <f t="shared" si="15"/>
        <v>14497</v>
      </c>
      <c r="S61" s="148"/>
      <c r="T61" s="148"/>
      <c r="U61" s="143"/>
    </row>
    <row r="62" spans="1:21" s="144" customFormat="1" ht="13.7" customHeight="1">
      <c r="A62" s="149" t="s">
        <v>303</v>
      </c>
      <c r="B62" s="146">
        <f>SUM(C62:D62)</f>
        <v>61273</v>
      </c>
      <c r="C62" s="146">
        <f t="shared" ref="C62:R62" si="16">SUM(C56:C61)</f>
        <v>61273</v>
      </c>
      <c r="D62" s="146">
        <f t="shared" si="16"/>
        <v>0</v>
      </c>
      <c r="E62" s="146">
        <f t="shared" si="16"/>
        <v>61273</v>
      </c>
      <c r="F62" s="146">
        <f t="shared" si="16"/>
        <v>0</v>
      </c>
      <c r="G62" s="146">
        <f t="shared" si="16"/>
        <v>0</v>
      </c>
      <c r="H62" s="146">
        <f t="shared" si="16"/>
        <v>0</v>
      </c>
      <c r="I62" s="146">
        <f t="shared" si="16"/>
        <v>0</v>
      </c>
      <c r="J62" s="146">
        <f t="shared" si="16"/>
        <v>0</v>
      </c>
      <c r="K62" s="146">
        <f t="shared" si="16"/>
        <v>0</v>
      </c>
      <c r="L62" s="146">
        <f t="shared" si="16"/>
        <v>0</v>
      </c>
      <c r="M62" s="146">
        <f t="shared" si="16"/>
        <v>0</v>
      </c>
      <c r="N62" s="146">
        <f t="shared" si="16"/>
        <v>0</v>
      </c>
      <c r="O62" s="146">
        <f t="shared" si="16"/>
        <v>0</v>
      </c>
      <c r="P62" s="146">
        <f t="shared" si="16"/>
        <v>0</v>
      </c>
      <c r="Q62" s="146">
        <f t="shared" si="16"/>
        <v>0</v>
      </c>
      <c r="R62" s="371">
        <f t="shared" si="16"/>
        <v>61273</v>
      </c>
      <c r="S62" s="148"/>
      <c r="T62" s="148"/>
      <c r="U62" s="143"/>
    </row>
    <row r="63" spans="1:21" s="144" customFormat="1">
      <c r="A63" s="154" t="s">
        <v>304</v>
      </c>
      <c r="B63" s="146">
        <f t="shared" ref="B63:R63" si="17">SUM(B8+B11+B13+B14+B15+B26+B27+B38+B42+B43+B54+B62)</f>
        <v>168300790</v>
      </c>
      <c r="C63" s="146">
        <f t="shared" si="17"/>
        <v>168300790</v>
      </c>
      <c r="D63" s="146">
        <f t="shared" si="17"/>
        <v>0</v>
      </c>
      <c r="E63" s="146">
        <f t="shared" si="17"/>
        <v>72492251</v>
      </c>
      <c r="F63" s="146">
        <f t="shared" si="17"/>
        <v>1840000</v>
      </c>
      <c r="G63" s="146">
        <f t="shared" si="17"/>
        <v>65968539</v>
      </c>
      <c r="H63" s="146">
        <f t="shared" si="17"/>
        <v>28000000</v>
      </c>
      <c r="I63" s="146">
        <f t="shared" si="17"/>
        <v>0</v>
      </c>
      <c r="J63" s="146">
        <f t="shared" si="17"/>
        <v>0</v>
      </c>
      <c r="K63" s="146">
        <f t="shared" si="17"/>
        <v>0</v>
      </c>
      <c r="L63" s="146">
        <f t="shared" si="17"/>
        <v>0</v>
      </c>
      <c r="M63" s="146">
        <f t="shared" si="17"/>
        <v>0</v>
      </c>
      <c r="N63" s="146">
        <f t="shared" si="17"/>
        <v>0</v>
      </c>
      <c r="O63" s="146">
        <f t="shared" si="17"/>
        <v>0</v>
      </c>
      <c r="P63" s="146">
        <f t="shared" si="17"/>
        <v>0</v>
      </c>
      <c r="Q63" s="146">
        <f t="shared" si="17"/>
        <v>0</v>
      </c>
      <c r="R63" s="371">
        <f t="shared" si="17"/>
        <v>168300790</v>
      </c>
      <c r="S63" s="146">
        <f>SUM(S10+S13+S14+S15+S26+S27+S38+S42+S43+S54)</f>
        <v>161062576</v>
      </c>
      <c r="T63" s="146">
        <f>SUM(T11+T13+T14+T15+T26+T27+T38+T42+T43+T54)</f>
        <v>0</v>
      </c>
      <c r="U63" s="143"/>
    </row>
    <row r="64" spans="1:21" s="144" customFormat="1" ht="24">
      <c r="A64" s="141" t="s">
        <v>1823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72483</v>
      </c>
      <c r="C65" s="147">
        <f>72483</f>
        <v>72483</v>
      </c>
      <c r="D65" s="147"/>
      <c r="E65" s="147">
        <f>C65</f>
        <v>72483</v>
      </c>
      <c r="F65" s="147"/>
      <c r="G65" s="147"/>
      <c r="H65" s="147"/>
      <c r="I65" s="147"/>
      <c r="J65" s="147"/>
      <c r="K65" s="147"/>
      <c r="L65" s="147"/>
      <c r="M65" s="147"/>
      <c r="N65" s="147"/>
      <c r="O65" s="147"/>
      <c r="P65" s="147"/>
      <c r="Q65" s="147"/>
      <c r="R65" s="551">
        <f>SUM(E65:Q65)</f>
        <v>72483</v>
      </c>
      <c r="S65" s="147">
        <v>33738</v>
      </c>
      <c r="T65" s="147"/>
      <c r="U65" s="143"/>
    </row>
    <row r="66" spans="1:21" s="144" customFormat="1" ht="24" customHeight="1">
      <c r="A66" s="304" t="s">
        <v>1820</v>
      </c>
      <c r="B66" s="146">
        <f>SUM(C66+D66)</f>
        <v>0</v>
      </c>
      <c r="C66" s="147"/>
      <c r="D66" s="147"/>
      <c r="E66" s="147"/>
      <c r="F66" s="147"/>
      <c r="G66" s="147"/>
      <c r="H66" s="147"/>
      <c r="I66" s="147"/>
      <c r="J66" s="147"/>
      <c r="K66" s="147"/>
      <c r="L66" s="147"/>
      <c r="M66" s="147"/>
      <c r="N66" s="147"/>
      <c r="O66" s="147"/>
      <c r="P66" s="147"/>
      <c r="Q66" s="147"/>
      <c r="R66" s="551">
        <f>SUM(E66:Q66)</f>
        <v>0</v>
      </c>
      <c r="S66" s="147"/>
      <c r="T66" s="147"/>
      <c r="U66" s="143"/>
    </row>
    <row r="67" spans="1:21" s="144" customFormat="1" ht="24" customHeight="1">
      <c r="A67" s="304" t="s">
        <v>1821</v>
      </c>
      <c r="B67" s="146">
        <f>SUM(C67+D67)</f>
        <v>0</v>
      </c>
      <c r="C67" s="147"/>
      <c r="D67" s="147"/>
      <c r="E67" s="147"/>
      <c r="F67" s="147"/>
      <c r="G67" s="147"/>
      <c r="H67" s="147"/>
      <c r="I67" s="147"/>
      <c r="J67" s="147"/>
      <c r="K67" s="147"/>
      <c r="L67" s="147"/>
      <c r="M67" s="147"/>
      <c r="N67" s="147"/>
      <c r="O67" s="147"/>
      <c r="P67" s="147"/>
      <c r="Q67" s="147"/>
      <c r="R67" s="551">
        <f>SUM(E67:Q67)</f>
        <v>0</v>
      </c>
      <c r="S67" s="147"/>
      <c r="T67" s="147"/>
      <c r="U67" s="143"/>
    </row>
    <row r="68" spans="1:21" s="144" customFormat="1" ht="12" customHeight="1">
      <c r="A68" s="304" t="s">
        <v>1827</v>
      </c>
      <c r="B68" s="146">
        <f>SUM(C68+D68)</f>
        <v>0</v>
      </c>
      <c r="C68" s="147"/>
      <c r="D68" s="147"/>
      <c r="E68" s="147"/>
      <c r="F68" s="147"/>
      <c r="G68" s="147"/>
      <c r="H68" s="147"/>
      <c r="I68" s="147"/>
      <c r="J68" s="147"/>
      <c r="K68" s="147"/>
      <c r="L68" s="147"/>
      <c r="M68" s="147"/>
      <c r="N68" s="147"/>
      <c r="O68" s="147"/>
      <c r="P68" s="147"/>
      <c r="Q68" s="147"/>
      <c r="R68" s="551">
        <f>SUM(E68:Q68)</f>
        <v>0</v>
      </c>
      <c r="S68" s="147"/>
      <c r="T68" s="147"/>
      <c r="U68" s="143"/>
    </row>
    <row r="69" spans="1:21" s="144" customFormat="1">
      <c r="A69" s="1202" t="s">
        <v>2724</v>
      </c>
      <c r="B69" s="146">
        <f>SUM(C69+D69)</f>
        <v>38658</v>
      </c>
      <c r="C69" s="147">
        <v>38658</v>
      </c>
      <c r="D69" s="147"/>
      <c r="E69" s="147">
        <f>C69</f>
        <v>38658</v>
      </c>
      <c r="F69" s="147"/>
      <c r="G69" s="147"/>
      <c r="H69" s="147"/>
      <c r="I69" s="147"/>
      <c r="J69" s="147"/>
      <c r="K69" s="147"/>
      <c r="L69" s="147"/>
      <c r="M69" s="147"/>
      <c r="N69" s="147"/>
      <c r="O69" s="147"/>
      <c r="P69" s="147"/>
      <c r="Q69" s="147"/>
      <c r="R69" s="551">
        <f>SUM(E69:Q69)</f>
        <v>38658</v>
      </c>
      <c r="S69" s="147">
        <v>28993</v>
      </c>
      <c r="T69" s="147"/>
      <c r="U69" s="143"/>
    </row>
    <row r="70" spans="1:21" s="144" customFormat="1">
      <c r="A70" s="149" t="s">
        <v>1824</v>
      </c>
      <c r="B70" s="146">
        <f>SUM(C70:D70)</f>
        <v>111141</v>
      </c>
      <c r="C70" s="146">
        <f>SUM(C65:C69)</f>
        <v>111141</v>
      </c>
      <c r="D70" s="146">
        <f>SUM(D65:D69)</f>
        <v>0</v>
      </c>
      <c r="E70" s="146">
        <f t="shared" ref="E70:T70" si="18">SUM(E65:E69)</f>
        <v>111141</v>
      </c>
      <c r="F70" s="146">
        <f t="shared" si="18"/>
        <v>0</v>
      </c>
      <c r="G70" s="146">
        <f t="shared" si="18"/>
        <v>0</v>
      </c>
      <c r="H70" s="146">
        <f t="shared" si="18"/>
        <v>0</v>
      </c>
      <c r="I70" s="146">
        <f t="shared" si="18"/>
        <v>0</v>
      </c>
      <c r="J70" s="146">
        <f t="shared" si="18"/>
        <v>0</v>
      </c>
      <c r="K70" s="146">
        <f t="shared" si="18"/>
        <v>0</v>
      </c>
      <c r="L70" s="146">
        <f t="shared" si="18"/>
        <v>0</v>
      </c>
      <c r="M70" s="146">
        <f t="shared" si="18"/>
        <v>0</v>
      </c>
      <c r="N70" s="146">
        <f t="shared" si="18"/>
        <v>0</v>
      </c>
      <c r="O70" s="146">
        <f t="shared" si="18"/>
        <v>0</v>
      </c>
      <c r="P70" s="146">
        <f t="shared" si="18"/>
        <v>0</v>
      </c>
      <c r="Q70" s="146">
        <f t="shared" si="18"/>
        <v>0</v>
      </c>
      <c r="R70" s="371">
        <f t="shared" si="18"/>
        <v>111141</v>
      </c>
      <c r="S70" s="150">
        <f t="shared" si="18"/>
        <v>62731</v>
      </c>
      <c r="T70" s="150">
        <f t="shared" si="18"/>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c r="F72" s="147"/>
      <c r="G72" s="147"/>
      <c r="H72" s="147"/>
      <c r="I72" s="147"/>
      <c r="J72" s="147"/>
      <c r="K72" s="147"/>
      <c r="L72" s="147"/>
      <c r="M72" s="147"/>
      <c r="N72" s="147"/>
      <c r="O72" s="147"/>
      <c r="P72" s="147"/>
      <c r="Q72" s="147"/>
      <c r="R72" s="551">
        <f>SUM(E72:Q72)</f>
        <v>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1039</v>
      </c>
      <c r="B74" s="146">
        <f>SUM(C74+D74)</f>
        <v>0</v>
      </c>
      <c r="C74" s="147"/>
      <c r="D74" s="147"/>
      <c r="E74" s="147"/>
      <c r="F74" s="147"/>
      <c r="G74" s="147"/>
      <c r="H74" s="147"/>
      <c r="I74" s="147"/>
      <c r="J74" s="147"/>
      <c r="K74" s="147"/>
      <c r="L74" s="147"/>
      <c r="M74" s="147"/>
      <c r="N74" s="147"/>
      <c r="O74" s="147"/>
      <c r="P74" s="147"/>
      <c r="Q74" s="147"/>
      <c r="R74" s="551">
        <f>SUM(E74:Q74)</f>
        <v>0</v>
      </c>
      <c r="S74" s="148"/>
      <c r="T74" s="148"/>
      <c r="U74" s="143"/>
    </row>
    <row r="75" spans="1:21" s="144" customFormat="1">
      <c r="A75" s="145" t="s">
        <v>614</v>
      </c>
      <c r="B75" s="146">
        <f>SUM(C75+D75)</f>
        <v>867152</v>
      </c>
      <c r="C75" s="147">
        <v>867152</v>
      </c>
      <c r="D75" s="147"/>
      <c r="E75" s="147">
        <f>C75</f>
        <v>867152</v>
      </c>
      <c r="F75" s="147"/>
      <c r="G75" s="147"/>
      <c r="H75" s="147"/>
      <c r="I75" s="147"/>
      <c r="J75" s="147"/>
      <c r="K75" s="147"/>
      <c r="L75" s="147"/>
      <c r="M75" s="147"/>
      <c r="N75" s="147"/>
      <c r="O75" s="147"/>
      <c r="P75" s="147"/>
      <c r="Q75" s="147"/>
      <c r="R75" s="551">
        <f>SUM(E75:Q75)</f>
        <v>867152</v>
      </c>
      <c r="S75" s="148"/>
      <c r="T75" s="148"/>
      <c r="U75" s="143"/>
    </row>
    <row r="76" spans="1:21" s="144" customFormat="1">
      <c r="A76" s="1202" t="s">
        <v>34</v>
      </c>
      <c r="B76" s="146">
        <f>SUM(C76+D76)</f>
        <v>0</v>
      </c>
      <c r="C76" s="147"/>
      <c r="D76" s="147"/>
      <c r="E76" s="147"/>
      <c r="F76" s="147"/>
      <c r="G76" s="147"/>
      <c r="H76" s="147"/>
      <c r="I76" s="147"/>
      <c r="J76" s="147"/>
      <c r="K76" s="147"/>
      <c r="L76" s="147"/>
      <c r="M76" s="147"/>
      <c r="N76" s="147"/>
      <c r="O76" s="147"/>
      <c r="P76" s="147"/>
      <c r="Q76" s="147"/>
      <c r="R76" s="551">
        <f>SUM(E76:Q76)</f>
        <v>0</v>
      </c>
      <c r="S76" s="148"/>
      <c r="T76" s="148"/>
      <c r="U76" s="143"/>
    </row>
    <row r="77" spans="1:21" s="144" customFormat="1">
      <c r="A77" s="149" t="s">
        <v>615</v>
      </c>
      <c r="B77" s="146">
        <f>SUM(C77:D77)</f>
        <v>867152</v>
      </c>
      <c r="C77" s="146">
        <f>SUM(C72:C76)</f>
        <v>867152</v>
      </c>
      <c r="D77" s="146">
        <f>SUM(D72:D76)</f>
        <v>0</v>
      </c>
      <c r="E77" s="146">
        <f t="shared" ref="E77:Q77" si="19">SUM(E72:E76)</f>
        <v>867152</v>
      </c>
      <c r="F77" s="146">
        <f t="shared" si="19"/>
        <v>0</v>
      </c>
      <c r="G77" s="146">
        <f t="shared" si="19"/>
        <v>0</v>
      </c>
      <c r="H77" s="146">
        <f t="shared" si="19"/>
        <v>0</v>
      </c>
      <c r="I77" s="146">
        <f t="shared" si="19"/>
        <v>0</v>
      </c>
      <c r="J77" s="146">
        <f t="shared" si="19"/>
        <v>0</v>
      </c>
      <c r="K77" s="146">
        <f t="shared" si="19"/>
        <v>0</v>
      </c>
      <c r="L77" s="146">
        <f t="shared" si="19"/>
        <v>0</v>
      </c>
      <c r="M77" s="146">
        <f t="shared" si="19"/>
        <v>0</v>
      </c>
      <c r="N77" s="146">
        <f t="shared" si="19"/>
        <v>0</v>
      </c>
      <c r="O77" s="146">
        <f t="shared" si="19"/>
        <v>0</v>
      </c>
      <c r="P77" s="146">
        <f t="shared" si="19"/>
        <v>0</v>
      </c>
      <c r="Q77" s="146">
        <f t="shared" si="19"/>
        <v>0</v>
      </c>
      <c r="R77" s="371">
        <f>SUM(R72:R76)</f>
        <v>867152</v>
      </c>
      <c r="S77" s="148"/>
      <c r="T77" s="148"/>
      <c r="U77" s="143"/>
    </row>
    <row r="78" spans="1:21" s="144" customFormat="1">
      <c r="A78" s="141" t="s">
        <v>1352</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1354</v>
      </c>
      <c r="B79" s="146">
        <f>SUM(C79:D79)</f>
        <v>7065209</v>
      </c>
      <c r="C79" s="147">
        <f>7065209</f>
        <v>7065209</v>
      </c>
      <c r="D79" s="147"/>
      <c r="E79" s="147">
        <f>C79</f>
        <v>7065209</v>
      </c>
      <c r="F79" s="147"/>
      <c r="G79" s="147"/>
      <c r="H79" s="147"/>
      <c r="I79" s="147"/>
      <c r="J79" s="147"/>
      <c r="K79" s="147"/>
      <c r="L79" s="147"/>
      <c r="M79" s="147"/>
      <c r="N79" s="147"/>
      <c r="O79" s="147"/>
      <c r="P79" s="147"/>
      <c r="Q79" s="147"/>
      <c r="R79" s="551">
        <f>SUM(E79:Q79)</f>
        <v>7065209</v>
      </c>
      <c r="S79" s="147">
        <f>R79</f>
        <v>7065209</v>
      </c>
      <c r="T79" s="147"/>
      <c r="U79" s="143"/>
    </row>
    <row r="80" spans="1:21" s="144" customFormat="1">
      <c r="A80" s="304" t="s">
        <v>58</v>
      </c>
      <c r="B80" s="146">
        <f>SUM(C80:D80)</f>
        <v>1060960</v>
      </c>
      <c r="C80" s="147">
        <v>1060960</v>
      </c>
      <c r="D80" s="147"/>
      <c r="E80" s="147">
        <f>C80</f>
        <v>1060960</v>
      </c>
      <c r="F80" s="147"/>
      <c r="G80" s="147"/>
      <c r="H80" s="147"/>
      <c r="I80" s="147"/>
      <c r="J80" s="147"/>
      <c r="K80" s="147"/>
      <c r="L80" s="147"/>
      <c r="M80" s="147"/>
      <c r="N80" s="147"/>
      <c r="O80" s="147"/>
      <c r="P80" s="147"/>
      <c r="Q80" s="147"/>
      <c r="R80" s="551">
        <f>SUM(E80:Q80)</f>
        <v>1060960</v>
      </c>
      <c r="S80" s="147">
        <f>R80</f>
        <v>1060960</v>
      </c>
      <c r="T80" s="147"/>
      <c r="U80" s="143"/>
    </row>
    <row r="81" spans="1:21" s="144" customFormat="1">
      <c r="A81" s="149" t="s">
        <v>1351</v>
      </c>
      <c r="B81" s="146">
        <f>SUM(C81:D81)</f>
        <v>8126169</v>
      </c>
      <c r="C81" s="544">
        <f>SUM(C79:C80)</f>
        <v>8126169</v>
      </c>
      <c r="D81" s="544">
        <f t="shared" ref="D81:T81" si="20">SUM(D79:D80)</f>
        <v>0</v>
      </c>
      <c r="E81" s="544">
        <f t="shared" si="20"/>
        <v>8126169</v>
      </c>
      <c r="F81" s="544">
        <f t="shared" si="20"/>
        <v>0</v>
      </c>
      <c r="G81" s="544">
        <f t="shared" si="20"/>
        <v>0</v>
      </c>
      <c r="H81" s="544">
        <f t="shared" si="20"/>
        <v>0</v>
      </c>
      <c r="I81" s="544">
        <f t="shared" si="20"/>
        <v>0</v>
      </c>
      <c r="J81" s="544">
        <f t="shared" si="20"/>
        <v>0</v>
      </c>
      <c r="K81" s="544">
        <f t="shared" si="20"/>
        <v>0</v>
      </c>
      <c r="L81" s="544">
        <f t="shared" si="20"/>
        <v>0</v>
      </c>
      <c r="M81" s="544">
        <f t="shared" si="20"/>
        <v>0</v>
      </c>
      <c r="N81" s="544">
        <f t="shared" si="20"/>
        <v>0</v>
      </c>
      <c r="O81" s="544">
        <f t="shared" si="20"/>
        <v>0</v>
      </c>
      <c r="P81" s="544">
        <f t="shared" si="20"/>
        <v>0</v>
      </c>
      <c r="Q81" s="544">
        <f t="shared" si="20"/>
        <v>0</v>
      </c>
      <c r="R81" s="544">
        <f t="shared" si="20"/>
        <v>8126169</v>
      </c>
      <c r="S81" s="544">
        <f t="shared" si="20"/>
        <v>8126169</v>
      </c>
      <c r="T81" s="544">
        <f t="shared" si="20"/>
        <v>0</v>
      </c>
      <c r="U81" s="143"/>
    </row>
    <row r="82" spans="1:21" s="144" customFormat="1">
      <c r="A82" s="141" t="s">
        <v>789</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 customHeight="1">
      <c r="A83" s="145" t="s">
        <v>2511</v>
      </c>
      <c r="B83" s="146">
        <f t="shared" ref="B83:B95" si="21">SUM(C83+D83)</f>
        <v>167077</v>
      </c>
      <c r="C83" s="147">
        <v>167077</v>
      </c>
      <c r="D83" s="147"/>
      <c r="E83" s="147">
        <f>C83</f>
        <v>167077</v>
      </c>
      <c r="F83" s="147"/>
      <c r="G83" s="147"/>
      <c r="H83" s="147"/>
      <c r="I83" s="147"/>
      <c r="J83" s="147"/>
      <c r="K83" s="147"/>
      <c r="L83" s="147"/>
      <c r="M83" s="147"/>
      <c r="N83" s="147"/>
      <c r="O83" s="147"/>
      <c r="P83" s="147"/>
      <c r="Q83" s="147"/>
      <c r="R83" s="551">
        <f t="shared" ref="R83:R95" si="22">SUM(E83:Q83)</f>
        <v>167077</v>
      </c>
      <c r="S83" s="148"/>
      <c r="T83" s="148"/>
      <c r="U83" s="143"/>
    </row>
    <row r="84" spans="1:21" s="144" customFormat="1">
      <c r="A84" s="145" t="s">
        <v>791</v>
      </c>
      <c r="B84" s="146">
        <f t="shared" si="21"/>
        <v>96644</v>
      </c>
      <c r="C84" s="147">
        <v>96644</v>
      </c>
      <c r="D84" s="147"/>
      <c r="E84" s="147">
        <f t="shared" ref="E84:E93" si="23">C84</f>
        <v>96644</v>
      </c>
      <c r="F84" s="147"/>
      <c r="G84" s="147"/>
      <c r="H84" s="147"/>
      <c r="I84" s="147"/>
      <c r="J84" s="147"/>
      <c r="K84" s="147"/>
      <c r="L84" s="147"/>
      <c r="M84" s="147"/>
      <c r="N84" s="147"/>
      <c r="O84" s="147"/>
      <c r="P84" s="147"/>
      <c r="Q84" s="147"/>
      <c r="R84" s="551">
        <f t="shared" si="22"/>
        <v>96644</v>
      </c>
      <c r="S84" s="147">
        <f>R84</f>
        <v>96644</v>
      </c>
      <c r="T84" s="147"/>
      <c r="U84" s="143"/>
    </row>
    <row r="85" spans="1:21" s="144" customFormat="1">
      <c r="A85" s="145" t="s">
        <v>792</v>
      </c>
      <c r="B85" s="146">
        <f t="shared" si="21"/>
        <v>485380</v>
      </c>
      <c r="C85" s="147">
        <v>485380</v>
      </c>
      <c r="D85" s="147"/>
      <c r="E85" s="147">
        <f t="shared" si="23"/>
        <v>485380</v>
      </c>
      <c r="F85" s="147"/>
      <c r="G85" s="147"/>
      <c r="H85" s="147"/>
      <c r="I85" s="147"/>
      <c r="J85" s="147"/>
      <c r="K85" s="147"/>
      <c r="L85" s="147"/>
      <c r="M85" s="147"/>
      <c r="N85" s="147"/>
      <c r="O85" s="147"/>
      <c r="P85" s="147"/>
      <c r="Q85" s="147"/>
      <c r="R85" s="551">
        <f t="shared" si="22"/>
        <v>485380</v>
      </c>
      <c r="S85" s="147">
        <f>R85</f>
        <v>485380</v>
      </c>
      <c r="T85" s="147"/>
      <c r="U85" s="143"/>
    </row>
    <row r="86" spans="1:21" s="144" customFormat="1">
      <c r="A86" s="145" t="s">
        <v>793</v>
      </c>
      <c r="B86" s="146">
        <f t="shared" si="21"/>
        <v>678211</v>
      </c>
      <c r="C86" s="147">
        <f>579863+98348</f>
        <v>678211</v>
      </c>
      <c r="D86" s="147"/>
      <c r="E86" s="147">
        <f t="shared" si="23"/>
        <v>678211</v>
      </c>
      <c r="F86" s="147"/>
      <c r="G86" s="147"/>
      <c r="H86" s="147"/>
      <c r="I86" s="147"/>
      <c r="J86" s="147"/>
      <c r="K86" s="147"/>
      <c r="L86" s="147"/>
      <c r="M86" s="147"/>
      <c r="N86" s="147"/>
      <c r="O86" s="147"/>
      <c r="P86" s="147"/>
      <c r="Q86" s="147"/>
      <c r="R86" s="551">
        <f t="shared" si="22"/>
        <v>678211</v>
      </c>
      <c r="S86" s="147">
        <f>R86</f>
        <v>678211</v>
      </c>
      <c r="T86" s="147"/>
      <c r="U86" s="143"/>
    </row>
    <row r="87" spans="1:21" s="144" customFormat="1">
      <c r="A87" s="145" t="s">
        <v>794</v>
      </c>
      <c r="B87" s="146">
        <f t="shared" si="21"/>
        <v>0</v>
      </c>
      <c r="C87" s="147"/>
      <c r="D87" s="147"/>
      <c r="E87" s="147">
        <f t="shared" si="23"/>
        <v>0</v>
      </c>
      <c r="F87" s="147"/>
      <c r="G87" s="147"/>
      <c r="H87" s="147"/>
      <c r="I87" s="147"/>
      <c r="J87" s="147"/>
      <c r="K87" s="147"/>
      <c r="L87" s="147"/>
      <c r="M87" s="147"/>
      <c r="N87" s="147"/>
      <c r="O87" s="147"/>
      <c r="P87" s="147"/>
      <c r="Q87" s="147"/>
      <c r="R87" s="551">
        <f t="shared" si="22"/>
        <v>0</v>
      </c>
      <c r="S87" s="147"/>
      <c r="T87" s="147"/>
      <c r="U87" s="143"/>
    </row>
    <row r="88" spans="1:21" s="144" customFormat="1">
      <c r="A88" s="145" t="s">
        <v>795</v>
      </c>
      <c r="B88" s="146">
        <f t="shared" si="21"/>
        <v>540171</v>
      </c>
      <c r="C88" s="147">
        <v>540171</v>
      </c>
      <c r="D88" s="147"/>
      <c r="E88" s="147">
        <f t="shared" si="23"/>
        <v>540171</v>
      </c>
      <c r="F88" s="147"/>
      <c r="G88" s="147"/>
      <c r="H88" s="147"/>
      <c r="I88" s="147"/>
      <c r="J88" s="147"/>
      <c r="K88" s="147"/>
      <c r="L88" s="147"/>
      <c r="M88" s="147"/>
      <c r="N88" s="147"/>
      <c r="O88" s="147"/>
      <c r="P88" s="147"/>
      <c r="Q88" s="147"/>
      <c r="R88" s="551">
        <f t="shared" si="22"/>
        <v>540171</v>
      </c>
      <c r="S88" s="148"/>
      <c r="T88" s="148"/>
      <c r="U88" s="143"/>
    </row>
    <row r="89" spans="1:21" s="144" customFormat="1">
      <c r="A89" s="145" t="s">
        <v>796</v>
      </c>
      <c r="B89" s="146">
        <f t="shared" si="21"/>
        <v>639000</v>
      </c>
      <c r="C89" s="147">
        <v>639000</v>
      </c>
      <c r="D89" s="147"/>
      <c r="E89" s="147">
        <f t="shared" si="23"/>
        <v>639000</v>
      </c>
      <c r="F89" s="147"/>
      <c r="G89" s="147"/>
      <c r="H89" s="147"/>
      <c r="I89" s="147"/>
      <c r="J89" s="147"/>
      <c r="K89" s="147"/>
      <c r="L89" s="147"/>
      <c r="M89" s="147"/>
      <c r="N89" s="147"/>
      <c r="O89" s="147"/>
      <c r="P89" s="147"/>
      <c r="Q89" s="147"/>
      <c r="R89" s="551">
        <f t="shared" si="22"/>
        <v>639000</v>
      </c>
      <c r="S89" s="147">
        <f>R89</f>
        <v>639000</v>
      </c>
      <c r="T89" s="147"/>
      <c r="U89" s="143"/>
    </row>
    <row r="90" spans="1:21" s="144" customFormat="1">
      <c r="A90" s="145" t="s">
        <v>797</v>
      </c>
      <c r="B90" s="146">
        <f t="shared" si="21"/>
        <v>25000</v>
      </c>
      <c r="C90" s="147">
        <v>25000</v>
      </c>
      <c r="D90" s="147"/>
      <c r="E90" s="147">
        <f t="shared" si="23"/>
        <v>25000</v>
      </c>
      <c r="F90" s="147"/>
      <c r="G90" s="147"/>
      <c r="H90" s="147"/>
      <c r="I90" s="147"/>
      <c r="J90" s="147"/>
      <c r="K90" s="147"/>
      <c r="L90" s="147"/>
      <c r="M90" s="147"/>
      <c r="N90" s="147"/>
      <c r="O90" s="147"/>
      <c r="P90" s="147"/>
      <c r="Q90" s="147"/>
      <c r="R90" s="551">
        <f t="shared" si="22"/>
        <v>25000</v>
      </c>
      <c r="S90" s="147"/>
      <c r="T90" s="147"/>
      <c r="U90" s="143"/>
    </row>
    <row r="91" spans="1:21" s="144" customFormat="1">
      <c r="A91" s="145" t="s">
        <v>374</v>
      </c>
      <c r="B91" s="146">
        <f t="shared" si="21"/>
        <v>0</v>
      </c>
      <c r="C91" s="147"/>
      <c r="D91" s="147"/>
      <c r="E91" s="147">
        <f t="shared" si="23"/>
        <v>0</v>
      </c>
      <c r="F91" s="147"/>
      <c r="G91" s="147"/>
      <c r="H91" s="147"/>
      <c r="I91" s="147"/>
      <c r="J91" s="147"/>
      <c r="K91" s="147"/>
      <c r="L91" s="147"/>
      <c r="M91" s="147"/>
      <c r="N91" s="147"/>
      <c r="O91" s="147"/>
      <c r="P91" s="147"/>
      <c r="Q91" s="147"/>
      <c r="R91" s="551">
        <f t="shared" si="22"/>
        <v>0</v>
      </c>
      <c r="S91" s="147"/>
      <c r="T91" s="147"/>
      <c r="U91" s="143"/>
    </row>
    <row r="92" spans="1:21" s="144" customFormat="1">
      <c r="A92" s="304" t="s">
        <v>1353</v>
      </c>
      <c r="B92" s="146">
        <f t="shared" si="21"/>
        <v>14497</v>
      </c>
      <c r="C92" s="147">
        <v>14497</v>
      </c>
      <c r="D92" s="147"/>
      <c r="E92" s="147">
        <f t="shared" si="23"/>
        <v>14497</v>
      </c>
      <c r="F92" s="147"/>
      <c r="G92" s="147"/>
      <c r="H92" s="147"/>
      <c r="I92" s="147"/>
      <c r="J92" s="147"/>
      <c r="K92" s="147"/>
      <c r="L92" s="147"/>
      <c r="M92" s="147"/>
      <c r="N92" s="147"/>
      <c r="O92" s="147"/>
      <c r="P92" s="147"/>
      <c r="Q92" s="147"/>
      <c r="R92" s="551">
        <f t="shared" si="22"/>
        <v>14497</v>
      </c>
      <c r="S92" s="147">
        <f>R92</f>
        <v>14497</v>
      </c>
      <c r="T92" s="147"/>
      <c r="U92" s="143"/>
    </row>
    <row r="93" spans="1:21" s="144" customFormat="1">
      <c r="A93" s="1202" t="s">
        <v>2726</v>
      </c>
      <c r="B93" s="146">
        <f t="shared" si="21"/>
        <v>96644</v>
      </c>
      <c r="C93" s="147">
        <v>96644</v>
      </c>
      <c r="D93" s="147"/>
      <c r="E93" s="147">
        <f t="shared" si="23"/>
        <v>96644</v>
      </c>
      <c r="F93" s="147"/>
      <c r="G93" s="147"/>
      <c r="H93" s="147"/>
      <c r="I93" s="147"/>
      <c r="J93" s="147"/>
      <c r="K93" s="147"/>
      <c r="L93" s="147"/>
      <c r="M93" s="147"/>
      <c r="N93" s="147"/>
      <c r="O93" s="147"/>
      <c r="P93" s="147"/>
      <c r="Q93" s="147"/>
      <c r="R93" s="551">
        <f t="shared" si="22"/>
        <v>96644</v>
      </c>
      <c r="S93" s="147">
        <f>R93</f>
        <v>96644</v>
      </c>
      <c r="T93" s="147"/>
      <c r="U93" s="143"/>
    </row>
    <row r="94" spans="1:21" s="144" customFormat="1">
      <c r="A94" s="1202" t="s">
        <v>34</v>
      </c>
      <c r="B94" s="146">
        <f t="shared" si="21"/>
        <v>0</v>
      </c>
      <c r="C94" s="147"/>
      <c r="D94" s="147"/>
      <c r="E94" s="147"/>
      <c r="F94" s="147"/>
      <c r="G94" s="147"/>
      <c r="H94" s="147"/>
      <c r="I94" s="147"/>
      <c r="J94" s="147"/>
      <c r="K94" s="147"/>
      <c r="L94" s="147"/>
      <c r="M94" s="147"/>
      <c r="N94" s="147"/>
      <c r="O94" s="147"/>
      <c r="P94" s="147"/>
      <c r="Q94" s="147"/>
      <c r="R94" s="551">
        <f t="shared" si="22"/>
        <v>0</v>
      </c>
      <c r="S94" s="147"/>
      <c r="T94" s="147"/>
      <c r="U94" s="143"/>
    </row>
    <row r="95" spans="1:21" s="144" customFormat="1">
      <c r="A95" s="1202" t="s">
        <v>34</v>
      </c>
      <c r="B95" s="146">
        <f t="shared" si="21"/>
        <v>0</v>
      </c>
      <c r="C95" s="147"/>
      <c r="D95" s="147"/>
      <c r="E95" s="147"/>
      <c r="F95" s="147"/>
      <c r="G95" s="147"/>
      <c r="H95" s="147"/>
      <c r="I95" s="147"/>
      <c r="J95" s="147"/>
      <c r="K95" s="147"/>
      <c r="L95" s="147"/>
      <c r="M95" s="147"/>
      <c r="N95" s="147"/>
      <c r="O95" s="147"/>
      <c r="P95" s="147"/>
      <c r="Q95" s="147"/>
      <c r="R95" s="551">
        <f t="shared" si="22"/>
        <v>0</v>
      </c>
      <c r="S95" s="147"/>
      <c r="T95" s="147"/>
      <c r="U95" s="143"/>
    </row>
    <row r="96" spans="1:21" s="144" customFormat="1">
      <c r="A96" s="149" t="s">
        <v>798</v>
      </c>
      <c r="B96" s="146">
        <f>SUM(C96:D96)</f>
        <v>2742624</v>
      </c>
      <c r="C96" s="146">
        <f t="shared" ref="C96:R96" si="24">SUM(C83:C95)</f>
        <v>2742624</v>
      </c>
      <c r="D96" s="146">
        <f t="shared" si="24"/>
        <v>0</v>
      </c>
      <c r="E96" s="146">
        <f t="shared" si="24"/>
        <v>2742624</v>
      </c>
      <c r="F96" s="146">
        <f t="shared" si="24"/>
        <v>0</v>
      </c>
      <c r="G96" s="146">
        <f t="shared" si="24"/>
        <v>0</v>
      </c>
      <c r="H96" s="146">
        <f t="shared" si="24"/>
        <v>0</v>
      </c>
      <c r="I96" s="146">
        <f t="shared" si="24"/>
        <v>0</v>
      </c>
      <c r="J96" s="146">
        <f t="shared" si="24"/>
        <v>0</v>
      </c>
      <c r="K96" s="146">
        <f t="shared" si="24"/>
        <v>0</v>
      </c>
      <c r="L96" s="146">
        <f t="shared" si="24"/>
        <v>0</v>
      </c>
      <c r="M96" s="146">
        <f t="shared" si="24"/>
        <v>0</v>
      </c>
      <c r="N96" s="146">
        <f t="shared" si="24"/>
        <v>0</v>
      </c>
      <c r="O96" s="146">
        <f t="shared" si="24"/>
        <v>0</v>
      </c>
      <c r="P96" s="146">
        <f t="shared" si="24"/>
        <v>0</v>
      </c>
      <c r="Q96" s="146">
        <f t="shared" si="24"/>
        <v>0</v>
      </c>
      <c r="R96" s="371">
        <f t="shared" si="24"/>
        <v>2742624</v>
      </c>
      <c r="S96" s="150">
        <f>SUM(S84:S87,S89:S95)</f>
        <v>2010376</v>
      </c>
      <c r="T96" s="146">
        <f>SUM(T84:T87,T89:T95)</f>
        <v>0</v>
      </c>
      <c r="U96" s="143"/>
    </row>
    <row r="97" spans="1:21" s="144" customFormat="1">
      <c r="A97" s="149" t="s">
        <v>799</v>
      </c>
      <c r="B97" s="146">
        <f>SUM(C97:D97)</f>
        <v>180147876</v>
      </c>
      <c r="C97" s="146">
        <f t="shared" ref="C97:R97" si="25">SUM(C63+C70+C77+C81+C96)</f>
        <v>180147876</v>
      </c>
      <c r="D97" s="146">
        <f t="shared" si="25"/>
        <v>0</v>
      </c>
      <c r="E97" s="146">
        <f t="shared" si="25"/>
        <v>84339337</v>
      </c>
      <c r="F97" s="146">
        <f t="shared" si="25"/>
        <v>1840000</v>
      </c>
      <c r="G97" s="146">
        <f t="shared" si="25"/>
        <v>65968539</v>
      </c>
      <c r="H97" s="146">
        <f t="shared" si="25"/>
        <v>28000000</v>
      </c>
      <c r="I97" s="146">
        <f t="shared" si="25"/>
        <v>0</v>
      </c>
      <c r="J97" s="146">
        <f t="shared" si="25"/>
        <v>0</v>
      </c>
      <c r="K97" s="146">
        <f t="shared" si="25"/>
        <v>0</v>
      </c>
      <c r="L97" s="146">
        <f t="shared" si="25"/>
        <v>0</v>
      </c>
      <c r="M97" s="146">
        <f t="shared" si="25"/>
        <v>0</v>
      </c>
      <c r="N97" s="146">
        <f t="shared" si="25"/>
        <v>0</v>
      </c>
      <c r="O97" s="146">
        <f t="shared" si="25"/>
        <v>0</v>
      </c>
      <c r="P97" s="146">
        <f t="shared" si="25"/>
        <v>0</v>
      </c>
      <c r="Q97" s="146">
        <f t="shared" si="25"/>
        <v>0</v>
      </c>
      <c r="R97" s="146">
        <f t="shared" si="25"/>
        <v>180147876</v>
      </c>
      <c r="S97" s="146">
        <f>SUM(S63+S70+S81+S96)</f>
        <v>171261852</v>
      </c>
      <c r="T97" s="146">
        <f>SUM(T63+T70+T81+T96)</f>
        <v>0</v>
      </c>
      <c r="U97" s="143"/>
    </row>
    <row r="98" spans="1:21" s="144" customFormat="1">
      <c r="A98" s="141" t="s">
        <v>800</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801</v>
      </c>
      <c r="B99" s="146">
        <f>SUM(C99+D99)</f>
        <v>3040000</v>
      </c>
      <c r="C99" s="1016">
        <f>3040000</f>
        <v>3040000</v>
      </c>
      <c r="D99" s="1016"/>
      <c r="E99" s="1016">
        <f>C99-I99</f>
        <v>2200000</v>
      </c>
      <c r="F99" s="147"/>
      <c r="G99" s="147"/>
      <c r="H99" s="147"/>
      <c r="I99" s="147">
        <f>Application!AO626</f>
        <v>840000</v>
      </c>
      <c r="J99" s="147"/>
      <c r="K99" s="147"/>
      <c r="L99" s="147"/>
      <c r="M99" s="147"/>
      <c r="N99" s="147"/>
      <c r="O99" s="147"/>
      <c r="P99" s="147"/>
      <c r="Q99" s="147"/>
      <c r="R99" s="551">
        <f>SUM(E99:Q99)</f>
        <v>3040000</v>
      </c>
      <c r="S99" s="147">
        <f>R99</f>
        <v>3040000</v>
      </c>
      <c r="T99" s="147"/>
      <c r="U99" s="143"/>
    </row>
    <row r="100" spans="1:21" s="144" customFormat="1">
      <c r="A100" s="304" t="s">
        <v>1825</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802</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1826</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c r="A104" s="149" t="s">
        <v>803</v>
      </c>
      <c r="B104" s="146">
        <f>SUM(C104:D104)</f>
        <v>3040000</v>
      </c>
      <c r="C104" s="146">
        <f>SUM(C99:C103)</f>
        <v>3040000</v>
      </c>
      <c r="D104" s="146">
        <f t="shared" ref="D104:T104" si="26">SUM(D99:D103)</f>
        <v>0</v>
      </c>
      <c r="E104" s="146">
        <f t="shared" si="26"/>
        <v>2200000</v>
      </c>
      <c r="F104" s="146">
        <f t="shared" si="26"/>
        <v>0</v>
      </c>
      <c r="G104" s="146">
        <f t="shared" si="26"/>
        <v>0</v>
      </c>
      <c r="H104" s="146">
        <f t="shared" si="26"/>
        <v>0</v>
      </c>
      <c r="I104" s="146">
        <f t="shared" si="26"/>
        <v>840000</v>
      </c>
      <c r="J104" s="146">
        <f t="shared" si="26"/>
        <v>0</v>
      </c>
      <c r="K104" s="146">
        <f t="shared" si="26"/>
        <v>0</v>
      </c>
      <c r="L104" s="146">
        <f t="shared" si="26"/>
        <v>0</v>
      </c>
      <c r="M104" s="146">
        <f t="shared" si="26"/>
        <v>0</v>
      </c>
      <c r="N104" s="146">
        <f t="shared" si="26"/>
        <v>0</v>
      </c>
      <c r="O104" s="146">
        <f t="shared" si="26"/>
        <v>0</v>
      </c>
      <c r="P104" s="146">
        <f t="shared" si="26"/>
        <v>0</v>
      </c>
      <c r="Q104" s="146">
        <f t="shared" si="26"/>
        <v>0</v>
      </c>
      <c r="R104" s="371">
        <f t="shared" si="26"/>
        <v>3040000</v>
      </c>
      <c r="S104" s="150">
        <f t="shared" si="26"/>
        <v>3040000</v>
      </c>
      <c r="T104" s="150">
        <f t="shared" si="26"/>
        <v>0</v>
      </c>
      <c r="U104" s="143"/>
    </row>
    <row r="105" spans="1:21" s="144" customFormat="1">
      <c r="A105" s="149" t="s">
        <v>804</v>
      </c>
      <c r="B105" s="150">
        <f>SUM(C105:D105)</f>
        <v>183187876</v>
      </c>
      <c r="C105" s="150">
        <f t="shared" ref="C105:R105" si="27">SUM(C97+C104)</f>
        <v>183187876</v>
      </c>
      <c r="D105" s="150">
        <f t="shared" si="27"/>
        <v>0</v>
      </c>
      <c r="E105" s="150">
        <f t="shared" si="27"/>
        <v>86539337</v>
      </c>
      <c r="F105" s="150">
        <f t="shared" si="27"/>
        <v>1840000</v>
      </c>
      <c r="G105" s="150">
        <f t="shared" si="27"/>
        <v>65968539</v>
      </c>
      <c r="H105" s="150">
        <f t="shared" si="27"/>
        <v>28000000</v>
      </c>
      <c r="I105" s="150">
        <f t="shared" si="27"/>
        <v>840000</v>
      </c>
      <c r="J105" s="150">
        <f t="shared" si="27"/>
        <v>0</v>
      </c>
      <c r="K105" s="150">
        <f t="shared" si="27"/>
        <v>0</v>
      </c>
      <c r="L105" s="150">
        <f t="shared" si="27"/>
        <v>0</v>
      </c>
      <c r="M105" s="150">
        <f t="shared" si="27"/>
        <v>0</v>
      </c>
      <c r="N105" s="150">
        <f t="shared" si="27"/>
        <v>0</v>
      </c>
      <c r="O105" s="150">
        <f t="shared" si="27"/>
        <v>0</v>
      </c>
      <c r="P105" s="150">
        <f t="shared" si="27"/>
        <v>0</v>
      </c>
      <c r="Q105" s="150">
        <f t="shared" si="27"/>
        <v>0</v>
      </c>
      <c r="R105" s="371">
        <f t="shared" si="27"/>
        <v>183187876</v>
      </c>
      <c r="S105" s="150">
        <f>S97+S104</f>
        <v>174301852</v>
      </c>
      <c r="T105" s="150">
        <f>T97+T104</f>
        <v>0</v>
      </c>
      <c r="U105" s="143"/>
    </row>
    <row r="106" spans="1:21">
      <c r="A106" s="549" t="s">
        <v>1080</v>
      </c>
      <c r="B106" s="157"/>
      <c r="C106" s="157"/>
      <c r="D106" s="157"/>
      <c r="H106" s="159" t="s">
        <v>93</v>
      </c>
      <c r="I106" s="159"/>
      <c r="J106" s="159"/>
      <c r="R106" s="160" t="s">
        <v>94</v>
      </c>
      <c r="S106" s="147"/>
      <c r="T106" s="147"/>
    </row>
    <row r="107" spans="1:21">
      <c r="A107" s="157" t="s">
        <v>185</v>
      </c>
      <c r="C107" s="157"/>
      <c r="D107" s="157"/>
      <c r="I107" s="162" t="s">
        <v>352</v>
      </c>
      <c r="J107" s="162"/>
      <c r="R107" s="160" t="s">
        <v>95</v>
      </c>
      <c r="S107" s="150">
        <f>S105+S106</f>
        <v>174301852</v>
      </c>
      <c r="T107" s="150">
        <f>T105+T106</f>
        <v>0</v>
      </c>
    </row>
    <row r="108" spans="1:21" s="201" customFormat="1">
      <c r="A108" s="162" t="s">
        <v>908</v>
      </c>
      <c r="B108" s="157"/>
      <c r="C108" s="157"/>
      <c r="D108" s="157"/>
      <c r="E108" s="323">
        <f>Application!AO636</f>
        <v>86539337</v>
      </c>
      <c r="F108" s="323">
        <f>Application!AO623</f>
        <v>1840000</v>
      </c>
      <c r="G108" s="323">
        <f>Application!AO624</f>
        <v>65968539</v>
      </c>
      <c r="H108" s="323">
        <f>Application!AO625</f>
        <v>28000000</v>
      </c>
      <c r="I108" s="323">
        <f>Application!AO626</f>
        <v>840000</v>
      </c>
      <c r="J108" s="323">
        <f>Application!AO627</f>
        <v>0</v>
      </c>
      <c r="K108" s="323">
        <f>Application!AO628</f>
        <v>0</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35" customHeight="1">
      <c r="A109" s="157"/>
      <c r="B109" s="157"/>
      <c r="C109" s="157"/>
      <c r="D109" s="157"/>
    </row>
    <row r="110" spans="1:21">
      <c r="A110" s="162" t="s">
        <v>998</v>
      </c>
      <c r="B110" s="157"/>
      <c r="C110" s="157"/>
      <c r="D110" s="157"/>
    </row>
    <row r="111" spans="1:21">
      <c r="A111" s="156" t="s">
        <v>999</v>
      </c>
      <c r="B111" s="157"/>
      <c r="C111" s="157"/>
      <c r="D111" s="157"/>
    </row>
    <row r="112" spans="1:21" ht="12" customHeight="1">
      <c r="A112" s="336"/>
      <c r="B112" s="157"/>
      <c r="C112" s="157"/>
      <c r="D112" s="157"/>
    </row>
    <row r="113" spans="1:21">
      <c r="A113" s="156" t="s">
        <v>1076</v>
      </c>
      <c r="B113" s="157"/>
      <c r="C113" s="157"/>
      <c r="D113" s="157"/>
    </row>
    <row r="114" spans="1:21">
      <c r="A114" s="156" t="s">
        <v>2512</v>
      </c>
      <c r="B114" s="157"/>
      <c r="C114" s="157"/>
      <c r="D114" s="157"/>
    </row>
    <row r="115" spans="1:21" ht="12" customHeight="1">
      <c r="A115" s="336"/>
      <c r="B115" s="157"/>
      <c r="C115" s="157"/>
      <c r="D115" s="157"/>
    </row>
    <row r="116" spans="1:21">
      <c r="A116" s="374" t="s">
        <v>1082</v>
      </c>
      <c r="B116" s="157"/>
      <c r="C116" s="157"/>
      <c r="D116" s="157"/>
    </row>
    <row r="117" spans="1:21">
      <c r="A117" s="374" t="s">
        <v>1369</v>
      </c>
      <c r="B117" s="157"/>
      <c r="C117" s="157"/>
      <c r="D117" s="157"/>
    </row>
    <row r="118" spans="1:21">
      <c r="A118" s="374" t="s">
        <v>1081</v>
      </c>
      <c r="B118" s="157"/>
      <c r="C118" s="157"/>
      <c r="D118" s="157"/>
    </row>
    <row r="119" spans="1:21">
      <c r="A119" s="374" t="s">
        <v>1083</v>
      </c>
      <c r="B119" s="157"/>
      <c r="C119" s="157"/>
      <c r="D119" s="157"/>
    </row>
    <row r="120" spans="1:21" ht="12" customHeight="1">
      <c r="A120" s="373"/>
      <c r="B120" s="157"/>
      <c r="C120" s="157"/>
      <c r="D120" s="157"/>
    </row>
    <row r="121" spans="1:21" ht="15.75">
      <c r="A121" s="367" t="s">
        <v>1061</v>
      </c>
      <c r="B121" s="157"/>
      <c r="C121" s="157"/>
      <c r="D121" s="157"/>
    </row>
    <row r="122" spans="1:21">
      <c r="A122" s="354" t="s">
        <v>1045</v>
      </c>
      <c r="B122" s="353"/>
      <c r="C122" s="353"/>
      <c r="D122" s="1874" t="s">
        <v>1046</v>
      </c>
      <c r="E122" s="1874"/>
      <c r="F122" s="1874"/>
      <c r="G122" s="353"/>
      <c r="H122" s="353"/>
      <c r="I122" s="353"/>
      <c r="J122" s="353"/>
      <c r="K122" s="353"/>
      <c r="L122" s="353"/>
      <c r="M122" s="353"/>
      <c r="N122" s="353"/>
      <c r="O122" s="353"/>
      <c r="P122" s="353"/>
      <c r="Q122" s="353"/>
      <c r="R122" s="353"/>
      <c r="S122" s="353"/>
      <c r="T122" s="353"/>
      <c r="U122" s="355"/>
    </row>
    <row r="123" spans="1:21">
      <c r="A123" s="353" t="s">
        <v>1047</v>
      </c>
      <c r="B123" s="362"/>
      <c r="C123" s="353"/>
      <c r="D123" s="1865" t="s">
        <v>1370</v>
      </c>
      <c r="E123" s="1866"/>
      <c r="F123" s="1866"/>
      <c r="G123" s="1866"/>
      <c r="H123" s="1866"/>
      <c r="I123" s="1866"/>
      <c r="J123" s="1866"/>
      <c r="K123" s="1866"/>
      <c r="L123" s="1866"/>
      <c r="M123" s="1866"/>
      <c r="N123" s="1866"/>
      <c r="O123" s="1866"/>
      <c r="P123" s="1866"/>
      <c r="Q123" s="1866"/>
      <c r="R123" s="1866"/>
      <c r="S123" s="1866"/>
      <c r="T123" s="353"/>
      <c r="U123" s="355"/>
    </row>
    <row r="124" spans="1:21" ht="12.75">
      <c r="A124" s="117" t="s">
        <v>1048</v>
      </c>
      <c r="B124" s="362"/>
      <c r="C124" s="117"/>
      <c r="D124" s="1866"/>
      <c r="E124" s="1866"/>
      <c r="F124" s="1866"/>
      <c r="G124" s="1866"/>
      <c r="H124" s="1866"/>
      <c r="I124" s="1866"/>
      <c r="J124" s="1866"/>
      <c r="K124" s="1866"/>
      <c r="L124" s="1866"/>
      <c r="M124" s="1866"/>
      <c r="N124" s="1866"/>
      <c r="O124" s="1866"/>
      <c r="P124" s="1866"/>
      <c r="Q124" s="1866"/>
      <c r="R124" s="1866"/>
      <c r="S124" s="1866"/>
      <c r="T124" s="353"/>
      <c r="U124" s="355"/>
    </row>
    <row r="125" spans="1:21" ht="12.75">
      <c r="A125" s="117" t="s">
        <v>1049</v>
      </c>
      <c r="B125" s="362"/>
      <c r="C125" s="117"/>
      <c r="D125" s="1866"/>
      <c r="E125" s="1866"/>
      <c r="F125" s="1866"/>
      <c r="G125" s="1866"/>
      <c r="H125" s="1866"/>
      <c r="I125" s="1866"/>
      <c r="J125" s="1866"/>
      <c r="K125" s="1866"/>
      <c r="L125" s="1866"/>
      <c r="M125" s="1866"/>
      <c r="N125" s="1866"/>
      <c r="O125" s="1866"/>
      <c r="P125" s="1866"/>
      <c r="Q125" s="1866"/>
      <c r="R125" s="1866"/>
      <c r="S125" s="1866"/>
      <c r="T125" s="353"/>
      <c r="U125" s="355"/>
    </row>
    <row r="126" spans="1:21" ht="12.75">
      <c r="A126" s="117" t="s">
        <v>1050</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2.75">
      <c r="A127" s="117" t="s">
        <v>1051</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2.75">
      <c r="A128" s="117" t="s">
        <v>1052</v>
      </c>
      <c r="B128" s="362"/>
      <c r="C128" s="117"/>
      <c r="D128" s="1869"/>
      <c r="E128" s="1869"/>
      <c r="F128" s="1869"/>
      <c r="G128" s="1869"/>
      <c r="H128" s="1869"/>
      <c r="I128" s="117"/>
      <c r="J128" s="1864"/>
      <c r="K128" s="1864"/>
      <c r="L128" s="117"/>
      <c r="M128" s="117"/>
      <c r="N128" s="117"/>
      <c r="O128" s="117"/>
      <c r="P128" s="117"/>
      <c r="Q128" s="117"/>
      <c r="R128" s="117"/>
      <c r="S128" s="117"/>
      <c r="T128" s="353"/>
      <c r="U128" s="355"/>
    </row>
    <row r="129" spans="1:21" ht="12.75">
      <c r="A129" s="117" t="s">
        <v>302</v>
      </c>
      <c r="B129" s="362"/>
      <c r="C129" s="117"/>
      <c r="D129" s="1873" t="s">
        <v>1053</v>
      </c>
      <c r="E129" s="1873"/>
      <c r="F129" s="1873"/>
      <c r="G129" s="1873"/>
      <c r="H129" s="1873"/>
      <c r="I129" s="117"/>
      <c r="J129" s="117" t="s">
        <v>1054</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2.75">
      <c r="A131" s="364" t="s">
        <v>1055</v>
      </c>
      <c r="B131" s="363">
        <f>SUM(B123:B129)</f>
        <v>0</v>
      </c>
      <c r="C131" s="117"/>
      <c r="D131" s="1443"/>
      <c r="E131" s="1443"/>
      <c r="F131" s="1443"/>
      <c r="G131" s="1443"/>
      <c r="H131" s="1443"/>
      <c r="I131" s="117"/>
      <c r="J131" s="1443"/>
      <c r="K131" s="1443"/>
      <c r="L131" s="1443"/>
      <c r="M131" s="1443"/>
      <c r="N131" s="117"/>
      <c r="O131" s="117"/>
      <c r="P131" s="117"/>
      <c r="Q131" s="117"/>
      <c r="R131" s="117"/>
      <c r="S131" s="117"/>
      <c r="T131" s="353"/>
      <c r="U131" s="355"/>
    </row>
    <row r="132" spans="1:21" ht="12" customHeight="1">
      <c r="A132" s="365"/>
      <c r="B132" s="117"/>
      <c r="C132" s="117"/>
      <c r="D132" s="1867" t="s">
        <v>1056</v>
      </c>
      <c r="E132" s="1867"/>
      <c r="F132" s="1867"/>
      <c r="G132" s="1867"/>
      <c r="H132" s="1867"/>
      <c r="I132" s="117"/>
      <c r="J132" s="1867" t="s">
        <v>1057</v>
      </c>
      <c r="K132" s="1867"/>
      <c r="L132" s="1867"/>
      <c r="M132" s="1867"/>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75">
      <c r="A134" s="91" t="s">
        <v>1058</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2.75">
      <c r="A135" s="336" t="s">
        <v>1059</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75">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68"/>
      <c r="B138" s="1869"/>
      <c r="C138" s="1869"/>
      <c r="D138" s="357"/>
      <c r="E138" s="1864"/>
      <c r="F138" s="1864"/>
      <c r="G138" s="117"/>
      <c r="H138" s="117"/>
      <c r="I138" s="117"/>
      <c r="J138" s="117"/>
      <c r="K138" s="117"/>
      <c r="L138" s="117"/>
      <c r="M138" s="117"/>
      <c r="N138" s="117"/>
      <c r="O138" s="117"/>
      <c r="P138" s="117"/>
      <c r="Q138" s="117"/>
      <c r="R138" s="117"/>
      <c r="S138" s="117"/>
      <c r="T138" s="359"/>
      <c r="U138" s="360"/>
    </row>
    <row r="139" spans="1:21" ht="12.75">
      <c r="A139" s="1863" t="s">
        <v>1060</v>
      </c>
      <c r="B139" s="1863"/>
      <c r="C139" s="1863"/>
      <c r="D139" s="357"/>
      <c r="E139" s="117" t="s">
        <v>1054</v>
      </c>
      <c r="F139" s="117"/>
      <c r="G139" s="117"/>
      <c r="H139" s="117"/>
      <c r="I139" s="117"/>
      <c r="J139" s="117"/>
      <c r="K139" s="117"/>
      <c r="L139" s="117"/>
      <c r="M139" s="117"/>
      <c r="N139" s="117"/>
      <c r="O139" s="117"/>
      <c r="P139" s="117"/>
      <c r="Q139" s="117"/>
      <c r="R139" s="117"/>
      <c r="S139" s="117"/>
      <c r="T139" s="359"/>
      <c r="U139" s="360"/>
    </row>
    <row r="140" spans="1:21" ht="12.75">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pQ92iXrOmXmhO7TfQDJKA5lgZoMxDUqoKepjbWD6lUqnGtumaLRLQfsjmk71BsV9Tol5urUoedYjvOI9qAwfxw==" saltValue="BavsikfMjv7o51LRdfuBO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2" priority="8">
      <formula>AND(B25&gt;0,OR(A25="",A25="Other: (Specify)"))</formula>
    </cfRule>
  </conditionalFormatting>
  <conditionalFormatting sqref="A37">
    <cfRule type="expression" dxfId="61" priority="7">
      <formula>AND(B37&gt;0,OR(A37="",A37="Other: (Specify)"))</formula>
    </cfRule>
  </conditionalFormatting>
  <conditionalFormatting sqref="A53">
    <cfRule type="expression" dxfId="60" priority="6">
      <formula>AND(B53&gt;0,OR(A53="",A53="Other: (Specify)"))</formula>
    </cfRule>
  </conditionalFormatting>
  <conditionalFormatting sqref="A61">
    <cfRule type="expression" dxfId="59" priority="5">
      <formula>AND(B61&gt;0,OR(A61="",A61="Other: (Specify)"))</formula>
    </cfRule>
  </conditionalFormatting>
  <conditionalFormatting sqref="A69">
    <cfRule type="expression" dxfId="58" priority="4">
      <formula>AND(B69&gt;0,OR(A69="",A69="Other: (Specify)"))</formula>
    </cfRule>
  </conditionalFormatting>
  <conditionalFormatting sqref="A76">
    <cfRule type="expression" dxfId="57" priority="3">
      <formula>AND(B76&gt;0,OR(A76="",A76="Other: (Specify)"))</formula>
    </cfRule>
  </conditionalFormatting>
  <conditionalFormatting sqref="A93:A95">
    <cfRule type="expression" dxfId="56" priority="2">
      <formula>AND(B93&gt;0,OR(A93="",A93="Other: (Specify)"))</formula>
    </cfRule>
  </conditionalFormatting>
  <conditionalFormatting sqref="A103">
    <cfRule type="expression" dxfId="55" priority="1">
      <formula>AND(B103&gt;0,OR(A103="",A103="Other: (Specify)"))</formula>
    </cfRule>
  </conditionalFormatting>
  <conditionalFormatting sqref="C10">
    <cfRule type="expression" dxfId="54" priority="85">
      <formula>"(S10+T10)&gt;C10 "</formula>
    </cfRule>
  </conditionalFormatting>
  <conditionalFormatting sqref="E105:Q105">
    <cfRule type="cellIs" dxfId="53" priority="208" stopIfTrue="1" operator="notEqual">
      <formula>E$108</formula>
    </cfRule>
  </conditionalFormatting>
  <conditionalFormatting sqref="R4:R15">
    <cfRule type="cellIs" dxfId="52"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1"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0"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49"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48"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47"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6"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5"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4" priority="213" stopIfTrue="1" operator="notEqual">
      <formula>$B79</formula>
    </cfRule>
  </conditionalFormatting>
  <conditionalFormatting sqref="R83:R96">
    <cfRule type="cellIs" dxfId="43"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2"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1" priority="253" stopIfTrue="1">
      <formula>(S10+T10)&gt;C10</formula>
    </cfRule>
  </conditionalFormatting>
  <conditionalFormatting sqref="S13:S14">
    <cfRule type="expression" dxfId="40" priority="202" stopIfTrue="1">
      <formula>(S13+T13)&gt;C13</formula>
    </cfRule>
  </conditionalFormatting>
  <conditionalFormatting sqref="S17:S25">
    <cfRule type="expression" dxfId="39" priority="186" stopIfTrue="1">
      <formula>(S17+T17)&gt;C17</formula>
    </cfRule>
  </conditionalFormatting>
  <conditionalFormatting sqref="S27">
    <cfRule type="expression" dxfId="38" priority="179" stopIfTrue="1">
      <formula>(S27+T27)&gt;C27</formula>
    </cfRule>
  </conditionalFormatting>
  <conditionalFormatting sqref="S29:S37">
    <cfRule type="expression" dxfId="37" priority="169" stopIfTrue="1">
      <formula>(S29+T29)&gt;C29</formula>
    </cfRule>
  </conditionalFormatting>
  <conditionalFormatting sqref="S40:S41">
    <cfRule type="expression" dxfId="36" priority="160" stopIfTrue="1">
      <formula>(S40+T40)&gt;C40</formula>
    </cfRule>
  </conditionalFormatting>
  <conditionalFormatting sqref="S43">
    <cfRule type="expression" dxfId="35" priority="157" stopIfTrue="1">
      <formula>(S43+T43)&gt;C43</formula>
    </cfRule>
  </conditionalFormatting>
  <conditionalFormatting sqref="S45:S53">
    <cfRule type="expression" dxfId="34" priority="142" stopIfTrue="1">
      <formula>(S45+T45)&gt;C45</formula>
    </cfRule>
  </conditionalFormatting>
  <conditionalFormatting sqref="S65:S69">
    <cfRule type="expression" dxfId="33" priority="131" stopIfTrue="1">
      <formula>(S65+T65)&gt;C65</formula>
    </cfRule>
  </conditionalFormatting>
  <conditionalFormatting sqref="S79:S80">
    <cfRule type="expression" dxfId="32" priority="127" stopIfTrue="1">
      <formula>(S79+T79)&gt;C79</formula>
    </cfRule>
  </conditionalFormatting>
  <conditionalFormatting sqref="S84:S87">
    <cfRule type="expression" dxfId="31" priority="121" stopIfTrue="1">
      <formula>(S84+T84)&gt;C84</formula>
    </cfRule>
  </conditionalFormatting>
  <conditionalFormatting sqref="S89:S95">
    <cfRule type="expression" dxfId="30" priority="110" stopIfTrue="1">
      <formula>(S89+T89)&gt;C89</formula>
    </cfRule>
  </conditionalFormatting>
  <conditionalFormatting sqref="S99:S103">
    <cfRule type="expression" dxfId="29" priority="93" stopIfTrue="1">
      <formula>(S99+T99)&gt;C99</formula>
    </cfRule>
  </conditionalFormatting>
  <conditionalFormatting sqref="T9">
    <cfRule type="expression" dxfId="28" priority="254" stopIfTrue="1">
      <formula>T9&gt;C9</formula>
    </cfRule>
  </conditionalFormatting>
  <conditionalFormatting sqref="T10">
    <cfRule type="expression" dxfId="27" priority="83" stopIfTrue="1">
      <formula>(S10+T10)&gt;C10</formula>
    </cfRule>
  </conditionalFormatting>
  <conditionalFormatting sqref="T13:T14">
    <cfRule type="expression" dxfId="26" priority="80" stopIfTrue="1">
      <formula>(S13+T13)&gt;C13</formula>
    </cfRule>
  </conditionalFormatting>
  <conditionalFormatting sqref="T17:T25">
    <cfRule type="expression" dxfId="25" priority="56" stopIfTrue="1">
      <formula>(S17+T17)&gt;C17</formula>
    </cfRule>
  </conditionalFormatting>
  <conditionalFormatting sqref="T27">
    <cfRule type="expression" dxfId="24" priority="54" stopIfTrue="1">
      <formula>(S27+T27)&gt;C27</formula>
    </cfRule>
  </conditionalFormatting>
  <conditionalFormatting sqref="T29:T37">
    <cfRule type="expression" dxfId="23" priority="45" stopIfTrue="1">
      <formula>(S29+T29)&gt;C29</formula>
    </cfRule>
  </conditionalFormatting>
  <conditionalFormatting sqref="T40:T41">
    <cfRule type="expression" dxfId="22" priority="43" stopIfTrue="1">
      <formula>(S40+T40)&gt;C40</formula>
    </cfRule>
  </conditionalFormatting>
  <conditionalFormatting sqref="T43">
    <cfRule type="expression" dxfId="21" priority="42" stopIfTrue="1">
      <formula>(S43+T43)&gt;C43</formula>
    </cfRule>
  </conditionalFormatting>
  <conditionalFormatting sqref="T45:T53">
    <cfRule type="expression" dxfId="20" priority="32" stopIfTrue="1">
      <formula>(S45+T45)&gt;C45</formula>
    </cfRule>
  </conditionalFormatting>
  <conditionalFormatting sqref="T65:T69">
    <cfRule type="expression" dxfId="19" priority="30" stopIfTrue="1">
      <formula>(S65+T65)&gt;C65</formula>
    </cfRule>
  </conditionalFormatting>
  <conditionalFormatting sqref="T79:T80">
    <cfRule type="expression" dxfId="18" priority="28" stopIfTrue="1">
      <formula>(S79+T79)&gt;C79</formula>
    </cfRule>
  </conditionalFormatting>
  <conditionalFormatting sqref="T84:T87">
    <cfRule type="expression" dxfId="17" priority="24" stopIfTrue="1">
      <formula>(S84+T84)&gt;C84</formula>
    </cfRule>
  </conditionalFormatting>
  <conditionalFormatting sqref="T89:T95">
    <cfRule type="expression" dxfId="16" priority="17" stopIfTrue="1">
      <formula>(S89+T89)&gt;C89</formula>
    </cfRule>
  </conditionalFormatting>
  <conditionalFormatting sqref="T99:T103">
    <cfRule type="expression" dxfId="15"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360" zoomScaleNormal="100" zoomScaleSheetLayoutView="100" workbookViewId="0">
      <selection activeCell="E754" sqref="E754:AD757"/>
    </sheetView>
  </sheetViews>
  <sheetFormatPr defaultColWidth="0" defaultRowHeight="12.75" zeroHeight="1"/>
  <cols>
    <col min="1" max="1" width="2.570312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425781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569" customWidth="1"/>
    <col min="41" max="41" width="5.42578125" style="30" hidden="1" customWidth="1"/>
    <col min="42" max="45" width="5.42578125" style="14" hidden="1" customWidth="1"/>
    <col min="46" max="46" width="10.85546875" style="14" hidden="1" customWidth="1"/>
    <col min="47" max="48" width="5.42578125" style="14" hidden="1" customWidth="1"/>
    <col min="49" max="49" width="8.5703125" style="14" hidden="1" customWidth="1"/>
    <col min="50" max="50" width="7.42578125" style="14" hidden="1" customWidth="1"/>
    <col min="51" max="55" width="5.42578125" style="14" hidden="1" customWidth="1"/>
    <col min="56" max="60" width="5.42578125" style="32" hidden="1" customWidth="1"/>
    <col min="61" max="81" width="5.42578125" style="14" hidden="1" customWidth="1"/>
    <col min="82" max="16384" width="9.140625" style="14" hidden="1"/>
  </cols>
  <sheetData>
    <row r="1" spans="1:42" ht="15.75" customHeight="1">
      <c r="A1" s="2099" t="s">
        <v>1471</v>
      </c>
      <c r="B1" s="2099"/>
      <c r="C1" s="2099"/>
      <c r="D1" s="2099"/>
      <c r="E1" s="2099"/>
      <c r="F1" s="2099"/>
      <c r="G1" s="2099"/>
      <c r="H1" s="2099"/>
      <c r="I1" s="2099"/>
      <c r="J1" s="2099"/>
      <c r="K1" s="2099"/>
      <c r="L1" s="2099"/>
      <c r="M1" s="2099"/>
      <c r="N1" s="2099"/>
      <c r="O1" s="2099"/>
      <c r="P1" s="2099"/>
      <c r="Q1" s="2099"/>
      <c r="R1" s="2099"/>
      <c r="S1" s="2099"/>
      <c r="T1" s="2099"/>
      <c r="U1" s="2099"/>
      <c r="V1" s="2099"/>
      <c r="W1" s="2099"/>
      <c r="X1" s="2099"/>
      <c r="Y1" s="2099"/>
      <c r="Z1" s="2099"/>
      <c r="AA1" s="2099"/>
      <c r="AB1" s="2099"/>
      <c r="AC1" s="2099"/>
      <c r="AD1" s="2099"/>
      <c r="AE1" s="2099"/>
      <c r="AF1" s="2099"/>
      <c r="AG1" s="2099"/>
      <c r="AH1" s="2099"/>
      <c r="AI1" s="2099"/>
      <c r="AJ1" s="2099"/>
      <c r="AK1" s="2099"/>
      <c r="AL1" s="2099"/>
      <c r="AM1" s="2099"/>
    </row>
    <row r="2" spans="1:42" s="571" customFormat="1" ht="12.75" customHeight="1" thickBot="1">
      <c r="A2" s="2100"/>
      <c r="B2" s="2100"/>
      <c r="C2" s="2100"/>
      <c r="D2" s="2100"/>
      <c r="E2" s="2100"/>
      <c r="F2" s="2100"/>
      <c r="G2" s="2100"/>
      <c r="H2" s="2100"/>
      <c r="I2" s="2100"/>
      <c r="J2" s="2100"/>
      <c r="K2" s="2100"/>
      <c r="L2" s="2100"/>
      <c r="M2" s="2100"/>
      <c r="N2" s="2100"/>
      <c r="O2" s="2100"/>
      <c r="P2" s="2100"/>
      <c r="Q2" s="2100"/>
      <c r="R2" s="2100"/>
      <c r="S2" s="2100"/>
      <c r="T2" s="2100"/>
      <c r="U2" s="2100"/>
      <c r="V2" s="2100"/>
      <c r="W2" s="2100"/>
      <c r="X2" s="2100"/>
      <c r="Y2" s="2100"/>
      <c r="Z2" s="2100"/>
      <c r="AA2" s="2100"/>
      <c r="AB2" s="2100"/>
      <c r="AC2" s="2100"/>
      <c r="AD2" s="2100"/>
      <c r="AE2" s="2100"/>
      <c r="AF2" s="2100"/>
      <c r="AG2" s="2100"/>
      <c r="AH2" s="2100"/>
      <c r="AI2" s="2100"/>
      <c r="AJ2" s="2100"/>
      <c r="AK2" s="2100"/>
      <c r="AL2" s="2100"/>
      <c r="AM2" s="2100"/>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1472</v>
      </c>
      <c r="B4" s="574" t="s">
        <v>1473</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1474</v>
      </c>
      <c r="B7" s="574" t="s">
        <v>1475</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915" t="s">
        <v>1476</v>
      </c>
      <c r="AF7" s="1915"/>
      <c r="AG7" s="1915"/>
      <c r="AH7" s="1915"/>
      <c r="AI7" s="1915"/>
      <c r="AJ7" s="1915"/>
      <c r="AK7" s="1915"/>
      <c r="AL7" s="575"/>
      <c r="AM7" s="575"/>
      <c r="AN7" s="570"/>
    </row>
    <row r="8" spans="1:42" s="571" customFormat="1" ht="12.75" customHeight="1">
      <c r="A8" s="573"/>
      <c r="B8" s="574" t="s">
        <v>1988</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2404</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2398</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2093" t="s">
        <v>600</v>
      </c>
      <c r="C13" s="2093"/>
      <c r="D13" s="582"/>
      <c r="E13" s="583" t="s">
        <v>1477</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2101"/>
      <c r="AH13" s="2101"/>
      <c r="AI13" s="2101"/>
      <c r="AJ13" s="2102"/>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2093" t="s">
        <v>600</v>
      </c>
      <c r="C16" s="2093"/>
      <c r="D16" s="582"/>
      <c r="E16" s="2085" t="s">
        <v>1478</v>
      </c>
      <c r="F16" s="2086"/>
      <c r="G16" s="2086"/>
      <c r="H16" s="2086"/>
      <c r="I16" s="2086"/>
      <c r="J16" s="2086"/>
      <c r="K16" s="2086"/>
      <c r="L16" s="2086"/>
      <c r="M16" s="2086"/>
      <c r="N16" s="2086"/>
      <c r="O16" s="2086"/>
      <c r="P16" s="2086"/>
      <c r="Q16" s="2086"/>
      <c r="R16" s="2086"/>
      <c r="S16" s="2086"/>
      <c r="T16" s="2086"/>
      <c r="U16" s="2086"/>
      <c r="V16" s="2086"/>
      <c r="W16" s="2086"/>
      <c r="X16" s="2086"/>
      <c r="Y16" s="2086"/>
      <c r="Z16" s="2086"/>
      <c r="AA16" s="2086"/>
      <c r="AB16" s="2086"/>
      <c r="AC16" s="2086"/>
      <c r="AD16" s="2086"/>
      <c r="AE16" s="2086"/>
      <c r="AF16" s="2086"/>
      <c r="AG16" s="2086"/>
      <c r="AH16" s="2086"/>
      <c r="AI16" s="2086"/>
      <c r="AJ16" s="2087"/>
      <c r="AK16" s="575"/>
      <c r="AL16" s="575"/>
      <c r="AM16" s="575"/>
      <c r="AN16" s="570"/>
      <c r="AO16" s="585">
        <f>IF($B25="yes",20,0)</f>
        <v>0</v>
      </c>
      <c r="AP16" s="14"/>
    </row>
    <row r="17" spans="1:42" s="571" customFormat="1" ht="12.75" customHeight="1">
      <c r="A17" s="575"/>
      <c r="B17" s="575"/>
      <c r="C17" s="575"/>
      <c r="D17" s="586"/>
      <c r="E17" s="2088"/>
      <c r="F17" s="2089"/>
      <c r="G17" s="2089"/>
      <c r="H17" s="2089"/>
      <c r="I17" s="2089"/>
      <c r="J17" s="2089"/>
      <c r="K17" s="2089"/>
      <c r="L17" s="2089"/>
      <c r="M17" s="2089"/>
      <c r="N17" s="2089"/>
      <c r="O17" s="2089"/>
      <c r="P17" s="2089"/>
      <c r="Q17" s="2089"/>
      <c r="R17" s="2089"/>
      <c r="S17" s="2089"/>
      <c r="T17" s="2089"/>
      <c r="U17" s="2089"/>
      <c r="V17" s="2089"/>
      <c r="W17" s="2089"/>
      <c r="X17" s="2089"/>
      <c r="Y17" s="2089"/>
      <c r="Z17" s="2089"/>
      <c r="AA17" s="2089"/>
      <c r="AB17" s="2089"/>
      <c r="AC17" s="2089"/>
      <c r="AD17" s="2089"/>
      <c r="AE17" s="2089"/>
      <c r="AF17" s="2089"/>
      <c r="AG17" s="2089"/>
      <c r="AH17" s="2089"/>
      <c r="AI17" s="2089"/>
      <c r="AJ17" s="2090"/>
      <c r="AK17" s="575"/>
      <c r="AL17" s="575"/>
      <c r="AM17" s="575"/>
      <c r="AN17" s="570"/>
      <c r="AO17" s="571">
        <f>IF(SUM(AO13:AO16)&gt;20,20,(SUM(AO13:AO16)))</f>
        <v>0</v>
      </c>
      <c r="AP17" s="571" t="s">
        <v>1479</v>
      </c>
    </row>
    <row r="18" spans="1:42" s="571" customFormat="1" ht="12.75" customHeight="1">
      <c r="A18" s="575"/>
      <c r="B18" s="575"/>
      <c r="C18" s="575"/>
      <c r="D18" s="586"/>
      <c r="E18" s="2088"/>
      <c r="F18" s="2089"/>
      <c r="G18" s="2089"/>
      <c r="H18" s="2089"/>
      <c r="I18" s="2089"/>
      <c r="J18" s="2089"/>
      <c r="K18" s="2089"/>
      <c r="L18" s="2089"/>
      <c r="M18" s="2089"/>
      <c r="N18" s="2089"/>
      <c r="O18" s="2089"/>
      <c r="P18" s="2089"/>
      <c r="Q18" s="2089"/>
      <c r="R18" s="2089"/>
      <c r="S18" s="2089"/>
      <c r="T18" s="2089"/>
      <c r="U18" s="2089"/>
      <c r="V18" s="2089"/>
      <c r="W18" s="2089"/>
      <c r="X18" s="2089"/>
      <c r="Y18" s="2089"/>
      <c r="Z18" s="2089"/>
      <c r="AA18" s="2089"/>
      <c r="AB18" s="2089"/>
      <c r="AC18" s="2089"/>
      <c r="AD18" s="2089"/>
      <c r="AE18" s="2089"/>
      <c r="AF18" s="2089"/>
      <c r="AG18" s="2089"/>
      <c r="AH18" s="2089"/>
      <c r="AI18" s="2089"/>
      <c r="AJ18" s="2090"/>
      <c r="AK18" s="575"/>
      <c r="AL18" s="575"/>
      <c r="AM18" s="575"/>
      <c r="AN18" s="570"/>
    </row>
    <row r="19" spans="1:42" s="571" customFormat="1" ht="12.75" customHeight="1">
      <c r="A19" s="575"/>
      <c r="B19" s="575"/>
      <c r="C19" s="575"/>
      <c r="D19" s="586"/>
      <c r="E19" s="587" t="s">
        <v>1480</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2109"/>
      <c r="F20" s="2110"/>
      <c r="G20" s="2110"/>
      <c r="H20" s="2110"/>
      <c r="I20" s="2110"/>
      <c r="J20" s="2110"/>
      <c r="K20" s="2110"/>
      <c r="L20" s="2110"/>
      <c r="M20" s="2110"/>
      <c r="N20" s="2110"/>
      <c r="O20" s="2110"/>
      <c r="P20" s="2110"/>
      <c r="Q20" s="2110"/>
      <c r="R20" s="2110"/>
      <c r="S20" s="2110"/>
      <c r="T20" s="2110"/>
      <c r="U20" s="2110"/>
      <c r="V20" s="2110"/>
      <c r="W20" s="2110"/>
      <c r="X20" s="2110"/>
      <c r="Y20" s="2110"/>
      <c r="Z20" s="2110"/>
      <c r="AA20" s="2110"/>
      <c r="AB20" s="2110"/>
      <c r="AC20" s="2110"/>
      <c r="AD20" s="2110"/>
      <c r="AE20" s="2110"/>
      <c r="AF20" s="2110"/>
      <c r="AG20" s="2110"/>
      <c r="AH20" s="2110"/>
      <c r="AI20" s="2110"/>
      <c r="AJ20" s="2111"/>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2093" t="s">
        <v>600</v>
      </c>
      <c r="C22" s="2093"/>
      <c r="D22" s="582"/>
      <c r="E22" s="2103" t="s">
        <v>1481</v>
      </c>
      <c r="F22" s="2104"/>
      <c r="G22" s="2104"/>
      <c r="H22" s="2104"/>
      <c r="I22" s="2104"/>
      <c r="J22" s="2104"/>
      <c r="K22" s="2104"/>
      <c r="L22" s="2104"/>
      <c r="M22" s="2104"/>
      <c r="N22" s="2104"/>
      <c r="O22" s="2104"/>
      <c r="P22" s="2104"/>
      <c r="Q22" s="2104"/>
      <c r="R22" s="2104"/>
      <c r="S22" s="2104"/>
      <c r="T22" s="2104"/>
      <c r="U22" s="2104"/>
      <c r="V22" s="2104"/>
      <c r="W22" s="2104"/>
      <c r="X22" s="2104"/>
      <c r="Y22" s="2104"/>
      <c r="Z22" s="2104"/>
      <c r="AA22" s="2104"/>
      <c r="AB22" s="2104"/>
      <c r="AC22" s="2104"/>
      <c r="AD22" s="2104"/>
      <c r="AE22" s="2104"/>
      <c r="AF22" s="2104"/>
      <c r="AG22" s="2104"/>
      <c r="AH22" s="2104"/>
      <c r="AI22" s="2104"/>
      <c r="AJ22" s="2105"/>
      <c r="AK22" s="575"/>
      <c r="AL22" s="575"/>
      <c r="AM22" s="575"/>
      <c r="AN22" s="570"/>
      <c r="AO22" s="571">
        <f>IF(SUM(AO20:AO21)&gt;14,14,SUM(AO20:AO21))</f>
        <v>0</v>
      </c>
      <c r="AP22" s="571" t="s">
        <v>1479</v>
      </c>
    </row>
    <row r="23" spans="1:42" s="571" customFormat="1" ht="12.75" customHeight="1">
      <c r="A23" s="575"/>
      <c r="B23" s="575"/>
      <c r="C23" s="575"/>
      <c r="D23" s="585"/>
      <c r="E23" s="2106"/>
      <c r="F23" s="2107"/>
      <c r="G23" s="2107"/>
      <c r="H23" s="2107"/>
      <c r="I23" s="2107"/>
      <c r="J23" s="2107"/>
      <c r="K23" s="2107"/>
      <c r="L23" s="2107"/>
      <c r="M23" s="2107"/>
      <c r="N23" s="2107"/>
      <c r="O23" s="2107"/>
      <c r="P23" s="2107"/>
      <c r="Q23" s="2107"/>
      <c r="R23" s="2107"/>
      <c r="S23" s="2107"/>
      <c r="T23" s="2107"/>
      <c r="U23" s="2107"/>
      <c r="V23" s="2107"/>
      <c r="W23" s="2107"/>
      <c r="X23" s="2107"/>
      <c r="Y23" s="2107"/>
      <c r="Z23" s="2107"/>
      <c r="AA23" s="2107"/>
      <c r="AB23" s="2107"/>
      <c r="AC23" s="2107"/>
      <c r="AD23" s="2107"/>
      <c r="AE23" s="2107"/>
      <c r="AF23" s="2107"/>
      <c r="AG23" s="2107"/>
      <c r="AH23" s="2107"/>
      <c r="AI23" s="2107"/>
      <c r="AJ23" s="2108"/>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2093" t="s">
        <v>600</v>
      </c>
      <c r="C25" s="2093"/>
      <c r="D25" s="582"/>
      <c r="E25" s="2021" t="s">
        <v>2428</v>
      </c>
      <c r="F25" s="2022"/>
      <c r="G25" s="2022"/>
      <c r="H25" s="2022"/>
      <c r="I25" s="2022"/>
      <c r="J25" s="2022"/>
      <c r="K25" s="2022"/>
      <c r="L25" s="2022"/>
      <c r="M25" s="2022"/>
      <c r="N25" s="2022"/>
      <c r="O25" s="2022"/>
      <c r="P25" s="2022"/>
      <c r="Q25" s="2022"/>
      <c r="R25" s="2022"/>
      <c r="S25" s="2022"/>
      <c r="T25" s="2022"/>
      <c r="U25" s="2022"/>
      <c r="V25" s="2022"/>
      <c r="W25" s="2022"/>
      <c r="X25" s="2022"/>
      <c r="Y25" s="2022"/>
      <c r="Z25" s="2022"/>
      <c r="AA25" s="2022"/>
      <c r="AB25" s="2022"/>
      <c r="AC25" s="2022"/>
      <c r="AD25" s="2022"/>
      <c r="AE25" s="2022"/>
      <c r="AF25" s="2022"/>
      <c r="AG25" s="2022"/>
      <c r="AH25" s="2022"/>
      <c r="AI25" s="2022"/>
      <c r="AJ25" s="2023"/>
      <c r="AK25" s="575"/>
      <c r="AL25" s="575"/>
      <c r="AM25" s="575"/>
      <c r="AN25" s="570"/>
      <c r="AO25" s="571">
        <f>IF(AO24&gt;6,6,AO24)</f>
        <v>0</v>
      </c>
      <c r="AP25" s="571" t="s">
        <v>1479</v>
      </c>
    </row>
    <row r="26" spans="1:42" s="571" customFormat="1" ht="12.75" customHeight="1">
      <c r="A26" s="575"/>
      <c r="B26" s="575"/>
      <c r="C26" s="575"/>
      <c r="D26" s="585"/>
      <c r="E26" s="2046"/>
      <c r="F26" s="2047"/>
      <c r="G26" s="2047"/>
      <c r="H26" s="2047"/>
      <c r="I26" s="2047"/>
      <c r="J26" s="2047"/>
      <c r="K26" s="2047"/>
      <c r="L26" s="2047"/>
      <c r="M26" s="2047"/>
      <c r="N26" s="2047"/>
      <c r="O26" s="2047"/>
      <c r="P26" s="2047"/>
      <c r="Q26" s="2047"/>
      <c r="R26" s="2047"/>
      <c r="S26" s="2047"/>
      <c r="T26" s="2047"/>
      <c r="U26" s="2047"/>
      <c r="V26" s="2047"/>
      <c r="W26" s="2047"/>
      <c r="X26" s="2047"/>
      <c r="Y26" s="2047"/>
      <c r="Z26" s="2047"/>
      <c r="AA26" s="2047"/>
      <c r="AB26" s="2047"/>
      <c r="AC26" s="2047"/>
      <c r="AD26" s="2047"/>
      <c r="AE26" s="2047"/>
      <c r="AF26" s="2047"/>
      <c r="AG26" s="2047"/>
      <c r="AH26" s="2047"/>
      <c r="AI26" s="2047"/>
      <c r="AJ26" s="2048"/>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2399</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1479</v>
      </c>
    </row>
    <row r="30" spans="1:42" s="571" customFormat="1" ht="12.75" customHeight="1">
      <c r="A30" s="575"/>
      <c r="B30" s="2093" t="s">
        <v>600</v>
      </c>
      <c r="C30" s="2093"/>
      <c r="D30" s="582"/>
      <c r="E30" s="2103" t="s">
        <v>2400</v>
      </c>
      <c r="F30" s="2104"/>
      <c r="G30" s="2104"/>
      <c r="H30" s="2104"/>
      <c r="I30" s="2104"/>
      <c r="J30" s="2104"/>
      <c r="K30" s="2104"/>
      <c r="L30" s="2104"/>
      <c r="M30" s="2104"/>
      <c r="N30" s="2104"/>
      <c r="O30" s="2104"/>
      <c r="P30" s="2104"/>
      <c r="Q30" s="2104"/>
      <c r="R30" s="2104"/>
      <c r="S30" s="2104"/>
      <c r="T30" s="2104"/>
      <c r="U30" s="2104"/>
      <c r="V30" s="2104"/>
      <c r="W30" s="2104"/>
      <c r="X30" s="2104"/>
      <c r="Y30" s="2104"/>
      <c r="Z30" s="2104"/>
      <c r="AA30" s="2104"/>
      <c r="AB30" s="2104"/>
      <c r="AC30" s="2104"/>
      <c r="AD30" s="2104"/>
      <c r="AE30" s="2104"/>
      <c r="AF30" s="2104"/>
      <c r="AG30" s="2104"/>
      <c r="AH30" s="2104"/>
      <c r="AI30" s="2104"/>
      <c r="AJ30" s="2105"/>
      <c r="AK30" s="575"/>
      <c r="AL30" s="575"/>
      <c r="AM30" s="575"/>
      <c r="AN30" s="570"/>
      <c r="AO30" s="585"/>
    </row>
    <row r="31" spans="1:42" s="571" customFormat="1" ht="12.75" customHeight="1">
      <c r="A31" s="575"/>
      <c r="B31" s="575"/>
      <c r="C31" s="575"/>
      <c r="E31" s="2106"/>
      <c r="F31" s="2107"/>
      <c r="G31" s="2107"/>
      <c r="H31" s="2107"/>
      <c r="I31" s="2107"/>
      <c r="J31" s="2107"/>
      <c r="K31" s="2107"/>
      <c r="L31" s="2107"/>
      <c r="M31" s="2107"/>
      <c r="N31" s="2107"/>
      <c r="O31" s="2107"/>
      <c r="P31" s="2107"/>
      <c r="Q31" s="2107"/>
      <c r="R31" s="2107"/>
      <c r="S31" s="2107"/>
      <c r="T31" s="2107"/>
      <c r="U31" s="2107"/>
      <c r="V31" s="2107"/>
      <c r="W31" s="2107"/>
      <c r="X31" s="2107"/>
      <c r="Y31" s="2107"/>
      <c r="Z31" s="2107"/>
      <c r="AA31" s="2107"/>
      <c r="AB31" s="2107"/>
      <c r="AC31" s="2107"/>
      <c r="AD31" s="2107"/>
      <c r="AE31" s="2107"/>
      <c r="AF31" s="2107"/>
      <c r="AG31" s="2107"/>
      <c r="AH31" s="2107"/>
      <c r="AI31" s="2107"/>
      <c r="AJ31" s="2108"/>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2093" t="s">
        <v>600</v>
      </c>
      <c r="C33" s="2093"/>
      <c r="D33" s="582"/>
      <c r="E33" s="2021" t="s">
        <v>2401</v>
      </c>
      <c r="F33" s="2022"/>
      <c r="G33" s="2022"/>
      <c r="H33" s="2022"/>
      <c r="I33" s="2022"/>
      <c r="J33" s="2022"/>
      <c r="K33" s="2022"/>
      <c r="L33" s="2022"/>
      <c r="M33" s="2022"/>
      <c r="N33" s="2022"/>
      <c r="O33" s="2022"/>
      <c r="P33" s="2022"/>
      <c r="Q33" s="2022"/>
      <c r="R33" s="2022"/>
      <c r="S33" s="2022"/>
      <c r="T33" s="2022"/>
      <c r="U33" s="2022"/>
      <c r="V33" s="2022"/>
      <c r="W33" s="2022"/>
      <c r="X33" s="2022"/>
      <c r="Y33" s="2022"/>
      <c r="Z33" s="2022"/>
      <c r="AA33" s="2022"/>
      <c r="AB33" s="2022"/>
      <c r="AC33" s="2022"/>
      <c r="AD33" s="2022"/>
      <c r="AE33" s="2022"/>
      <c r="AF33" s="2022"/>
      <c r="AG33" s="2022"/>
      <c r="AH33" s="2022"/>
      <c r="AI33" s="2022"/>
      <c r="AJ33" s="2023"/>
      <c r="AK33" s="575"/>
      <c r="AL33" s="575"/>
      <c r="AM33" s="575"/>
      <c r="AN33" s="570"/>
    </row>
    <row r="34" spans="1:41" s="571" customFormat="1" ht="12.75" customHeight="1">
      <c r="A34" s="575"/>
      <c r="B34" s="575"/>
      <c r="C34" s="575"/>
      <c r="E34" s="2024"/>
      <c r="F34" s="2025"/>
      <c r="G34" s="2025"/>
      <c r="H34" s="2025"/>
      <c r="I34" s="2025"/>
      <c r="J34" s="2025"/>
      <c r="K34" s="2025"/>
      <c r="L34" s="2025"/>
      <c r="M34" s="2025"/>
      <c r="N34" s="2025"/>
      <c r="O34" s="2025"/>
      <c r="P34" s="2025"/>
      <c r="Q34" s="2025"/>
      <c r="R34" s="2025"/>
      <c r="S34" s="2025"/>
      <c r="T34" s="2025"/>
      <c r="U34" s="2025"/>
      <c r="V34" s="2025"/>
      <c r="W34" s="2025"/>
      <c r="X34" s="2025"/>
      <c r="Y34" s="2025"/>
      <c r="Z34" s="2025"/>
      <c r="AA34" s="2025"/>
      <c r="AB34" s="2025"/>
      <c r="AC34" s="2025"/>
      <c r="AD34" s="2025"/>
      <c r="AE34" s="2025"/>
      <c r="AF34" s="2025"/>
      <c r="AG34" s="2025"/>
      <c r="AH34" s="2025"/>
      <c r="AI34" s="2025"/>
      <c r="AJ34" s="2026"/>
      <c r="AK34" s="575"/>
      <c r="AL34" s="575"/>
      <c r="AM34" s="575"/>
      <c r="AN34" s="570"/>
    </row>
    <row r="35" spans="1:41" s="571" customFormat="1" ht="12.75" customHeight="1">
      <c r="A35" s="575"/>
      <c r="B35" s="575"/>
      <c r="C35" s="575"/>
      <c r="E35" s="2046"/>
      <c r="F35" s="2047"/>
      <c r="G35" s="2047"/>
      <c r="H35" s="2047"/>
      <c r="I35" s="2047"/>
      <c r="J35" s="2047"/>
      <c r="K35" s="2047"/>
      <c r="L35" s="2047"/>
      <c r="M35" s="2047"/>
      <c r="N35" s="2047"/>
      <c r="O35" s="2047"/>
      <c r="P35" s="2047"/>
      <c r="Q35" s="2047"/>
      <c r="R35" s="2047"/>
      <c r="S35" s="2047"/>
      <c r="T35" s="2047"/>
      <c r="U35" s="2047"/>
      <c r="V35" s="2047"/>
      <c r="W35" s="2047"/>
      <c r="X35" s="2047"/>
      <c r="Y35" s="2047"/>
      <c r="Z35" s="2047"/>
      <c r="AA35" s="2047"/>
      <c r="AB35" s="2047"/>
      <c r="AC35" s="2047"/>
      <c r="AD35" s="2047"/>
      <c r="AE35" s="2047"/>
      <c r="AF35" s="2047"/>
      <c r="AG35" s="2047"/>
      <c r="AH35" s="2047"/>
      <c r="AI35" s="2047"/>
      <c r="AJ35" s="2048"/>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2403</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2093" t="s">
        <v>600</v>
      </c>
      <c r="C39" s="2093"/>
      <c r="D39" s="1195"/>
      <c r="E39" s="2021" t="s">
        <v>2402</v>
      </c>
      <c r="F39" s="2022"/>
      <c r="G39" s="2022"/>
      <c r="H39" s="2022"/>
      <c r="I39" s="2022"/>
      <c r="J39" s="2022"/>
      <c r="K39" s="2022"/>
      <c r="L39" s="2022"/>
      <c r="M39" s="2022"/>
      <c r="N39" s="2022"/>
      <c r="O39" s="2022"/>
      <c r="P39" s="2022"/>
      <c r="Q39" s="2022"/>
      <c r="R39" s="2022"/>
      <c r="S39" s="2022"/>
      <c r="T39" s="2022"/>
      <c r="U39" s="2022"/>
      <c r="V39" s="2022"/>
      <c r="W39" s="2022"/>
      <c r="X39" s="2022"/>
      <c r="Y39" s="2022"/>
      <c r="Z39" s="2022"/>
      <c r="AA39" s="2022"/>
      <c r="AB39" s="2022"/>
      <c r="AC39" s="2022"/>
      <c r="AD39" s="2022"/>
      <c r="AE39" s="2022"/>
      <c r="AF39" s="2022"/>
      <c r="AG39" s="2022"/>
      <c r="AH39" s="2022"/>
      <c r="AI39" s="2022"/>
      <c r="AJ39" s="2023"/>
      <c r="AK39" s="1195"/>
      <c r="AL39" s="575"/>
      <c r="AM39" s="575"/>
      <c r="AN39" s="570"/>
    </row>
    <row r="40" spans="1:41" s="571" customFormat="1" ht="12.75" customHeight="1">
      <c r="A40" s="575"/>
      <c r="B40" s="575"/>
      <c r="C40" s="575"/>
      <c r="E40" s="2024"/>
      <c r="F40" s="2025"/>
      <c r="G40" s="2025"/>
      <c r="H40" s="2025"/>
      <c r="I40" s="2025"/>
      <c r="J40" s="2025"/>
      <c r="K40" s="2025"/>
      <c r="L40" s="2025"/>
      <c r="M40" s="2025"/>
      <c r="N40" s="2025"/>
      <c r="O40" s="2025"/>
      <c r="P40" s="2025"/>
      <c r="Q40" s="2025"/>
      <c r="R40" s="2025"/>
      <c r="S40" s="2025"/>
      <c r="T40" s="2025"/>
      <c r="U40" s="2025"/>
      <c r="V40" s="2025"/>
      <c r="W40" s="2025"/>
      <c r="X40" s="2025"/>
      <c r="Y40" s="2025"/>
      <c r="Z40" s="2025"/>
      <c r="AA40" s="2025"/>
      <c r="AB40" s="2025"/>
      <c r="AC40" s="2025"/>
      <c r="AD40" s="2025"/>
      <c r="AE40" s="2025"/>
      <c r="AF40" s="2025"/>
      <c r="AG40" s="2025"/>
      <c r="AH40" s="2025"/>
      <c r="AI40" s="2025"/>
      <c r="AJ40" s="2026"/>
      <c r="AK40" s="575"/>
      <c r="AL40" s="575"/>
      <c r="AM40" s="575"/>
      <c r="AN40" s="570"/>
    </row>
    <row r="41" spans="1:41" s="571" customFormat="1" ht="12.75" customHeight="1">
      <c r="A41" s="575"/>
      <c r="D41" s="582"/>
      <c r="E41" s="2046"/>
      <c r="F41" s="2047"/>
      <c r="G41" s="2047"/>
      <c r="H41" s="2047"/>
      <c r="I41" s="2047"/>
      <c r="J41" s="2047"/>
      <c r="K41" s="2047"/>
      <c r="L41" s="2047"/>
      <c r="M41" s="2047"/>
      <c r="N41" s="2047"/>
      <c r="O41" s="2047"/>
      <c r="P41" s="2047"/>
      <c r="Q41" s="2047"/>
      <c r="R41" s="2047"/>
      <c r="S41" s="2047"/>
      <c r="T41" s="2047"/>
      <c r="U41" s="2047"/>
      <c r="V41" s="2047"/>
      <c r="W41" s="2047"/>
      <c r="X41" s="2047"/>
      <c r="Y41" s="2047"/>
      <c r="Z41" s="2047"/>
      <c r="AA41" s="2047"/>
      <c r="AB41" s="2047"/>
      <c r="AC41" s="2047"/>
      <c r="AD41" s="2047"/>
      <c r="AE41" s="2047"/>
      <c r="AF41" s="2047"/>
      <c r="AG41" s="2047"/>
      <c r="AH41" s="2047"/>
      <c r="AI41" s="2047"/>
      <c r="AJ41" s="2048"/>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2405</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2406</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2093" t="s">
        <v>600</v>
      </c>
      <c r="C46" s="2093"/>
      <c r="D46" s="575"/>
      <c r="E46" s="2021" t="s">
        <v>2407</v>
      </c>
      <c r="F46" s="2022"/>
      <c r="G46" s="2022"/>
      <c r="H46" s="2022"/>
      <c r="I46" s="2022"/>
      <c r="J46" s="2022"/>
      <c r="K46" s="2022"/>
      <c r="L46" s="2022"/>
      <c r="M46" s="2022"/>
      <c r="N46" s="2022"/>
      <c r="O46" s="2022"/>
      <c r="P46" s="2022"/>
      <c r="Q46" s="2022"/>
      <c r="R46" s="2022"/>
      <c r="S46" s="2022"/>
      <c r="T46" s="2022"/>
      <c r="U46" s="2022"/>
      <c r="V46" s="2022"/>
      <c r="W46" s="2022"/>
      <c r="X46" s="2022"/>
      <c r="Y46" s="2022"/>
      <c r="Z46" s="2022"/>
      <c r="AA46" s="2022"/>
      <c r="AB46" s="2022"/>
      <c r="AC46" s="2022"/>
      <c r="AD46" s="2022"/>
      <c r="AE46" s="2022"/>
      <c r="AF46" s="2022"/>
      <c r="AG46" s="2022"/>
      <c r="AH46" s="2022"/>
      <c r="AI46" s="2022"/>
      <c r="AJ46" s="2023"/>
      <c r="AK46" s="575"/>
      <c r="AL46" s="575"/>
      <c r="AM46" s="575"/>
      <c r="AN46" s="570"/>
      <c r="AO46" s="594"/>
    </row>
    <row r="47" spans="1:41" s="571" customFormat="1" ht="12.75" customHeight="1">
      <c r="A47" s="575"/>
      <c r="D47" s="582"/>
      <c r="E47" s="2024"/>
      <c r="F47" s="2025"/>
      <c r="G47" s="2025"/>
      <c r="H47" s="2025"/>
      <c r="I47" s="2025"/>
      <c r="J47" s="2025"/>
      <c r="K47" s="2025"/>
      <c r="L47" s="2025"/>
      <c r="M47" s="2025"/>
      <c r="N47" s="2025"/>
      <c r="O47" s="2025"/>
      <c r="P47" s="2025"/>
      <c r="Q47" s="2025"/>
      <c r="R47" s="2025"/>
      <c r="S47" s="2025"/>
      <c r="T47" s="2025"/>
      <c r="U47" s="2025"/>
      <c r="V47" s="2025"/>
      <c r="W47" s="2025"/>
      <c r="X47" s="2025"/>
      <c r="Y47" s="2025"/>
      <c r="Z47" s="2025"/>
      <c r="AA47" s="2025"/>
      <c r="AB47" s="2025"/>
      <c r="AC47" s="2025"/>
      <c r="AD47" s="2025"/>
      <c r="AE47" s="2025"/>
      <c r="AF47" s="2025"/>
      <c r="AG47" s="2025"/>
      <c r="AH47" s="2025"/>
      <c r="AI47" s="2025"/>
      <c r="AJ47" s="2026"/>
      <c r="AK47" s="575"/>
      <c r="AL47" s="575"/>
      <c r="AM47" s="575"/>
      <c r="AN47" s="570"/>
      <c r="AO47" s="594"/>
    </row>
    <row r="48" spans="1:41" s="571" customFormat="1" ht="12.75" customHeight="1">
      <c r="A48" s="575"/>
      <c r="D48" s="575"/>
      <c r="E48" s="2046"/>
      <c r="F48" s="2047"/>
      <c r="G48" s="2047"/>
      <c r="H48" s="2047"/>
      <c r="I48" s="2047"/>
      <c r="J48" s="2047"/>
      <c r="K48" s="2047"/>
      <c r="L48" s="2047"/>
      <c r="M48" s="2047"/>
      <c r="N48" s="2047"/>
      <c r="O48" s="2047"/>
      <c r="P48" s="2047"/>
      <c r="Q48" s="2047"/>
      <c r="R48" s="2047"/>
      <c r="S48" s="2047"/>
      <c r="T48" s="2047"/>
      <c r="U48" s="2047"/>
      <c r="V48" s="2047"/>
      <c r="W48" s="2047"/>
      <c r="X48" s="2047"/>
      <c r="Y48" s="2047"/>
      <c r="Z48" s="2047"/>
      <c r="AA48" s="2047"/>
      <c r="AB48" s="2047"/>
      <c r="AC48" s="2047"/>
      <c r="AD48" s="2047"/>
      <c r="AE48" s="2047"/>
      <c r="AF48" s="2047"/>
      <c r="AG48" s="2047"/>
      <c r="AH48" s="2047"/>
      <c r="AI48" s="2047"/>
      <c r="AJ48" s="2048"/>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2093" t="s">
        <v>600</v>
      </c>
      <c r="C50" s="2093"/>
      <c r="D50" s="575"/>
      <c r="E50" s="2119" t="s">
        <v>2408</v>
      </c>
      <c r="F50" s="2120"/>
      <c r="G50" s="2120"/>
      <c r="H50" s="2120"/>
      <c r="I50" s="2120"/>
      <c r="J50" s="2120"/>
      <c r="K50" s="2120"/>
      <c r="L50" s="2120"/>
      <c r="M50" s="2120"/>
      <c r="N50" s="2120"/>
      <c r="O50" s="2120"/>
      <c r="P50" s="2120"/>
      <c r="Q50" s="2120"/>
      <c r="R50" s="2120"/>
      <c r="S50" s="2120"/>
      <c r="T50" s="2120"/>
      <c r="U50" s="2120"/>
      <c r="V50" s="2120"/>
      <c r="W50" s="2120"/>
      <c r="X50" s="2120"/>
      <c r="Y50" s="2120"/>
      <c r="Z50" s="2120"/>
      <c r="AA50" s="2120"/>
      <c r="AB50" s="2120"/>
      <c r="AC50" s="2120"/>
      <c r="AD50" s="2120"/>
      <c r="AE50" s="2120"/>
      <c r="AF50" s="2120"/>
      <c r="AG50" s="2120"/>
      <c r="AH50" s="2120"/>
      <c r="AI50" s="2120"/>
      <c r="AJ50" s="2121"/>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2093" t="s">
        <v>600</v>
      </c>
      <c r="C52" s="2093"/>
      <c r="D52" s="575"/>
      <c r="E52" s="2021" t="s">
        <v>2409</v>
      </c>
      <c r="F52" s="2022"/>
      <c r="G52" s="2022"/>
      <c r="H52" s="2022"/>
      <c r="I52" s="2022"/>
      <c r="J52" s="2022"/>
      <c r="K52" s="2022"/>
      <c r="L52" s="2022"/>
      <c r="M52" s="2022"/>
      <c r="N52" s="2022"/>
      <c r="O52" s="2022"/>
      <c r="P52" s="2022"/>
      <c r="Q52" s="2022"/>
      <c r="R52" s="2022"/>
      <c r="S52" s="2022"/>
      <c r="T52" s="2022"/>
      <c r="U52" s="2022"/>
      <c r="V52" s="2022"/>
      <c r="W52" s="2022"/>
      <c r="X52" s="2022"/>
      <c r="Y52" s="2022"/>
      <c r="Z52" s="2022"/>
      <c r="AA52" s="2022"/>
      <c r="AB52" s="2022"/>
      <c r="AC52" s="2022"/>
      <c r="AD52" s="2022"/>
      <c r="AE52" s="2022"/>
      <c r="AF52" s="2022"/>
      <c r="AG52" s="2022"/>
      <c r="AH52" s="2022"/>
      <c r="AI52" s="2022"/>
      <c r="AJ52" s="2023"/>
      <c r="AK52" s="575"/>
      <c r="AL52" s="575"/>
      <c r="AM52" s="575"/>
      <c r="AN52" s="570"/>
    </row>
    <row r="53" spans="1:50" s="571" customFormat="1" ht="12.75" customHeight="1">
      <c r="A53" s="575"/>
      <c r="B53" s="582"/>
      <c r="C53" s="582"/>
      <c r="D53" s="582"/>
      <c r="E53" s="2046"/>
      <c r="F53" s="2047"/>
      <c r="G53" s="2047"/>
      <c r="H53" s="2047"/>
      <c r="I53" s="2047"/>
      <c r="J53" s="2047"/>
      <c r="K53" s="2047"/>
      <c r="L53" s="2047"/>
      <c r="M53" s="2047"/>
      <c r="N53" s="2047"/>
      <c r="O53" s="2047"/>
      <c r="P53" s="2047"/>
      <c r="Q53" s="2047"/>
      <c r="R53" s="2047"/>
      <c r="S53" s="2047"/>
      <c r="T53" s="2047"/>
      <c r="U53" s="2047"/>
      <c r="V53" s="2047"/>
      <c r="W53" s="2047"/>
      <c r="X53" s="2047"/>
      <c r="Y53" s="2047"/>
      <c r="Z53" s="2047"/>
      <c r="AA53" s="2047"/>
      <c r="AB53" s="2047"/>
      <c r="AC53" s="2047"/>
      <c r="AD53" s="2047"/>
      <c r="AE53" s="2047"/>
      <c r="AF53" s="2047"/>
      <c r="AG53" s="2047"/>
      <c r="AH53" s="2047"/>
      <c r="AI53" s="2047"/>
      <c r="AJ53" s="2048"/>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1482</v>
      </c>
      <c r="AK56" s="2067">
        <f>AO36</f>
        <v>0</v>
      </c>
      <c r="AL56" s="2068"/>
      <c r="AM56" s="2069"/>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1483</v>
      </c>
      <c r="B59" s="574" t="s">
        <v>1484</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915" t="s">
        <v>1485</v>
      </c>
      <c r="AF59" s="1915"/>
      <c r="AG59" s="1915"/>
      <c r="AH59" s="1915"/>
      <c r="AI59" s="1915"/>
      <c r="AJ59" s="1915"/>
      <c r="AK59" s="1915"/>
      <c r="AL59" s="575"/>
      <c r="AM59" s="575"/>
      <c r="AN59" s="570"/>
    </row>
    <row r="60" spans="1:50" s="571" customFormat="1" ht="12.75" customHeight="1">
      <c r="A60" s="573"/>
      <c r="B60" s="574" t="s">
        <v>1987</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2093" t="s">
        <v>600</v>
      </c>
      <c r="C62" s="2093"/>
      <c r="D62" s="582" t="s">
        <v>1486</v>
      </c>
      <c r="E62" s="2085" t="s">
        <v>2410</v>
      </c>
      <c r="F62" s="2086"/>
      <c r="G62" s="2086"/>
      <c r="H62" s="2086"/>
      <c r="I62" s="2086"/>
      <c r="J62" s="2086"/>
      <c r="K62" s="2086"/>
      <c r="L62" s="2086"/>
      <c r="M62" s="2086"/>
      <c r="N62" s="2086"/>
      <c r="O62" s="2086"/>
      <c r="P62" s="2086"/>
      <c r="Q62" s="2086"/>
      <c r="R62" s="2086"/>
      <c r="S62" s="2086"/>
      <c r="T62" s="2086"/>
      <c r="U62" s="2086"/>
      <c r="V62" s="2086"/>
      <c r="W62" s="2086"/>
      <c r="X62" s="2086"/>
      <c r="Y62" s="2086"/>
      <c r="Z62" s="2086"/>
      <c r="AA62" s="2086"/>
      <c r="AB62" s="2086"/>
      <c r="AC62" s="2086"/>
      <c r="AD62" s="2086"/>
      <c r="AE62" s="2086"/>
      <c r="AF62" s="2086"/>
      <c r="AG62" s="2086"/>
      <c r="AH62" s="2086"/>
      <c r="AI62" s="2086"/>
      <c r="AJ62" s="2087"/>
      <c r="AK62" s="578"/>
      <c r="AL62" s="575"/>
      <c r="AM62" s="575"/>
      <c r="AN62" s="570"/>
      <c r="AO62" s="585">
        <f>IF($B62="yes",10,0)</f>
        <v>0</v>
      </c>
    </row>
    <row r="63" spans="1:50" s="571" customFormat="1" ht="12.75" customHeight="1">
      <c r="A63" s="573"/>
      <c r="B63" s="575"/>
      <c r="C63" s="575"/>
      <c r="D63" s="586"/>
      <c r="E63" s="2088"/>
      <c r="F63" s="2089"/>
      <c r="G63" s="2089"/>
      <c r="H63" s="2089"/>
      <c r="I63" s="2089"/>
      <c r="J63" s="2089"/>
      <c r="K63" s="2089"/>
      <c r="L63" s="2089"/>
      <c r="M63" s="2089"/>
      <c r="N63" s="2089"/>
      <c r="O63" s="2089"/>
      <c r="P63" s="2089"/>
      <c r="Q63" s="2089"/>
      <c r="R63" s="2089"/>
      <c r="S63" s="2089"/>
      <c r="T63" s="2089"/>
      <c r="U63" s="2089"/>
      <c r="V63" s="2089"/>
      <c r="W63" s="2089"/>
      <c r="X63" s="2089"/>
      <c r="Y63" s="2089"/>
      <c r="Z63" s="2089"/>
      <c r="AA63" s="2089"/>
      <c r="AB63" s="2089"/>
      <c r="AC63" s="2089"/>
      <c r="AD63" s="2089"/>
      <c r="AE63" s="2089"/>
      <c r="AF63" s="2089"/>
      <c r="AG63" s="2089"/>
      <c r="AH63" s="2089"/>
      <c r="AI63" s="2089"/>
      <c r="AJ63" s="2090"/>
      <c r="AK63" s="578"/>
      <c r="AL63" s="575"/>
      <c r="AM63" s="575"/>
      <c r="AN63" s="570"/>
      <c r="AO63" s="585">
        <f>IF($B68="yes",10,0)</f>
        <v>10</v>
      </c>
    </row>
    <row r="64" spans="1:50" s="571" customFormat="1" ht="12.75" customHeight="1">
      <c r="A64" s="573"/>
      <c r="B64" s="575"/>
      <c r="C64" s="575"/>
      <c r="D64" s="586"/>
      <c r="E64" s="2088"/>
      <c r="F64" s="2089"/>
      <c r="G64" s="2089"/>
      <c r="H64" s="2089"/>
      <c r="I64" s="2089"/>
      <c r="J64" s="2089"/>
      <c r="K64" s="2089"/>
      <c r="L64" s="2089"/>
      <c r="M64" s="2089"/>
      <c r="N64" s="2089"/>
      <c r="O64" s="2089"/>
      <c r="P64" s="2089"/>
      <c r="Q64" s="2089"/>
      <c r="R64" s="2089"/>
      <c r="S64" s="2089"/>
      <c r="T64" s="2089"/>
      <c r="U64" s="2089"/>
      <c r="V64" s="2089"/>
      <c r="W64" s="2089"/>
      <c r="X64" s="2089"/>
      <c r="Y64" s="2089"/>
      <c r="Z64" s="2089"/>
      <c r="AA64" s="2089"/>
      <c r="AB64" s="2089"/>
      <c r="AC64" s="2089"/>
      <c r="AD64" s="2089"/>
      <c r="AE64" s="2089"/>
      <c r="AF64" s="2089"/>
      <c r="AG64" s="2089"/>
      <c r="AH64" s="2089"/>
      <c r="AI64" s="2089"/>
      <c r="AJ64" s="2090"/>
      <c r="AK64" s="578"/>
      <c r="AL64" s="575"/>
      <c r="AM64" s="575"/>
      <c r="AN64" s="570"/>
      <c r="AO64" s="585">
        <f>IF($B75="yes",10,0)</f>
        <v>0</v>
      </c>
    </row>
    <row r="65" spans="1:42" s="571" customFormat="1" ht="12.75" customHeight="1">
      <c r="A65" s="573"/>
      <c r="B65" s="575"/>
      <c r="C65" s="575"/>
      <c r="D65" s="586"/>
      <c r="E65" s="2088"/>
      <c r="F65" s="2089"/>
      <c r="G65" s="2089"/>
      <c r="H65" s="2089"/>
      <c r="I65" s="2089"/>
      <c r="J65" s="2089"/>
      <c r="K65" s="2089"/>
      <c r="L65" s="2089"/>
      <c r="M65" s="2089"/>
      <c r="N65" s="2089"/>
      <c r="O65" s="2089"/>
      <c r="P65" s="2089"/>
      <c r="Q65" s="2089"/>
      <c r="R65" s="2089"/>
      <c r="S65" s="2089"/>
      <c r="T65" s="2089"/>
      <c r="U65" s="2089"/>
      <c r="V65" s="2089"/>
      <c r="W65" s="2089"/>
      <c r="X65" s="2089"/>
      <c r="Y65" s="2089"/>
      <c r="Z65" s="2089"/>
      <c r="AA65" s="2089"/>
      <c r="AB65" s="2089"/>
      <c r="AC65" s="2089"/>
      <c r="AD65" s="2089"/>
      <c r="AE65" s="2089"/>
      <c r="AF65" s="2089"/>
      <c r="AG65" s="2089"/>
      <c r="AH65" s="2089"/>
      <c r="AI65" s="2089"/>
      <c r="AJ65" s="2090"/>
      <c r="AK65" s="578"/>
      <c r="AL65" s="575"/>
      <c r="AM65" s="575"/>
      <c r="AN65" s="570"/>
      <c r="AO65" s="571">
        <f>IF(SUM(AO62:AO64)&gt;10,10,(SUM(AO62:AO64)))</f>
        <v>10</v>
      </c>
      <c r="AP65" s="609" t="s">
        <v>1487</v>
      </c>
    </row>
    <row r="66" spans="1:42" s="571" customFormat="1" ht="12.75" customHeight="1">
      <c r="A66" s="573"/>
      <c r="B66" s="575"/>
      <c r="C66" s="575"/>
      <c r="D66" s="586"/>
      <c r="E66" s="2115"/>
      <c r="F66" s="2116"/>
      <c r="G66" s="2116"/>
      <c r="H66" s="2116"/>
      <c r="I66" s="2116"/>
      <c r="J66" s="2116"/>
      <c r="K66" s="2116"/>
      <c r="L66" s="2116"/>
      <c r="M66" s="2116"/>
      <c r="N66" s="2116"/>
      <c r="O66" s="2116"/>
      <c r="P66" s="2116"/>
      <c r="Q66" s="2116"/>
      <c r="R66" s="2116"/>
      <c r="S66" s="2116"/>
      <c r="T66" s="2116"/>
      <c r="U66" s="2116"/>
      <c r="V66" s="2116"/>
      <c r="W66" s="2116"/>
      <c r="X66" s="2116"/>
      <c r="Y66" s="2116"/>
      <c r="Z66" s="2116"/>
      <c r="AA66" s="2116"/>
      <c r="AB66" s="2116"/>
      <c r="AC66" s="2116"/>
      <c r="AD66" s="2116"/>
      <c r="AE66" s="2116"/>
      <c r="AF66" s="2116"/>
      <c r="AG66" s="2116"/>
      <c r="AH66" s="2116"/>
      <c r="AI66" s="2116"/>
      <c r="AJ66" s="2117"/>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2093" t="s">
        <v>554</v>
      </c>
      <c r="C68" s="2093"/>
      <c r="D68" s="582" t="s">
        <v>1488</v>
      </c>
      <c r="E68" s="1008" t="s">
        <v>1983</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2118" t="s">
        <v>554</v>
      </c>
      <c r="F69" s="2093"/>
      <c r="G69" s="610"/>
      <c r="H69" s="593" t="s">
        <v>1489</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2113" t="s">
        <v>600</v>
      </c>
      <c r="F70" s="2114"/>
      <c r="G70" s="610"/>
      <c r="H70" s="593" t="s">
        <v>1490</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2113" t="s">
        <v>600</v>
      </c>
      <c r="F71" s="2114"/>
      <c r="G71" s="610"/>
      <c r="H71" s="593" t="s">
        <v>1998</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2118" t="s">
        <v>600</v>
      </c>
      <c r="F73" s="2093"/>
      <c r="G73" s="943"/>
      <c r="H73" s="1013" t="s">
        <v>1997</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2093" t="s">
        <v>600</v>
      </c>
      <c r="C75" s="2093"/>
      <c r="D75" s="582" t="s">
        <v>1491</v>
      </c>
      <c r="E75" s="2021" t="s">
        <v>1999</v>
      </c>
      <c r="F75" s="2022"/>
      <c r="G75" s="2022"/>
      <c r="H75" s="2022"/>
      <c r="I75" s="2022"/>
      <c r="J75" s="2022"/>
      <c r="K75" s="2022"/>
      <c r="L75" s="2022"/>
      <c r="M75" s="2022"/>
      <c r="N75" s="2022"/>
      <c r="O75" s="2022"/>
      <c r="P75" s="2022"/>
      <c r="Q75" s="2022"/>
      <c r="R75" s="2022"/>
      <c r="S75" s="2022"/>
      <c r="T75" s="2022"/>
      <c r="U75" s="2022"/>
      <c r="V75" s="2022"/>
      <c r="W75" s="2022"/>
      <c r="X75" s="2022"/>
      <c r="Y75" s="2022"/>
      <c r="Z75" s="2022"/>
      <c r="AA75" s="2022"/>
      <c r="AB75" s="2022"/>
      <c r="AC75" s="2022"/>
      <c r="AD75" s="2022"/>
      <c r="AE75" s="2022"/>
      <c r="AF75" s="2022"/>
      <c r="AG75" s="2022"/>
      <c r="AH75" s="2022"/>
      <c r="AI75" s="2022"/>
      <c r="AJ75" s="2023"/>
      <c r="AK75" s="578"/>
      <c r="AL75" s="575"/>
      <c r="AM75" s="575"/>
      <c r="AN75" s="570"/>
    </row>
    <row r="76" spans="1:42" s="571" customFormat="1" ht="12.75" customHeight="1">
      <c r="A76" s="573"/>
      <c r="B76" s="575"/>
      <c r="C76" s="575"/>
      <c r="D76" s="585"/>
      <c r="E76" s="2046"/>
      <c r="F76" s="2047"/>
      <c r="G76" s="2047"/>
      <c r="H76" s="2047"/>
      <c r="I76" s="2047"/>
      <c r="J76" s="2047"/>
      <c r="K76" s="2047"/>
      <c r="L76" s="2047"/>
      <c r="M76" s="2047"/>
      <c r="N76" s="2047"/>
      <c r="O76" s="2047"/>
      <c r="P76" s="2047"/>
      <c r="Q76" s="2047"/>
      <c r="R76" s="2047"/>
      <c r="S76" s="2047"/>
      <c r="T76" s="2047"/>
      <c r="U76" s="2047"/>
      <c r="V76" s="2047"/>
      <c r="W76" s="2047"/>
      <c r="X76" s="2047"/>
      <c r="Y76" s="2047"/>
      <c r="Z76" s="2047"/>
      <c r="AA76" s="2047"/>
      <c r="AB76" s="2047"/>
      <c r="AC76" s="2047"/>
      <c r="AD76" s="2047"/>
      <c r="AE76" s="2047"/>
      <c r="AF76" s="2047"/>
      <c r="AG76" s="2047"/>
      <c r="AH76" s="2047"/>
      <c r="AI76" s="2047"/>
      <c r="AJ76" s="2048"/>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1492</v>
      </c>
      <c r="AK78" s="2067">
        <f>IF(AK56&gt;0,0,AO65)</f>
        <v>10</v>
      </c>
      <c r="AL78" s="2068"/>
      <c r="AM78" s="2069"/>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1493</v>
      </c>
      <c r="B81" s="574" t="s">
        <v>1494</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915" t="s">
        <v>1476</v>
      </c>
      <c r="AF81" s="1915"/>
      <c r="AG81" s="1915"/>
      <c r="AH81" s="1915"/>
      <c r="AI81" s="1915"/>
      <c r="AJ81" s="1915"/>
      <c r="AK81" s="1915"/>
      <c r="AL81" s="575"/>
      <c r="AM81" s="575"/>
      <c r="AN81" s="570"/>
    </row>
    <row r="82" spans="1:43" s="571" customFormat="1" ht="12.75" customHeight="1">
      <c r="A82" s="573"/>
      <c r="B82" s="574" t="s">
        <v>1495</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2093" t="s">
        <v>600</v>
      </c>
      <c r="C84" s="2093"/>
      <c r="D84" s="582" t="s">
        <v>1486</v>
      </c>
      <c r="E84" s="2085" t="s">
        <v>1496</v>
      </c>
      <c r="F84" s="2086"/>
      <c r="G84" s="2086"/>
      <c r="H84" s="2086"/>
      <c r="I84" s="2086"/>
      <c r="J84" s="2086"/>
      <c r="K84" s="2086"/>
      <c r="L84" s="2086"/>
      <c r="M84" s="2086"/>
      <c r="N84" s="2086"/>
      <c r="O84" s="2086"/>
      <c r="P84" s="2086"/>
      <c r="Q84" s="2086"/>
      <c r="R84" s="2086"/>
      <c r="S84" s="2086"/>
      <c r="T84" s="2086"/>
      <c r="U84" s="2086"/>
      <c r="V84" s="2086"/>
      <c r="W84" s="2086"/>
      <c r="X84" s="2086"/>
      <c r="Y84" s="2086"/>
      <c r="Z84" s="2086"/>
      <c r="AA84" s="2086"/>
      <c r="AB84" s="2086"/>
      <c r="AC84" s="2086"/>
      <c r="AD84" s="2086"/>
      <c r="AE84" s="2086"/>
      <c r="AF84" s="2086"/>
      <c r="AG84" s="2086"/>
      <c r="AH84" s="2086"/>
      <c r="AI84" s="2086"/>
      <c r="AJ84" s="2087"/>
      <c r="AK84" s="578"/>
      <c r="AL84" s="575"/>
      <c r="AM84" s="575"/>
      <c r="AN84" s="570"/>
    </row>
    <row r="85" spans="1:43" s="571" customFormat="1" ht="12.75" customHeight="1">
      <c r="A85" s="573"/>
      <c r="B85" s="574"/>
      <c r="C85" s="574"/>
      <c r="D85" s="574"/>
      <c r="E85" s="2088"/>
      <c r="F85" s="2089"/>
      <c r="G85" s="2089"/>
      <c r="H85" s="2089"/>
      <c r="I85" s="2089"/>
      <c r="J85" s="2089"/>
      <c r="K85" s="2089"/>
      <c r="L85" s="2089"/>
      <c r="M85" s="2089"/>
      <c r="N85" s="2089"/>
      <c r="O85" s="2089"/>
      <c r="P85" s="2089"/>
      <c r="Q85" s="2089"/>
      <c r="R85" s="2089"/>
      <c r="S85" s="2089"/>
      <c r="T85" s="2089"/>
      <c r="U85" s="2089"/>
      <c r="V85" s="2089"/>
      <c r="W85" s="2089"/>
      <c r="X85" s="2089"/>
      <c r="Y85" s="2089"/>
      <c r="Z85" s="2089"/>
      <c r="AA85" s="2089"/>
      <c r="AB85" s="2089"/>
      <c r="AC85" s="2089"/>
      <c r="AD85" s="2089"/>
      <c r="AE85" s="2089"/>
      <c r="AF85" s="2089"/>
      <c r="AG85" s="2089"/>
      <c r="AH85" s="2089"/>
      <c r="AI85" s="2089"/>
      <c r="AJ85" s="2090"/>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2081">
        <f>Application!AC739</f>
        <v>0.44615384615384623</v>
      </c>
      <c r="F87" s="2082"/>
      <c r="G87" s="2082"/>
      <c r="H87" s="2082"/>
      <c r="I87" s="612"/>
      <c r="J87" s="615" t="s">
        <v>1497</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2112">
        <f>0.6-ROUNDUP(E87,2)</f>
        <v>0.14999999999999997</v>
      </c>
      <c r="F88" s="1889"/>
      <c r="G88" s="1889"/>
      <c r="H88" s="1889"/>
      <c r="I88" s="612"/>
      <c r="J88" s="615" t="s">
        <v>1498</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2097">
        <f>IF(E88*200&gt;20,20,E88*200)</f>
        <v>20</v>
      </c>
      <c r="F89" s="2098"/>
      <c r="G89" s="2098"/>
      <c r="H89" s="2098"/>
      <c r="I89" s="612"/>
      <c r="J89" s="615" t="s">
        <v>1499</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0</v>
      </c>
      <c r="AQ89" s="571" t="s">
        <v>1479</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2093" t="s">
        <v>554</v>
      </c>
      <c r="C92" s="2093"/>
      <c r="D92" s="582" t="s">
        <v>1488</v>
      </c>
      <c r="E92" s="2085" t="s">
        <v>1984</v>
      </c>
      <c r="F92" s="2086"/>
      <c r="G92" s="2086"/>
      <c r="H92" s="2086"/>
      <c r="I92" s="2086"/>
      <c r="J92" s="2086"/>
      <c r="K92" s="2086"/>
      <c r="L92" s="2086"/>
      <c r="M92" s="2086"/>
      <c r="N92" s="2086"/>
      <c r="O92" s="2086"/>
      <c r="P92" s="2086"/>
      <c r="Q92" s="2086"/>
      <c r="R92" s="2086"/>
      <c r="S92" s="2086"/>
      <c r="T92" s="2086"/>
      <c r="U92" s="2086"/>
      <c r="V92" s="2086"/>
      <c r="W92" s="2086"/>
      <c r="X92" s="2086"/>
      <c r="Y92" s="2086"/>
      <c r="Z92" s="2086"/>
      <c r="AA92" s="2086"/>
      <c r="AB92" s="2086"/>
      <c r="AC92" s="2086"/>
      <c r="AD92" s="2086"/>
      <c r="AE92" s="2086"/>
      <c r="AF92" s="2086"/>
      <c r="AG92" s="2086"/>
      <c r="AH92" s="2086"/>
      <c r="AI92" s="2086"/>
      <c r="AJ92" s="2087"/>
      <c r="AK92" s="578"/>
      <c r="AL92" s="575"/>
      <c r="AM92" s="575"/>
      <c r="AN92" s="570"/>
    </row>
    <row r="93" spans="1:43" s="571" customFormat="1" ht="12.75" customHeight="1">
      <c r="A93" s="573"/>
      <c r="B93" s="574"/>
      <c r="C93" s="574"/>
      <c r="D93" s="574"/>
      <c r="E93" s="2088"/>
      <c r="F93" s="2089"/>
      <c r="G93" s="2089"/>
      <c r="H93" s="2089"/>
      <c r="I93" s="2089"/>
      <c r="J93" s="2089"/>
      <c r="K93" s="2089"/>
      <c r="L93" s="2089"/>
      <c r="M93" s="2089"/>
      <c r="N93" s="2089"/>
      <c r="O93" s="2089"/>
      <c r="P93" s="2089"/>
      <c r="Q93" s="2089"/>
      <c r="R93" s="2089"/>
      <c r="S93" s="2089"/>
      <c r="T93" s="2089"/>
      <c r="U93" s="2089"/>
      <c r="V93" s="2089"/>
      <c r="W93" s="2089"/>
      <c r="X93" s="2089"/>
      <c r="Y93" s="2089"/>
      <c r="Z93" s="2089"/>
      <c r="AA93" s="2089"/>
      <c r="AB93" s="2089"/>
      <c r="AC93" s="2089"/>
      <c r="AD93" s="2089"/>
      <c r="AE93" s="2089"/>
      <c r="AF93" s="2089"/>
      <c r="AG93" s="2089"/>
      <c r="AH93" s="2089"/>
      <c r="AI93" s="2089"/>
      <c r="AJ93" s="2090"/>
      <c r="AK93" s="578"/>
      <c r="AL93" s="575"/>
      <c r="AM93" s="575"/>
      <c r="AN93" s="570"/>
    </row>
    <row r="94" spans="1:43" s="571" customFormat="1" ht="12.75" customHeight="1">
      <c r="A94" s="573"/>
      <c r="B94" s="574"/>
      <c r="C94" s="574"/>
      <c r="D94" s="574"/>
      <c r="E94" s="2088"/>
      <c r="F94" s="2089"/>
      <c r="G94" s="2089"/>
      <c r="H94" s="2089"/>
      <c r="I94" s="2089"/>
      <c r="J94" s="2089"/>
      <c r="K94" s="2089"/>
      <c r="L94" s="2089"/>
      <c r="M94" s="2089"/>
      <c r="N94" s="2089"/>
      <c r="O94" s="2089"/>
      <c r="P94" s="2089"/>
      <c r="Q94" s="2089"/>
      <c r="R94" s="2089"/>
      <c r="S94" s="2089"/>
      <c r="T94" s="2089"/>
      <c r="U94" s="2089"/>
      <c r="V94" s="2089"/>
      <c r="W94" s="2089"/>
      <c r="X94" s="2089"/>
      <c r="Y94" s="2089"/>
      <c r="Z94" s="2089"/>
      <c r="AA94" s="2089"/>
      <c r="AB94" s="2089"/>
      <c r="AC94" s="2089"/>
      <c r="AD94" s="2089"/>
      <c r="AE94" s="2089"/>
      <c r="AF94" s="2089"/>
      <c r="AG94" s="2089"/>
      <c r="AH94" s="2089"/>
      <c r="AI94" s="2089"/>
      <c r="AJ94" s="2090"/>
      <c r="AK94" s="578"/>
      <c r="AL94" s="575"/>
      <c r="AM94" s="575"/>
      <c r="AN94" s="570"/>
    </row>
    <row r="95" spans="1:43" s="571" customFormat="1" ht="12.75" customHeight="1">
      <c r="A95" s="573"/>
      <c r="B95" s="574"/>
      <c r="C95" s="574"/>
      <c r="D95" s="574"/>
      <c r="E95" s="2088"/>
      <c r="F95" s="2089"/>
      <c r="G95" s="2089"/>
      <c r="H95" s="2089"/>
      <c r="I95" s="2089"/>
      <c r="J95" s="2089"/>
      <c r="K95" s="2089"/>
      <c r="L95" s="2089"/>
      <c r="M95" s="2089"/>
      <c r="N95" s="2089"/>
      <c r="O95" s="2089"/>
      <c r="P95" s="2089"/>
      <c r="Q95" s="2089"/>
      <c r="R95" s="2089"/>
      <c r="S95" s="2089"/>
      <c r="T95" s="2089"/>
      <c r="U95" s="2089"/>
      <c r="V95" s="2089"/>
      <c r="W95" s="2089"/>
      <c r="X95" s="2089"/>
      <c r="Y95" s="2089"/>
      <c r="Z95" s="2089"/>
      <c r="AA95" s="2089"/>
      <c r="AB95" s="2089"/>
      <c r="AC95" s="2089"/>
      <c r="AD95" s="2089"/>
      <c r="AE95" s="2089"/>
      <c r="AF95" s="2089"/>
      <c r="AG95" s="2089"/>
      <c r="AH95" s="2089"/>
      <c r="AI95" s="2089"/>
      <c r="AJ95" s="2090"/>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2081">
        <f>Application!AC739</f>
        <v>0.44615384615384623</v>
      </c>
      <c r="F97" s="2082"/>
      <c r="G97" s="2082"/>
      <c r="H97" s="2082"/>
      <c r="I97" s="612"/>
      <c r="J97" s="615" t="s">
        <v>1497</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2081">
        <f ca="1">SUMIF(Application!AC714:AG738,0.2,Application!G714:J738)/Application!G739+SUMIF(Application!AC714:AG738,0.25,Application!G714:J738)/Application!G739+SUMIF(Application!AC714:AG738,0.3,Application!G714:J738)/Application!G739</f>
        <v>0.28021978021978022</v>
      </c>
      <c r="F98" s="2082"/>
      <c r="G98" s="2082"/>
      <c r="H98" s="2082"/>
      <c r="I98" s="612"/>
      <c r="J98" s="615" t="s">
        <v>1500</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2081">
        <f ca="1">SUMIF(Application!AC714:AG738,0.35,Application!G714:J738)/Application!G739+SUMIF(Application!AC714:AG738,0.4,Application!G714:J738)/Application!G739+SUMIF(Application!AC714:AG738,0.45,Application!G714:J738)/Application!G739+SUMIF(Application!AC714:AG738,0.5,Application!G714:J738)/Application!G739</f>
        <v>0.52197802197802201</v>
      </c>
      <c r="F99" s="2082"/>
      <c r="G99" s="2082"/>
      <c r="H99" s="2082"/>
      <c r="I99" s="612"/>
      <c r="J99" s="615" t="s">
        <v>1501</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2079">
        <f ca="1">IF(AND(E97&lt;=0.6,E98&gt;=0.1,OR(E99&gt;=0.1,E98&gt;=0.2)),20,0)</f>
        <v>20</v>
      </c>
      <c r="F100" s="2080"/>
      <c r="G100" s="2080"/>
      <c r="H100" s="2080"/>
      <c r="I100" s="588"/>
      <c r="J100" s="622" t="s">
        <v>1499</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 ca="1">IF(B92="yes",E100,0)</f>
        <v>20</v>
      </c>
      <c r="AQ100" s="571" t="s">
        <v>1479</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1502</v>
      </c>
      <c r="AK103" s="2067">
        <f ca="1">MAX(AP89,AP100)</f>
        <v>20</v>
      </c>
      <c r="AL103" s="2068"/>
      <c r="AM103" s="2069"/>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1503</v>
      </c>
      <c r="B106" s="574" t="s">
        <v>1504</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915" t="s">
        <v>1485</v>
      </c>
      <c r="AF106" s="1915"/>
      <c r="AG106" s="1915"/>
      <c r="AH106" s="1915"/>
      <c r="AI106" s="1915"/>
      <c r="AJ106" s="1915"/>
      <c r="AK106" s="1915"/>
      <c r="AL106" s="575"/>
      <c r="AM106" s="575"/>
      <c r="AN106" s="570"/>
      <c r="AO106" s="571" t="str">
        <f>Application!B714</f>
        <v>1 Bedroom</v>
      </c>
      <c r="AQ106" s="571">
        <f>Application!O714</f>
        <v>300</v>
      </c>
    </row>
    <row r="107" spans="1:49" s="571" customFormat="1" ht="12.75" customHeight="1">
      <c r="A107" s="575"/>
      <c r="B107" s="574" t="s">
        <v>1495</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2 Bedrooms</v>
      </c>
      <c r="AQ107" s="571">
        <f>Application!O715</f>
        <v>350</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3 Bedrooms</v>
      </c>
      <c r="AQ108" s="571">
        <f>Application!O716</f>
        <v>400</v>
      </c>
    </row>
    <row r="109" spans="1:49" s="571" customFormat="1" ht="12.75" customHeight="1">
      <c r="A109" s="575"/>
      <c r="B109" s="2093" t="s">
        <v>554</v>
      </c>
      <c r="C109" s="2093"/>
      <c r="D109" s="582" t="s">
        <v>1486</v>
      </c>
      <c r="E109" s="2085" t="s">
        <v>2119</v>
      </c>
      <c r="F109" s="2086"/>
      <c r="G109" s="2086"/>
      <c r="H109" s="2086"/>
      <c r="I109" s="2086"/>
      <c r="J109" s="2086"/>
      <c r="K109" s="2086"/>
      <c r="L109" s="2086"/>
      <c r="M109" s="2086"/>
      <c r="N109" s="2086"/>
      <c r="O109" s="2086"/>
      <c r="P109" s="2086"/>
      <c r="Q109" s="2086"/>
      <c r="R109" s="2086"/>
      <c r="S109" s="2086"/>
      <c r="T109" s="2086"/>
      <c r="U109" s="2086"/>
      <c r="V109" s="2086"/>
      <c r="W109" s="2086"/>
      <c r="X109" s="2086"/>
      <c r="Y109" s="2086"/>
      <c r="Z109" s="2086"/>
      <c r="AA109" s="2086"/>
      <c r="AB109" s="2086"/>
      <c r="AC109" s="2086"/>
      <c r="AD109" s="2086"/>
      <c r="AE109" s="2086"/>
      <c r="AF109" s="2086"/>
      <c r="AG109" s="2086"/>
      <c r="AH109" s="2086"/>
      <c r="AI109" s="2086"/>
      <c r="AJ109" s="2087"/>
      <c r="AK109" s="575"/>
      <c r="AL109" s="575"/>
      <c r="AM109" s="575"/>
      <c r="AN109" s="570"/>
      <c r="AO109" s="571" t="str">
        <f>Application!B717</f>
        <v>1 Bedroom</v>
      </c>
      <c r="AQ109" s="571">
        <f>Application!O717</f>
        <v>300</v>
      </c>
      <c r="AU109" s="571" t="s">
        <v>2101</v>
      </c>
      <c r="AV109" s="630" t="s">
        <v>2102</v>
      </c>
      <c r="AW109" s="571" t="s">
        <v>2103</v>
      </c>
    </row>
    <row r="110" spans="1:49" s="571" customFormat="1" ht="12.75" customHeight="1">
      <c r="A110" s="575"/>
      <c r="B110" s="574"/>
      <c r="C110" s="574"/>
      <c r="D110" s="574"/>
      <c r="E110" s="2088"/>
      <c r="F110" s="2089"/>
      <c r="G110" s="2089"/>
      <c r="H110" s="2089"/>
      <c r="I110" s="2089"/>
      <c r="J110" s="2089"/>
      <c r="K110" s="2089"/>
      <c r="L110" s="2089"/>
      <c r="M110" s="2089"/>
      <c r="N110" s="2089"/>
      <c r="O110" s="2089"/>
      <c r="P110" s="2089"/>
      <c r="Q110" s="2089"/>
      <c r="R110" s="2089"/>
      <c r="S110" s="2089"/>
      <c r="T110" s="2089"/>
      <c r="U110" s="2089"/>
      <c r="V110" s="2089"/>
      <c r="W110" s="2089"/>
      <c r="X110" s="2089"/>
      <c r="Y110" s="2089"/>
      <c r="Z110" s="2089"/>
      <c r="AA110" s="2089"/>
      <c r="AB110" s="2089"/>
      <c r="AC110" s="2089"/>
      <c r="AD110" s="2089"/>
      <c r="AE110" s="2089"/>
      <c r="AF110" s="2089"/>
      <c r="AG110" s="2089"/>
      <c r="AH110" s="2089"/>
      <c r="AI110" s="2089"/>
      <c r="AJ110" s="2090"/>
      <c r="AK110" s="575"/>
      <c r="AL110" s="575"/>
      <c r="AM110" s="575"/>
      <c r="AN110" s="570"/>
      <c r="AO110" s="571" t="str">
        <f>Application!B718</f>
        <v>2 Bedrooms</v>
      </c>
      <c r="AQ110" s="571">
        <f>Application!O718</f>
        <v>350</v>
      </c>
      <c r="AU110" s="892" t="str">
        <f>E118</f>
        <v>Studio/SRO</v>
      </c>
      <c r="AV110" s="571">
        <f t="array" ref="AV110">SUM(IF(Application!B714:F738="SRO/Studio",Application!G714:J738))</f>
        <v>17</v>
      </c>
      <c r="AW110" s="1048">
        <f>AV110/AV116</f>
        <v>9.3406593406593408E-2</v>
      </c>
    </row>
    <row r="111" spans="1:49" s="571" customFormat="1" ht="12.75" customHeight="1">
      <c r="A111" s="575"/>
      <c r="B111" s="574"/>
      <c r="C111" s="574"/>
      <c r="D111" s="574"/>
      <c r="E111" s="2088"/>
      <c r="F111" s="2089"/>
      <c r="G111" s="2089"/>
      <c r="H111" s="2089"/>
      <c r="I111" s="2089"/>
      <c r="J111" s="2089"/>
      <c r="K111" s="2089"/>
      <c r="L111" s="2089"/>
      <c r="M111" s="2089"/>
      <c r="N111" s="2089"/>
      <c r="O111" s="2089"/>
      <c r="P111" s="2089"/>
      <c r="Q111" s="2089"/>
      <c r="R111" s="2089"/>
      <c r="S111" s="2089"/>
      <c r="T111" s="2089"/>
      <c r="U111" s="2089"/>
      <c r="V111" s="2089"/>
      <c r="W111" s="2089"/>
      <c r="X111" s="2089"/>
      <c r="Y111" s="2089"/>
      <c r="Z111" s="2089"/>
      <c r="AA111" s="2089"/>
      <c r="AB111" s="2089"/>
      <c r="AC111" s="2089"/>
      <c r="AD111" s="2089"/>
      <c r="AE111" s="2089"/>
      <c r="AF111" s="2089"/>
      <c r="AG111" s="2089"/>
      <c r="AH111" s="2089"/>
      <c r="AI111" s="2089"/>
      <c r="AJ111" s="2090"/>
      <c r="AK111" s="575"/>
      <c r="AL111" s="575"/>
      <c r="AM111" s="575"/>
      <c r="AN111" s="570"/>
      <c r="AO111" s="571" t="str">
        <f>Application!B719</f>
        <v>3 Bedrooms</v>
      </c>
      <c r="AQ111" s="571">
        <f>Application!O719</f>
        <v>400</v>
      </c>
      <c r="AU111" s="892" t="str">
        <f>J118</f>
        <v>1-bedroom</v>
      </c>
      <c r="AV111" s="571">
        <f t="array" ref="AV111">SUM(IF(Application!B714:F738="1 Bedroom",Application!G714:J738))</f>
        <v>75</v>
      </c>
      <c r="AW111" s="1048">
        <f>AV111/AV116</f>
        <v>0.41208791208791207</v>
      </c>
    </row>
    <row r="112" spans="1:49" s="571" customFormat="1" ht="12.75" customHeight="1">
      <c r="A112" s="575"/>
      <c r="B112" s="574"/>
      <c r="C112" s="574"/>
      <c r="D112" s="574"/>
      <c r="E112" s="2088"/>
      <c r="F112" s="2089"/>
      <c r="G112" s="2089"/>
      <c r="H112" s="2089"/>
      <c r="I112" s="2089"/>
      <c r="J112" s="2089"/>
      <c r="K112" s="2089"/>
      <c r="L112" s="2089"/>
      <c r="M112" s="2089"/>
      <c r="N112" s="2089"/>
      <c r="O112" s="2089"/>
      <c r="P112" s="2089"/>
      <c r="Q112" s="2089"/>
      <c r="R112" s="2089"/>
      <c r="S112" s="2089"/>
      <c r="T112" s="2089"/>
      <c r="U112" s="2089"/>
      <c r="V112" s="2089"/>
      <c r="W112" s="2089"/>
      <c r="X112" s="2089"/>
      <c r="Y112" s="2089"/>
      <c r="Z112" s="2089"/>
      <c r="AA112" s="2089"/>
      <c r="AB112" s="2089"/>
      <c r="AC112" s="2089"/>
      <c r="AD112" s="2089"/>
      <c r="AE112" s="2089"/>
      <c r="AF112" s="2089"/>
      <c r="AG112" s="2089"/>
      <c r="AH112" s="2089"/>
      <c r="AI112" s="2089"/>
      <c r="AJ112" s="2090"/>
      <c r="AK112" s="575"/>
      <c r="AL112" s="575"/>
      <c r="AM112" s="575"/>
      <c r="AN112" s="570"/>
      <c r="AO112" s="571" t="str">
        <f>Application!B720</f>
        <v>SRO/Studio</v>
      </c>
      <c r="AQ112" s="571">
        <f>Application!O720</f>
        <v>873</v>
      </c>
      <c r="AU112" s="892" t="str">
        <f>O118</f>
        <v>2-bedroom</v>
      </c>
      <c r="AV112" s="571">
        <f t="array" ref="AV112">SUM(IF(Application!B714:F738="2 Bedrooms",Application!G714:J738))</f>
        <v>53</v>
      </c>
      <c r="AW112" s="1048">
        <f>AV112/AV116</f>
        <v>0.29120879120879123</v>
      </c>
    </row>
    <row r="113" spans="1:52" s="571" customFormat="1" ht="12.75" customHeight="1">
      <c r="A113" s="575"/>
      <c r="B113" s="574"/>
      <c r="C113" s="574"/>
      <c r="D113" s="574"/>
      <c r="E113" s="2088"/>
      <c r="F113" s="2089"/>
      <c r="G113" s="2089"/>
      <c r="H113" s="2089"/>
      <c r="I113" s="2089"/>
      <c r="J113" s="2089"/>
      <c r="K113" s="2089"/>
      <c r="L113" s="2089"/>
      <c r="M113" s="2089"/>
      <c r="N113" s="2089"/>
      <c r="O113" s="2089"/>
      <c r="P113" s="2089"/>
      <c r="Q113" s="2089"/>
      <c r="R113" s="2089"/>
      <c r="S113" s="2089"/>
      <c r="T113" s="2089"/>
      <c r="U113" s="2089"/>
      <c r="V113" s="2089"/>
      <c r="W113" s="2089"/>
      <c r="X113" s="2089"/>
      <c r="Y113" s="2089"/>
      <c r="Z113" s="2089"/>
      <c r="AA113" s="2089"/>
      <c r="AB113" s="2089"/>
      <c r="AC113" s="2089"/>
      <c r="AD113" s="2089"/>
      <c r="AE113" s="2089"/>
      <c r="AF113" s="2089"/>
      <c r="AG113" s="2089"/>
      <c r="AH113" s="2089"/>
      <c r="AI113" s="2089"/>
      <c r="AJ113" s="2090"/>
      <c r="AK113" s="575"/>
      <c r="AL113" s="575"/>
      <c r="AM113" s="575"/>
      <c r="AN113" s="570"/>
      <c r="AO113" s="571" t="str">
        <f>Application!B721</f>
        <v>1 Bedroom</v>
      </c>
      <c r="AQ113" s="571">
        <f>Application!O721</f>
        <v>892</v>
      </c>
      <c r="AU113" s="892" t="str">
        <f>T118</f>
        <v>3-bedroom</v>
      </c>
      <c r="AV113" s="571">
        <f t="array" ref="AV113">SUM(IF(Application!B714:F738="3 Bedrooms",Application!G714:J738))</f>
        <v>37</v>
      </c>
      <c r="AW113" s="1048">
        <f>AV113/AV116</f>
        <v>0.2032967032967033</v>
      </c>
    </row>
    <row r="114" spans="1:52" s="571" customFormat="1" ht="12.75" customHeight="1">
      <c r="A114" s="575"/>
      <c r="B114" s="574"/>
      <c r="C114" s="574"/>
      <c r="D114" s="574"/>
      <c r="E114" s="2088"/>
      <c r="F114" s="2089"/>
      <c r="G114" s="2089"/>
      <c r="H114" s="2089"/>
      <c r="I114" s="2089"/>
      <c r="J114" s="2089"/>
      <c r="K114" s="2089"/>
      <c r="L114" s="2089"/>
      <c r="M114" s="2089"/>
      <c r="N114" s="2089"/>
      <c r="O114" s="2089"/>
      <c r="P114" s="2089"/>
      <c r="Q114" s="2089"/>
      <c r="R114" s="2089"/>
      <c r="S114" s="2089"/>
      <c r="T114" s="2089"/>
      <c r="U114" s="2089"/>
      <c r="V114" s="2089"/>
      <c r="W114" s="2089"/>
      <c r="X114" s="2089"/>
      <c r="Y114" s="2089"/>
      <c r="Z114" s="2089"/>
      <c r="AA114" s="2089"/>
      <c r="AB114" s="2089"/>
      <c r="AC114" s="2089"/>
      <c r="AD114" s="2089"/>
      <c r="AE114" s="2089"/>
      <c r="AF114" s="2089"/>
      <c r="AG114" s="2089"/>
      <c r="AH114" s="2089"/>
      <c r="AI114" s="2089"/>
      <c r="AJ114" s="2090"/>
      <c r="AK114" s="575"/>
      <c r="AL114" s="575"/>
      <c r="AM114" s="575"/>
      <c r="AN114" s="570"/>
      <c r="AO114" s="571" t="str">
        <f>Application!B722</f>
        <v>2 Bedrooms</v>
      </c>
      <c r="AQ114" s="571">
        <f>Application!O722</f>
        <v>1053</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2088"/>
      <c r="F115" s="2089"/>
      <c r="G115" s="2089"/>
      <c r="H115" s="2089"/>
      <c r="I115" s="2089"/>
      <c r="J115" s="2089"/>
      <c r="K115" s="2089"/>
      <c r="L115" s="2089"/>
      <c r="M115" s="2089"/>
      <c r="N115" s="2089"/>
      <c r="O115" s="2089"/>
      <c r="P115" s="2089"/>
      <c r="Q115" s="2089"/>
      <c r="R115" s="2089"/>
      <c r="S115" s="2089"/>
      <c r="T115" s="2089"/>
      <c r="U115" s="2089"/>
      <c r="V115" s="2089"/>
      <c r="W115" s="2089"/>
      <c r="X115" s="2089"/>
      <c r="Y115" s="2089"/>
      <c r="Z115" s="2089"/>
      <c r="AA115" s="2089"/>
      <c r="AB115" s="2089"/>
      <c r="AC115" s="2089"/>
      <c r="AD115" s="2089"/>
      <c r="AE115" s="2089"/>
      <c r="AF115" s="2089"/>
      <c r="AG115" s="2089"/>
      <c r="AH115" s="2089"/>
      <c r="AI115" s="2089"/>
      <c r="AJ115" s="2090"/>
      <c r="AK115" s="575"/>
      <c r="AL115" s="575"/>
      <c r="AM115" s="575"/>
      <c r="AN115" s="570"/>
      <c r="AO115" s="571" t="str">
        <f>Application!B723</f>
        <v>3 Bedrooms</v>
      </c>
      <c r="AQ115" s="571">
        <f>Application!O723</f>
        <v>1203</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2088"/>
      <c r="F116" s="2089"/>
      <c r="G116" s="2089"/>
      <c r="H116" s="2089"/>
      <c r="I116" s="2089"/>
      <c r="J116" s="2089"/>
      <c r="K116" s="2089"/>
      <c r="L116" s="2089"/>
      <c r="M116" s="2089"/>
      <c r="N116" s="2089"/>
      <c r="O116" s="2089"/>
      <c r="P116" s="2089"/>
      <c r="Q116" s="2089"/>
      <c r="R116" s="2089"/>
      <c r="S116" s="2089"/>
      <c r="T116" s="2089"/>
      <c r="U116" s="2089"/>
      <c r="V116" s="2089"/>
      <c r="W116" s="2089"/>
      <c r="X116" s="2089"/>
      <c r="Y116" s="2089"/>
      <c r="Z116" s="2089"/>
      <c r="AA116" s="2089"/>
      <c r="AB116" s="2089"/>
      <c r="AC116" s="2089"/>
      <c r="AD116" s="2089"/>
      <c r="AE116" s="2089"/>
      <c r="AF116" s="2089"/>
      <c r="AG116" s="2089"/>
      <c r="AH116" s="2089"/>
      <c r="AI116" s="2089"/>
      <c r="AJ116" s="2090"/>
      <c r="AK116" s="575"/>
      <c r="AL116" s="575"/>
      <c r="AM116" s="575"/>
      <c r="AN116" s="570"/>
      <c r="AO116" s="571" t="str">
        <f>Application!B724</f>
        <v>SRO/Studio</v>
      </c>
      <c r="AQ116" s="571">
        <f>Application!O724</f>
        <v>1422</v>
      </c>
      <c r="AV116" s="571">
        <f>SUM(AV110:AV115)</f>
        <v>182</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t="str">
        <f>Application!B725</f>
        <v>1 Bedroom</v>
      </c>
      <c r="AQ117" s="571">
        <f>Application!O725</f>
        <v>1589</v>
      </c>
    </row>
    <row r="118" spans="1:52" s="571" customFormat="1" ht="12.75" customHeight="1">
      <c r="A118" s="575"/>
      <c r="B118" s="574"/>
      <c r="C118" s="575"/>
      <c r="D118" s="575"/>
      <c r="E118" s="2081" t="s">
        <v>1764</v>
      </c>
      <c r="F118" s="2082"/>
      <c r="G118" s="2082"/>
      <c r="H118" s="2082"/>
      <c r="I118" s="612"/>
      <c r="J118" s="2082" t="s">
        <v>1809</v>
      </c>
      <c r="K118" s="2082"/>
      <c r="L118" s="2082"/>
      <c r="M118" s="2082"/>
      <c r="N118" s="612"/>
      <c r="O118" s="2082" t="s">
        <v>1810</v>
      </c>
      <c r="P118" s="2082"/>
      <c r="Q118" s="2082"/>
      <c r="R118" s="2082"/>
      <c r="S118" s="612"/>
      <c r="T118" s="2082" t="s">
        <v>1505</v>
      </c>
      <c r="U118" s="2082"/>
      <c r="V118" s="2082"/>
      <c r="W118" s="2082"/>
      <c r="X118" s="612"/>
      <c r="Y118" s="2082" t="s">
        <v>1811</v>
      </c>
      <c r="Z118" s="2082"/>
      <c r="AA118" s="2082"/>
      <c r="AB118" s="2082"/>
      <c r="AC118" s="612"/>
      <c r="AD118" s="2082" t="s">
        <v>1812</v>
      </c>
      <c r="AE118" s="2082"/>
      <c r="AF118" s="2082"/>
      <c r="AG118" s="2082"/>
      <c r="AH118" s="612"/>
      <c r="AI118" s="612"/>
      <c r="AJ118" s="614"/>
      <c r="AK118" s="575"/>
      <c r="AL118" s="575"/>
      <c r="AM118" s="575"/>
      <c r="AN118" s="570"/>
      <c r="AO118" s="571" t="str">
        <f>Application!B726</f>
        <v>2 Bedrooms</v>
      </c>
      <c r="AQ118" s="571">
        <f>Application!O726</f>
        <v>1792</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t="str">
        <f>Application!B727</f>
        <v>3 Bedrooms</v>
      </c>
      <c r="AQ119" s="571">
        <f>Application!O727</f>
        <v>1963</v>
      </c>
    </row>
    <row r="120" spans="1:52" s="571" customFormat="1" ht="12.75" customHeight="1">
      <c r="A120" s="575"/>
      <c r="B120" s="574"/>
      <c r="C120" s="575"/>
      <c r="D120" s="575"/>
      <c r="E120" s="902" t="s">
        <v>1813</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t="str">
        <f>Application!B728</f>
        <v>1 Bedroom</v>
      </c>
      <c r="AQ120" s="571">
        <f>Application!O728</f>
        <v>1938</v>
      </c>
    </row>
    <row r="121" spans="1:52" s="571" customFormat="1" ht="12.75" customHeight="1">
      <c r="A121" s="575"/>
      <c r="B121" s="574"/>
      <c r="C121" s="575"/>
      <c r="D121" s="575"/>
      <c r="E121" s="2083">
        <f>2091</f>
        <v>2091</v>
      </c>
      <c r="F121" s="2084"/>
      <c r="G121" s="2084"/>
      <c r="H121" s="2084"/>
      <c r="I121" s="900"/>
      <c r="J121" s="2084">
        <f>2399</f>
        <v>2399</v>
      </c>
      <c r="K121" s="2084"/>
      <c r="L121" s="2084"/>
      <c r="M121" s="2084"/>
      <c r="N121" s="900"/>
      <c r="O121" s="2084">
        <f>3557</f>
        <v>3557</v>
      </c>
      <c r="P121" s="2084"/>
      <c r="Q121" s="2084"/>
      <c r="R121" s="2084"/>
      <c r="S121" s="900"/>
      <c r="T121" s="2084">
        <f>5292</f>
        <v>5292</v>
      </c>
      <c r="U121" s="2084"/>
      <c r="V121" s="2084"/>
      <c r="W121" s="2084"/>
      <c r="X121" s="900"/>
      <c r="Y121" s="2084"/>
      <c r="Z121" s="2084"/>
      <c r="AA121" s="2084"/>
      <c r="AB121" s="2084"/>
      <c r="AC121" s="900"/>
      <c r="AD121" s="2084"/>
      <c r="AE121" s="2084"/>
      <c r="AF121" s="2084"/>
      <c r="AG121" s="2084"/>
      <c r="AH121" s="612"/>
      <c r="AI121" s="612"/>
      <c r="AJ121" s="614"/>
      <c r="AK121" s="575"/>
      <c r="AL121" s="575"/>
      <c r="AM121" s="575"/>
      <c r="AN121" s="570"/>
      <c r="AO121" s="571" t="str">
        <f>Application!B729</f>
        <v>2 Bedrooms</v>
      </c>
      <c r="AQ121" s="571">
        <f>Application!O729</f>
        <v>2308</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2105</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2091">
        <f>Application!DX649</f>
        <v>1357.4117647058824</v>
      </c>
      <c r="F124" s="2092"/>
      <c r="G124" s="2092"/>
      <c r="H124" s="2092"/>
      <c r="I124" s="900"/>
      <c r="J124" s="2092">
        <f>Application!EC649</f>
        <v>1512.0666666666666</v>
      </c>
      <c r="K124" s="2092"/>
      <c r="L124" s="2092"/>
      <c r="M124" s="2092"/>
      <c r="N124" s="900"/>
      <c r="O124" s="2092">
        <f>Application!EH649</f>
        <v>1292.1132075471698</v>
      </c>
      <c r="P124" s="2092"/>
      <c r="Q124" s="2092"/>
      <c r="R124" s="2092"/>
      <c r="S124" s="904"/>
      <c r="T124" s="2092">
        <f>Application!EM649</f>
        <v>1499.4864864864865</v>
      </c>
      <c r="U124" s="2092"/>
      <c r="V124" s="2092"/>
      <c r="W124" s="2092"/>
      <c r="X124" s="904"/>
      <c r="Y124" s="2092">
        <f>Application!ER649</f>
        <v>0</v>
      </c>
      <c r="Z124" s="2092"/>
      <c r="AA124" s="2092"/>
      <c r="AB124" s="2092"/>
      <c r="AC124" s="904"/>
      <c r="AD124" s="2092">
        <f>Application!EW649</f>
        <v>0</v>
      </c>
      <c r="AE124" s="2092"/>
      <c r="AF124" s="2092"/>
      <c r="AG124" s="2092"/>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2106</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1888">
        <f>(E121-E124)/E121</f>
        <v>0.35083129378006578</v>
      </c>
      <c r="F127" s="1889"/>
      <c r="G127" s="1889"/>
      <c r="H127" s="1890"/>
      <c r="I127" s="612"/>
      <c r="J127" s="1888">
        <f>(J121-J124)/J121</f>
        <v>0.36970960122273172</v>
      </c>
      <c r="K127" s="1889"/>
      <c r="L127" s="1889"/>
      <c r="M127" s="1890"/>
      <c r="N127" s="612"/>
      <c r="O127" s="1888">
        <f>(O121-O124)/O121</f>
        <v>0.6367407344539866</v>
      </c>
      <c r="P127" s="1889"/>
      <c r="Q127" s="1889"/>
      <c r="R127" s="1890"/>
      <c r="S127" s="612"/>
      <c r="T127" s="1888">
        <f>(T121-T124)/T121</f>
        <v>0.71665032379318094</v>
      </c>
      <c r="U127" s="1889"/>
      <c r="V127" s="1889"/>
      <c r="W127" s="1890"/>
      <c r="X127" s="612"/>
      <c r="Y127" s="1888" t="e">
        <f>(Y121-Y124)/Y121</f>
        <v>#DIV/0!</v>
      </c>
      <c r="Z127" s="1889"/>
      <c r="AA127" s="1889"/>
      <c r="AB127" s="1890"/>
      <c r="AC127" s="612"/>
      <c r="AD127" s="1888" t="e">
        <f>(AD121-AD124)/AD121</f>
        <v>#DIV/0!</v>
      </c>
      <c r="AE127" s="1889"/>
      <c r="AF127" s="1889"/>
      <c r="AG127" s="1890"/>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2107</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2094">
        <f>IF(((E127-0.1)*AW110)&gt;0,((E127-0.1)*AW110),0)</f>
        <v>2.3429296671764382E-2</v>
      </c>
      <c r="F130" s="2095"/>
      <c r="G130" s="2095"/>
      <c r="H130" s="2096"/>
      <c r="I130" s="612"/>
      <c r="J130" s="2094">
        <f>IF(((J127-0.1)*AW111)&gt;0,((J127-0.1)*AW111),0)</f>
        <v>0.11114406643793888</v>
      </c>
      <c r="K130" s="2095"/>
      <c r="L130" s="2095"/>
      <c r="M130" s="2096"/>
      <c r="N130" s="612"/>
      <c r="O130" s="2094">
        <f>IF(((O127-0.1)*AW112)&gt;0,((O127-0.1)*AW112),0)</f>
        <v>0.15630362047286425</v>
      </c>
      <c r="P130" s="2095"/>
      <c r="Q130" s="2095"/>
      <c r="R130" s="2096"/>
      <c r="S130" s="612"/>
      <c r="T130" s="2094">
        <f>IF(((T127-0.1)*AW113)&gt;0,((T127-0.1)*AW113),0)</f>
        <v>0.12536297791399834</v>
      </c>
      <c r="U130" s="2095"/>
      <c r="V130" s="2095"/>
      <c r="W130" s="2096"/>
      <c r="X130" s="612"/>
      <c r="Y130" s="2094" t="e">
        <f>IF(((Y127-0.1)*AW114)&gt;0,((Y127-0.1)*AW114),0)</f>
        <v>#DIV/0!</v>
      </c>
      <c r="Z130" s="2095"/>
      <c r="AA130" s="2095"/>
      <c r="AB130" s="2096"/>
      <c r="AC130" s="612"/>
      <c r="AD130" s="2094" t="e">
        <f>IF(((AD127-0.1)*AW115)&gt;0,((AD127-0.1)*AW115),0)</f>
        <v>#DIV/0!</v>
      </c>
      <c r="AE130" s="2095"/>
      <c r="AF130" s="2095"/>
      <c r="AG130" s="2096"/>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1888">
        <f>ROUNDDOWN(SUMIF(E130:AG130,"&gt;0"),2)</f>
        <v>0.41</v>
      </c>
      <c r="F132" s="1889"/>
      <c r="G132" s="1889"/>
      <c r="H132" s="1890"/>
      <c r="I132" s="612"/>
      <c r="J132" s="615" t="s">
        <v>2108</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2067">
        <f>IF((E132*100)&gt;10,10,E132*100)</f>
        <v>10</v>
      </c>
      <c r="F133" s="2068"/>
      <c r="G133" s="2068"/>
      <c r="H133" s="2069"/>
      <c r="I133" s="612"/>
      <c r="J133" s="615" t="s">
        <v>1499</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1506</v>
      </c>
      <c r="AK137" s="2067">
        <f>E133</f>
        <v>10</v>
      </c>
      <c r="AL137" s="2068"/>
      <c r="AM137" s="2069"/>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1507</v>
      </c>
      <c r="AE140" s="1915" t="s">
        <v>1485</v>
      </c>
      <c r="AF140" s="1915"/>
      <c r="AG140" s="1915"/>
      <c r="AH140" s="1915"/>
      <c r="AI140" s="1915"/>
      <c r="AJ140" s="1915"/>
      <c r="AK140" s="1915"/>
      <c r="AL140" s="626"/>
      <c r="AN140" s="627"/>
      <c r="AO140" s="571"/>
    </row>
    <row r="141" spans="1:52" s="574" customFormat="1" ht="12.95" customHeight="1">
      <c r="A141" s="573"/>
      <c r="AE141" s="626"/>
      <c r="AF141" s="626"/>
      <c r="AG141" s="626"/>
      <c r="AH141" s="626"/>
      <c r="AI141" s="626"/>
      <c r="AJ141" s="626"/>
      <c r="AK141" s="626"/>
      <c r="AL141" s="626"/>
      <c r="AN141" s="627"/>
    </row>
    <row r="142" spans="1:52" s="571" customFormat="1" ht="12.75" customHeight="1">
      <c r="A142" s="573"/>
      <c r="B142" s="573" t="s">
        <v>1508</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82" t="s">
        <v>1509</v>
      </c>
      <c r="AG142" s="1982"/>
      <c r="AH142" s="1982"/>
      <c r="AI142" s="1982"/>
      <c r="AJ142" s="1982"/>
      <c r="AK142" s="1982"/>
      <c r="AL142" s="1982"/>
      <c r="AM142" s="574"/>
      <c r="AN142" s="570"/>
    </row>
    <row r="143" spans="1:52" s="571" customFormat="1" ht="12.75" customHeight="1">
      <c r="A143" s="573"/>
      <c r="B143" s="573" t="s">
        <v>541</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2072" t="s">
        <v>2769</v>
      </c>
      <c r="C144" s="2072"/>
      <c r="D144" s="2072"/>
      <c r="E144" s="2072"/>
      <c r="F144" s="2072"/>
      <c r="G144" s="2072"/>
      <c r="H144" s="2072"/>
      <c r="I144" s="2072"/>
      <c r="J144" s="2072"/>
      <c r="K144" s="2072"/>
      <c r="L144" s="2072"/>
      <c r="M144" s="2072"/>
      <c r="N144" s="2072"/>
      <c r="O144" s="2072"/>
      <c r="P144" s="2072"/>
      <c r="Q144" s="2072"/>
      <c r="R144" s="2072"/>
      <c r="S144" s="2072"/>
      <c r="T144" s="2072"/>
      <c r="U144" s="2072"/>
      <c r="V144" s="2072"/>
      <c r="W144" s="2072"/>
      <c r="X144" s="2072"/>
      <c r="Y144" s="2072"/>
      <c r="Z144" s="2072"/>
      <c r="AA144" s="2072"/>
      <c r="AB144" s="2072"/>
      <c r="AC144" s="2072"/>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1510</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1511</v>
      </c>
      <c r="AP146" s="524">
        <v>5</v>
      </c>
    </row>
    <row r="147" spans="1:42" s="571" customFormat="1" ht="12.75" customHeight="1">
      <c r="A147" s="573"/>
      <c r="B147" s="2073" t="s">
        <v>1512</v>
      </c>
      <c r="C147" s="2073"/>
      <c r="D147" s="2073"/>
      <c r="E147" s="2073"/>
      <c r="F147" s="2073"/>
      <c r="G147" s="2073"/>
      <c r="H147" s="2073"/>
      <c r="I147" s="2073"/>
      <c r="J147" s="2073"/>
      <c r="K147" s="2073"/>
      <c r="L147" s="2073"/>
      <c r="M147" s="2073"/>
      <c r="N147" s="2073"/>
      <c r="O147" s="2073"/>
      <c r="P147" s="2073"/>
      <c r="Q147" s="2073"/>
      <c r="R147" s="2073"/>
      <c r="S147" s="2073"/>
      <c r="T147" s="2073"/>
      <c r="U147" s="2073"/>
      <c r="V147" s="2073"/>
      <c r="W147" s="2073"/>
      <c r="X147" s="2073"/>
      <c r="Y147" s="2073"/>
      <c r="Z147" s="2073"/>
      <c r="AA147" s="2073"/>
      <c r="AB147" s="2073"/>
      <c r="AC147" s="2073"/>
      <c r="AD147" s="2073"/>
      <c r="AE147" s="2073"/>
      <c r="AF147" s="2073"/>
      <c r="AG147" s="2073"/>
      <c r="AH147" s="2073"/>
      <c r="AI147" s="2073"/>
      <c r="AM147" s="574"/>
      <c r="AN147" s="570"/>
      <c r="AO147" s="511" t="s">
        <v>1512</v>
      </c>
      <c r="AP147" s="524">
        <v>7</v>
      </c>
    </row>
    <row r="148" spans="1:42" s="571" customFormat="1" ht="12.95"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2411</v>
      </c>
      <c r="AP148" s="524">
        <v>7</v>
      </c>
    </row>
    <row r="149" spans="1:42" s="571" customFormat="1" ht="12.75" customHeight="1">
      <c r="A149" s="573"/>
      <c r="B149" s="574" t="s">
        <v>1513</v>
      </c>
      <c r="AB149" s="2017" t="s">
        <v>600</v>
      </c>
      <c r="AC149" s="2017"/>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1514</v>
      </c>
      <c r="AP150" s="524"/>
    </row>
    <row r="151" spans="1:42" s="571" customFormat="1" ht="12.75" customHeight="1">
      <c r="A151" s="573"/>
      <c r="B151" s="573" t="s">
        <v>1515</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1516</v>
      </c>
      <c r="AP151" s="524">
        <v>5</v>
      </c>
    </row>
    <row r="152" spans="1:42" s="571" customFormat="1" ht="12.75" customHeight="1">
      <c r="A152" s="573"/>
      <c r="B152" s="2073" t="s">
        <v>1514</v>
      </c>
      <c r="C152" s="2073"/>
      <c r="D152" s="2073"/>
      <c r="E152" s="2073"/>
      <c r="F152" s="2073"/>
      <c r="G152" s="2073"/>
      <c r="H152" s="2073"/>
      <c r="I152" s="2073"/>
      <c r="J152" s="2073"/>
      <c r="K152" s="2073"/>
      <c r="L152" s="2073"/>
      <c r="M152" s="2073"/>
      <c r="N152" s="2073"/>
      <c r="O152" s="2073"/>
      <c r="P152" s="2073"/>
      <c r="Q152" s="2073"/>
      <c r="R152" s="2073"/>
      <c r="S152" s="2073"/>
      <c r="T152" s="2073"/>
      <c r="U152" s="2073"/>
      <c r="V152" s="2073"/>
      <c r="W152" s="2073"/>
      <c r="X152" s="2073"/>
      <c r="Y152" s="2073"/>
      <c r="Z152" s="2073"/>
      <c r="AA152" s="2073"/>
      <c r="AB152" s="2073"/>
      <c r="AC152" s="2073"/>
      <c r="AD152" s="2073"/>
      <c r="AE152" s="2073"/>
      <c r="AF152" s="2073"/>
      <c r="AG152" s="2073"/>
      <c r="AH152" s="2073"/>
      <c r="AI152" s="2073"/>
      <c r="AJ152" s="2073"/>
      <c r="AN152" s="570"/>
      <c r="AO152" s="511" t="s">
        <v>1517</v>
      </c>
      <c r="AP152" s="524">
        <v>7</v>
      </c>
    </row>
    <row r="153" spans="1:42" s="571" customFormat="1" ht="12.75" customHeight="1">
      <c r="B153" s="574" t="s">
        <v>1518</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1520</v>
      </c>
      <c r="AJ155" s="1942">
        <f>IF($AB$149="N/A",VLOOKUP($B$147,$AO$145:$AP$148,2,FALSE),VLOOKUP($B$152,$AO$150:$AP$153,2,FALSE))</f>
        <v>7</v>
      </c>
      <c r="AK155" s="1942"/>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1522</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82" t="s">
        <v>1523</v>
      </c>
      <c r="AG157" s="1982"/>
      <c r="AH157" s="1982"/>
      <c r="AI157" s="1982"/>
      <c r="AJ157" s="1982"/>
      <c r="AK157" s="1982"/>
      <c r="AL157" s="1982"/>
      <c r="AM157" s="638"/>
      <c r="AN157" s="633"/>
    </row>
    <row r="158" spans="1:42" s="585" customFormat="1" ht="12.75" customHeight="1">
      <c r="A158" s="571"/>
      <c r="B158" s="574" t="s">
        <v>1524</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2073" t="s">
        <v>1521</v>
      </c>
      <c r="D159" s="2073"/>
      <c r="E159" s="2073"/>
      <c r="F159" s="2073"/>
      <c r="G159" s="2073"/>
      <c r="H159" s="2073"/>
      <c r="I159" s="2073"/>
      <c r="J159" s="2073"/>
      <c r="K159" s="2073"/>
      <c r="L159" s="2073"/>
      <c r="M159" s="2073"/>
      <c r="N159" s="2073"/>
      <c r="O159" s="2073"/>
      <c r="P159" s="2073"/>
      <c r="Q159" s="2073"/>
      <c r="R159" s="2073"/>
      <c r="S159" s="2073"/>
      <c r="T159" s="2073"/>
      <c r="U159" s="2073"/>
      <c r="V159" s="2073"/>
      <c r="W159" s="2073"/>
      <c r="X159" s="2073"/>
      <c r="Y159" s="2073"/>
      <c r="Z159" s="2073"/>
      <c r="AA159" s="2073"/>
      <c r="AB159" s="2073"/>
      <c r="AC159" s="2073"/>
      <c r="AD159" s="2073"/>
      <c r="AE159" s="2073"/>
      <c r="AF159" s="2073"/>
      <c r="AG159" s="2073"/>
      <c r="AH159" s="2073"/>
      <c r="AI159" s="2073"/>
      <c r="AJ159" s="571"/>
      <c r="AK159" s="571"/>
      <c r="AL159" s="571"/>
      <c r="AM159" s="638"/>
      <c r="AN159" s="632"/>
      <c r="AO159" s="511" t="s">
        <v>309</v>
      </c>
      <c r="AP159" s="511"/>
    </row>
    <row r="160" spans="1:42" s="585" customFormat="1" ht="12.95"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1519</v>
      </c>
      <c r="AP160" s="634">
        <v>2</v>
      </c>
    </row>
    <row r="161" spans="1:73" s="585" customFormat="1" ht="12.75" customHeight="1">
      <c r="A161" s="571"/>
      <c r="B161" s="571"/>
      <c r="C161" s="574" t="s">
        <v>1526</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2017" t="s">
        <v>600</v>
      </c>
      <c r="AD161" s="2017"/>
      <c r="AE161" s="571"/>
      <c r="AF161" s="571"/>
      <c r="AG161" s="571"/>
      <c r="AH161" s="571"/>
      <c r="AI161" s="571"/>
      <c r="AJ161" s="571"/>
      <c r="AK161" s="571"/>
      <c r="AL161" s="571"/>
      <c r="AM161" s="638"/>
      <c r="AN161" s="632"/>
      <c r="AO161" s="511" t="s">
        <v>1521</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1815</v>
      </c>
      <c r="AP162" s="634">
        <v>3</v>
      </c>
    </row>
    <row r="163" spans="1:73" s="585" customFormat="1" ht="12.75" customHeight="1">
      <c r="A163" s="571"/>
      <c r="B163" s="571"/>
      <c r="C163" s="2073" t="s">
        <v>1514</v>
      </c>
      <c r="D163" s="2073"/>
      <c r="E163" s="2073"/>
      <c r="F163" s="2073"/>
      <c r="G163" s="2073"/>
      <c r="H163" s="2073"/>
      <c r="I163" s="2073"/>
      <c r="J163" s="2073"/>
      <c r="K163" s="2073"/>
      <c r="L163" s="2073"/>
      <c r="M163" s="2073"/>
      <c r="N163" s="2073"/>
      <c r="O163" s="2073"/>
      <c r="P163" s="2073"/>
      <c r="Q163" s="2073"/>
      <c r="R163" s="2073"/>
      <c r="S163" s="2073"/>
      <c r="T163" s="2073"/>
      <c r="U163" s="2073"/>
      <c r="V163" s="2073"/>
      <c r="W163" s="2073"/>
      <c r="X163" s="2073"/>
      <c r="Y163" s="2073"/>
      <c r="Z163" s="2073"/>
      <c r="AA163" s="2073"/>
      <c r="AB163" s="2073"/>
      <c r="AC163" s="2073"/>
      <c r="AD163" s="2073"/>
      <c r="AE163" s="571"/>
      <c r="AF163" s="571"/>
      <c r="AG163" s="571"/>
      <c r="AH163" s="571"/>
      <c r="AI163" s="571"/>
      <c r="AJ163" s="571"/>
      <c r="AK163" s="571"/>
      <c r="AL163" s="571"/>
      <c r="AM163" s="638"/>
      <c r="AN163" s="632"/>
      <c r="AO163" s="637"/>
      <c r="AP163" s="634"/>
    </row>
    <row r="164" spans="1:73" s="585" customFormat="1" ht="12.75" customHeight="1">
      <c r="A164" s="571"/>
      <c r="B164" s="571"/>
      <c r="C164" s="574" t="s">
        <v>1518</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1528</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1514</v>
      </c>
      <c r="AP166" s="511"/>
    </row>
    <row r="167" spans="1:73" s="585" customFormat="1" ht="12.75" customHeight="1">
      <c r="A167" s="571"/>
      <c r="B167" s="571"/>
      <c r="C167" s="2072" t="s">
        <v>2695</v>
      </c>
      <c r="D167" s="2072"/>
      <c r="E167" s="2072"/>
      <c r="F167" s="2072"/>
      <c r="G167" s="2072"/>
      <c r="H167" s="2072"/>
      <c r="I167" s="2072"/>
      <c r="J167" s="2072"/>
      <c r="K167" s="2072"/>
      <c r="L167" s="2072"/>
      <c r="M167" s="2072"/>
      <c r="N167" s="2072"/>
      <c r="O167" s="2072"/>
      <c r="P167" s="2072"/>
      <c r="Q167" s="2072"/>
      <c r="R167" s="2072"/>
      <c r="S167" s="2072"/>
      <c r="T167" s="2072"/>
      <c r="U167" s="2072"/>
      <c r="V167" s="2072"/>
      <c r="W167" s="2072"/>
      <c r="X167" s="2072"/>
      <c r="Y167" s="2072"/>
      <c r="Z167" s="2072"/>
      <c r="AA167" s="2072"/>
      <c r="AB167" s="2072"/>
      <c r="AC167" s="2072"/>
      <c r="AD167" s="2072"/>
      <c r="AE167" s="571"/>
      <c r="AF167" s="571"/>
      <c r="AG167" s="571"/>
      <c r="AH167" s="571"/>
      <c r="AI167" s="571"/>
      <c r="AJ167" s="571"/>
      <c r="AK167" s="571"/>
      <c r="AL167" s="571"/>
      <c r="AM167" s="638"/>
      <c r="AN167" s="632"/>
      <c r="AO167" s="511" t="s">
        <v>1525</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1527</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1529</v>
      </c>
      <c r="AJ169" s="1941">
        <f>IF($AC$161="N/A",VLOOKUP($C$159,$AO$159:$AP$162,2,FALSE),VLOOKUP($C$163,$AO$166:$AP$168,2,FALSE))</f>
        <v>3</v>
      </c>
      <c r="AK169" s="1941"/>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1530</v>
      </c>
      <c r="AK172" s="2067">
        <f>$AJ$155+$AJ$169</f>
        <v>10</v>
      </c>
      <c r="AL172" s="2068"/>
      <c r="AM172" s="2069"/>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1531</v>
      </c>
      <c r="AQ174" s="647">
        <v>0</v>
      </c>
    </row>
    <row r="175" spans="1:73" s="585" customFormat="1" ht="12.75" customHeight="1">
      <c r="A175" s="573" t="s">
        <v>1532</v>
      </c>
      <c r="B175" s="573" t="s">
        <v>1986</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915" t="s">
        <v>1485</v>
      </c>
      <c r="AF175" s="1915"/>
      <c r="AG175" s="1915"/>
      <c r="AH175" s="1915"/>
      <c r="AI175" s="1915"/>
      <c r="AJ175" s="1915"/>
      <c r="AK175" s="1915"/>
      <c r="AL175" s="626"/>
      <c r="AN175" s="632"/>
      <c r="AP175" s="585" t="s">
        <v>1101</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1533</v>
      </c>
      <c r="AQ176" s="585">
        <v>10</v>
      </c>
    </row>
    <row r="177" spans="1:45" s="585" customFormat="1" ht="12.75" customHeight="1">
      <c r="A177" s="571"/>
      <c r="B177" s="2070" t="s">
        <v>1538</v>
      </c>
      <c r="C177" s="2070"/>
      <c r="D177" s="2070"/>
      <c r="E177" s="2070"/>
      <c r="F177" s="2070"/>
      <c r="G177" s="2070"/>
      <c r="H177" s="2070"/>
      <c r="I177" s="2070"/>
      <c r="J177" s="2070"/>
      <c r="K177" s="2070"/>
      <c r="L177" s="2070"/>
      <c r="M177" s="2070"/>
      <c r="N177" s="2070"/>
      <c r="O177" s="2070"/>
      <c r="P177" s="2070"/>
      <c r="Q177" s="2070"/>
      <c r="R177" s="2070"/>
      <c r="S177" s="2070"/>
      <c r="T177" s="2070"/>
      <c r="U177" s="2070"/>
      <c r="V177" s="2070"/>
      <c r="W177" s="2070"/>
      <c r="X177" s="2070"/>
      <c r="Y177" s="2070"/>
      <c r="Z177" s="2070"/>
      <c r="AA177" s="2070"/>
      <c r="AB177" s="2070"/>
      <c r="AC177" s="2070"/>
      <c r="AD177" s="571"/>
      <c r="AE177" s="571"/>
      <c r="AF177" s="1982" t="s">
        <v>1534</v>
      </c>
      <c r="AG177" s="1982"/>
      <c r="AH177" s="1982"/>
      <c r="AI177" s="1982"/>
      <c r="AJ177" s="1982"/>
      <c r="AK177" s="1982"/>
      <c r="AL177" s="1982"/>
      <c r="AN177" s="632"/>
      <c r="AP177" s="585" t="s">
        <v>1103</v>
      </c>
      <c r="AQ177" s="585">
        <v>10</v>
      </c>
    </row>
    <row r="178" spans="1:45" s="585" customFormat="1" ht="12.75" customHeight="1">
      <c r="A178" s="571"/>
      <c r="B178" s="2071" t="s">
        <v>1985</v>
      </c>
      <c r="C178" s="2071"/>
      <c r="D178" s="2071"/>
      <c r="E178" s="2071"/>
      <c r="F178" s="2071"/>
      <c r="G178" s="2071"/>
      <c r="H178" s="2071"/>
      <c r="I178" s="2071"/>
      <c r="J178" s="2071"/>
      <c r="K178" s="2071"/>
      <c r="L178" s="2071"/>
      <c r="M178" s="2071"/>
      <c r="N178" s="2071"/>
      <c r="O178" s="2071"/>
      <c r="P178" s="2071"/>
      <c r="Q178" s="2071"/>
      <c r="R178" s="2071"/>
      <c r="S178" s="2071"/>
      <c r="T178" s="2072" t="s">
        <v>600</v>
      </c>
      <c r="U178" s="2072"/>
      <c r="V178" s="2072"/>
      <c r="W178" s="2072"/>
      <c r="X178" s="2072"/>
      <c r="Y178" s="2072"/>
      <c r="Z178" s="2072"/>
      <c r="AA178" s="2072"/>
      <c r="AB178" s="2072"/>
      <c r="AC178" s="2072"/>
      <c r="AD178" s="571"/>
      <c r="AE178" s="571"/>
      <c r="AF178" s="571"/>
      <c r="AG178" s="571"/>
      <c r="AH178" s="571"/>
      <c r="AI178" s="571"/>
      <c r="AJ178" s="578"/>
      <c r="AK178" s="630"/>
      <c r="AL178" s="630"/>
      <c r="AM178" s="630"/>
      <c r="AN178" s="632"/>
      <c r="AP178" s="585" t="s">
        <v>1535</v>
      </c>
      <c r="AQ178" s="585">
        <v>10</v>
      </c>
      <c r="AS178" s="585" t="s">
        <v>600</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1538</v>
      </c>
      <c r="AQ179" s="585">
        <v>10</v>
      </c>
      <c r="AS179" s="585" t="s">
        <v>1536</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1537</v>
      </c>
      <c r="AK180" s="1909">
        <f>IF(AK78&gt;0,VLOOKUP($B$177,AP174:AQ180,2,FALSE),0)</f>
        <v>10</v>
      </c>
      <c r="AL180" s="1910"/>
      <c r="AM180" s="1911"/>
      <c r="AN180" s="570"/>
      <c r="AP180" s="585" t="s">
        <v>1540</v>
      </c>
      <c r="AQ180" s="585">
        <v>10</v>
      </c>
      <c r="AS180" s="585" t="s">
        <v>1539</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1541</v>
      </c>
      <c r="B183" s="573" t="s">
        <v>1542</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915" t="s">
        <v>1543</v>
      </c>
      <c r="AF183" s="1915"/>
      <c r="AG183" s="1915"/>
      <c r="AH183" s="1915"/>
      <c r="AI183" s="1915"/>
      <c r="AJ183" s="1915"/>
      <c r="AK183" s="1915"/>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1765</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1801</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2064" t="s">
        <v>2642</v>
      </c>
      <c r="C188" s="2064"/>
      <c r="D188" s="2064"/>
      <c r="E188" s="2064"/>
      <c r="F188" s="2064"/>
      <c r="G188" s="2064"/>
      <c r="H188" s="2064"/>
      <c r="I188" s="2064"/>
      <c r="J188" s="2064"/>
      <c r="K188" s="2064"/>
      <c r="L188" s="2064"/>
      <c r="M188" s="2064"/>
      <c r="N188" s="2064"/>
      <c r="O188" s="2064"/>
      <c r="P188" s="2064"/>
      <c r="Q188" s="2064"/>
      <c r="R188" s="2064"/>
      <c r="S188" s="2064"/>
      <c r="T188" s="2064"/>
      <c r="U188" s="2064"/>
      <c r="V188" s="2064"/>
      <c r="W188" s="2064"/>
      <c r="X188" s="2064"/>
      <c r="Y188" s="2064"/>
      <c r="Z188" s="2064"/>
      <c r="AA188" s="2064"/>
      <c r="AB188" s="2064"/>
      <c r="AC188" s="882"/>
      <c r="AD188" s="2054">
        <f>65968539</f>
        <v>65968539</v>
      </c>
      <c r="AE188" s="2054"/>
      <c r="AF188" s="2054"/>
      <c r="AG188" s="2054"/>
      <c r="AH188" s="2054"/>
      <c r="AI188" s="2054"/>
      <c r="AJ188" s="2054"/>
      <c r="AK188" s="645"/>
    </row>
    <row r="189" spans="1:45">
      <c r="A189" s="640"/>
      <c r="B189" s="2064" t="s">
        <v>2729</v>
      </c>
      <c r="C189" s="2064"/>
      <c r="D189" s="2064"/>
      <c r="E189" s="2064"/>
      <c r="F189" s="2064"/>
      <c r="G189" s="2064"/>
      <c r="H189" s="2064"/>
      <c r="I189" s="2064"/>
      <c r="J189" s="2064"/>
      <c r="K189" s="2064"/>
      <c r="L189" s="2064"/>
      <c r="M189" s="2064"/>
      <c r="N189" s="2064"/>
      <c r="O189" s="2064"/>
      <c r="P189" s="2064"/>
      <c r="Q189" s="2064"/>
      <c r="R189" s="2064"/>
      <c r="S189" s="2064"/>
      <c r="T189" s="2064"/>
      <c r="U189" s="2064"/>
      <c r="V189" s="2064"/>
      <c r="W189" s="2064"/>
      <c r="X189" s="2064"/>
      <c r="Y189" s="2064"/>
      <c r="Z189" s="2064"/>
      <c r="AA189" s="2064"/>
      <c r="AB189" s="2064"/>
      <c r="AC189" s="882"/>
      <c r="AD189" s="2054">
        <f>28000000</f>
        <v>28000000</v>
      </c>
      <c r="AE189" s="2054"/>
      <c r="AF189" s="2054"/>
      <c r="AG189" s="2054"/>
      <c r="AH189" s="2054"/>
      <c r="AI189" s="2054"/>
      <c r="AJ189" s="2054"/>
      <c r="AK189" s="645"/>
    </row>
    <row r="190" spans="1:45">
      <c r="A190" s="640"/>
      <c r="B190" s="2064"/>
      <c r="C190" s="2064"/>
      <c r="D190" s="2064"/>
      <c r="E190" s="2064"/>
      <c r="F190" s="2064"/>
      <c r="G190" s="2064"/>
      <c r="H190" s="2064"/>
      <c r="I190" s="2064"/>
      <c r="J190" s="2064"/>
      <c r="K190" s="2064"/>
      <c r="L190" s="2064"/>
      <c r="M190" s="2064"/>
      <c r="N190" s="2064"/>
      <c r="O190" s="2064"/>
      <c r="P190" s="2064"/>
      <c r="Q190" s="2064"/>
      <c r="R190" s="2064"/>
      <c r="S190" s="2064"/>
      <c r="T190" s="2064"/>
      <c r="U190" s="2064"/>
      <c r="V190" s="2064"/>
      <c r="W190" s="2064"/>
      <c r="X190" s="2064"/>
      <c r="Y190" s="2064"/>
      <c r="Z190" s="2064"/>
      <c r="AA190" s="2064"/>
      <c r="AB190" s="2064"/>
      <c r="AC190" s="882"/>
      <c r="AD190" s="2054"/>
      <c r="AE190" s="2054"/>
      <c r="AF190" s="2054"/>
      <c r="AG190" s="2054"/>
      <c r="AH190" s="2054"/>
      <c r="AI190" s="2054"/>
      <c r="AJ190" s="2054"/>
      <c r="AK190" s="645"/>
    </row>
    <row r="191" spans="1:45">
      <c r="A191" s="640"/>
      <c r="B191" s="2064"/>
      <c r="C191" s="2064"/>
      <c r="D191" s="2064"/>
      <c r="E191" s="2064"/>
      <c r="F191" s="2064"/>
      <c r="G191" s="2064"/>
      <c r="H191" s="2064"/>
      <c r="I191" s="2064"/>
      <c r="J191" s="2064"/>
      <c r="K191" s="2064"/>
      <c r="L191" s="2064"/>
      <c r="M191" s="2064"/>
      <c r="N191" s="2064"/>
      <c r="O191" s="2064"/>
      <c r="P191" s="2064"/>
      <c r="Q191" s="2064"/>
      <c r="R191" s="2064"/>
      <c r="S191" s="2064"/>
      <c r="T191" s="2064"/>
      <c r="U191" s="2064"/>
      <c r="V191" s="2064"/>
      <c r="W191" s="2064"/>
      <c r="X191" s="2064"/>
      <c r="Y191" s="2064"/>
      <c r="Z191" s="2064"/>
      <c r="AA191" s="2064"/>
      <c r="AB191" s="2064"/>
      <c r="AC191" s="882"/>
      <c r="AD191" s="2054"/>
      <c r="AE191" s="2054"/>
      <c r="AF191" s="2054"/>
      <c r="AG191" s="2054"/>
      <c r="AH191" s="2054"/>
      <c r="AI191" s="2054"/>
      <c r="AJ191" s="2054"/>
      <c r="AK191" s="645"/>
    </row>
    <row r="192" spans="1:45">
      <c r="A192" s="640"/>
      <c r="B192" s="2064"/>
      <c r="C192" s="2064"/>
      <c r="D192" s="2064"/>
      <c r="E192" s="2064"/>
      <c r="F192" s="2064"/>
      <c r="G192" s="2064"/>
      <c r="H192" s="2064"/>
      <c r="I192" s="2064"/>
      <c r="J192" s="2064"/>
      <c r="K192" s="2064"/>
      <c r="L192" s="2064"/>
      <c r="M192" s="2064"/>
      <c r="N192" s="2064"/>
      <c r="O192" s="2064"/>
      <c r="P192" s="2064"/>
      <c r="Q192" s="2064"/>
      <c r="R192" s="2064"/>
      <c r="S192" s="2064"/>
      <c r="T192" s="2064"/>
      <c r="U192" s="2064"/>
      <c r="V192" s="2064"/>
      <c r="W192" s="2064"/>
      <c r="X192" s="2064"/>
      <c r="Y192" s="2064"/>
      <c r="Z192" s="2064"/>
      <c r="AA192" s="2064"/>
      <c r="AB192" s="2064"/>
      <c r="AC192" s="882"/>
      <c r="AD192" s="2054"/>
      <c r="AE192" s="2054"/>
      <c r="AF192" s="2054"/>
      <c r="AG192" s="2054"/>
      <c r="AH192" s="2054"/>
      <c r="AI192" s="2054"/>
      <c r="AJ192" s="2054"/>
      <c r="AK192" s="645"/>
    </row>
    <row r="193" spans="1:37">
      <c r="A193" s="640"/>
      <c r="B193" s="2064"/>
      <c r="C193" s="2064"/>
      <c r="D193" s="2064"/>
      <c r="E193" s="2064"/>
      <c r="F193" s="2064"/>
      <c r="G193" s="2064"/>
      <c r="H193" s="2064"/>
      <c r="I193" s="2064"/>
      <c r="J193" s="2064"/>
      <c r="K193" s="2064"/>
      <c r="L193" s="2064"/>
      <c r="M193" s="2064"/>
      <c r="N193" s="2064"/>
      <c r="O193" s="2064"/>
      <c r="P193" s="2064"/>
      <c r="Q193" s="2064"/>
      <c r="R193" s="2064"/>
      <c r="S193" s="2064"/>
      <c r="T193" s="2064"/>
      <c r="U193" s="2064"/>
      <c r="V193" s="2064"/>
      <c r="W193" s="2064"/>
      <c r="X193" s="2064"/>
      <c r="Y193" s="2064"/>
      <c r="Z193" s="2064"/>
      <c r="AA193" s="2064"/>
      <c r="AB193" s="2064"/>
      <c r="AC193" s="882"/>
      <c r="AD193" s="2054"/>
      <c r="AE193" s="2054"/>
      <c r="AF193" s="2054"/>
      <c r="AG193" s="2054"/>
      <c r="AH193" s="2054"/>
      <c r="AI193" s="2054"/>
      <c r="AJ193" s="2054"/>
      <c r="AK193" s="645"/>
    </row>
    <row r="194" spans="1:37">
      <c r="A194" s="640"/>
      <c r="B194" s="2064"/>
      <c r="C194" s="2064"/>
      <c r="D194" s="2064"/>
      <c r="E194" s="2064"/>
      <c r="F194" s="2064"/>
      <c r="G194" s="2064"/>
      <c r="H194" s="2064"/>
      <c r="I194" s="2064"/>
      <c r="J194" s="2064"/>
      <c r="K194" s="2064"/>
      <c r="L194" s="2064"/>
      <c r="M194" s="2064"/>
      <c r="N194" s="2064"/>
      <c r="O194" s="2064"/>
      <c r="P194" s="2064"/>
      <c r="Q194" s="2064"/>
      <c r="R194" s="2064"/>
      <c r="S194" s="2064"/>
      <c r="T194" s="2064"/>
      <c r="U194" s="2064"/>
      <c r="V194" s="2064"/>
      <c r="W194" s="2064"/>
      <c r="X194" s="2064"/>
      <c r="Y194" s="2064"/>
      <c r="Z194" s="2064"/>
      <c r="AA194" s="2064"/>
      <c r="AB194" s="2064"/>
      <c r="AC194" s="882"/>
      <c r="AD194" s="2054"/>
      <c r="AE194" s="2054"/>
      <c r="AF194" s="2054"/>
      <c r="AG194" s="2054"/>
      <c r="AH194" s="2054"/>
      <c r="AI194" s="2054"/>
      <c r="AJ194" s="2054"/>
      <c r="AK194" s="645"/>
    </row>
    <row r="195" spans="1:37">
      <c r="A195" s="640"/>
      <c r="B195" s="2064"/>
      <c r="C195" s="2064"/>
      <c r="D195" s="2064"/>
      <c r="E195" s="2064"/>
      <c r="F195" s="2064"/>
      <c r="G195" s="2064"/>
      <c r="H195" s="2064"/>
      <c r="I195" s="2064"/>
      <c r="J195" s="2064"/>
      <c r="K195" s="2064"/>
      <c r="L195" s="2064"/>
      <c r="M195" s="2064"/>
      <c r="N195" s="2064"/>
      <c r="O195" s="2064"/>
      <c r="P195" s="2064"/>
      <c r="Q195" s="2064"/>
      <c r="R195" s="2064"/>
      <c r="S195" s="2064"/>
      <c r="T195" s="2064"/>
      <c r="U195" s="2064"/>
      <c r="V195" s="2064"/>
      <c r="W195" s="2064"/>
      <c r="X195" s="2064"/>
      <c r="Y195" s="2064"/>
      <c r="Z195" s="2064"/>
      <c r="AA195" s="2064"/>
      <c r="AB195" s="2064"/>
      <c r="AC195" s="882"/>
      <c r="AD195" s="2054"/>
      <c r="AE195" s="2054"/>
      <c r="AF195" s="2054"/>
      <c r="AG195" s="2054"/>
      <c r="AH195" s="2054"/>
      <c r="AI195" s="2054"/>
      <c r="AJ195" s="2054"/>
      <c r="AK195" s="645"/>
    </row>
    <row r="196" spans="1:37">
      <c r="A196" s="640"/>
      <c r="B196" s="2064"/>
      <c r="C196" s="2064"/>
      <c r="D196" s="2064"/>
      <c r="E196" s="2064"/>
      <c r="F196" s="2064"/>
      <c r="G196" s="2064"/>
      <c r="H196" s="2064"/>
      <c r="I196" s="2064"/>
      <c r="J196" s="2064"/>
      <c r="K196" s="2064"/>
      <c r="L196" s="2064"/>
      <c r="M196" s="2064"/>
      <c r="N196" s="2064"/>
      <c r="O196" s="2064"/>
      <c r="P196" s="2064"/>
      <c r="Q196" s="2064"/>
      <c r="R196" s="2064"/>
      <c r="S196" s="2064"/>
      <c r="T196" s="2064"/>
      <c r="U196" s="2064"/>
      <c r="V196" s="2064"/>
      <c r="W196" s="2064"/>
      <c r="X196" s="2064"/>
      <c r="Y196" s="2064"/>
      <c r="Z196" s="2064"/>
      <c r="AA196" s="2064"/>
      <c r="AB196" s="2064"/>
      <c r="AC196" s="882"/>
      <c r="AD196" s="2054"/>
      <c r="AE196" s="2054"/>
      <c r="AF196" s="2054"/>
      <c r="AG196" s="2054"/>
      <c r="AH196" s="2054"/>
      <c r="AI196" s="2054"/>
      <c r="AJ196" s="2054"/>
      <c r="AK196" s="645"/>
    </row>
    <row r="197" spans="1:37">
      <c r="A197" s="640"/>
      <c r="B197" s="2064"/>
      <c r="C197" s="2064"/>
      <c r="D197" s="2064"/>
      <c r="E197" s="2064"/>
      <c r="F197" s="2064"/>
      <c r="G197" s="2064"/>
      <c r="H197" s="2064"/>
      <c r="I197" s="2064"/>
      <c r="J197" s="2064"/>
      <c r="K197" s="2064"/>
      <c r="L197" s="2064"/>
      <c r="M197" s="2064"/>
      <c r="N197" s="2064"/>
      <c r="O197" s="2064"/>
      <c r="P197" s="2064"/>
      <c r="Q197" s="2064"/>
      <c r="R197" s="2064"/>
      <c r="S197" s="2064"/>
      <c r="T197" s="2064"/>
      <c r="U197" s="2064"/>
      <c r="V197" s="2064"/>
      <c r="W197" s="2064"/>
      <c r="X197" s="2064"/>
      <c r="Y197" s="2064"/>
      <c r="Z197" s="2064"/>
      <c r="AA197" s="2064"/>
      <c r="AB197" s="2064"/>
      <c r="AC197" s="882"/>
      <c r="AD197" s="2054"/>
      <c r="AE197" s="2054"/>
      <c r="AF197" s="2054"/>
      <c r="AG197" s="2054"/>
      <c r="AH197" s="2054"/>
      <c r="AI197" s="2054"/>
      <c r="AJ197" s="2054"/>
      <c r="AK197" s="645"/>
    </row>
    <row r="198" spans="1:37">
      <c r="A198" s="640"/>
      <c r="B198" s="1929" t="s">
        <v>1803</v>
      </c>
      <c r="C198" s="1929"/>
      <c r="D198" s="1929"/>
      <c r="E198" s="1929"/>
      <c r="F198" s="1929"/>
      <c r="G198" s="1929"/>
      <c r="H198" s="1929"/>
      <c r="I198" s="1929"/>
      <c r="J198" s="1929"/>
      <c r="K198" s="1929"/>
      <c r="L198" s="1929"/>
      <c r="M198" s="1929"/>
      <c r="N198" s="1929"/>
      <c r="O198" s="1929"/>
      <c r="P198" s="1929"/>
      <c r="Q198" s="1929"/>
      <c r="R198" s="1929"/>
      <c r="S198" s="1929"/>
      <c r="T198" s="1929"/>
      <c r="U198" s="1929"/>
      <c r="V198" s="1929"/>
      <c r="W198" s="1929"/>
      <c r="X198" s="1929"/>
      <c r="Y198" s="1929"/>
      <c r="Z198" s="1929"/>
      <c r="AA198" s="1929"/>
      <c r="AB198" s="1929"/>
      <c r="AC198" s="571"/>
      <c r="AD198" s="2052">
        <f>AB249</f>
        <v>9450686.2100026645</v>
      </c>
      <c r="AE198" s="2052"/>
      <c r="AF198" s="2052"/>
      <c r="AG198" s="2052"/>
      <c r="AH198" s="2052"/>
      <c r="AI198" s="2052"/>
      <c r="AJ198" s="2052"/>
      <c r="AK198" s="645"/>
    </row>
    <row r="199" spans="1:37">
      <c r="A199" s="640"/>
      <c r="B199" s="1927" t="s">
        <v>1766</v>
      </c>
      <c r="C199" s="1927"/>
      <c r="D199" s="1927"/>
      <c r="E199" s="1927"/>
      <c r="F199" s="1927"/>
      <c r="G199" s="1927"/>
      <c r="H199" s="1927"/>
      <c r="I199" s="1927"/>
      <c r="J199" s="1927"/>
      <c r="K199" s="1927"/>
      <c r="L199" s="1927"/>
      <c r="M199" s="1927"/>
      <c r="N199" s="1927"/>
      <c r="O199" s="1927"/>
      <c r="P199" s="1927"/>
      <c r="Q199" s="1927"/>
      <c r="R199" s="1927"/>
      <c r="S199" s="1927"/>
      <c r="T199" s="1927"/>
      <c r="U199" s="1927"/>
      <c r="V199" s="1927"/>
      <c r="W199" s="1927"/>
      <c r="X199" s="1927"/>
      <c r="Y199" s="1927"/>
      <c r="Z199" s="1927"/>
      <c r="AA199" s="1927"/>
      <c r="AB199" s="1927"/>
      <c r="AC199" s="882"/>
      <c r="AD199" s="2053">
        <f>'Sources and Uses Budget'!B15</f>
        <v>0</v>
      </c>
      <c r="AE199" s="2053"/>
      <c r="AF199" s="2053"/>
      <c r="AG199" s="2053"/>
      <c r="AH199" s="2053"/>
      <c r="AI199" s="2053"/>
      <c r="AJ199" s="2053"/>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932</v>
      </c>
      <c r="AC200" s="571"/>
      <c r="AD200" s="2058">
        <f>SUM(AD188:AJ198)-AD199</f>
        <v>103419225.21000266</v>
      </c>
      <c r="AE200" s="2058"/>
      <c r="AF200" s="2058"/>
      <c r="AG200" s="2058"/>
      <c r="AH200" s="2058"/>
      <c r="AI200" s="2058"/>
      <c r="AJ200" s="2058"/>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1771</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1802</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1773</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1774</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2418</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1775</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1776</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1814</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2077" t="s">
        <v>1783</v>
      </c>
      <c r="J211" s="2077"/>
      <c r="K211" s="2077"/>
      <c r="L211" s="571"/>
      <c r="M211" s="571"/>
      <c r="N211" s="571"/>
      <c r="O211" s="571"/>
      <c r="P211" s="571"/>
      <c r="Q211" s="571"/>
      <c r="R211" s="571"/>
      <c r="S211" s="571"/>
      <c r="T211" s="1893" t="s">
        <v>1777</v>
      </c>
      <c r="U211" s="1893"/>
      <c r="V211" s="1893"/>
      <c r="W211" s="1893"/>
      <c r="X211" s="1893"/>
      <c r="Y211" s="1893"/>
      <c r="Z211" s="885"/>
      <c r="AA211" s="524"/>
      <c r="AB211" s="2074" t="s">
        <v>1778</v>
      </c>
      <c r="AC211" s="2074"/>
      <c r="AD211" s="2074"/>
      <c r="AE211" s="2074"/>
      <c r="AF211" s="2074"/>
      <c r="AG211" s="2074"/>
      <c r="AH211" s="863"/>
      <c r="AI211" s="863"/>
      <c r="AJ211" s="863"/>
      <c r="AK211" s="645"/>
    </row>
    <row r="212" spans="1:37">
      <c r="A212" s="640"/>
      <c r="B212" s="2075" t="s">
        <v>1763</v>
      </c>
      <c r="C212" s="2075"/>
      <c r="D212" s="2075"/>
      <c r="E212" s="2075"/>
      <c r="F212" s="2075"/>
      <c r="G212" s="2075"/>
      <c r="I212" s="2076" t="s">
        <v>1784</v>
      </c>
      <c r="J212" s="2076"/>
      <c r="K212" s="2076"/>
      <c r="L212" s="1045"/>
      <c r="N212" s="1928" t="s">
        <v>1779</v>
      </c>
      <c r="O212" s="1928"/>
      <c r="P212" s="1928"/>
      <c r="Q212" s="1928"/>
      <c r="R212" s="1928"/>
      <c r="T212" s="1928" t="s">
        <v>1780</v>
      </c>
      <c r="U212" s="1928"/>
      <c r="V212" s="1928"/>
      <c r="W212" s="1928"/>
      <c r="X212" s="1928"/>
      <c r="Y212" s="1928"/>
      <c r="Z212" s="886"/>
      <c r="AA212" s="524"/>
      <c r="AB212" s="1931" t="s">
        <v>1781</v>
      </c>
      <c r="AC212" s="1931"/>
      <c r="AD212" s="1931"/>
      <c r="AE212" s="1931"/>
      <c r="AF212" s="1931"/>
      <c r="AG212" s="1931"/>
      <c r="AH212" s="863"/>
      <c r="AI212" s="863"/>
      <c r="AJ212" s="863"/>
      <c r="AK212" s="645"/>
    </row>
    <row r="213" spans="1:37">
      <c r="A213" s="640"/>
      <c r="B213" s="1930" t="s">
        <v>1326</v>
      </c>
      <c r="C213" s="1930"/>
      <c r="D213" s="1930"/>
      <c r="E213" s="1930"/>
      <c r="F213" s="1930"/>
      <c r="G213" s="1930"/>
      <c r="H213" s="888"/>
      <c r="I213" s="1898"/>
      <c r="J213" s="1898"/>
      <c r="K213" s="1898"/>
      <c r="L213" s="1045"/>
      <c r="N213" s="1895"/>
      <c r="O213" s="1895"/>
      <c r="P213" s="1895"/>
      <c r="Q213" s="1895"/>
      <c r="R213" s="1895"/>
      <c r="T213" s="1894"/>
      <c r="U213" s="1894"/>
      <c r="V213" s="1894"/>
      <c r="W213" s="1894"/>
      <c r="X213" s="1894"/>
      <c r="Y213" s="1894"/>
      <c r="Z213" s="887"/>
      <c r="AA213" s="887"/>
      <c r="AB213" s="1892">
        <f t="shared" ref="AB213:AB222" si="0">MAX(($T213-$N213)*$I213*12,0)</f>
        <v>0</v>
      </c>
      <c r="AC213" s="1892"/>
      <c r="AD213" s="1892"/>
      <c r="AE213" s="1892"/>
      <c r="AF213" s="1892"/>
      <c r="AG213" s="1892"/>
      <c r="AH213" s="863"/>
      <c r="AI213" s="863"/>
      <c r="AJ213" s="863"/>
      <c r="AK213" s="645"/>
    </row>
    <row r="214" spans="1:37">
      <c r="A214" s="640"/>
      <c r="B214" s="1930" t="s">
        <v>1326</v>
      </c>
      <c r="C214" s="1930"/>
      <c r="D214" s="1930"/>
      <c r="E214" s="1930"/>
      <c r="F214" s="1930"/>
      <c r="G214" s="1930"/>
      <c r="I214" s="1898"/>
      <c r="J214" s="1898"/>
      <c r="K214" s="1898"/>
      <c r="L214" s="1045"/>
      <c r="N214" s="1895"/>
      <c r="O214" s="1895"/>
      <c r="P214" s="1895"/>
      <c r="Q214" s="1895"/>
      <c r="R214" s="1895"/>
      <c r="T214" s="1894"/>
      <c r="U214" s="1894"/>
      <c r="V214" s="1894"/>
      <c r="W214" s="1894"/>
      <c r="X214" s="1894"/>
      <c r="Y214" s="1894"/>
      <c r="Z214" s="887"/>
      <c r="AA214" s="887"/>
      <c r="AB214" s="1892">
        <f t="shared" si="0"/>
        <v>0</v>
      </c>
      <c r="AC214" s="1892"/>
      <c r="AD214" s="1892"/>
      <c r="AE214" s="1892"/>
      <c r="AF214" s="1892"/>
      <c r="AG214" s="1892"/>
      <c r="AH214" s="863"/>
      <c r="AI214" s="863"/>
      <c r="AJ214" s="863"/>
      <c r="AK214" s="645"/>
    </row>
    <row r="215" spans="1:37">
      <c r="A215" s="640"/>
      <c r="B215" s="1930" t="s">
        <v>1326</v>
      </c>
      <c r="C215" s="1930"/>
      <c r="D215" s="1930"/>
      <c r="E215" s="1930"/>
      <c r="F215" s="1930"/>
      <c r="G215" s="1930"/>
      <c r="I215" s="1898"/>
      <c r="J215" s="1898"/>
      <c r="K215" s="1898"/>
      <c r="L215" s="1045"/>
      <c r="N215" s="1895"/>
      <c r="O215" s="1895"/>
      <c r="P215" s="1895"/>
      <c r="Q215" s="1895"/>
      <c r="R215" s="1895"/>
      <c r="T215" s="1894"/>
      <c r="U215" s="1894"/>
      <c r="V215" s="1894"/>
      <c r="W215" s="1894"/>
      <c r="X215" s="1894"/>
      <c r="Y215" s="1894"/>
      <c r="Z215" s="887"/>
      <c r="AA215" s="887"/>
      <c r="AB215" s="1892">
        <f t="shared" si="0"/>
        <v>0</v>
      </c>
      <c r="AC215" s="1892"/>
      <c r="AD215" s="1892"/>
      <c r="AE215" s="1892"/>
      <c r="AF215" s="1892"/>
      <c r="AG215" s="1892"/>
      <c r="AH215" s="863"/>
      <c r="AI215" s="863"/>
      <c r="AJ215" s="863"/>
      <c r="AK215" s="645"/>
    </row>
    <row r="216" spans="1:37">
      <c r="A216" s="640"/>
      <c r="B216" s="1930" t="s">
        <v>1326</v>
      </c>
      <c r="C216" s="1930"/>
      <c r="D216" s="1930"/>
      <c r="E216" s="1930"/>
      <c r="F216" s="1930"/>
      <c r="G216" s="1930"/>
      <c r="I216" s="1898"/>
      <c r="J216" s="1898"/>
      <c r="K216" s="1898"/>
      <c r="L216" s="1045"/>
      <c r="N216" s="1895"/>
      <c r="O216" s="1895"/>
      <c r="P216" s="1895"/>
      <c r="Q216" s="1895"/>
      <c r="R216" s="1895"/>
      <c r="T216" s="1894"/>
      <c r="U216" s="1894"/>
      <c r="V216" s="1894"/>
      <c r="W216" s="1894"/>
      <c r="X216" s="1894"/>
      <c r="Y216" s="1894"/>
      <c r="Z216" s="887"/>
      <c r="AA216" s="887"/>
      <c r="AB216" s="1892">
        <f t="shared" si="0"/>
        <v>0</v>
      </c>
      <c r="AC216" s="1892"/>
      <c r="AD216" s="1892"/>
      <c r="AE216" s="1892"/>
      <c r="AF216" s="1892"/>
      <c r="AG216" s="1892"/>
      <c r="AH216" s="863"/>
      <c r="AI216" s="863"/>
      <c r="AJ216" s="863"/>
      <c r="AK216" s="645"/>
    </row>
    <row r="217" spans="1:37">
      <c r="A217" s="640"/>
      <c r="B217" s="1930" t="s">
        <v>1326</v>
      </c>
      <c r="C217" s="1930"/>
      <c r="D217" s="1930"/>
      <c r="E217" s="1930"/>
      <c r="F217" s="1930"/>
      <c r="G217" s="1930"/>
      <c r="I217" s="1898"/>
      <c r="J217" s="1898"/>
      <c r="K217" s="1898"/>
      <c r="L217" s="1052"/>
      <c r="N217" s="1895"/>
      <c r="O217" s="1895"/>
      <c r="P217" s="1895"/>
      <c r="Q217" s="1895"/>
      <c r="R217" s="1895"/>
      <c r="T217" s="1894"/>
      <c r="U217" s="1894"/>
      <c r="V217" s="1894"/>
      <c r="W217" s="1894"/>
      <c r="X217" s="1894"/>
      <c r="Y217" s="1894"/>
      <c r="Z217" s="887"/>
      <c r="AA217" s="887"/>
      <c r="AB217" s="1892">
        <f t="shared" si="0"/>
        <v>0</v>
      </c>
      <c r="AC217" s="1892"/>
      <c r="AD217" s="1892"/>
      <c r="AE217" s="1892"/>
      <c r="AF217" s="1892"/>
      <c r="AG217" s="1892"/>
      <c r="AH217" s="863"/>
      <c r="AI217" s="863"/>
      <c r="AJ217" s="863"/>
      <c r="AK217" s="645"/>
    </row>
    <row r="218" spans="1:37">
      <c r="A218" s="640"/>
      <c r="B218" s="1930" t="s">
        <v>1326</v>
      </c>
      <c r="C218" s="1930"/>
      <c r="D218" s="1930"/>
      <c r="E218" s="1930"/>
      <c r="F218" s="1930"/>
      <c r="G218" s="1930"/>
      <c r="I218" s="1898"/>
      <c r="J218" s="1898"/>
      <c r="K218" s="1898"/>
      <c r="L218" s="1052"/>
      <c r="N218" s="1895"/>
      <c r="O218" s="1895"/>
      <c r="P218" s="1895"/>
      <c r="Q218" s="1895"/>
      <c r="R218" s="1895"/>
      <c r="T218" s="1894"/>
      <c r="U218" s="1894"/>
      <c r="V218" s="1894"/>
      <c r="W218" s="1894"/>
      <c r="X218" s="1894"/>
      <c r="Y218" s="1894"/>
      <c r="Z218" s="887"/>
      <c r="AA218" s="887"/>
      <c r="AB218" s="1892">
        <f t="shared" si="0"/>
        <v>0</v>
      </c>
      <c r="AC218" s="1892"/>
      <c r="AD218" s="1892"/>
      <c r="AE218" s="1892"/>
      <c r="AF218" s="1892"/>
      <c r="AG218" s="1892"/>
      <c r="AH218" s="863"/>
      <c r="AI218" s="863"/>
      <c r="AJ218" s="863"/>
      <c r="AK218" s="645"/>
    </row>
    <row r="219" spans="1:37">
      <c r="A219" s="640"/>
      <c r="B219" s="1930" t="s">
        <v>1326</v>
      </c>
      <c r="C219" s="1930"/>
      <c r="D219" s="1930"/>
      <c r="E219" s="1930"/>
      <c r="F219" s="1930"/>
      <c r="G219" s="1930"/>
      <c r="I219" s="1898"/>
      <c r="J219" s="1898"/>
      <c r="K219" s="1898"/>
      <c r="L219" s="1052"/>
      <c r="N219" s="1895"/>
      <c r="O219" s="1895"/>
      <c r="P219" s="1895"/>
      <c r="Q219" s="1895"/>
      <c r="R219" s="1895"/>
      <c r="T219" s="1894"/>
      <c r="U219" s="1894"/>
      <c r="V219" s="1894"/>
      <c r="W219" s="1894"/>
      <c r="X219" s="1894"/>
      <c r="Y219" s="1894"/>
      <c r="Z219" s="887"/>
      <c r="AA219" s="887"/>
      <c r="AB219" s="1892">
        <f t="shared" si="0"/>
        <v>0</v>
      </c>
      <c r="AC219" s="1892"/>
      <c r="AD219" s="1892"/>
      <c r="AE219" s="1892"/>
      <c r="AF219" s="1892"/>
      <c r="AG219" s="1892"/>
      <c r="AH219" s="863"/>
      <c r="AI219" s="863"/>
      <c r="AJ219" s="863"/>
      <c r="AK219" s="645"/>
    </row>
    <row r="220" spans="1:37">
      <c r="A220" s="640"/>
      <c r="B220" s="1930" t="s">
        <v>1326</v>
      </c>
      <c r="C220" s="1930"/>
      <c r="D220" s="1930"/>
      <c r="E220" s="1930"/>
      <c r="F220" s="1930"/>
      <c r="G220" s="1930"/>
      <c r="I220" s="1898"/>
      <c r="J220" s="1898"/>
      <c r="K220" s="1898"/>
      <c r="L220" s="1052"/>
      <c r="N220" s="1895"/>
      <c r="O220" s="1895"/>
      <c r="P220" s="1895"/>
      <c r="Q220" s="1895"/>
      <c r="R220" s="1895"/>
      <c r="T220" s="1894"/>
      <c r="U220" s="1894"/>
      <c r="V220" s="1894"/>
      <c r="W220" s="1894"/>
      <c r="X220" s="1894"/>
      <c r="Y220" s="1894"/>
      <c r="Z220" s="887"/>
      <c r="AA220" s="887"/>
      <c r="AB220" s="1892">
        <f t="shared" si="0"/>
        <v>0</v>
      </c>
      <c r="AC220" s="1892"/>
      <c r="AD220" s="1892"/>
      <c r="AE220" s="1892"/>
      <c r="AF220" s="1892"/>
      <c r="AG220" s="1892"/>
      <c r="AH220" s="863"/>
      <c r="AI220" s="863"/>
      <c r="AJ220" s="863"/>
      <c r="AK220" s="645"/>
    </row>
    <row r="221" spans="1:37">
      <c r="A221" s="640"/>
      <c r="B221" s="1930" t="s">
        <v>1326</v>
      </c>
      <c r="C221" s="1930"/>
      <c r="D221" s="1930"/>
      <c r="E221" s="1930"/>
      <c r="F221" s="1930"/>
      <c r="G221" s="1930"/>
      <c r="I221" s="1898"/>
      <c r="J221" s="1898"/>
      <c r="K221" s="1898"/>
      <c r="L221" s="1052"/>
      <c r="N221" s="1895"/>
      <c r="O221" s="1895"/>
      <c r="P221" s="1895"/>
      <c r="Q221" s="1895"/>
      <c r="R221" s="1895"/>
      <c r="T221" s="1894"/>
      <c r="U221" s="1894"/>
      <c r="V221" s="1894"/>
      <c r="W221" s="1894"/>
      <c r="X221" s="1894"/>
      <c r="Y221" s="1894"/>
      <c r="Z221" s="887"/>
      <c r="AA221" s="887"/>
      <c r="AB221" s="1892">
        <f t="shared" si="0"/>
        <v>0</v>
      </c>
      <c r="AC221" s="1892"/>
      <c r="AD221" s="1892"/>
      <c r="AE221" s="1892"/>
      <c r="AF221" s="1892"/>
      <c r="AG221" s="1892"/>
      <c r="AH221" s="863"/>
      <c r="AI221" s="863"/>
      <c r="AJ221" s="863"/>
      <c r="AK221" s="645"/>
    </row>
    <row r="222" spans="1:37">
      <c r="A222" s="640"/>
      <c r="B222" s="1930" t="s">
        <v>1326</v>
      </c>
      <c r="C222" s="1930"/>
      <c r="D222" s="1930"/>
      <c r="E222" s="1930"/>
      <c r="F222" s="1930"/>
      <c r="G222" s="1930"/>
      <c r="I222" s="2078"/>
      <c r="J222" s="2078"/>
      <c r="K222" s="2078"/>
      <c r="L222" s="1052"/>
      <c r="N222" s="1895"/>
      <c r="O222" s="1895"/>
      <c r="P222" s="1895"/>
      <c r="Q222" s="1895"/>
      <c r="R222" s="1895"/>
      <c r="T222" s="1894"/>
      <c r="U222" s="1894"/>
      <c r="V222" s="1894"/>
      <c r="W222" s="1894"/>
      <c r="X222" s="1894"/>
      <c r="Y222" s="1894"/>
      <c r="Z222" s="887"/>
      <c r="AA222" s="887"/>
      <c r="AB222" s="1899">
        <f t="shared" si="0"/>
        <v>0</v>
      </c>
      <c r="AC222" s="1899"/>
      <c r="AD222" s="1899"/>
      <c r="AE222" s="1899"/>
      <c r="AF222" s="1899"/>
      <c r="AG222" s="1899"/>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1782</v>
      </c>
      <c r="AA223" s="889"/>
      <c r="AB223" s="1892">
        <f>SUM(AB213:AB222)</f>
        <v>0</v>
      </c>
      <c r="AC223" s="1892"/>
      <c r="AD223" s="1892"/>
      <c r="AE223" s="1892"/>
      <c r="AF223" s="1892"/>
      <c r="AG223" s="1892"/>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1772</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1800</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1798</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1792</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1932"/>
      <c r="AC229" s="1932"/>
      <c r="AD229" s="1932"/>
      <c r="AE229" s="1932"/>
      <c r="AF229" s="1932"/>
      <c r="AG229" s="1932"/>
      <c r="AH229" s="645"/>
      <c r="AI229" s="645"/>
      <c r="AJ229" s="645"/>
      <c r="AK229" s="645"/>
    </row>
    <row r="230" spans="1:37">
      <c r="A230" s="640"/>
      <c r="B230" s="873" t="s">
        <v>1797</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1799</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1793</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1932">
        <v>15232059</v>
      </c>
      <c r="AC232" s="1932"/>
      <c r="AD232" s="1932"/>
      <c r="AE232" s="1932"/>
      <c r="AF232" s="1932"/>
      <c r="AG232" s="1932"/>
      <c r="AH232" s="645"/>
      <c r="AI232" s="645"/>
      <c r="AJ232" s="645"/>
      <c r="AK232" s="645"/>
    </row>
    <row r="233" spans="1:37">
      <c r="A233" s="640"/>
      <c r="B233" s="874" t="s">
        <v>1794</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1891">
        <v>15</v>
      </c>
      <c r="AC233" s="1891"/>
      <c r="AD233" s="1891"/>
      <c r="AE233" s="1891"/>
      <c r="AF233" s="1891"/>
      <c r="AG233" s="1891"/>
      <c r="AH233" s="645"/>
      <c r="AI233" s="645"/>
      <c r="AJ233" s="645"/>
      <c r="AK233" s="645"/>
    </row>
    <row r="234" spans="1:37">
      <c r="A234" s="640"/>
      <c r="B234" s="874" t="s">
        <v>1795</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1900">
        <f>IFERROR(AB232/AB233,0)</f>
        <v>1015470.6</v>
      </c>
      <c r="AC234" s="1900"/>
      <c r="AD234" s="1900"/>
      <c r="AE234" s="1900"/>
      <c r="AF234" s="1900"/>
      <c r="AG234" s="1900"/>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1796</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1899">
        <f>MAX(AB229,AB234)</f>
        <v>1015470.6</v>
      </c>
      <c r="AC236" s="1899"/>
      <c r="AD236" s="1899"/>
      <c r="AE236" s="1899"/>
      <c r="AF236" s="1899"/>
      <c r="AG236" s="1899"/>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1785</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892">
        <f>AB223+AB236</f>
        <v>1015470.6</v>
      </c>
      <c r="AC239" s="1892"/>
      <c r="AD239" s="1892"/>
      <c r="AE239" s="1892"/>
      <c r="AF239" s="1892"/>
      <c r="AG239" s="1892"/>
      <c r="AH239" s="645"/>
      <c r="AI239" s="645"/>
      <c r="AJ239" s="645"/>
      <c r="AK239" s="645"/>
    </row>
    <row r="240" spans="1:37">
      <c r="A240" s="640"/>
      <c r="B240" s="511" t="s">
        <v>866</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2062">
        <v>0.05</v>
      </c>
      <c r="AC240" s="2062"/>
      <c r="AD240" s="2062"/>
      <c r="AE240" s="2062"/>
      <c r="AF240" s="2062"/>
      <c r="AG240" s="2062"/>
      <c r="AH240" s="645"/>
      <c r="AI240" s="645"/>
      <c r="AJ240" s="645"/>
      <c r="AK240" s="645"/>
    </row>
    <row r="241" spans="1:37">
      <c r="A241" s="640"/>
      <c r="B241" s="511" t="s">
        <v>1786</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2063">
        <f>AB239-(AB239*AB240)</f>
        <v>964697.07</v>
      </c>
      <c r="AC241" s="2063"/>
      <c r="AD241" s="2063"/>
      <c r="AE241" s="2063"/>
      <c r="AF241" s="2063"/>
      <c r="AG241" s="2063"/>
      <c r="AH241" s="645"/>
      <c r="AI241" s="645"/>
      <c r="AJ241" s="645"/>
      <c r="AK241" s="645"/>
    </row>
    <row r="242" spans="1:37">
      <c r="A242" s="640"/>
      <c r="B242" s="511" t="s">
        <v>1787</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1788</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892">
        <f>AB241/AB247</f>
        <v>838867.01739130437</v>
      </c>
      <c r="AC243" s="1892"/>
      <c r="AD243" s="1892"/>
      <c r="AE243" s="1892"/>
      <c r="AF243" s="1892"/>
      <c r="AG243" s="1892"/>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1789</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2074">
        <v>15</v>
      </c>
      <c r="AC245" s="2074"/>
      <c r="AD245" s="2074"/>
      <c r="AE245" s="2074"/>
      <c r="AF245" s="2074"/>
      <c r="AG245" s="2074"/>
      <c r="AH245" s="645"/>
      <c r="AI245" s="645"/>
      <c r="AJ245" s="645"/>
      <c r="AK245" s="645"/>
    </row>
    <row r="246" spans="1:37">
      <c r="A246" s="640"/>
      <c r="B246" s="511" t="s">
        <v>1790</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2065">
        <v>0.04</v>
      </c>
      <c r="AC246" s="2065"/>
      <c r="AD246" s="2065"/>
      <c r="AE246" s="2065"/>
      <c r="AF246" s="2065"/>
      <c r="AG246" s="2065"/>
      <c r="AH246" s="645"/>
      <c r="AI246" s="645"/>
      <c r="AJ246" s="645"/>
      <c r="AK246" s="645"/>
    </row>
    <row r="247" spans="1:37">
      <c r="A247" s="640"/>
      <c r="B247" s="511" t="s">
        <v>878</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2066">
        <v>1.1499999999999999</v>
      </c>
      <c r="AC247" s="2066"/>
      <c r="AD247" s="2066"/>
      <c r="AE247" s="2066"/>
      <c r="AF247" s="2066"/>
      <c r="AG247" s="2066"/>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1791</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2055">
        <f>PV(AB246/12,AB245*12,-AB243/12, ,0)</f>
        <v>9450686.2100026645</v>
      </c>
      <c r="AC249" s="2056"/>
      <c r="AD249" s="2056"/>
      <c r="AE249" s="2056"/>
      <c r="AF249" s="2056"/>
      <c r="AG249" s="2057"/>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1767</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1770</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1769</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1768</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2059">
        <f>IFERROR(('Sources and Uses Budget'!D105/'Sources and Uses Budget'!B105),0)</f>
        <v>0</v>
      </c>
      <c r="AC255" s="2060"/>
      <c r="AD255" s="2060"/>
      <c r="AE255" s="2060"/>
      <c r="AF255" s="2060"/>
      <c r="AG255" s="2061"/>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1544</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06">
        <f>AD200*(1-AB255)</f>
        <v>103419225.21000266</v>
      </c>
      <c r="AH257" s="1906"/>
      <c r="AI257" s="1906"/>
      <c r="AJ257" s="1906"/>
      <c r="AK257" s="1906"/>
    </row>
    <row r="258" spans="1:52">
      <c r="A258" s="657"/>
      <c r="B258" s="660" t="s">
        <v>1545</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06">
        <f>'Sources and Uses Budget'!C105</f>
        <v>183187876</v>
      </c>
      <c r="AH258" s="1906"/>
      <c r="AI258" s="1906"/>
      <c r="AJ258" s="1906"/>
      <c r="AK258" s="1906"/>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2051">
        <f>ROUNDDOWN(IF(AND(C281="Yes",AK78=10),((AG257*2)/AG258),AG257/AG258),2)</f>
        <v>0.56000000000000005</v>
      </c>
      <c r="AH259" s="2051"/>
      <c r="AI259" s="2051"/>
      <c r="AJ259" s="2051"/>
      <c r="AK259" s="2051"/>
    </row>
    <row r="260" spans="1:52">
      <c r="A260" s="657"/>
      <c r="B260" s="1015" t="s">
        <v>2000</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1546</v>
      </c>
      <c r="AK262" s="2040">
        <f>IFERROR(IF(AG259=0,0,IF((AG259*100)&gt;8,8,(AG259*100))),0)</f>
        <v>8</v>
      </c>
      <c r="AL262" s="2040"/>
      <c r="AM262" s="2041"/>
    </row>
    <row r="263" spans="1:52" ht="13.5"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1547</v>
      </c>
      <c r="B265" s="573" t="s">
        <v>1548</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1485</v>
      </c>
      <c r="AI265" s="585"/>
      <c r="AJ265" s="585"/>
      <c r="AK265" s="585"/>
      <c r="AL265" s="585"/>
      <c r="AM265" s="585"/>
      <c r="AO265" s="585"/>
    </row>
    <row r="266" spans="1:52" ht="14.25" customHeight="1">
      <c r="A266" s="626"/>
      <c r="AI266" s="586"/>
      <c r="AJ266" s="585"/>
      <c r="AK266" s="585"/>
      <c r="AL266" s="585"/>
      <c r="AM266" s="585"/>
      <c r="AO266" s="585"/>
    </row>
    <row r="267" spans="1:52" ht="13.7" customHeight="1">
      <c r="A267" s="585"/>
      <c r="B267" s="631"/>
      <c r="C267" s="1924" t="s">
        <v>554</v>
      </c>
      <c r="D267" s="1924"/>
      <c r="E267" s="582"/>
      <c r="F267" s="1875" t="s">
        <v>2419</v>
      </c>
      <c r="G267" s="1876"/>
      <c r="H267" s="1876"/>
      <c r="I267" s="1876"/>
      <c r="J267" s="1876"/>
      <c r="K267" s="1876"/>
      <c r="L267" s="1876"/>
      <c r="M267" s="1876"/>
      <c r="N267" s="1876"/>
      <c r="O267" s="1876"/>
      <c r="P267" s="1876"/>
      <c r="Q267" s="1876"/>
      <c r="R267" s="1876"/>
      <c r="S267" s="1876"/>
      <c r="T267" s="1876"/>
      <c r="U267" s="1876"/>
      <c r="V267" s="1876"/>
      <c r="W267" s="1876"/>
      <c r="X267" s="1876"/>
      <c r="Y267" s="1876"/>
      <c r="Z267" s="1876"/>
      <c r="AA267" s="1876"/>
      <c r="AB267" s="1876"/>
      <c r="AC267" s="1876"/>
      <c r="AD267" s="1877"/>
      <c r="AE267" s="585"/>
      <c r="AF267" s="670"/>
      <c r="AG267" s="2049" t="s">
        <v>1534</v>
      </c>
      <c r="AH267" s="2049"/>
      <c r="AI267" s="2049"/>
      <c r="AJ267" s="2049"/>
      <c r="AK267" s="585"/>
      <c r="AL267" s="585"/>
      <c r="AM267" s="585"/>
      <c r="AO267" s="585"/>
    </row>
    <row r="268" spans="1:52" ht="13.7" customHeight="1">
      <c r="A268" s="585"/>
      <c r="B268" s="631"/>
      <c r="C268" s="671"/>
      <c r="D268" s="585"/>
      <c r="E268" s="582"/>
      <c r="F268" s="1878"/>
      <c r="G268" s="1879"/>
      <c r="H268" s="1879"/>
      <c r="I268" s="1879"/>
      <c r="J268" s="1879"/>
      <c r="K268" s="1879"/>
      <c r="L268" s="1879"/>
      <c r="M268" s="1879"/>
      <c r="N268" s="1879"/>
      <c r="O268" s="1879"/>
      <c r="P268" s="1879"/>
      <c r="Q268" s="1879"/>
      <c r="R268" s="1879"/>
      <c r="S268" s="1879"/>
      <c r="T268" s="1879"/>
      <c r="U268" s="1879"/>
      <c r="V268" s="1879"/>
      <c r="W268" s="1879"/>
      <c r="X268" s="1879"/>
      <c r="Y268" s="1879"/>
      <c r="Z268" s="1879"/>
      <c r="AA268" s="1879"/>
      <c r="AB268" s="1879"/>
      <c r="AC268" s="1879"/>
      <c r="AD268" s="1880"/>
      <c r="AE268" s="585"/>
      <c r="AF268" s="670"/>
      <c r="AG268" s="670"/>
      <c r="AH268" s="670"/>
      <c r="AI268" s="670"/>
      <c r="AJ268" s="585"/>
      <c r="AK268" s="585"/>
      <c r="AL268" s="585"/>
      <c r="AM268" s="585"/>
      <c r="AO268" s="585"/>
    </row>
    <row r="269" spans="1:52">
      <c r="A269" s="585"/>
      <c r="B269" s="631"/>
      <c r="C269" s="671"/>
      <c r="D269" s="585"/>
      <c r="E269" s="582"/>
      <c r="F269" s="1878"/>
      <c r="G269" s="1879"/>
      <c r="H269" s="1879"/>
      <c r="I269" s="1879"/>
      <c r="J269" s="1879"/>
      <c r="K269" s="1879"/>
      <c r="L269" s="1879"/>
      <c r="M269" s="1879"/>
      <c r="N269" s="1879"/>
      <c r="O269" s="1879"/>
      <c r="P269" s="1879"/>
      <c r="Q269" s="1879"/>
      <c r="R269" s="1879"/>
      <c r="S269" s="1879"/>
      <c r="T269" s="1879"/>
      <c r="U269" s="1879"/>
      <c r="V269" s="1879"/>
      <c r="W269" s="1879"/>
      <c r="X269" s="1879"/>
      <c r="Y269" s="1879"/>
      <c r="Z269" s="1879"/>
      <c r="AA269" s="1879"/>
      <c r="AB269" s="1879"/>
      <c r="AC269" s="1879"/>
      <c r="AD269" s="1880"/>
      <c r="AE269" s="585"/>
      <c r="AF269" s="670"/>
      <c r="AG269" s="670"/>
      <c r="AH269" s="670"/>
      <c r="AI269" s="670"/>
      <c r="AJ269" s="585"/>
      <c r="AK269" s="585"/>
      <c r="AL269" s="585"/>
      <c r="AM269" s="585"/>
      <c r="AO269" s="585"/>
      <c r="AP269" s="672"/>
    </row>
    <row r="270" spans="1:52">
      <c r="A270" s="585"/>
      <c r="B270" s="631"/>
      <c r="C270" s="671"/>
      <c r="D270" s="585"/>
      <c r="E270" s="582"/>
      <c r="F270" s="1878"/>
      <c r="G270" s="1879"/>
      <c r="H270" s="1879"/>
      <c r="I270" s="1879"/>
      <c r="J270" s="1879"/>
      <c r="K270" s="1879"/>
      <c r="L270" s="1879"/>
      <c r="M270" s="1879"/>
      <c r="N270" s="1879"/>
      <c r="O270" s="1879"/>
      <c r="P270" s="1879"/>
      <c r="Q270" s="1879"/>
      <c r="R270" s="1879"/>
      <c r="S270" s="1879"/>
      <c r="T270" s="1879"/>
      <c r="U270" s="1879"/>
      <c r="V270" s="1879"/>
      <c r="W270" s="1879"/>
      <c r="X270" s="1879"/>
      <c r="Y270" s="1879"/>
      <c r="Z270" s="1879"/>
      <c r="AA270" s="1879"/>
      <c r="AB270" s="1879"/>
      <c r="AC270" s="1879"/>
      <c r="AD270" s="1880"/>
      <c r="AE270" s="585"/>
      <c r="AF270" s="670"/>
      <c r="AG270" s="670"/>
      <c r="AH270" s="670"/>
      <c r="AI270" s="670"/>
      <c r="AJ270" s="585"/>
      <c r="AK270" s="585"/>
      <c r="AL270" s="585"/>
      <c r="AM270" s="585"/>
      <c r="AO270" s="585"/>
      <c r="AP270" s="672"/>
    </row>
    <row r="271" spans="1:52" ht="13.7" customHeight="1">
      <c r="A271" s="585"/>
      <c r="B271" s="631"/>
      <c r="C271" s="2050"/>
      <c r="D271" s="2050"/>
      <c r="E271" s="582"/>
      <c r="F271" s="1881"/>
      <c r="G271" s="1882"/>
      <c r="H271" s="1882"/>
      <c r="I271" s="1882"/>
      <c r="J271" s="1882"/>
      <c r="K271" s="1882"/>
      <c r="L271" s="1882"/>
      <c r="M271" s="1882"/>
      <c r="N271" s="1882"/>
      <c r="O271" s="1882"/>
      <c r="P271" s="1882"/>
      <c r="Q271" s="1882"/>
      <c r="R271" s="1882"/>
      <c r="S271" s="1882"/>
      <c r="T271" s="1882"/>
      <c r="U271" s="1882"/>
      <c r="V271" s="1882"/>
      <c r="W271" s="1882"/>
      <c r="X271" s="1882"/>
      <c r="Y271" s="1882"/>
      <c r="Z271" s="1882"/>
      <c r="AA271" s="1882"/>
      <c r="AB271" s="1882"/>
      <c r="AC271" s="1882"/>
      <c r="AD271" s="1883"/>
      <c r="AE271" s="585"/>
      <c r="AF271" s="670"/>
      <c r="AG271" s="2049"/>
      <c r="AH271" s="2049"/>
      <c r="AI271" s="2049"/>
      <c r="AJ271" s="2049"/>
      <c r="AK271" s="585"/>
      <c r="AL271" s="585"/>
      <c r="AM271" s="585"/>
    </row>
    <row r="272" spans="1:52" ht="13.7"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1550</v>
      </c>
      <c r="AK274" s="2040">
        <f>IF($C$267="yes",10,0)</f>
        <v>10</v>
      </c>
      <c r="AL274" s="2040"/>
      <c r="AM274" s="2041"/>
      <c r="AN274" s="73"/>
    </row>
    <row r="275" spans="1:49" ht="13.5" thickBot="1"/>
    <row r="276" spans="1:49" ht="13.5"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1551</v>
      </c>
      <c r="B277" s="573" t="s">
        <v>2115</v>
      </c>
      <c r="AH277" s="626" t="s">
        <v>1485</v>
      </c>
    </row>
    <row r="278" spans="1:49" ht="15" customHeight="1">
      <c r="B278" s="574"/>
    </row>
    <row r="279" spans="1:49" ht="15" customHeight="1">
      <c r="B279" s="574" t="s">
        <v>1987</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24" t="s">
        <v>1553</v>
      </c>
      <c r="B281" s="1624"/>
      <c r="C281" s="2017" t="s">
        <v>600</v>
      </c>
      <c r="D281" s="1924"/>
      <c r="E281" s="582"/>
      <c r="F281" s="2042" t="s">
        <v>1554</v>
      </c>
      <c r="G281" s="2043"/>
      <c r="H281" s="2043"/>
      <c r="I281" s="2043"/>
      <c r="J281" s="2043"/>
      <c r="K281" s="2043"/>
      <c r="L281" s="2043"/>
      <c r="M281" s="2043"/>
      <c r="N281" s="2043"/>
      <c r="O281" s="2043"/>
      <c r="P281" s="2043"/>
      <c r="Q281" s="2043"/>
      <c r="R281" s="2043"/>
      <c r="S281" s="2043"/>
      <c r="T281" s="2043"/>
      <c r="U281" s="2043"/>
      <c r="V281" s="2043"/>
      <c r="W281" s="2043"/>
      <c r="X281" s="2043"/>
      <c r="Y281" s="2043"/>
      <c r="Z281" s="2043"/>
      <c r="AA281" s="2043"/>
      <c r="AB281" s="2043"/>
      <c r="AC281" s="2043"/>
      <c r="AD281" s="2044"/>
      <c r="AE281" s="677"/>
      <c r="AF281" s="585"/>
      <c r="AG281" s="2045" t="s">
        <v>2412</v>
      </c>
      <c r="AH281" s="2045"/>
      <c r="AI281" s="2045"/>
      <c r="AJ281" s="2045"/>
      <c r="AK281" s="2045"/>
      <c r="AL281" s="585"/>
      <c r="AM281" s="585"/>
      <c r="AN281" s="73"/>
      <c r="AO281" s="14"/>
      <c r="AP281" s="30"/>
      <c r="AS281" s="605"/>
      <c r="AT281" s="605"/>
      <c r="AU281" s="605"/>
      <c r="AV281" s="32"/>
      <c r="AW281" s="32"/>
    </row>
    <row r="282" spans="1:49">
      <c r="A282" s="675"/>
      <c r="B282" s="631"/>
      <c r="F282" s="1901"/>
      <c r="G282" s="1902"/>
      <c r="H282" s="1902"/>
      <c r="I282" s="1902"/>
      <c r="J282" s="1902"/>
      <c r="K282" s="1902"/>
      <c r="L282" s="1902"/>
      <c r="M282" s="1902"/>
      <c r="N282" s="1902"/>
      <c r="O282" s="1902"/>
      <c r="P282" s="1902"/>
      <c r="Q282" s="1902"/>
      <c r="R282" s="1902"/>
      <c r="S282" s="1902"/>
      <c r="T282" s="1902"/>
      <c r="U282" s="1902"/>
      <c r="V282" s="1902"/>
      <c r="W282" s="1902"/>
      <c r="X282" s="1902"/>
      <c r="Y282" s="1902"/>
      <c r="Z282" s="1902"/>
      <c r="AA282" s="1902"/>
      <c r="AB282" s="1902"/>
      <c r="AC282" s="1902"/>
      <c r="AD282" s="1903"/>
      <c r="AE282" s="677"/>
      <c r="AF282" s="586"/>
      <c r="AH282" s="586"/>
      <c r="AI282" s="586"/>
      <c r="AJ282" s="585"/>
      <c r="AK282" s="585"/>
      <c r="AL282" s="585"/>
      <c r="AM282" s="585"/>
      <c r="AN282" s="73"/>
      <c r="AO282" s="14"/>
      <c r="AP282" s="585">
        <f>IF($C$281="yes",10,IF(C281="50% Met",9,0))</f>
        <v>0</v>
      </c>
      <c r="AS282" s="605"/>
      <c r="AT282" s="605"/>
      <c r="AU282" s="605"/>
      <c r="AV282" s="32"/>
      <c r="AW282" s="32"/>
    </row>
    <row r="283" spans="1:49" ht="15" customHeight="1">
      <c r="A283" s="675"/>
      <c r="B283" s="631"/>
      <c r="F283" s="1901"/>
      <c r="G283" s="1902"/>
      <c r="H283" s="1902"/>
      <c r="I283" s="1902"/>
      <c r="J283" s="1902"/>
      <c r="K283" s="1902"/>
      <c r="L283" s="1902"/>
      <c r="M283" s="1902"/>
      <c r="N283" s="1902"/>
      <c r="O283" s="1902"/>
      <c r="P283" s="1902"/>
      <c r="Q283" s="1902"/>
      <c r="R283" s="1902"/>
      <c r="S283" s="1902"/>
      <c r="T283" s="1902"/>
      <c r="U283" s="1902"/>
      <c r="V283" s="1902"/>
      <c r="W283" s="1902"/>
      <c r="X283" s="1902"/>
      <c r="Y283" s="1902"/>
      <c r="Z283" s="1902"/>
      <c r="AA283" s="1902"/>
      <c r="AB283" s="1902"/>
      <c r="AC283" s="1902"/>
      <c r="AD283" s="1903"/>
      <c r="AE283" s="677"/>
      <c r="AF283" s="586"/>
      <c r="AH283" s="586"/>
      <c r="AI283" s="586"/>
      <c r="AJ283" s="585"/>
      <c r="AK283" s="585"/>
      <c r="AL283" s="585"/>
      <c r="AM283" s="585"/>
      <c r="AN283" s="73"/>
      <c r="AO283" s="14"/>
      <c r="AP283" s="585">
        <f>IF($C$291="yes",9,0)</f>
        <v>9</v>
      </c>
      <c r="AS283" s="605"/>
      <c r="AT283" s="605"/>
      <c r="AU283" s="605"/>
      <c r="AV283" s="32"/>
      <c r="AW283" s="32"/>
    </row>
    <row r="284" spans="1:49" ht="12.75" customHeight="1">
      <c r="A284" s="675"/>
      <c r="B284" s="631"/>
      <c r="F284" s="1901" t="s">
        <v>2420</v>
      </c>
      <c r="G284" s="1902"/>
      <c r="H284" s="1902"/>
      <c r="I284" s="1902"/>
      <c r="J284" s="1902"/>
      <c r="K284" s="1902"/>
      <c r="L284" s="1902"/>
      <c r="M284" s="1902"/>
      <c r="N284" s="1902"/>
      <c r="O284" s="1902"/>
      <c r="P284" s="1902"/>
      <c r="Q284" s="1902"/>
      <c r="R284" s="1902"/>
      <c r="S284" s="1902"/>
      <c r="T284" s="1902"/>
      <c r="U284" s="1902"/>
      <c r="V284" s="1902"/>
      <c r="W284" s="1902"/>
      <c r="X284" s="1902"/>
      <c r="Y284" s="1902"/>
      <c r="Z284" s="1902"/>
      <c r="AA284" s="1902"/>
      <c r="AB284" s="1902"/>
      <c r="AC284" s="1902"/>
      <c r="AD284" s="1903"/>
      <c r="AE284" s="677"/>
      <c r="AF284" s="586"/>
      <c r="AH284" s="586"/>
      <c r="AI284" s="586"/>
      <c r="AJ284" s="585"/>
      <c r="AK284" s="585"/>
      <c r="AL284" s="585"/>
      <c r="AM284" s="585"/>
      <c r="AN284" s="73"/>
      <c r="AO284" s="14"/>
      <c r="AP284" s="646">
        <f>MAX(AP282,AP283)</f>
        <v>9</v>
      </c>
      <c r="AQ284" s="609" t="s">
        <v>1487</v>
      </c>
      <c r="AS284" s="605"/>
      <c r="AT284" s="605"/>
      <c r="AU284" s="605"/>
      <c r="AV284" s="32"/>
      <c r="AW284" s="32"/>
    </row>
    <row r="285" spans="1:49">
      <c r="A285" s="675"/>
      <c r="B285" s="631"/>
      <c r="F285" s="1901"/>
      <c r="G285" s="1902"/>
      <c r="H285" s="1902"/>
      <c r="I285" s="1902"/>
      <c r="J285" s="1902"/>
      <c r="K285" s="1902"/>
      <c r="L285" s="1902"/>
      <c r="M285" s="1902"/>
      <c r="N285" s="1902"/>
      <c r="O285" s="1902"/>
      <c r="P285" s="1902"/>
      <c r="Q285" s="1902"/>
      <c r="R285" s="1902"/>
      <c r="S285" s="1902"/>
      <c r="T285" s="1902"/>
      <c r="U285" s="1902"/>
      <c r="V285" s="1902"/>
      <c r="W285" s="1902"/>
      <c r="X285" s="1902"/>
      <c r="Y285" s="1902"/>
      <c r="Z285" s="1902"/>
      <c r="AA285" s="1902"/>
      <c r="AB285" s="1902"/>
      <c r="AC285" s="1902"/>
      <c r="AD285" s="1903"/>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901" t="s">
        <v>1555</v>
      </c>
      <c r="G286" s="1902"/>
      <c r="H286" s="1902"/>
      <c r="I286" s="1902"/>
      <c r="J286" s="1902"/>
      <c r="K286" s="1902"/>
      <c r="L286" s="1902"/>
      <c r="M286" s="1902"/>
      <c r="N286" s="1902"/>
      <c r="O286" s="1902"/>
      <c r="P286" s="1902"/>
      <c r="Q286" s="1902"/>
      <c r="R286" s="1902"/>
      <c r="S286" s="1902"/>
      <c r="T286" s="1902"/>
      <c r="U286" s="1902"/>
      <c r="V286" s="1902"/>
      <c r="W286" s="1902"/>
      <c r="X286" s="1902"/>
      <c r="Y286" s="1902"/>
      <c r="Z286" s="1902"/>
      <c r="AA286" s="1902"/>
      <c r="AB286" s="1902"/>
      <c r="AC286" s="1902"/>
      <c r="AD286" s="1903"/>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901"/>
      <c r="G287" s="1902"/>
      <c r="H287" s="1902"/>
      <c r="I287" s="1902"/>
      <c r="J287" s="1902"/>
      <c r="K287" s="1902"/>
      <c r="L287" s="1902"/>
      <c r="M287" s="1902"/>
      <c r="N287" s="1902"/>
      <c r="O287" s="1902"/>
      <c r="P287" s="1902"/>
      <c r="Q287" s="1902"/>
      <c r="R287" s="1902"/>
      <c r="S287" s="1902"/>
      <c r="T287" s="1902"/>
      <c r="U287" s="1902"/>
      <c r="V287" s="1902"/>
      <c r="W287" s="1902"/>
      <c r="X287" s="1902"/>
      <c r="Y287" s="1902"/>
      <c r="Z287" s="1902"/>
      <c r="AA287" s="1902"/>
      <c r="AB287" s="1902"/>
      <c r="AC287" s="1902"/>
      <c r="AD287" s="1903"/>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901" t="s">
        <v>1556</v>
      </c>
      <c r="G288" s="1902"/>
      <c r="H288" s="1902"/>
      <c r="I288" s="1902"/>
      <c r="J288" s="1902"/>
      <c r="K288" s="1902"/>
      <c r="L288" s="1902"/>
      <c r="M288" s="1902"/>
      <c r="N288" s="1902"/>
      <c r="O288" s="1902"/>
      <c r="P288" s="1902"/>
      <c r="Q288" s="1902"/>
      <c r="R288" s="1902"/>
      <c r="S288" s="1902"/>
      <c r="T288" s="1902"/>
      <c r="U288" s="1902"/>
      <c r="V288" s="1902"/>
      <c r="W288" s="1902"/>
      <c r="X288" s="1902"/>
      <c r="Y288" s="1902"/>
      <c r="Z288" s="1902"/>
      <c r="AA288" s="1902"/>
      <c r="AB288" s="1902"/>
      <c r="AC288" s="1902"/>
      <c r="AD288" s="1903"/>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04"/>
      <c r="G289" s="1905"/>
      <c r="H289" s="1905"/>
      <c r="I289" s="1905"/>
      <c r="J289" s="1905"/>
      <c r="K289" s="1905"/>
      <c r="L289" s="1905"/>
      <c r="M289" s="1905"/>
      <c r="N289" s="1905"/>
      <c r="O289" s="1905"/>
      <c r="P289" s="1905"/>
      <c r="Q289" s="1905"/>
      <c r="R289" s="1905"/>
      <c r="S289" s="1905"/>
      <c r="T289" s="1905"/>
      <c r="U289" s="1905"/>
      <c r="V289" s="1905"/>
      <c r="W289" s="1905"/>
      <c r="X289" s="1905"/>
      <c r="Y289" s="1905"/>
      <c r="Z289" s="1905"/>
      <c r="AA289" s="1905"/>
      <c r="AB289" s="1905"/>
      <c r="AC289" s="1905"/>
      <c r="AD289" s="2039"/>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24" t="s">
        <v>1557</v>
      </c>
      <c r="B291" s="1624"/>
      <c r="C291" s="1924" t="s">
        <v>554</v>
      </c>
      <c r="D291" s="1924"/>
      <c r="E291" s="582"/>
      <c r="F291" s="679" t="s">
        <v>2413</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1559</v>
      </c>
      <c r="AH291" s="586"/>
      <c r="AI291" s="586"/>
      <c r="AJ291" s="585"/>
      <c r="AK291" s="585"/>
      <c r="AL291" s="585"/>
      <c r="AM291" s="585"/>
      <c r="AN291" s="682"/>
      <c r="AO291" s="14"/>
    </row>
    <row r="292" spans="1:49">
      <c r="A292" s="585"/>
      <c r="B292" s="586"/>
      <c r="C292" s="585"/>
      <c r="D292" s="586"/>
      <c r="E292" s="585"/>
      <c r="F292" s="2024" t="s">
        <v>2414</v>
      </c>
      <c r="G292" s="2025"/>
      <c r="H292" s="2025"/>
      <c r="I292" s="2025"/>
      <c r="J292" s="2025"/>
      <c r="K292" s="2025"/>
      <c r="L292" s="2025"/>
      <c r="M292" s="2025"/>
      <c r="N292" s="2025"/>
      <c r="O292" s="2025"/>
      <c r="P292" s="2025"/>
      <c r="Q292" s="2025"/>
      <c r="R292" s="2025"/>
      <c r="S292" s="2025"/>
      <c r="T292" s="2025"/>
      <c r="U292" s="2025"/>
      <c r="V292" s="2025"/>
      <c r="W292" s="2025"/>
      <c r="X292" s="2025"/>
      <c r="Y292" s="2025"/>
      <c r="Z292" s="2025"/>
      <c r="AA292" s="2025"/>
      <c r="AB292" s="2025"/>
      <c r="AC292" s="2025"/>
      <c r="AD292" s="2026"/>
      <c r="AE292" s="586"/>
      <c r="AF292" s="586"/>
      <c r="AG292" s="586"/>
      <c r="AH292" s="586"/>
      <c r="AI292" s="586"/>
      <c r="AJ292" s="585"/>
      <c r="AK292" s="585"/>
      <c r="AL292" s="585"/>
      <c r="AM292" s="585"/>
      <c r="AR292" s="683"/>
    </row>
    <row r="293" spans="1:49" ht="15" customHeight="1">
      <c r="A293" s="585"/>
      <c r="B293" s="586"/>
      <c r="C293" s="585"/>
      <c r="D293" s="586"/>
      <c r="E293" s="585"/>
      <c r="F293" s="2024"/>
      <c r="G293" s="2025"/>
      <c r="H293" s="2025"/>
      <c r="I293" s="2025"/>
      <c r="J293" s="2025"/>
      <c r="K293" s="2025"/>
      <c r="L293" s="2025"/>
      <c r="M293" s="2025"/>
      <c r="N293" s="2025"/>
      <c r="O293" s="2025"/>
      <c r="P293" s="2025"/>
      <c r="Q293" s="2025"/>
      <c r="R293" s="2025"/>
      <c r="S293" s="2025"/>
      <c r="T293" s="2025"/>
      <c r="U293" s="2025"/>
      <c r="V293" s="2025"/>
      <c r="W293" s="2025"/>
      <c r="X293" s="2025"/>
      <c r="Y293" s="2025"/>
      <c r="Z293" s="2025"/>
      <c r="AA293" s="2025"/>
      <c r="AB293" s="2025"/>
      <c r="AC293" s="2025"/>
      <c r="AD293" s="2026"/>
      <c r="AE293" s="586"/>
      <c r="AF293" s="586"/>
      <c r="AG293" s="586"/>
      <c r="AH293" s="586"/>
      <c r="AI293" s="586"/>
      <c r="AJ293" s="585"/>
      <c r="AK293" s="585"/>
      <c r="AL293" s="585"/>
      <c r="AM293" s="585"/>
      <c r="AR293" s="683"/>
    </row>
    <row r="294" spans="1:49">
      <c r="A294" s="585"/>
      <c r="B294" s="586"/>
      <c r="C294" s="585"/>
      <c r="D294" s="586"/>
      <c r="E294" s="585"/>
      <c r="F294" s="2024"/>
      <c r="G294" s="2025"/>
      <c r="H294" s="2025"/>
      <c r="I294" s="2025"/>
      <c r="J294" s="2025"/>
      <c r="K294" s="2025"/>
      <c r="L294" s="2025"/>
      <c r="M294" s="2025"/>
      <c r="N294" s="2025"/>
      <c r="O294" s="2025"/>
      <c r="P294" s="2025"/>
      <c r="Q294" s="2025"/>
      <c r="R294" s="2025"/>
      <c r="S294" s="2025"/>
      <c r="T294" s="2025"/>
      <c r="U294" s="2025"/>
      <c r="V294" s="2025"/>
      <c r="W294" s="2025"/>
      <c r="X294" s="2025"/>
      <c r="Y294" s="2025"/>
      <c r="Z294" s="2025"/>
      <c r="AA294" s="2025"/>
      <c r="AB294" s="2025"/>
      <c r="AC294" s="2025"/>
      <c r="AD294" s="2026"/>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2046"/>
      <c r="G295" s="2047"/>
      <c r="H295" s="2047"/>
      <c r="I295" s="2047"/>
      <c r="J295" s="2047"/>
      <c r="K295" s="2047"/>
      <c r="L295" s="2047"/>
      <c r="M295" s="2047"/>
      <c r="N295" s="2047"/>
      <c r="O295" s="2047"/>
      <c r="P295" s="2047"/>
      <c r="Q295" s="2047"/>
      <c r="R295" s="2047"/>
      <c r="S295" s="2047"/>
      <c r="T295" s="2047"/>
      <c r="U295" s="2047"/>
      <c r="V295" s="2047"/>
      <c r="W295" s="2047"/>
      <c r="X295" s="2047"/>
      <c r="Y295" s="2047"/>
      <c r="Z295" s="2047"/>
      <c r="AA295" s="2047"/>
      <c r="AB295" s="2047"/>
      <c r="AC295" s="2047"/>
      <c r="AD295" s="2048"/>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24" t="s">
        <v>1560</v>
      </c>
      <c r="B299" s="1624"/>
      <c r="C299" s="1924" t="s">
        <v>600</v>
      </c>
      <c r="D299" s="1924"/>
      <c r="E299" s="582"/>
      <c r="F299" s="679" t="s">
        <v>1558</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1559</v>
      </c>
      <c r="AH299" s="586"/>
      <c r="AI299" s="586"/>
      <c r="AJ299" s="585"/>
      <c r="AK299" s="585"/>
      <c r="AL299" s="585"/>
      <c r="AM299" s="585"/>
      <c r="AN299" s="73"/>
      <c r="AO299" s="14"/>
    </row>
    <row r="300" spans="1:49" hidden="1">
      <c r="A300" s="89"/>
      <c r="B300" s="89"/>
      <c r="C300" s="765"/>
      <c r="D300" s="765"/>
      <c r="E300" s="582"/>
      <c r="F300" s="1901" t="s">
        <v>2421</v>
      </c>
      <c r="G300" s="1902"/>
      <c r="H300" s="1902"/>
      <c r="I300" s="1902"/>
      <c r="J300" s="1902"/>
      <c r="K300" s="1902"/>
      <c r="L300" s="1902"/>
      <c r="M300" s="1902"/>
      <c r="N300" s="1902"/>
      <c r="O300" s="1902"/>
      <c r="P300" s="1902"/>
      <c r="Q300" s="1902"/>
      <c r="R300" s="1902"/>
      <c r="S300" s="1902"/>
      <c r="T300" s="1902"/>
      <c r="U300" s="1902"/>
      <c r="V300" s="1902"/>
      <c r="W300" s="1902"/>
      <c r="X300" s="1902"/>
      <c r="Y300" s="1902"/>
      <c r="Z300" s="1902"/>
      <c r="AA300" s="1902"/>
      <c r="AB300" s="1902"/>
      <c r="AC300" s="1902"/>
      <c r="AD300" s="1903"/>
      <c r="AE300" s="586"/>
      <c r="AF300" s="586"/>
      <c r="AG300" s="574"/>
      <c r="AH300" s="586"/>
      <c r="AI300" s="586"/>
      <c r="AJ300" s="585"/>
      <c r="AK300" s="585"/>
      <c r="AL300" s="585"/>
      <c r="AM300" s="585"/>
      <c r="AN300" s="73"/>
      <c r="AO300" s="14"/>
      <c r="AP300" s="592" t="s">
        <v>1326</v>
      </c>
    </row>
    <row r="301" spans="1:49" hidden="1">
      <c r="F301" s="1901"/>
      <c r="G301" s="1902"/>
      <c r="H301" s="1902"/>
      <c r="I301" s="1902"/>
      <c r="J301" s="1902"/>
      <c r="K301" s="1902"/>
      <c r="L301" s="1902"/>
      <c r="M301" s="1902"/>
      <c r="N301" s="1902"/>
      <c r="O301" s="1902"/>
      <c r="P301" s="1902"/>
      <c r="Q301" s="1902"/>
      <c r="R301" s="1902"/>
      <c r="S301" s="1902"/>
      <c r="T301" s="1902"/>
      <c r="U301" s="1902"/>
      <c r="V301" s="1902"/>
      <c r="W301" s="1902"/>
      <c r="X301" s="1902"/>
      <c r="Y301" s="1902"/>
      <c r="Z301" s="1902"/>
      <c r="AA301" s="1902"/>
      <c r="AB301" s="1902"/>
      <c r="AC301" s="1902"/>
      <c r="AD301" s="1903"/>
      <c r="AE301" s="586"/>
      <c r="AF301" s="586"/>
      <c r="AH301" s="586"/>
      <c r="AI301" s="586"/>
      <c r="AJ301" s="585"/>
      <c r="AK301" s="585"/>
      <c r="AL301" s="585"/>
      <c r="AM301" s="585"/>
      <c r="AN301" s="73"/>
      <c r="AO301" s="14"/>
      <c r="AP301" s="592" t="s">
        <v>1989</v>
      </c>
    </row>
    <row r="302" spans="1:49" hidden="1">
      <c r="A302" s="585"/>
      <c r="B302" s="586"/>
      <c r="C302" s="765"/>
      <c r="D302" s="765"/>
      <c r="E302" s="582"/>
      <c r="F302" s="687" t="s">
        <v>1561</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1991</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2117</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2027" t="s">
        <v>1326</v>
      </c>
      <c r="G305" s="2028"/>
      <c r="H305" s="2028"/>
      <c r="I305" s="2028"/>
      <c r="J305" s="2028"/>
      <c r="K305" s="2028"/>
      <c r="L305" s="2028"/>
      <c r="M305" s="2028"/>
      <c r="N305" s="2028"/>
      <c r="O305" s="2028"/>
      <c r="P305" s="2028"/>
      <c r="Q305" s="2028"/>
      <c r="R305" s="2028"/>
      <c r="S305" s="2028"/>
      <c r="T305" s="2028"/>
      <c r="U305" s="2028"/>
      <c r="V305" s="2028"/>
      <c r="W305" s="2028"/>
      <c r="X305" s="2028"/>
      <c r="Y305" s="2028"/>
      <c r="Z305" s="2028"/>
      <c r="AA305" s="2028"/>
      <c r="AB305" s="2028"/>
      <c r="AC305" s="2028"/>
      <c r="AD305" s="2029"/>
      <c r="AE305" s="677"/>
      <c r="AF305" s="677"/>
      <c r="AG305" s="677"/>
      <c r="AH305" s="677"/>
      <c r="AI305" s="677"/>
      <c r="AJ305" s="677"/>
      <c r="AK305" s="677"/>
      <c r="AL305" s="585"/>
      <c r="AM305" s="585"/>
      <c r="AN305" s="73"/>
      <c r="AO305" s="14"/>
      <c r="AP305" s="30"/>
    </row>
    <row r="306" spans="1:42" hidden="1">
      <c r="A306" s="585"/>
      <c r="B306" s="586"/>
      <c r="C306" s="765"/>
      <c r="D306" s="765"/>
      <c r="E306" s="582"/>
      <c r="F306" s="2027"/>
      <c r="G306" s="2028"/>
      <c r="H306" s="2028"/>
      <c r="I306" s="2028"/>
      <c r="J306" s="2028"/>
      <c r="K306" s="2028"/>
      <c r="L306" s="2028"/>
      <c r="M306" s="2028"/>
      <c r="N306" s="2028"/>
      <c r="O306" s="2028"/>
      <c r="P306" s="2028"/>
      <c r="Q306" s="2028"/>
      <c r="R306" s="2028"/>
      <c r="S306" s="2028"/>
      <c r="T306" s="2028"/>
      <c r="U306" s="2028"/>
      <c r="V306" s="2028"/>
      <c r="W306" s="2028"/>
      <c r="X306" s="2028"/>
      <c r="Y306" s="2028"/>
      <c r="Z306" s="2028"/>
      <c r="AA306" s="2028"/>
      <c r="AB306" s="2028"/>
      <c r="AC306" s="2028"/>
      <c r="AD306" s="2029"/>
      <c r="AE306" s="586"/>
      <c r="AF306" s="586"/>
      <c r="AG306" s="574"/>
      <c r="AH306" s="586"/>
      <c r="AI306" s="586"/>
      <c r="AJ306" s="585"/>
      <c r="AK306" s="585"/>
      <c r="AL306" s="585"/>
      <c r="AM306" s="585"/>
      <c r="AN306" s="73"/>
      <c r="AO306" s="14"/>
      <c r="AP306" s="30"/>
    </row>
    <row r="307" spans="1:42" hidden="1">
      <c r="A307" s="585"/>
      <c r="B307" s="586"/>
      <c r="C307" s="765"/>
      <c r="D307" s="765"/>
      <c r="E307" s="582"/>
      <c r="F307" s="2027"/>
      <c r="G307" s="2028"/>
      <c r="H307" s="2028"/>
      <c r="I307" s="2028"/>
      <c r="J307" s="2028"/>
      <c r="K307" s="2028"/>
      <c r="L307" s="2028"/>
      <c r="M307" s="2028"/>
      <c r="N307" s="2028"/>
      <c r="O307" s="2028"/>
      <c r="P307" s="2028"/>
      <c r="Q307" s="2028"/>
      <c r="R307" s="2028"/>
      <c r="S307" s="2028"/>
      <c r="T307" s="2028"/>
      <c r="U307" s="2028"/>
      <c r="V307" s="2028"/>
      <c r="W307" s="2028"/>
      <c r="X307" s="2028"/>
      <c r="Y307" s="2028"/>
      <c r="Z307" s="2028"/>
      <c r="AA307" s="2028"/>
      <c r="AB307" s="2028"/>
      <c r="AC307" s="2028"/>
      <c r="AD307" s="2029"/>
      <c r="AE307" s="586"/>
      <c r="AF307" s="586"/>
      <c r="AG307" s="574"/>
      <c r="AH307" s="586"/>
      <c r="AI307" s="586"/>
      <c r="AJ307" s="585"/>
      <c r="AK307" s="585"/>
      <c r="AL307" s="585"/>
      <c r="AM307" s="585"/>
      <c r="AN307" s="73"/>
      <c r="AO307" s="14"/>
      <c r="AP307" s="30"/>
    </row>
    <row r="308" spans="1:42" hidden="1">
      <c r="A308" s="585"/>
      <c r="B308" s="586"/>
      <c r="C308" s="765"/>
      <c r="D308" s="765"/>
      <c r="E308" s="582"/>
      <c r="F308" s="2027"/>
      <c r="G308" s="2028"/>
      <c r="H308" s="2028"/>
      <c r="I308" s="2028"/>
      <c r="J308" s="2028"/>
      <c r="K308" s="2028"/>
      <c r="L308" s="2028"/>
      <c r="M308" s="2028"/>
      <c r="N308" s="2028"/>
      <c r="O308" s="2028"/>
      <c r="P308" s="2028"/>
      <c r="Q308" s="2028"/>
      <c r="R308" s="2028"/>
      <c r="S308" s="2028"/>
      <c r="T308" s="2028"/>
      <c r="U308" s="2028"/>
      <c r="V308" s="2028"/>
      <c r="W308" s="2028"/>
      <c r="X308" s="2028"/>
      <c r="Y308" s="2028"/>
      <c r="Z308" s="2028"/>
      <c r="AA308" s="2028"/>
      <c r="AB308" s="2028"/>
      <c r="AC308" s="2028"/>
      <c r="AD308" s="2029"/>
      <c r="AE308" s="586"/>
      <c r="AF308" s="586"/>
      <c r="AG308" s="574"/>
      <c r="AH308" s="586"/>
      <c r="AI308" s="586"/>
      <c r="AJ308" s="585"/>
      <c r="AK308" s="585"/>
      <c r="AL308" s="585"/>
      <c r="AM308" s="585"/>
      <c r="AN308" s="73"/>
      <c r="AO308" s="14"/>
      <c r="AP308" s="30"/>
    </row>
    <row r="309" spans="1:42" hidden="1">
      <c r="A309" s="585"/>
      <c r="B309" s="586"/>
      <c r="C309" s="765"/>
      <c r="D309" s="765"/>
      <c r="E309" s="582"/>
      <c r="F309" s="2030"/>
      <c r="G309" s="2031"/>
      <c r="H309" s="2031"/>
      <c r="I309" s="2031"/>
      <c r="J309" s="2031"/>
      <c r="K309" s="2031"/>
      <c r="L309" s="2031"/>
      <c r="M309" s="2031"/>
      <c r="N309" s="2031"/>
      <c r="O309" s="2031"/>
      <c r="P309" s="2031"/>
      <c r="Q309" s="2031"/>
      <c r="R309" s="2031"/>
      <c r="S309" s="2031"/>
      <c r="T309" s="2031"/>
      <c r="U309" s="2031"/>
      <c r="V309" s="2031"/>
      <c r="W309" s="2031"/>
      <c r="X309" s="2031"/>
      <c r="Y309" s="2031"/>
      <c r="Z309" s="2031"/>
      <c r="AA309" s="2031"/>
      <c r="AB309" s="2031"/>
      <c r="AC309" s="2031"/>
      <c r="AD309" s="2032"/>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1990</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1326</v>
      </c>
    </row>
    <row r="313" spans="1:42" ht="12.75" hidden="1" customHeight="1">
      <c r="A313" s="585"/>
      <c r="B313" s="586"/>
      <c r="C313" s="765"/>
      <c r="D313" s="765"/>
      <c r="E313" s="582"/>
      <c r="F313" s="691"/>
      <c r="G313" s="610" t="s">
        <v>697</v>
      </c>
      <c r="H313" s="610"/>
      <c r="I313" s="2033" t="s">
        <v>1326</v>
      </c>
      <c r="J313" s="2033"/>
      <c r="K313" s="2033"/>
      <c r="L313" s="2033"/>
      <c r="M313" s="2033"/>
      <c r="N313" s="2033"/>
      <c r="O313" s="2033"/>
      <c r="P313" s="2033"/>
      <c r="Q313" s="2033"/>
      <c r="R313" s="2033"/>
      <c r="S313" s="2033"/>
      <c r="T313" s="2033"/>
      <c r="U313" s="2033"/>
      <c r="V313" s="2033"/>
      <c r="W313" s="2033"/>
      <c r="X313" s="2033"/>
      <c r="Y313" s="2033"/>
      <c r="Z313" s="2033"/>
      <c r="AA313" s="2033"/>
      <c r="AB313" s="2033"/>
      <c r="AC313" s="2033"/>
      <c r="AD313" s="2034"/>
      <c r="AE313" s="586"/>
      <c r="AF313" s="586"/>
      <c r="AG313" s="574"/>
      <c r="AH313" s="586"/>
      <c r="AI313" s="586"/>
      <c r="AJ313" s="585"/>
      <c r="AK313" s="585"/>
      <c r="AL313" s="585"/>
      <c r="AM313" s="585"/>
      <c r="AN313" s="73"/>
      <c r="AO313" s="14"/>
      <c r="AP313" s="592" t="s">
        <v>1816</v>
      </c>
    </row>
    <row r="314" spans="1:42" hidden="1">
      <c r="A314" s="585"/>
      <c r="B314" s="586"/>
      <c r="C314" s="765"/>
      <c r="D314" s="765"/>
      <c r="E314" s="582"/>
      <c r="F314" s="691"/>
      <c r="G314" s="610"/>
      <c r="H314" s="610"/>
      <c r="I314" s="2033"/>
      <c r="J314" s="2033"/>
      <c r="K314" s="2033"/>
      <c r="L314" s="2033"/>
      <c r="M314" s="2033"/>
      <c r="N314" s="2033"/>
      <c r="O314" s="2033"/>
      <c r="P314" s="2033"/>
      <c r="Q314" s="2033"/>
      <c r="R314" s="2033"/>
      <c r="S314" s="2033"/>
      <c r="T314" s="2033"/>
      <c r="U314" s="2033"/>
      <c r="V314" s="2033"/>
      <c r="W314" s="2033"/>
      <c r="X314" s="2033"/>
      <c r="Y314" s="2033"/>
      <c r="Z314" s="2033"/>
      <c r="AA314" s="2033"/>
      <c r="AB314" s="2033"/>
      <c r="AC314" s="2033"/>
      <c r="AD314" s="2034"/>
      <c r="AE314" s="586"/>
      <c r="AF314" s="586"/>
      <c r="AG314" s="574"/>
      <c r="AH314" s="586"/>
      <c r="AI314" s="586"/>
      <c r="AJ314" s="585"/>
      <c r="AK314" s="585"/>
      <c r="AL314" s="585"/>
      <c r="AM314" s="585"/>
      <c r="AN314" s="73"/>
      <c r="AO314" s="14"/>
      <c r="AP314" s="592" t="s">
        <v>1992</v>
      </c>
    </row>
    <row r="315" spans="1:42" hidden="1">
      <c r="A315" s="585"/>
      <c r="B315" s="586"/>
      <c r="C315" s="686"/>
      <c r="D315" s="686"/>
      <c r="E315" s="582"/>
      <c r="F315" s="691"/>
      <c r="G315" s="610"/>
      <c r="H315" s="610"/>
      <c r="I315" s="2033"/>
      <c r="J315" s="2033"/>
      <c r="K315" s="2033"/>
      <c r="L315" s="2033"/>
      <c r="M315" s="2033"/>
      <c r="N315" s="2033"/>
      <c r="O315" s="2033"/>
      <c r="P315" s="2033"/>
      <c r="Q315" s="2033"/>
      <c r="R315" s="2033"/>
      <c r="S315" s="2033"/>
      <c r="T315" s="2033"/>
      <c r="U315" s="2033"/>
      <c r="V315" s="2033"/>
      <c r="W315" s="2033"/>
      <c r="X315" s="2033"/>
      <c r="Y315" s="2033"/>
      <c r="Z315" s="2033"/>
      <c r="AA315" s="2033"/>
      <c r="AB315" s="2033"/>
      <c r="AC315" s="2033"/>
      <c r="AD315" s="2034"/>
      <c r="AE315" s="586"/>
      <c r="AF315" s="586"/>
      <c r="AG315" s="574"/>
      <c r="AH315" s="586"/>
      <c r="AI315" s="586"/>
      <c r="AJ315" s="585"/>
      <c r="AK315" s="585"/>
      <c r="AL315" s="585"/>
      <c r="AM315" s="585"/>
      <c r="AN315" s="73"/>
      <c r="AO315" s="14"/>
      <c r="AP315" s="592" t="s">
        <v>1994</v>
      </c>
    </row>
    <row r="316" spans="1:42" hidden="1">
      <c r="A316" s="585"/>
      <c r="B316" s="586"/>
      <c r="C316" s="686"/>
      <c r="D316" s="686"/>
      <c r="E316" s="582"/>
      <c r="F316" s="689"/>
      <c r="G316" s="586"/>
      <c r="H316" s="586"/>
      <c r="I316" s="2035"/>
      <c r="J316" s="2035"/>
      <c r="K316" s="2035"/>
      <c r="L316" s="2035"/>
      <c r="M316" s="2035"/>
      <c r="N316" s="2035"/>
      <c r="O316" s="2035"/>
      <c r="P316" s="2035"/>
      <c r="Q316" s="2035"/>
      <c r="R316" s="2035"/>
      <c r="S316" s="2035"/>
      <c r="T316" s="2035"/>
      <c r="U316" s="2035"/>
      <c r="V316" s="2035"/>
      <c r="W316" s="2035"/>
      <c r="X316" s="2035"/>
      <c r="Y316" s="2035"/>
      <c r="Z316" s="2035"/>
      <c r="AA316" s="2035"/>
      <c r="AB316" s="2035"/>
      <c r="AC316" s="2035"/>
      <c r="AD316" s="2036"/>
      <c r="AE316" s="586"/>
      <c r="AF316" s="586"/>
      <c r="AG316" s="574"/>
      <c r="AH316" s="586"/>
      <c r="AI316" s="586"/>
      <c r="AJ316" s="585"/>
      <c r="AK316" s="585"/>
      <c r="AL316" s="585"/>
      <c r="AM316" s="585"/>
      <c r="AN316" s="73"/>
      <c r="AO316" s="14"/>
      <c r="AP316" s="592" t="s">
        <v>1993</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518</v>
      </c>
      <c r="H318" s="586"/>
      <c r="I318" s="2033" t="s">
        <v>1326</v>
      </c>
      <c r="J318" s="2033"/>
      <c r="K318" s="2033"/>
      <c r="L318" s="2033"/>
      <c r="M318" s="2033"/>
      <c r="N318" s="2033"/>
      <c r="O318" s="2033"/>
      <c r="P318" s="2033"/>
      <c r="Q318" s="2033"/>
      <c r="R318" s="2033"/>
      <c r="S318" s="2033"/>
      <c r="T318" s="2033"/>
      <c r="U318" s="2033"/>
      <c r="V318" s="2033"/>
      <c r="W318" s="2033"/>
      <c r="X318" s="2033"/>
      <c r="Y318" s="2033"/>
      <c r="Z318" s="2033"/>
      <c r="AA318" s="2033"/>
      <c r="AB318" s="2033"/>
      <c r="AC318" s="2033"/>
      <c r="AD318" s="2034"/>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2033"/>
      <c r="J319" s="2033"/>
      <c r="K319" s="2033"/>
      <c r="L319" s="2033"/>
      <c r="M319" s="2033"/>
      <c r="N319" s="2033"/>
      <c r="O319" s="2033"/>
      <c r="P319" s="2033"/>
      <c r="Q319" s="2033"/>
      <c r="R319" s="2033"/>
      <c r="S319" s="2033"/>
      <c r="T319" s="2033"/>
      <c r="U319" s="2033"/>
      <c r="V319" s="2033"/>
      <c r="W319" s="2033"/>
      <c r="X319" s="2033"/>
      <c r="Y319" s="2033"/>
      <c r="Z319" s="2033"/>
      <c r="AA319" s="2033"/>
      <c r="AB319" s="2033"/>
      <c r="AC319" s="2033"/>
      <c r="AD319" s="2034"/>
      <c r="AE319" s="586"/>
      <c r="AF319" s="586"/>
      <c r="AG319" s="574"/>
      <c r="AH319" s="586"/>
      <c r="AI319" s="586"/>
      <c r="AJ319" s="585"/>
      <c r="AK319" s="585"/>
      <c r="AL319" s="585"/>
      <c r="AM319" s="585"/>
      <c r="AN319" s="73"/>
      <c r="AO319" s="14"/>
      <c r="AP319" s="592" t="s">
        <v>1326</v>
      </c>
    </row>
    <row r="320" spans="1:42" hidden="1">
      <c r="A320" s="585"/>
      <c r="B320" s="586"/>
      <c r="C320" s="686"/>
      <c r="D320" s="686"/>
      <c r="E320" s="582"/>
      <c r="F320" s="692"/>
      <c r="G320" s="693"/>
      <c r="H320" s="693"/>
      <c r="I320" s="2035"/>
      <c r="J320" s="2035"/>
      <c r="K320" s="2035"/>
      <c r="L320" s="2035"/>
      <c r="M320" s="2035"/>
      <c r="N320" s="2035"/>
      <c r="O320" s="2035"/>
      <c r="P320" s="2035"/>
      <c r="Q320" s="2035"/>
      <c r="R320" s="2035"/>
      <c r="S320" s="2035"/>
      <c r="T320" s="2035"/>
      <c r="U320" s="2035"/>
      <c r="V320" s="2035"/>
      <c r="W320" s="2035"/>
      <c r="X320" s="2035"/>
      <c r="Y320" s="2035"/>
      <c r="Z320" s="2035"/>
      <c r="AA320" s="2035"/>
      <c r="AB320" s="2035"/>
      <c r="AC320" s="2035"/>
      <c r="AD320" s="2036"/>
      <c r="AE320" s="586"/>
      <c r="AF320" s="586"/>
      <c r="AG320" s="574"/>
      <c r="AH320" s="586"/>
      <c r="AI320" s="586"/>
      <c r="AJ320" s="585"/>
      <c r="AK320" s="585"/>
      <c r="AL320" s="585"/>
      <c r="AM320" s="585"/>
      <c r="AN320" s="73"/>
      <c r="AO320" s="14"/>
      <c r="AP320" s="592" t="s">
        <v>1562</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1817</v>
      </c>
    </row>
    <row r="322" spans="1:44" ht="12.75" hidden="1" customHeight="1">
      <c r="A322" s="1624" t="s">
        <v>1563</v>
      </c>
      <c r="B322" s="1624"/>
      <c r="C322" s="1924" t="s">
        <v>600</v>
      </c>
      <c r="D322" s="1924"/>
      <c r="E322" s="582"/>
      <c r="F322" s="2021" t="s">
        <v>2422</v>
      </c>
      <c r="G322" s="2022"/>
      <c r="H322" s="2022"/>
      <c r="I322" s="2022"/>
      <c r="J322" s="2022"/>
      <c r="K322" s="2022"/>
      <c r="L322" s="2022"/>
      <c r="M322" s="2022"/>
      <c r="N322" s="2022"/>
      <c r="O322" s="2022"/>
      <c r="P322" s="2022"/>
      <c r="Q322" s="2022"/>
      <c r="R322" s="2022"/>
      <c r="S322" s="2022"/>
      <c r="T322" s="2022"/>
      <c r="U322" s="2022"/>
      <c r="V322" s="2022"/>
      <c r="W322" s="2022"/>
      <c r="X322" s="2022"/>
      <c r="Y322" s="2022"/>
      <c r="Z322" s="2022"/>
      <c r="AA322" s="2022"/>
      <c r="AB322" s="2022"/>
      <c r="AC322" s="2022"/>
      <c r="AD322" s="2023"/>
      <c r="AE322" s="586"/>
      <c r="AF322" s="586"/>
      <c r="AG322" s="574" t="s">
        <v>1559</v>
      </c>
      <c r="AH322" s="586"/>
      <c r="AI322" s="586"/>
      <c r="AJ322" s="585"/>
      <c r="AK322" s="585"/>
      <c r="AL322" s="585"/>
      <c r="AM322" s="585"/>
      <c r="AN322" s="73"/>
      <c r="AO322" s="14"/>
    </row>
    <row r="323" spans="1:44" ht="15" hidden="1" customHeight="1">
      <c r="A323" s="585"/>
      <c r="B323" s="586"/>
      <c r="C323" s="586"/>
      <c r="D323" s="586"/>
      <c r="E323" s="586"/>
      <c r="F323" s="2024"/>
      <c r="G323" s="2025"/>
      <c r="H323" s="2025"/>
      <c r="I323" s="2025"/>
      <c r="J323" s="2025"/>
      <c r="K323" s="2025"/>
      <c r="L323" s="2025"/>
      <c r="M323" s="2025"/>
      <c r="N323" s="2025"/>
      <c r="O323" s="2025"/>
      <c r="P323" s="2025"/>
      <c r="Q323" s="2025"/>
      <c r="R323" s="2025"/>
      <c r="S323" s="2025"/>
      <c r="T323" s="2025"/>
      <c r="U323" s="2025"/>
      <c r="V323" s="2025"/>
      <c r="W323" s="2025"/>
      <c r="X323" s="2025"/>
      <c r="Y323" s="2025"/>
      <c r="Z323" s="2025"/>
      <c r="AA323" s="2025"/>
      <c r="AB323" s="2025"/>
      <c r="AC323" s="2025"/>
      <c r="AD323" s="2026"/>
      <c r="AE323" s="586"/>
      <c r="AF323" s="586"/>
      <c r="AG323" s="586"/>
      <c r="AH323" s="586"/>
      <c r="AI323" s="586"/>
      <c r="AJ323" s="585"/>
      <c r="AK323" s="585"/>
      <c r="AL323" s="585"/>
      <c r="AM323" s="585"/>
      <c r="AN323" s="73"/>
      <c r="AO323" s="14"/>
    </row>
    <row r="324" spans="1:44" ht="15" hidden="1" customHeight="1">
      <c r="A324" s="585"/>
      <c r="B324" s="586"/>
      <c r="C324" s="586"/>
      <c r="D324" s="586"/>
      <c r="E324" s="586"/>
      <c r="F324" s="2024"/>
      <c r="G324" s="2025"/>
      <c r="H324" s="2025"/>
      <c r="I324" s="2025"/>
      <c r="J324" s="2025"/>
      <c r="K324" s="2025"/>
      <c r="L324" s="2025"/>
      <c r="M324" s="2025"/>
      <c r="N324" s="2025"/>
      <c r="O324" s="2025"/>
      <c r="P324" s="2025"/>
      <c r="Q324" s="2025"/>
      <c r="R324" s="2025"/>
      <c r="S324" s="2025"/>
      <c r="T324" s="2025"/>
      <c r="U324" s="2025"/>
      <c r="V324" s="2025"/>
      <c r="W324" s="2025"/>
      <c r="X324" s="2025"/>
      <c r="Y324" s="2025"/>
      <c r="Z324" s="2025"/>
      <c r="AA324" s="2025"/>
      <c r="AB324" s="2025"/>
      <c r="AC324" s="2025"/>
      <c r="AD324" s="2026"/>
      <c r="AE324" s="586"/>
      <c r="AF324" s="586"/>
      <c r="AG324" s="586"/>
      <c r="AH324" s="586"/>
      <c r="AI324" s="586"/>
      <c r="AJ324" s="585"/>
      <c r="AK324" s="585"/>
      <c r="AL324" s="585"/>
      <c r="AM324" s="694"/>
      <c r="AN324" s="14"/>
      <c r="AO324" s="14"/>
    </row>
    <row r="325" spans="1:44" hidden="1">
      <c r="A325" s="585"/>
      <c r="B325" s="586"/>
      <c r="C325" s="585"/>
      <c r="D325" s="586"/>
      <c r="E325" s="585"/>
      <c r="F325" s="695" t="s">
        <v>1564</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1623</v>
      </c>
      <c r="AK327" s="1909">
        <f>IF(NOT(OR(Application!M354="Yes",Application!M355="Yes")),0,AP284)</f>
        <v>9</v>
      </c>
      <c r="AL327" s="1910"/>
      <c r="AM327" s="1911"/>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1624</v>
      </c>
      <c r="B330" s="574" t="s">
        <v>873</v>
      </c>
      <c r="C330" s="571"/>
      <c r="AC330" s="574"/>
      <c r="AE330" s="1915" t="s">
        <v>1485</v>
      </c>
      <c r="AF330" s="1915"/>
      <c r="AG330" s="1915"/>
      <c r="AH330" s="1915"/>
      <c r="AI330" s="1915"/>
      <c r="AJ330" s="1915"/>
      <c r="AK330" s="1915"/>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19" t="s">
        <v>1625</v>
      </c>
      <c r="D332" s="1919"/>
      <c r="E332" s="1919"/>
      <c r="F332" s="1919"/>
      <c r="G332" s="1919"/>
      <c r="H332" s="1919"/>
      <c r="I332" s="1919"/>
      <c r="J332" s="1919"/>
      <c r="K332" s="1919"/>
      <c r="L332" s="1919"/>
      <c r="M332" s="1919"/>
      <c r="N332" s="1919"/>
      <c r="O332" s="1919"/>
      <c r="P332" s="1919"/>
      <c r="Q332" s="1919"/>
      <c r="R332" s="1919"/>
      <c r="S332" s="1919"/>
      <c r="T332" s="1919"/>
      <c r="U332" s="1919"/>
      <c r="V332" s="1919"/>
      <c r="W332" s="1919"/>
      <c r="X332" s="1919"/>
      <c r="Y332" s="1919"/>
      <c r="Z332" s="1919"/>
      <c r="AA332" s="1919"/>
      <c r="AB332" s="1919"/>
      <c r="AC332" s="1919"/>
      <c r="AD332" s="1919"/>
      <c r="AE332" s="1919"/>
      <c r="AF332" s="1919"/>
      <c r="AG332" s="1919"/>
      <c r="AH332" s="1919"/>
      <c r="AI332" s="1919"/>
      <c r="AJ332" s="1919"/>
      <c r="AK332" s="638"/>
      <c r="AL332" s="638"/>
      <c r="AM332" s="638"/>
      <c r="AN332" s="632"/>
    </row>
    <row r="333" spans="1:44" s="585" customFormat="1" ht="12.75" customHeight="1">
      <c r="A333" s="638"/>
      <c r="B333" s="646"/>
      <c r="C333" s="1919"/>
      <c r="D333" s="1919"/>
      <c r="E333" s="1919"/>
      <c r="F333" s="1919"/>
      <c r="G333" s="1919"/>
      <c r="H333" s="1919"/>
      <c r="I333" s="1919"/>
      <c r="J333" s="1919"/>
      <c r="K333" s="1919"/>
      <c r="L333" s="1919"/>
      <c r="M333" s="1919"/>
      <c r="N333" s="1919"/>
      <c r="O333" s="1919"/>
      <c r="P333" s="1919"/>
      <c r="Q333" s="1919"/>
      <c r="R333" s="1919"/>
      <c r="S333" s="1919"/>
      <c r="T333" s="1919"/>
      <c r="U333" s="1919"/>
      <c r="V333" s="1919"/>
      <c r="W333" s="1919"/>
      <c r="X333" s="1919"/>
      <c r="Y333" s="1919"/>
      <c r="Z333" s="1919"/>
      <c r="AA333" s="1919"/>
      <c r="AB333" s="1919"/>
      <c r="AC333" s="1919"/>
      <c r="AD333" s="1919"/>
      <c r="AE333" s="1919"/>
      <c r="AF333" s="1919"/>
      <c r="AG333" s="1919"/>
      <c r="AH333" s="1919"/>
      <c r="AI333" s="1919"/>
      <c r="AJ333" s="1919"/>
      <c r="AK333" s="638"/>
      <c r="AL333" s="638"/>
      <c r="AM333" s="638"/>
      <c r="AN333" s="632"/>
    </row>
    <row r="334" spans="1:44" s="585" customFormat="1" ht="12.75" customHeight="1">
      <c r="A334" s="638"/>
      <c r="B334" s="646"/>
      <c r="C334" s="1919"/>
      <c r="D334" s="1919"/>
      <c r="E334" s="1919"/>
      <c r="F334" s="1919"/>
      <c r="G334" s="1919"/>
      <c r="H334" s="1919"/>
      <c r="I334" s="1919"/>
      <c r="J334" s="1919"/>
      <c r="K334" s="1919"/>
      <c r="L334" s="1919"/>
      <c r="M334" s="1919"/>
      <c r="N334" s="1919"/>
      <c r="O334" s="1919"/>
      <c r="P334" s="1919"/>
      <c r="Q334" s="1919"/>
      <c r="R334" s="1919"/>
      <c r="S334" s="1919"/>
      <c r="T334" s="1919"/>
      <c r="U334" s="1919"/>
      <c r="V334" s="1919"/>
      <c r="W334" s="1919"/>
      <c r="X334" s="1919"/>
      <c r="Y334" s="1919"/>
      <c r="Z334" s="1919"/>
      <c r="AA334" s="1919"/>
      <c r="AB334" s="1919"/>
      <c r="AC334" s="1919"/>
      <c r="AD334" s="1919"/>
      <c r="AE334" s="1919"/>
      <c r="AF334" s="1919"/>
      <c r="AG334" s="1919"/>
      <c r="AH334" s="1919"/>
      <c r="AI334" s="1919"/>
      <c r="AJ334" s="1919"/>
      <c r="AK334" s="638"/>
      <c r="AL334" s="638"/>
      <c r="AM334" s="638"/>
      <c r="AN334" s="632"/>
      <c r="AQ334" s="605"/>
    </row>
    <row r="335" spans="1:44" s="585" customFormat="1" ht="12.75" customHeight="1">
      <c r="A335" s="638"/>
      <c r="B335" s="646"/>
      <c r="C335" s="1919"/>
      <c r="D335" s="1919"/>
      <c r="E335" s="1919"/>
      <c r="F335" s="1919"/>
      <c r="G335" s="1919"/>
      <c r="H335" s="1919"/>
      <c r="I335" s="1919"/>
      <c r="J335" s="1919"/>
      <c r="K335" s="1919"/>
      <c r="L335" s="1919"/>
      <c r="M335" s="1919"/>
      <c r="N335" s="1919"/>
      <c r="O335" s="1919"/>
      <c r="P335" s="1919"/>
      <c r="Q335" s="1919"/>
      <c r="R335" s="1919"/>
      <c r="S335" s="1919"/>
      <c r="T335" s="1919"/>
      <c r="U335" s="1919"/>
      <c r="V335" s="1919"/>
      <c r="W335" s="1919"/>
      <c r="X335" s="1919"/>
      <c r="Y335" s="1919"/>
      <c r="Z335" s="1919"/>
      <c r="AA335" s="1919"/>
      <c r="AB335" s="1919"/>
      <c r="AC335" s="1919"/>
      <c r="AD335" s="1919"/>
      <c r="AE335" s="1919"/>
      <c r="AF335" s="1919"/>
      <c r="AG335" s="1919"/>
      <c r="AH335" s="1919"/>
      <c r="AI335" s="1919"/>
      <c r="AJ335" s="1919"/>
      <c r="AK335" s="638"/>
      <c r="AL335" s="638"/>
      <c r="AM335" s="638"/>
      <c r="AN335" s="632"/>
      <c r="AQ335" s="605"/>
    </row>
    <row r="336" spans="1:44" s="585" customFormat="1" ht="12.6" customHeight="1">
      <c r="A336" s="638"/>
      <c r="B336" s="646"/>
      <c r="C336" s="1919"/>
      <c r="D336" s="1919"/>
      <c r="E336" s="1919"/>
      <c r="F336" s="1919"/>
      <c r="G336" s="1919"/>
      <c r="H336" s="1919"/>
      <c r="I336" s="1919"/>
      <c r="J336" s="1919"/>
      <c r="K336" s="1919"/>
      <c r="L336" s="1919"/>
      <c r="M336" s="1919"/>
      <c r="N336" s="1919"/>
      <c r="O336" s="1919"/>
      <c r="P336" s="1919"/>
      <c r="Q336" s="1919"/>
      <c r="R336" s="1919"/>
      <c r="S336" s="1919"/>
      <c r="T336" s="1919"/>
      <c r="U336" s="1919"/>
      <c r="V336" s="1919"/>
      <c r="W336" s="1919"/>
      <c r="X336" s="1919"/>
      <c r="Y336" s="1919"/>
      <c r="Z336" s="1919"/>
      <c r="AA336" s="1919"/>
      <c r="AB336" s="1919"/>
      <c r="AC336" s="1919"/>
      <c r="AD336" s="1919"/>
      <c r="AE336" s="1919"/>
      <c r="AF336" s="1919"/>
      <c r="AG336" s="1919"/>
      <c r="AH336" s="1919"/>
      <c r="AI336" s="1919"/>
      <c r="AJ336" s="1919"/>
      <c r="AK336" s="638"/>
      <c r="AL336" s="638"/>
      <c r="AM336" s="638"/>
      <c r="AN336" s="632"/>
      <c r="AQ336" s="605"/>
      <c r="AR336" s="605"/>
    </row>
    <row r="337" spans="1:46" s="585" customFormat="1" ht="45.75" customHeight="1">
      <c r="A337" s="638"/>
      <c r="B337" s="646"/>
      <c r="C337" s="1919" t="s">
        <v>2509</v>
      </c>
      <c r="D337" s="1919"/>
      <c r="E337" s="1919"/>
      <c r="F337" s="1919"/>
      <c r="G337" s="1919"/>
      <c r="H337" s="1919"/>
      <c r="I337" s="1919"/>
      <c r="J337" s="1919"/>
      <c r="K337" s="1919"/>
      <c r="L337" s="1919"/>
      <c r="M337" s="1919"/>
      <c r="N337" s="1919"/>
      <c r="O337" s="1919"/>
      <c r="P337" s="1919"/>
      <c r="Q337" s="1919"/>
      <c r="R337" s="1919"/>
      <c r="S337" s="1919"/>
      <c r="T337" s="1919"/>
      <c r="U337" s="1919"/>
      <c r="V337" s="1919"/>
      <c r="W337" s="1919"/>
      <c r="X337" s="1919"/>
      <c r="Y337" s="1919"/>
      <c r="Z337" s="1919"/>
      <c r="AA337" s="1919"/>
      <c r="AB337" s="1919"/>
      <c r="AC337" s="1919"/>
      <c r="AD337" s="1919"/>
      <c r="AE337" s="1919"/>
      <c r="AF337" s="1919"/>
      <c r="AG337" s="1919"/>
      <c r="AH337" s="1919"/>
      <c r="AI337" s="1919"/>
      <c r="AJ337" s="1919"/>
      <c r="AK337" s="638"/>
      <c r="AL337" s="638"/>
      <c r="AM337" s="638"/>
      <c r="AN337" s="632"/>
      <c r="AQ337" s="605"/>
      <c r="AR337" s="605"/>
    </row>
    <row r="338" spans="1:46" s="585" customFormat="1" ht="12.6"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19" t="s">
        <v>2126</v>
      </c>
      <c r="D339" s="1919"/>
      <c r="E339" s="1919"/>
      <c r="F339" s="1919"/>
      <c r="G339" s="1919"/>
      <c r="H339" s="1919"/>
      <c r="I339" s="1919"/>
      <c r="J339" s="1919"/>
      <c r="K339" s="1919"/>
      <c r="L339" s="1919"/>
      <c r="M339" s="1919"/>
      <c r="N339" s="1919"/>
      <c r="O339" s="1919"/>
      <c r="P339" s="1919"/>
      <c r="Q339" s="1919"/>
      <c r="R339" s="1919"/>
      <c r="S339" s="1919"/>
      <c r="T339" s="1919"/>
      <c r="U339" s="1919"/>
      <c r="V339" s="1919"/>
      <c r="W339" s="1919"/>
      <c r="X339" s="1919"/>
      <c r="Y339" s="1919"/>
      <c r="Z339" s="1919"/>
      <c r="AA339" s="1919"/>
      <c r="AB339" s="1919"/>
      <c r="AC339" s="1919"/>
      <c r="AD339" s="1919"/>
      <c r="AE339" s="1919"/>
      <c r="AF339" s="1919"/>
      <c r="AG339" s="1919"/>
      <c r="AH339" s="1919"/>
      <c r="AI339" s="1919"/>
      <c r="AJ339" s="1919"/>
      <c r="AK339" s="638"/>
      <c r="AL339" s="638"/>
      <c r="AM339" s="638"/>
      <c r="AN339" s="632"/>
      <c r="AQ339" s="605"/>
      <c r="AR339" s="605"/>
    </row>
    <row r="340" spans="1:46" s="585" customFormat="1" ht="30" customHeight="1">
      <c r="A340" s="638"/>
      <c r="B340" s="646"/>
      <c r="C340" s="1919"/>
      <c r="D340" s="1919"/>
      <c r="E340" s="1919"/>
      <c r="F340" s="1919"/>
      <c r="G340" s="1919"/>
      <c r="H340" s="1919"/>
      <c r="I340" s="1919"/>
      <c r="J340" s="1919"/>
      <c r="K340" s="1919"/>
      <c r="L340" s="1919"/>
      <c r="M340" s="1919"/>
      <c r="N340" s="1919"/>
      <c r="O340" s="1919"/>
      <c r="P340" s="1919"/>
      <c r="Q340" s="1919"/>
      <c r="R340" s="1919"/>
      <c r="S340" s="1919"/>
      <c r="T340" s="1919"/>
      <c r="U340" s="1919"/>
      <c r="V340" s="1919"/>
      <c r="W340" s="1919"/>
      <c r="X340" s="1919"/>
      <c r="Y340" s="1919"/>
      <c r="Z340" s="1919"/>
      <c r="AA340" s="1919"/>
      <c r="AB340" s="1919"/>
      <c r="AC340" s="1919"/>
      <c r="AD340" s="1919"/>
      <c r="AE340" s="1919"/>
      <c r="AF340" s="1919"/>
      <c r="AG340" s="1919"/>
      <c r="AH340" s="1919"/>
      <c r="AI340" s="1919"/>
      <c r="AJ340" s="1919"/>
      <c r="AK340" s="638"/>
      <c r="AL340" s="638"/>
      <c r="AM340" s="638"/>
      <c r="AN340" s="632"/>
      <c r="AR340" s="605"/>
    </row>
    <row r="341" spans="1:46" s="585" customFormat="1" ht="12.75" customHeight="1">
      <c r="A341" s="638"/>
      <c r="B341" s="646"/>
      <c r="C341" s="1919"/>
      <c r="D341" s="1919"/>
      <c r="E341" s="1919"/>
      <c r="F341" s="1919"/>
      <c r="G341" s="1919"/>
      <c r="H341" s="1919"/>
      <c r="I341" s="1919"/>
      <c r="J341" s="1919"/>
      <c r="K341" s="1919"/>
      <c r="L341" s="1919"/>
      <c r="M341" s="1919"/>
      <c r="N341" s="1919"/>
      <c r="O341" s="1919"/>
      <c r="P341" s="1919"/>
      <c r="Q341" s="1919"/>
      <c r="R341" s="1919"/>
      <c r="S341" s="1919"/>
      <c r="T341" s="1919"/>
      <c r="U341" s="1919"/>
      <c r="V341" s="1919"/>
      <c r="W341" s="1919"/>
      <c r="X341" s="1919"/>
      <c r="Y341" s="1919"/>
      <c r="Z341" s="1919"/>
      <c r="AA341" s="1919"/>
      <c r="AB341" s="1919"/>
      <c r="AC341" s="1919"/>
      <c r="AD341" s="1919"/>
      <c r="AE341" s="1919"/>
      <c r="AF341" s="1919"/>
      <c r="AG341" s="1919"/>
      <c r="AH341" s="1919"/>
      <c r="AI341" s="1919"/>
      <c r="AJ341" s="1919"/>
      <c r="AK341" s="638"/>
      <c r="AL341" s="638"/>
      <c r="AM341" s="638"/>
      <c r="AN341" s="632"/>
      <c r="AR341" s="605"/>
    </row>
    <row r="342" spans="1:46" s="585" customFormat="1" ht="12.75" customHeight="1">
      <c r="A342" s="638"/>
      <c r="B342" s="646"/>
      <c r="C342" s="1919" t="s">
        <v>1626</v>
      </c>
      <c r="D342" s="1919"/>
      <c r="E342" s="1919"/>
      <c r="F342" s="1919"/>
      <c r="G342" s="1919"/>
      <c r="H342" s="1919"/>
      <c r="I342" s="1919"/>
      <c r="J342" s="1919"/>
      <c r="K342" s="1919"/>
      <c r="L342" s="1919"/>
      <c r="M342" s="1919"/>
      <c r="N342" s="1919"/>
      <c r="O342" s="1919"/>
      <c r="P342" s="1919"/>
      <c r="Q342" s="1919"/>
      <c r="R342" s="1919"/>
      <c r="S342" s="1919"/>
      <c r="T342" s="1919"/>
      <c r="U342" s="1919"/>
      <c r="V342" s="1919"/>
      <c r="W342" s="1919"/>
      <c r="X342" s="1919"/>
      <c r="Y342" s="1919"/>
      <c r="Z342" s="1919"/>
      <c r="AA342" s="1919"/>
      <c r="AB342" s="1919"/>
      <c r="AC342" s="1919"/>
      <c r="AD342" s="1919"/>
      <c r="AE342" s="1919"/>
      <c r="AF342" s="1919"/>
      <c r="AG342" s="1919"/>
      <c r="AH342" s="1919"/>
      <c r="AI342" s="1919"/>
      <c r="AJ342" s="1919"/>
      <c r="AK342" s="638"/>
      <c r="AL342" s="638"/>
      <c r="AM342" s="638"/>
      <c r="AN342" s="632"/>
      <c r="AQ342" s="605"/>
      <c r="AR342" s="605"/>
    </row>
    <row r="343" spans="1:46" s="585" customFormat="1" ht="12.75" customHeight="1">
      <c r="A343" s="638"/>
      <c r="B343" s="646"/>
      <c r="C343" s="1919"/>
      <c r="D343" s="1919"/>
      <c r="E343" s="1919"/>
      <c r="F343" s="1919"/>
      <c r="G343" s="1919"/>
      <c r="H343" s="1919"/>
      <c r="I343" s="1919"/>
      <c r="J343" s="1919"/>
      <c r="K343" s="1919"/>
      <c r="L343" s="1919"/>
      <c r="M343" s="1919"/>
      <c r="N343" s="1919"/>
      <c r="O343" s="1919"/>
      <c r="P343" s="1919"/>
      <c r="Q343" s="1919"/>
      <c r="R343" s="1919"/>
      <c r="S343" s="1919"/>
      <c r="T343" s="1919"/>
      <c r="U343" s="1919"/>
      <c r="V343" s="1919"/>
      <c r="W343" s="1919"/>
      <c r="X343" s="1919"/>
      <c r="Y343" s="1919"/>
      <c r="Z343" s="1919"/>
      <c r="AA343" s="1919"/>
      <c r="AB343" s="1919"/>
      <c r="AC343" s="1919"/>
      <c r="AD343" s="1919"/>
      <c r="AE343" s="1919"/>
      <c r="AF343" s="1919"/>
      <c r="AG343" s="1919"/>
      <c r="AH343" s="1919"/>
      <c r="AI343" s="1919"/>
      <c r="AJ343" s="1919"/>
      <c r="AK343" s="638"/>
      <c r="AL343" s="638"/>
      <c r="AM343" s="638"/>
      <c r="AN343" s="632"/>
      <c r="AQ343" s="605"/>
      <c r="AR343" s="605"/>
    </row>
    <row r="344" spans="1:46" s="585" customFormat="1" ht="13.35" customHeight="1">
      <c r="A344" s="638"/>
      <c r="B344" s="646"/>
      <c r="C344" s="1919"/>
      <c r="D344" s="1919"/>
      <c r="E344" s="1919"/>
      <c r="F344" s="1919"/>
      <c r="G344" s="1919"/>
      <c r="H344" s="1919"/>
      <c r="I344" s="1919"/>
      <c r="J344" s="1919"/>
      <c r="K344" s="1919"/>
      <c r="L344" s="1919"/>
      <c r="M344" s="1919"/>
      <c r="N344" s="1919"/>
      <c r="O344" s="1919"/>
      <c r="P344" s="1919"/>
      <c r="Q344" s="1919"/>
      <c r="R344" s="1919"/>
      <c r="S344" s="1919"/>
      <c r="T344" s="1919"/>
      <c r="U344" s="1919"/>
      <c r="V344" s="1919"/>
      <c r="W344" s="1919"/>
      <c r="X344" s="1919"/>
      <c r="Y344" s="1919"/>
      <c r="Z344" s="1919"/>
      <c r="AA344" s="1919"/>
      <c r="AB344" s="1919"/>
      <c r="AC344" s="1919"/>
      <c r="AD344" s="1919"/>
      <c r="AE344" s="1919"/>
      <c r="AF344" s="1919"/>
      <c r="AG344" s="1919"/>
      <c r="AH344" s="1919"/>
      <c r="AI344" s="1919"/>
      <c r="AJ344" s="1919"/>
      <c r="AK344" s="638"/>
      <c r="AL344" s="638"/>
      <c r="AM344" s="638"/>
      <c r="AN344" s="632"/>
      <c r="AQ344" s="605"/>
      <c r="AR344" s="605"/>
    </row>
    <row r="345" spans="1:46" s="585" customFormat="1" ht="12.75" customHeight="1">
      <c r="A345" s="638"/>
      <c r="B345" s="646"/>
      <c r="C345" s="1919"/>
      <c r="D345" s="1919"/>
      <c r="E345" s="1919"/>
      <c r="F345" s="1919"/>
      <c r="G345" s="1919"/>
      <c r="H345" s="1919"/>
      <c r="I345" s="1919"/>
      <c r="J345" s="1919"/>
      <c r="K345" s="1919"/>
      <c r="L345" s="1919"/>
      <c r="M345" s="1919"/>
      <c r="N345" s="1919"/>
      <c r="O345" s="1919"/>
      <c r="P345" s="1919"/>
      <c r="Q345" s="1919"/>
      <c r="R345" s="1919"/>
      <c r="S345" s="1919"/>
      <c r="T345" s="1919"/>
      <c r="U345" s="1919"/>
      <c r="V345" s="1919"/>
      <c r="W345" s="1919"/>
      <c r="X345" s="1919"/>
      <c r="Y345" s="1919"/>
      <c r="Z345" s="1919"/>
      <c r="AA345" s="1919"/>
      <c r="AB345" s="1919"/>
      <c r="AC345" s="1919"/>
      <c r="AD345" s="1919"/>
      <c r="AE345" s="1919"/>
      <c r="AF345" s="1919"/>
      <c r="AG345" s="1919"/>
      <c r="AH345" s="1919"/>
      <c r="AI345" s="1919"/>
      <c r="AJ345" s="1919"/>
      <c r="AK345" s="638"/>
      <c r="AL345" s="638"/>
      <c r="AM345" s="638"/>
      <c r="AN345" s="632"/>
      <c r="AO345" s="729"/>
      <c r="AP345" s="729"/>
      <c r="AQ345" s="605"/>
    </row>
    <row r="346" spans="1:46" s="585" customFormat="1" ht="12" customHeight="1">
      <c r="A346" s="638"/>
      <c r="B346" s="646"/>
      <c r="C346" s="1919"/>
      <c r="D346" s="1919"/>
      <c r="E346" s="1919"/>
      <c r="F346" s="1919"/>
      <c r="G346" s="1919"/>
      <c r="H346" s="1919"/>
      <c r="I346" s="1919"/>
      <c r="J346" s="1919"/>
      <c r="K346" s="1919"/>
      <c r="L346" s="1919"/>
      <c r="M346" s="1919"/>
      <c r="N346" s="1919"/>
      <c r="O346" s="1919"/>
      <c r="P346" s="1919"/>
      <c r="Q346" s="1919"/>
      <c r="R346" s="1919"/>
      <c r="S346" s="1919"/>
      <c r="T346" s="1919"/>
      <c r="U346" s="1919"/>
      <c r="V346" s="1919"/>
      <c r="W346" s="1919"/>
      <c r="X346" s="1919"/>
      <c r="Y346" s="1919"/>
      <c r="Z346" s="1919"/>
      <c r="AA346" s="1919"/>
      <c r="AB346" s="1919"/>
      <c r="AC346" s="1919"/>
      <c r="AD346" s="1919"/>
      <c r="AE346" s="1919"/>
      <c r="AF346" s="1919"/>
      <c r="AG346" s="1919"/>
      <c r="AH346" s="1919"/>
      <c r="AI346" s="1919"/>
      <c r="AJ346" s="1919"/>
      <c r="AK346" s="638"/>
      <c r="AL346" s="638"/>
      <c r="AM346" s="638"/>
      <c r="AN346" s="632"/>
      <c r="AO346" s="730" t="s">
        <v>113</v>
      </c>
      <c r="AP346" s="731">
        <f>IF(C370="Yes",5,0)</f>
        <v>5</v>
      </c>
      <c r="AS346" s="574" t="s">
        <v>1627</v>
      </c>
    </row>
    <row r="347" spans="1:46" s="585" customFormat="1" ht="12.75" customHeight="1">
      <c r="A347" s="638"/>
      <c r="B347" s="646"/>
      <c r="C347" s="1919"/>
      <c r="D347" s="1919"/>
      <c r="E347" s="1919"/>
      <c r="F347" s="1919"/>
      <c r="G347" s="1919"/>
      <c r="H347" s="1919"/>
      <c r="I347" s="1919"/>
      <c r="J347" s="1919"/>
      <c r="K347" s="1919"/>
      <c r="L347" s="1919"/>
      <c r="M347" s="1919"/>
      <c r="N347" s="1919"/>
      <c r="O347" s="1919"/>
      <c r="P347" s="1919"/>
      <c r="Q347" s="1919"/>
      <c r="R347" s="1919"/>
      <c r="S347" s="1919"/>
      <c r="T347" s="1919"/>
      <c r="U347" s="1919"/>
      <c r="V347" s="1919"/>
      <c r="W347" s="1919"/>
      <c r="X347" s="1919"/>
      <c r="Y347" s="1919"/>
      <c r="Z347" s="1919"/>
      <c r="AA347" s="1919"/>
      <c r="AB347" s="1919"/>
      <c r="AC347" s="1919"/>
      <c r="AD347" s="1919"/>
      <c r="AE347" s="1919"/>
      <c r="AF347" s="1919"/>
      <c r="AG347" s="1919"/>
      <c r="AH347" s="1919"/>
      <c r="AI347" s="1919"/>
      <c r="AJ347" s="1919"/>
      <c r="AK347" s="638"/>
      <c r="AL347" s="638"/>
      <c r="AM347" s="638"/>
      <c r="AN347" s="632"/>
      <c r="AO347" s="730" t="s">
        <v>114</v>
      </c>
      <c r="AP347" s="731">
        <f>IF(C378="Yes",5,0)</f>
        <v>0</v>
      </c>
      <c r="AS347" s="1884">
        <f>IF(Application!D210="Non-Targeted",(SUM(AQ355+AQ364)),AS351)</f>
        <v>10</v>
      </c>
      <c r="AT347" s="1884"/>
    </row>
    <row r="348" spans="1:46" s="585" customFormat="1" ht="12.75" customHeight="1">
      <c r="A348" s="638"/>
      <c r="B348" s="646"/>
      <c r="C348" s="1919"/>
      <c r="D348" s="1919"/>
      <c r="E348" s="1919"/>
      <c r="F348" s="1919"/>
      <c r="G348" s="1919"/>
      <c r="H348" s="1919"/>
      <c r="I348" s="1919"/>
      <c r="J348" s="1919"/>
      <c r="K348" s="1919"/>
      <c r="L348" s="1919"/>
      <c r="M348" s="1919"/>
      <c r="N348" s="1919"/>
      <c r="O348" s="1919"/>
      <c r="P348" s="1919"/>
      <c r="Q348" s="1919"/>
      <c r="R348" s="1919"/>
      <c r="S348" s="1919"/>
      <c r="T348" s="1919"/>
      <c r="U348" s="1919"/>
      <c r="V348" s="1919"/>
      <c r="W348" s="1919"/>
      <c r="X348" s="1919"/>
      <c r="Y348" s="1919"/>
      <c r="Z348" s="1919"/>
      <c r="AA348" s="1919"/>
      <c r="AB348" s="1919"/>
      <c r="AC348" s="1919"/>
      <c r="AD348" s="1919"/>
      <c r="AE348" s="1919"/>
      <c r="AF348" s="1919"/>
      <c r="AG348" s="1919"/>
      <c r="AH348" s="1919"/>
      <c r="AI348" s="1919"/>
      <c r="AJ348" s="1919"/>
      <c r="AK348" s="638"/>
      <c r="AL348" s="638"/>
      <c r="AM348" s="638"/>
      <c r="AN348" s="632"/>
      <c r="AO348" s="730" t="s">
        <v>120</v>
      </c>
      <c r="AP348" s="731">
        <f>IF(C386="Yes",7,0)</f>
        <v>0</v>
      </c>
      <c r="AS348" s="574" t="s">
        <v>1628</v>
      </c>
    </row>
    <row r="349" spans="1:46" s="585" customFormat="1" ht="12.75" customHeight="1">
      <c r="A349" s="638"/>
      <c r="B349" s="646"/>
      <c r="C349" s="1919"/>
      <c r="D349" s="1919"/>
      <c r="E349" s="1919"/>
      <c r="F349" s="1919"/>
      <c r="G349" s="1919"/>
      <c r="H349" s="1919"/>
      <c r="I349" s="1919"/>
      <c r="J349" s="1919"/>
      <c r="K349" s="1919"/>
      <c r="L349" s="1919"/>
      <c r="M349" s="1919"/>
      <c r="N349" s="1919"/>
      <c r="O349" s="1919"/>
      <c r="P349" s="1919"/>
      <c r="Q349" s="1919"/>
      <c r="R349" s="1919"/>
      <c r="S349" s="1919"/>
      <c r="T349" s="1919"/>
      <c r="U349" s="1919"/>
      <c r="V349" s="1919"/>
      <c r="W349" s="1919"/>
      <c r="X349" s="1919"/>
      <c r="Y349" s="1919"/>
      <c r="Z349" s="1919"/>
      <c r="AA349" s="1919"/>
      <c r="AB349" s="1919"/>
      <c r="AC349" s="1919"/>
      <c r="AD349" s="1919"/>
      <c r="AE349" s="1919"/>
      <c r="AF349" s="1919"/>
      <c r="AG349" s="1919"/>
      <c r="AH349" s="1919"/>
      <c r="AI349" s="1919"/>
      <c r="AJ349" s="1919"/>
      <c r="AK349" s="638"/>
      <c r="AL349" s="638"/>
      <c r="AM349" s="638"/>
      <c r="AN349" s="632"/>
      <c r="AO349" s="632"/>
      <c r="AP349" s="731">
        <f>IF(C388="Yes",5,0)</f>
        <v>5</v>
      </c>
      <c r="AS349" s="1884">
        <f>IF(AND(AQ355&gt;0,AQ364&gt;0),(AQ355+AQ364)/2,0)</f>
        <v>0</v>
      </c>
      <c r="AT349" s="1884"/>
    </row>
    <row r="350" spans="1:46" s="585" customFormat="1" ht="12.75" customHeight="1">
      <c r="A350" s="638"/>
      <c r="B350" s="646"/>
      <c r="C350" s="1919"/>
      <c r="D350" s="1919"/>
      <c r="E350" s="1919"/>
      <c r="F350" s="1919"/>
      <c r="G350" s="1919"/>
      <c r="H350" s="1919"/>
      <c r="I350" s="1919"/>
      <c r="J350" s="1919"/>
      <c r="K350" s="1919"/>
      <c r="L350" s="1919"/>
      <c r="M350" s="1919"/>
      <c r="N350" s="1919"/>
      <c r="O350" s="1919"/>
      <c r="P350" s="1919"/>
      <c r="Q350" s="1919"/>
      <c r="R350" s="1919"/>
      <c r="S350" s="1919"/>
      <c r="T350" s="1919"/>
      <c r="U350" s="1919"/>
      <c r="V350" s="1919"/>
      <c r="W350" s="1919"/>
      <c r="X350" s="1919"/>
      <c r="Y350" s="1919"/>
      <c r="Z350" s="1919"/>
      <c r="AA350" s="1919"/>
      <c r="AB350" s="1919"/>
      <c r="AC350" s="1919"/>
      <c r="AD350" s="1919"/>
      <c r="AE350" s="1919"/>
      <c r="AF350" s="1919"/>
      <c r="AG350" s="1919"/>
      <c r="AH350" s="1919"/>
      <c r="AI350" s="1919"/>
      <c r="AJ350" s="1919"/>
      <c r="AK350" s="638"/>
      <c r="AL350" s="638"/>
      <c r="AM350" s="638"/>
      <c r="AN350" s="632"/>
      <c r="AO350" s="730" t="s">
        <v>590</v>
      </c>
      <c r="AP350" s="731">
        <f>IF(C396="Yes",5,0)</f>
        <v>0</v>
      </c>
      <c r="AS350" s="574" t="s">
        <v>2143</v>
      </c>
    </row>
    <row r="351" spans="1:46" s="585" customFormat="1" ht="12.75" customHeight="1">
      <c r="A351" s="638"/>
      <c r="B351" s="646"/>
      <c r="C351" s="2013" t="s">
        <v>1629</v>
      </c>
      <c r="D351" s="2013"/>
      <c r="E351" s="2013"/>
      <c r="F351" s="2013"/>
      <c r="G351" s="2013"/>
      <c r="H351" s="2013"/>
      <c r="I351" s="2013"/>
      <c r="J351" s="2013"/>
      <c r="K351" s="2013"/>
      <c r="L351" s="2013"/>
      <c r="M351" s="2013"/>
      <c r="N351" s="2013"/>
      <c r="O351" s="2013"/>
      <c r="P351" s="2013"/>
      <c r="Q351" s="2013"/>
      <c r="R351" s="2013"/>
      <c r="S351" s="2013"/>
      <c r="T351" s="2013"/>
      <c r="U351" s="2013"/>
      <c r="V351" s="2013"/>
      <c r="W351" s="2013"/>
      <c r="X351" s="2013"/>
      <c r="Y351" s="2013"/>
      <c r="Z351" s="2013"/>
      <c r="AA351" s="2013"/>
      <c r="AB351" s="2013"/>
      <c r="AC351" s="2013"/>
      <c r="AD351" s="2013"/>
      <c r="AE351" s="2013"/>
      <c r="AF351" s="2013"/>
      <c r="AG351" s="2013"/>
      <c r="AH351" s="2013"/>
      <c r="AI351" s="2013"/>
      <c r="AJ351" s="2013"/>
      <c r="AK351" s="638"/>
      <c r="AL351" s="638"/>
      <c r="AM351" s="638"/>
      <c r="AN351" s="632"/>
      <c r="AO351" s="632"/>
      <c r="AP351" s="731">
        <f>IF(C398="Yes",3,0)</f>
        <v>0</v>
      </c>
      <c r="AS351" s="1884">
        <f>IF(AQ355=0,AQ364,AQ355)</f>
        <v>10</v>
      </c>
      <c r="AT351" s="1884"/>
    </row>
    <row r="352" spans="1:46" s="585" customFormat="1" ht="12.75" customHeight="1">
      <c r="A352" s="638"/>
      <c r="B352" s="646"/>
      <c r="C352" s="2013"/>
      <c r="D352" s="2013"/>
      <c r="E352" s="2013"/>
      <c r="F352" s="2013"/>
      <c r="G352" s="2013"/>
      <c r="H352" s="2013"/>
      <c r="I352" s="2013"/>
      <c r="J352" s="2013"/>
      <c r="K352" s="2013"/>
      <c r="L352" s="2013"/>
      <c r="M352" s="2013"/>
      <c r="N352" s="2013"/>
      <c r="O352" s="2013"/>
      <c r="P352" s="2013"/>
      <c r="Q352" s="2013"/>
      <c r="R352" s="2013"/>
      <c r="S352" s="2013"/>
      <c r="T352" s="2013"/>
      <c r="U352" s="2013"/>
      <c r="V352" s="2013"/>
      <c r="W352" s="2013"/>
      <c r="X352" s="2013"/>
      <c r="Y352" s="2013"/>
      <c r="Z352" s="2013"/>
      <c r="AA352" s="2013"/>
      <c r="AB352" s="2013"/>
      <c r="AC352" s="2013"/>
      <c r="AD352" s="2013"/>
      <c r="AE352" s="2013"/>
      <c r="AF352" s="2013"/>
      <c r="AG352" s="2013"/>
      <c r="AH352" s="2013"/>
      <c r="AI352" s="2013"/>
      <c r="AJ352" s="2013"/>
      <c r="AK352" s="638"/>
      <c r="AL352" s="638"/>
      <c r="AM352" s="638"/>
      <c r="AN352" s="632"/>
      <c r="AO352" s="730" t="s">
        <v>787</v>
      </c>
      <c r="AP352" s="731">
        <f>IF(C401="Yes",5,0)</f>
        <v>0</v>
      </c>
    </row>
    <row r="353" spans="1:81" s="585" customFormat="1" ht="12.75" customHeight="1">
      <c r="A353" s="638"/>
      <c r="B353" s="646"/>
      <c r="C353" s="2013"/>
      <c r="D353" s="2013"/>
      <c r="E353" s="2013"/>
      <c r="F353" s="2013"/>
      <c r="G353" s="2013"/>
      <c r="H353" s="2013"/>
      <c r="I353" s="2013"/>
      <c r="J353" s="2013"/>
      <c r="K353" s="2013"/>
      <c r="L353" s="2013"/>
      <c r="M353" s="2013"/>
      <c r="N353" s="2013"/>
      <c r="O353" s="2013"/>
      <c r="P353" s="2013"/>
      <c r="Q353" s="2013"/>
      <c r="R353" s="2013"/>
      <c r="S353" s="2013"/>
      <c r="T353" s="2013"/>
      <c r="U353" s="2013"/>
      <c r="V353" s="2013"/>
      <c r="W353" s="2013"/>
      <c r="X353" s="2013"/>
      <c r="Y353" s="2013"/>
      <c r="Z353" s="2013"/>
      <c r="AA353" s="2013"/>
      <c r="AB353" s="2013"/>
      <c r="AC353" s="2013"/>
      <c r="AD353" s="2013"/>
      <c r="AE353" s="2013"/>
      <c r="AF353" s="2013"/>
      <c r="AG353" s="2013"/>
      <c r="AH353" s="2013"/>
      <c r="AI353" s="2013"/>
      <c r="AJ353" s="2013"/>
      <c r="AK353" s="638"/>
      <c r="AL353" s="638"/>
      <c r="AM353" s="638"/>
      <c r="AN353" s="632"/>
      <c r="AO353" s="730" t="s">
        <v>593</v>
      </c>
      <c r="AP353" s="731">
        <f>IF(C410="Yes",5,0)</f>
        <v>0</v>
      </c>
    </row>
    <row r="354" spans="1:81" s="585" customFormat="1" ht="12" customHeight="1">
      <c r="A354" s="638"/>
      <c r="B354" s="646"/>
      <c r="C354" s="2013"/>
      <c r="D354" s="2013"/>
      <c r="E354" s="2013"/>
      <c r="F354" s="2013"/>
      <c r="G354" s="2013"/>
      <c r="H354" s="2013"/>
      <c r="I354" s="2013"/>
      <c r="J354" s="2013"/>
      <c r="K354" s="2013"/>
      <c r="L354" s="2013"/>
      <c r="M354" s="2013"/>
      <c r="N354" s="2013"/>
      <c r="O354" s="2013"/>
      <c r="P354" s="2013"/>
      <c r="Q354" s="2013"/>
      <c r="R354" s="2013"/>
      <c r="S354" s="2013"/>
      <c r="T354" s="2013"/>
      <c r="U354" s="2013"/>
      <c r="V354" s="2013"/>
      <c r="W354" s="2013"/>
      <c r="X354" s="2013"/>
      <c r="Y354" s="2013"/>
      <c r="Z354" s="2013"/>
      <c r="AA354" s="2013"/>
      <c r="AB354" s="2013"/>
      <c r="AC354" s="2013"/>
      <c r="AD354" s="2013"/>
      <c r="AE354" s="2013"/>
      <c r="AF354" s="2013"/>
      <c r="AG354" s="2013"/>
      <c r="AH354" s="2013"/>
      <c r="AI354" s="2013"/>
      <c r="AJ354" s="2013"/>
      <c r="AK354" s="638"/>
      <c r="AL354" s="638"/>
      <c r="AM354" s="638"/>
      <c r="AN354" s="632"/>
      <c r="AO354" s="732"/>
      <c r="AP354" s="733">
        <f>IF(C412="Yes",3,0)</f>
        <v>0</v>
      </c>
    </row>
    <row r="355" spans="1:81" s="585" customFormat="1" ht="12.6" customHeight="1">
      <c r="A355" s="638"/>
      <c r="B355" s="646"/>
      <c r="C355" s="2013"/>
      <c r="D355" s="2013"/>
      <c r="E355" s="2013"/>
      <c r="F355" s="2013"/>
      <c r="G355" s="2013"/>
      <c r="H355" s="2013"/>
      <c r="I355" s="2013"/>
      <c r="J355" s="2013"/>
      <c r="K355" s="2013"/>
      <c r="L355" s="2013"/>
      <c r="M355" s="2013"/>
      <c r="N355" s="2013"/>
      <c r="O355" s="2013"/>
      <c r="P355" s="2013"/>
      <c r="Q355" s="2013"/>
      <c r="R355" s="2013"/>
      <c r="S355" s="2013"/>
      <c r="T355" s="2013"/>
      <c r="U355" s="2013"/>
      <c r="V355" s="2013"/>
      <c r="W355" s="2013"/>
      <c r="X355" s="2013"/>
      <c r="Y355" s="2013"/>
      <c r="Z355" s="2013"/>
      <c r="AA355" s="2013"/>
      <c r="AB355" s="2013"/>
      <c r="AC355" s="2013"/>
      <c r="AD355" s="2013"/>
      <c r="AE355" s="2013"/>
      <c r="AF355" s="2013"/>
      <c r="AG355" s="2013"/>
      <c r="AH355" s="2013"/>
      <c r="AI355" s="2013"/>
      <c r="AJ355" s="2013"/>
      <c r="AK355" s="638"/>
      <c r="AL355" s="638"/>
      <c r="AM355" s="638"/>
      <c r="AN355" s="632"/>
      <c r="AO355" s="734" t="s">
        <v>229</v>
      </c>
      <c r="AP355" s="735">
        <f>SUM(AP346:AP354)</f>
        <v>10</v>
      </c>
      <c r="AQ355" s="1922">
        <f>IF(AP355&gt;0,AP355,0)</f>
        <v>10</v>
      </c>
      <c r="AR355" s="1922"/>
    </row>
    <row r="356" spans="1:81" s="585" customFormat="1" ht="12.75" customHeight="1">
      <c r="A356" s="638"/>
      <c r="B356" s="646"/>
      <c r="C356" s="2013"/>
      <c r="D356" s="2013"/>
      <c r="E356" s="2013"/>
      <c r="F356" s="2013"/>
      <c r="G356" s="2013"/>
      <c r="H356" s="2013"/>
      <c r="I356" s="2013"/>
      <c r="J356" s="2013"/>
      <c r="K356" s="2013"/>
      <c r="L356" s="2013"/>
      <c r="M356" s="2013"/>
      <c r="N356" s="2013"/>
      <c r="O356" s="2013"/>
      <c r="P356" s="2013"/>
      <c r="Q356" s="2013"/>
      <c r="R356" s="2013"/>
      <c r="S356" s="2013"/>
      <c r="T356" s="2013"/>
      <c r="U356" s="2013"/>
      <c r="V356" s="2013"/>
      <c r="W356" s="2013"/>
      <c r="X356" s="2013"/>
      <c r="Y356" s="2013"/>
      <c r="Z356" s="2013"/>
      <c r="AA356" s="2013"/>
      <c r="AB356" s="2013"/>
      <c r="AC356" s="2013"/>
      <c r="AD356" s="2013"/>
      <c r="AE356" s="2013"/>
      <c r="AF356" s="2013"/>
      <c r="AG356" s="2013"/>
      <c r="AH356" s="2013"/>
      <c r="AI356" s="2013"/>
      <c r="AJ356" s="2013"/>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464</v>
      </c>
      <c r="AP357" s="731">
        <f>IF(C419="Yes",5,0)</f>
        <v>0</v>
      </c>
    </row>
    <row r="358" spans="1:81" s="585" customFormat="1" ht="12.75" customHeight="1">
      <c r="A358" s="638"/>
      <c r="B358" s="646"/>
      <c r="C358" s="1919" t="s">
        <v>1630</v>
      </c>
      <c r="D358" s="1919"/>
      <c r="E358" s="1919"/>
      <c r="F358" s="1919"/>
      <c r="G358" s="1919"/>
      <c r="H358" s="1919"/>
      <c r="I358" s="1919"/>
      <c r="J358" s="1919"/>
      <c r="K358" s="1919"/>
      <c r="L358" s="1919"/>
      <c r="M358" s="1919"/>
      <c r="N358" s="1919"/>
      <c r="O358" s="1919"/>
      <c r="P358" s="1919"/>
      <c r="Q358" s="1919"/>
      <c r="R358" s="1919"/>
      <c r="S358" s="1919"/>
      <c r="T358" s="1919"/>
      <c r="U358" s="1919"/>
      <c r="V358" s="1919"/>
      <c r="W358" s="1919"/>
      <c r="X358" s="1919"/>
      <c r="Y358" s="1919"/>
      <c r="Z358" s="1919"/>
      <c r="AA358" s="1919"/>
      <c r="AB358" s="1919"/>
      <c r="AC358" s="1919"/>
      <c r="AD358" s="1919"/>
      <c r="AE358" s="1919"/>
      <c r="AF358" s="1919"/>
      <c r="AG358" s="1919"/>
      <c r="AH358" s="1919"/>
      <c r="AI358" s="1919"/>
      <c r="AJ358" s="1919"/>
      <c r="AK358" s="638"/>
      <c r="AL358" s="638"/>
      <c r="AM358" s="638"/>
      <c r="AN358" s="632"/>
      <c r="AO358" s="730" t="s">
        <v>465</v>
      </c>
      <c r="AP358" s="731">
        <f>IF(C431="Yes",5,0)</f>
        <v>0</v>
      </c>
    </row>
    <row r="359" spans="1:81" s="585" customFormat="1" ht="12.75" customHeight="1">
      <c r="A359" s="638"/>
      <c r="B359" s="646"/>
      <c r="C359" s="1919"/>
      <c r="D359" s="1919"/>
      <c r="E359" s="1919"/>
      <c r="F359" s="1919"/>
      <c r="G359" s="1919"/>
      <c r="H359" s="1919"/>
      <c r="I359" s="1919"/>
      <c r="J359" s="1919"/>
      <c r="K359" s="1919"/>
      <c r="L359" s="1919"/>
      <c r="M359" s="1919"/>
      <c r="N359" s="1919"/>
      <c r="O359" s="1919"/>
      <c r="P359" s="1919"/>
      <c r="Q359" s="1919"/>
      <c r="R359" s="1919"/>
      <c r="S359" s="1919"/>
      <c r="T359" s="1919"/>
      <c r="U359" s="1919"/>
      <c r="V359" s="1919"/>
      <c r="W359" s="1919"/>
      <c r="X359" s="1919"/>
      <c r="Y359" s="1919"/>
      <c r="Z359" s="1919"/>
      <c r="AA359" s="1919"/>
      <c r="AB359" s="1919"/>
      <c r="AC359" s="1919"/>
      <c r="AD359" s="1919"/>
      <c r="AE359" s="1919"/>
      <c r="AF359" s="1919"/>
      <c r="AG359" s="1919"/>
      <c r="AH359" s="1919"/>
      <c r="AI359" s="1919"/>
      <c r="AJ359" s="1919"/>
      <c r="AK359" s="638"/>
      <c r="AL359" s="638"/>
      <c r="AM359" s="638"/>
      <c r="AN359" s="632"/>
      <c r="AO359" s="730" t="s">
        <v>470</v>
      </c>
      <c r="AP359" s="731">
        <f>IF(C438="Yes",5,0)</f>
        <v>0</v>
      </c>
    </row>
    <row r="360" spans="1:81" s="585" customFormat="1" ht="68.25" customHeight="1">
      <c r="A360" s="638"/>
      <c r="B360" s="646"/>
      <c r="C360" s="1919"/>
      <c r="D360" s="1919"/>
      <c r="E360" s="1919"/>
      <c r="F360" s="1919"/>
      <c r="G360" s="1919"/>
      <c r="H360" s="1919"/>
      <c r="I360" s="1919"/>
      <c r="J360" s="1919"/>
      <c r="K360" s="1919"/>
      <c r="L360" s="1919"/>
      <c r="M360" s="1919"/>
      <c r="N360" s="1919"/>
      <c r="O360" s="1919"/>
      <c r="P360" s="1919"/>
      <c r="Q360" s="1919"/>
      <c r="R360" s="1919"/>
      <c r="S360" s="1919"/>
      <c r="T360" s="1919"/>
      <c r="U360" s="1919"/>
      <c r="V360" s="1919"/>
      <c r="W360" s="1919"/>
      <c r="X360" s="1919"/>
      <c r="Y360" s="1919"/>
      <c r="Z360" s="1919"/>
      <c r="AA360" s="1919"/>
      <c r="AB360" s="1919"/>
      <c r="AC360" s="1919"/>
      <c r="AD360" s="1919"/>
      <c r="AE360" s="1919"/>
      <c r="AF360" s="1919"/>
      <c r="AG360" s="1919"/>
      <c r="AH360" s="1919"/>
      <c r="AI360" s="1919"/>
      <c r="AJ360" s="1919"/>
      <c r="AK360" s="638"/>
      <c r="AL360" s="638"/>
      <c r="AM360" s="638"/>
      <c r="AN360" s="632"/>
      <c r="AO360" s="730" t="s">
        <v>655</v>
      </c>
      <c r="AP360" s="736">
        <f>IF(C442="Yes",5,0)</f>
        <v>0</v>
      </c>
    </row>
    <row r="361" spans="1:81" s="585" customFormat="1" ht="12.6" customHeight="1">
      <c r="A361" s="638"/>
      <c r="B361" s="646"/>
      <c r="C361" s="585" t="s">
        <v>1631</v>
      </c>
      <c r="AF361" s="638"/>
      <c r="AG361" s="638"/>
      <c r="AH361" s="638"/>
      <c r="AI361" s="638"/>
      <c r="AJ361" s="638"/>
      <c r="AK361" s="638"/>
      <c r="AL361" s="638"/>
      <c r="AM361" s="638"/>
      <c r="AN361" s="632"/>
      <c r="AO361" s="730" t="s">
        <v>364</v>
      </c>
      <c r="AP361" s="731">
        <f>IF(C446="Yes",5,0)</f>
        <v>0</v>
      </c>
    </row>
    <row r="362" spans="1:81" s="585" customFormat="1" ht="12.75" customHeight="1">
      <c r="A362" s="638"/>
      <c r="B362" s="646"/>
      <c r="C362" s="737" t="s">
        <v>1632</v>
      </c>
      <c r="D362" s="738"/>
      <c r="E362" s="738"/>
      <c r="F362" s="738"/>
      <c r="G362" s="738"/>
      <c r="H362" s="738"/>
      <c r="I362" s="738"/>
      <c r="J362" s="738"/>
      <c r="K362" s="738"/>
      <c r="L362" s="738"/>
      <c r="M362" s="702"/>
      <c r="N362" s="702"/>
      <c r="O362" s="739"/>
      <c r="P362" s="738"/>
      <c r="Q362" s="738"/>
      <c r="R362" s="702"/>
      <c r="S362" s="702"/>
      <c r="T362" s="738"/>
      <c r="U362" s="1920">
        <f>Application!CS649-U363</f>
        <v>309</v>
      </c>
      <c r="V362" s="1920"/>
      <c r="W362" s="1920"/>
      <c r="X362" s="738"/>
      <c r="Y362" s="738"/>
      <c r="Z362" s="738"/>
      <c r="AA362" s="740"/>
      <c r="AB362" s="741"/>
      <c r="AC362" s="741"/>
      <c r="AD362" s="741"/>
      <c r="AE362" s="638"/>
      <c r="AF362" s="638"/>
      <c r="AG362" s="638"/>
      <c r="AH362" s="638"/>
      <c r="AI362" s="638"/>
      <c r="AJ362" s="638"/>
      <c r="AK362" s="638"/>
      <c r="AL362" s="638"/>
      <c r="AM362" s="638"/>
      <c r="AN362" s="632"/>
      <c r="AO362" s="730" t="s">
        <v>365</v>
      </c>
      <c r="AP362" s="731">
        <f>IF(C455="Yes",5,0)</f>
        <v>0</v>
      </c>
    </row>
    <row r="363" spans="1:81" s="585" customFormat="1" ht="12.75" customHeight="1">
      <c r="A363" s="638"/>
      <c r="B363" s="646"/>
      <c r="C363" s="742" t="s">
        <v>1633</v>
      </c>
      <c r="D363" s="729"/>
      <c r="E363" s="729"/>
      <c r="F363" s="729"/>
      <c r="G363" s="729"/>
      <c r="H363" s="729"/>
      <c r="I363" s="729"/>
      <c r="J363" s="729"/>
      <c r="K363" s="729"/>
      <c r="L363" s="729"/>
      <c r="M363" s="729"/>
      <c r="N363" s="729"/>
      <c r="O363" s="729"/>
      <c r="P363" s="729"/>
      <c r="Q363" s="729"/>
      <c r="R363" s="729"/>
      <c r="S363" s="729"/>
      <c r="T363" s="729"/>
      <c r="U363" s="1921">
        <f>Application!AG742</f>
        <v>0</v>
      </c>
      <c r="V363" s="1921"/>
      <c r="W363" s="1921"/>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0</v>
      </c>
      <c r="AQ364" s="1922">
        <f>IF(AP364&gt;0,AP364,0)</f>
        <v>0</v>
      </c>
      <c r="AR364" s="1922"/>
    </row>
    <row r="365" spans="1:81" s="585" customFormat="1" ht="12.75" customHeight="1">
      <c r="A365" s="638"/>
      <c r="B365" s="14"/>
      <c r="C365" s="747" t="s">
        <v>1634</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1486</v>
      </c>
      <c r="F366" s="1913" t="s">
        <v>1635</v>
      </c>
      <c r="G366" s="1913"/>
      <c r="H366" s="1913"/>
      <c r="I366" s="1913"/>
      <c r="J366" s="1913"/>
      <c r="K366" s="1913"/>
      <c r="L366" s="1913"/>
      <c r="M366" s="1913"/>
      <c r="N366" s="1913"/>
      <c r="O366" s="1913"/>
      <c r="P366" s="1913"/>
      <c r="Q366" s="1913"/>
      <c r="R366" s="1913"/>
      <c r="S366" s="1913"/>
      <c r="T366" s="1913"/>
      <c r="U366" s="1913"/>
      <c r="V366" s="1913"/>
      <c r="W366" s="1913"/>
      <c r="X366" s="1913"/>
      <c r="Y366" s="1913"/>
      <c r="Z366" s="1913"/>
      <c r="AA366" s="1913"/>
      <c r="AB366" s="1913"/>
      <c r="AC366" s="1913"/>
      <c r="AD366" s="1913"/>
      <c r="AE366" s="1913"/>
      <c r="AF366" s="1913"/>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14"/>
      <c r="G367" s="1914"/>
      <c r="H367" s="1914"/>
      <c r="I367" s="1914"/>
      <c r="J367" s="1914"/>
      <c r="K367" s="1914"/>
      <c r="L367" s="1914"/>
      <c r="M367" s="1914"/>
      <c r="N367" s="1914"/>
      <c r="O367" s="1914"/>
      <c r="P367" s="1914"/>
      <c r="Q367" s="1914"/>
      <c r="R367" s="1914"/>
      <c r="S367" s="1914"/>
      <c r="T367" s="1914"/>
      <c r="U367" s="1914"/>
      <c r="V367" s="1914"/>
      <c r="W367" s="1914"/>
      <c r="X367" s="1914"/>
      <c r="Y367" s="1914"/>
      <c r="Z367" s="1914"/>
      <c r="AA367" s="1914"/>
      <c r="AB367" s="1914"/>
      <c r="AC367" s="1914"/>
      <c r="AD367" s="1914"/>
      <c r="AE367" s="1914"/>
      <c r="AF367" s="1914"/>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14"/>
      <c r="G368" s="1914"/>
      <c r="H368" s="1914"/>
      <c r="I368" s="1914"/>
      <c r="J368" s="1914"/>
      <c r="K368" s="1914"/>
      <c r="L368" s="1914"/>
      <c r="M368" s="1914"/>
      <c r="N368" s="1914"/>
      <c r="O368" s="1914"/>
      <c r="P368" s="1914"/>
      <c r="Q368" s="1914"/>
      <c r="R368" s="1914"/>
      <c r="S368" s="1914"/>
      <c r="T368" s="1914"/>
      <c r="U368" s="1914"/>
      <c r="V368" s="1914"/>
      <c r="W368" s="1914"/>
      <c r="X368" s="1914"/>
      <c r="Y368" s="1914"/>
      <c r="Z368" s="1914"/>
      <c r="AA368" s="1914"/>
      <c r="AB368" s="1914"/>
      <c r="AC368" s="1914"/>
      <c r="AD368" s="1914"/>
      <c r="AE368" s="1914"/>
      <c r="AF368" s="1914"/>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14"/>
      <c r="G369" s="1914"/>
      <c r="H369" s="1914"/>
      <c r="I369" s="1914"/>
      <c r="J369" s="1914"/>
      <c r="K369" s="1914"/>
      <c r="L369" s="1914"/>
      <c r="M369" s="1914"/>
      <c r="N369" s="1914"/>
      <c r="O369" s="1914"/>
      <c r="P369" s="1914"/>
      <c r="Q369" s="1914"/>
      <c r="R369" s="1914"/>
      <c r="S369" s="1914"/>
      <c r="T369" s="1914"/>
      <c r="U369" s="1914"/>
      <c r="V369" s="1914"/>
      <c r="W369" s="1914"/>
      <c r="X369" s="1914"/>
      <c r="Y369" s="1914"/>
      <c r="Z369" s="1914"/>
      <c r="AA369" s="1914"/>
      <c r="AB369" s="1914"/>
      <c r="AC369" s="1914"/>
      <c r="AD369" s="1914"/>
      <c r="AE369" s="1914"/>
      <c r="AF369" s="1914"/>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23" t="s">
        <v>554</v>
      </c>
      <c r="D370" s="1924"/>
      <c r="E370" s="754"/>
      <c r="F370" s="756" t="s">
        <v>1636</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12" t="s">
        <v>1637</v>
      </c>
      <c r="AG370" s="1912"/>
      <c r="AH370" s="1912"/>
      <c r="AI370" s="1912"/>
      <c r="AJ370" s="1912"/>
      <c r="AK370" s="1912"/>
      <c r="AL370" s="1925"/>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1488</v>
      </c>
      <c r="F373" s="1913" t="s">
        <v>1638</v>
      </c>
      <c r="G373" s="1913"/>
      <c r="H373" s="1913"/>
      <c r="I373" s="1913"/>
      <c r="J373" s="1913"/>
      <c r="K373" s="1913"/>
      <c r="L373" s="1913"/>
      <c r="M373" s="1913"/>
      <c r="N373" s="1913"/>
      <c r="O373" s="1913"/>
      <c r="P373" s="1913"/>
      <c r="Q373" s="1913"/>
      <c r="R373" s="1913"/>
      <c r="S373" s="1913"/>
      <c r="T373" s="1913"/>
      <c r="U373" s="1913"/>
      <c r="V373" s="1913"/>
      <c r="W373" s="1913"/>
      <c r="X373" s="1913"/>
      <c r="Y373" s="1913"/>
      <c r="Z373" s="1913"/>
      <c r="AA373" s="1913"/>
      <c r="AB373" s="1913"/>
      <c r="AC373" s="1913"/>
      <c r="AD373" s="1913"/>
      <c r="AE373" s="1913"/>
      <c r="AF373" s="1913"/>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14"/>
      <c r="G374" s="1914"/>
      <c r="H374" s="1914"/>
      <c r="I374" s="1914"/>
      <c r="J374" s="1914"/>
      <c r="K374" s="1914"/>
      <c r="L374" s="1914"/>
      <c r="M374" s="1914"/>
      <c r="N374" s="1914"/>
      <c r="O374" s="1914"/>
      <c r="P374" s="1914"/>
      <c r="Q374" s="1914"/>
      <c r="R374" s="1914"/>
      <c r="S374" s="1914"/>
      <c r="T374" s="1914"/>
      <c r="U374" s="1914"/>
      <c r="V374" s="1914"/>
      <c r="W374" s="1914"/>
      <c r="X374" s="1914"/>
      <c r="Y374" s="1914"/>
      <c r="Z374" s="1914"/>
      <c r="AA374" s="1914"/>
      <c r="AB374" s="1914"/>
      <c r="AC374" s="1914"/>
      <c r="AD374" s="1914"/>
      <c r="AE374" s="1914"/>
      <c r="AF374" s="1914"/>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14"/>
      <c r="G375" s="1914"/>
      <c r="H375" s="1914"/>
      <c r="I375" s="1914"/>
      <c r="J375" s="1914"/>
      <c r="K375" s="1914"/>
      <c r="L375" s="1914"/>
      <c r="M375" s="1914"/>
      <c r="N375" s="1914"/>
      <c r="O375" s="1914"/>
      <c r="P375" s="1914"/>
      <c r="Q375" s="1914"/>
      <c r="R375" s="1914"/>
      <c r="S375" s="1914"/>
      <c r="T375" s="1914"/>
      <c r="U375" s="1914"/>
      <c r="V375" s="1914"/>
      <c r="W375" s="1914"/>
      <c r="X375" s="1914"/>
      <c r="Y375" s="1914"/>
      <c r="Z375" s="1914"/>
      <c r="AA375" s="1914"/>
      <c r="AB375" s="1914"/>
      <c r="AC375" s="1914"/>
      <c r="AD375" s="1914"/>
      <c r="AE375" s="1914"/>
      <c r="AF375" s="1914"/>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14"/>
      <c r="G376" s="1914"/>
      <c r="H376" s="1914"/>
      <c r="I376" s="1914"/>
      <c r="J376" s="1914"/>
      <c r="K376" s="1914"/>
      <c r="L376" s="1914"/>
      <c r="M376" s="1914"/>
      <c r="N376" s="1914"/>
      <c r="O376" s="1914"/>
      <c r="P376" s="1914"/>
      <c r="Q376" s="1914"/>
      <c r="R376" s="1914"/>
      <c r="S376" s="1914"/>
      <c r="T376" s="1914"/>
      <c r="U376" s="1914"/>
      <c r="V376" s="1914"/>
      <c r="W376" s="1914"/>
      <c r="X376" s="1914"/>
      <c r="Y376" s="1914"/>
      <c r="Z376" s="1914"/>
      <c r="AA376" s="1914"/>
      <c r="AB376" s="1914"/>
      <c r="AC376" s="1914"/>
      <c r="AD376" s="1914"/>
      <c r="AE376" s="1914"/>
      <c r="AF376" s="1914"/>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14"/>
      <c r="G377" s="1914"/>
      <c r="H377" s="1914"/>
      <c r="I377" s="1914"/>
      <c r="J377" s="1914"/>
      <c r="K377" s="1914"/>
      <c r="L377" s="1914"/>
      <c r="M377" s="1914"/>
      <c r="N377" s="1914"/>
      <c r="O377" s="1914"/>
      <c r="P377" s="1914"/>
      <c r="Q377" s="1914"/>
      <c r="R377" s="1914"/>
      <c r="S377" s="1914"/>
      <c r="T377" s="1914"/>
      <c r="U377" s="1914"/>
      <c r="V377" s="1914"/>
      <c r="W377" s="1914"/>
      <c r="X377" s="1914"/>
      <c r="Y377" s="1914"/>
      <c r="Z377" s="1914"/>
      <c r="AA377" s="1914"/>
      <c r="AB377" s="1914"/>
      <c r="AC377" s="1914"/>
      <c r="AD377" s="1914"/>
      <c r="AE377" s="1914"/>
      <c r="AF377" s="1914"/>
      <c r="AL377" s="767"/>
      <c r="AN377" s="632"/>
      <c r="BS377" s="30"/>
      <c r="BT377" s="30"/>
      <c r="BU377" s="14"/>
      <c r="BV377" s="14"/>
      <c r="BW377" s="14"/>
      <c r="BX377" s="14"/>
      <c r="BY377" s="14"/>
      <c r="BZ377" s="14"/>
      <c r="CA377" s="14"/>
      <c r="CB377" s="14"/>
      <c r="CC377" s="14"/>
    </row>
    <row r="378" spans="1:81" s="585" customFormat="1" ht="12.75" customHeight="1">
      <c r="A378" s="571"/>
      <c r="B378" s="14"/>
      <c r="C378" s="1923" t="s">
        <v>600</v>
      </c>
      <c r="D378" s="1924"/>
      <c r="E378" s="726"/>
      <c r="F378" s="756" t="s">
        <v>1639</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12" t="s">
        <v>1637</v>
      </c>
      <c r="AG378" s="1912"/>
      <c r="AH378" s="1912"/>
      <c r="AI378" s="1912"/>
      <c r="AJ378" s="1912"/>
      <c r="AK378" s="1912"/>
      <c r="AL378" s="1925"/>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1491</v>
      </c>
      <c r="F381" s="1913" t="s">
        <v>1640</v>
      </c>
      <c r="G381" s="1913"/>
      <c r="H381" s="1913"/>
      <c r="I381" s="1913"/>
      <c r="J381" s="1913"/>
      <c r="K381" s="1913"/>
      <c r="L381" s="1913"/>
      <c r="M381" s="1913"/>
      <c r="N381" s="1913"/>
      <c r="O381" s="1913"/>
      <c r="P381" s="1913"/>
      <c r="Q381" s="1913"/>
      <c r="R381" s="1913"/>
      <c r="S381" s="1913"/>
      <c r="T381" s="1913"/>
      <c r="U381" s="1913"/>
      <c r="V381" s="1913"/>
      <c r="W381" s="1913"/>
      <c r="X381" s="1913"/>
      <c r="Y381" s="1913"/>
      <c r="Z381" s="1913"/>
      <c r="AA381" s="1913"/>
      <c r="AB381" s="1913"/>
      <c r="AC381" s="1913"/>
      <c r="AD381" s="1913"/>
      <c r="AE381" s="1913"/>
      <c r="AF381" s="1913"/>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14"/>
      <c r="G382" s="1914"/>
      <c r="H382" s="1914"/>
      <c r="I382" s="1914"/>
      <c r="J382" s="1914"/>
      <c r="K382" s="1914"/>
      <c r="L382" s="1914"/>
      <c r="M382" s="1914"/>
      <c r="N382" s="1914"/>
      <c r="O382" s="1914"/>
      <c r="P382" s="1914"/>
      <c r="Q382" s="1914"/>
      <c r="R382" s="1914"/>
      <c r="S382" s="1914"/>
      <c r="T382" s="1914"/>
      <c r="U382" s="1914"/>
      <c r="V382" s="1914"/>
      <c r="W382" s="1914"/>
      <c r="X382" s="1914"/>
      <c r="Y382" s="1914"/>
      <c r="Z382" s="1914"/>
      <c r="AA382" s="1914"/>
      <c r="AB382" s="1914"/>
      <c r="AC382" s="1914"/>
      <c r="AD382" s="1914"/>
      <c r="AE382" s="1914"/>
      <c r="AF382" s="1914"/>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14"/>
      <c r="G383" s="1914"/>
      <c r="H383" s="1914"/>
      <c r="I383" s="1914"/>
      <c r="J383" s="1914"/>
      <c r="K383" s="1914"/>
      <c r="L383" s="1914"/>
      <c r="M383" s="1914"/>
      <c r="N383" s="1914"/>
      <c r="O383" s="1914"/>
      <c r="P383" s="1914"/>
      <c r="Q383" s="1914"/>
      <c r="R383" s="1914"/>
      <c r="S383" s="1914"/>
      <c r="T383" s="1914"/>
      <c r="U383" s="1914"/>
      <c r="V383" s="1914"/>
      <c r="W383" s="1914"/>
      <c r="X383" s="1914"/>
      <c r="Y383" s="1914"/>
      <c r="Z383" s="1914"/>
      <c r="AA383" s="1914"/>
      <c r="AB383" s="1914"/>
      <c r="AC383" s="1914"/>
      <c r="AD383" s="1914"/>
      <c r="AE383" s="1914"/>
      <c r="AF383" s="1914"/>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14"/>
      <c r="G384" s="1914"/>
      <c r="H384" s="1914"/>
      <c r="I384" s="1914"/>
      <c r="J384" s="1914"/>
      <c r="K384" s="1914"/>
      <c r="L384" s="1914"/>
      <c r="M384" s="1914"/>
      <c r="N384" s="1914"/>
      <c r="O384" s="1914"/>
      <c r="P384" s="1914"/>
      <c r="Q384" s="1914"/>
      <c r="R384" s="1914"/>
      <c r="S384" s="1914"/>
      <c r="T384" s="1914"/>
      <c r="U384" s="1914"/>
      <c r="V384" s="1914"/>
      <c r="W384" s="1914"/>
      <c r="X384" s="1914"/>
      <c r="Y384" s="1914"/>
      <c r="Z384" s="1914"/>
      <c r="AA384" s="1914"/>
      <c r="AB384" s="1914"/>
      <c r="AC384" s="1914"/>
      <c r="AD384" s="1914"/>
      <c r="AE384" s="1914"/>
      <c r="AF384" s="1914"/>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14"/>
      <c r="G385" s="1914"/>
      <c r="H385" s="1914"/>
      <c r="I385" s="1914"/>
      <c r="J385" s="1914"/>
      <c r="K385" s="1914"/>
      <c r="L385" s="1914"/>
      <c r="M385" s="1914"/>
      <c r="N385" s="1914"/>
      <c r="O385" s="1914"/>
      <c r="P385" s="1914"/>
      <c r="Q385" s="1914"/>
      <c r="R385" s="1914"/>
      <c r="S385" s="1914"/>
      <c r="T385" s="1914"/>
      <c r="U385" s="1914"/>
      <c r="V385" s="1914"/>
      <c r="W385" s="1914"/>
      <c r="X385" s="1914"/>
      <c r="Y385" s="1914"/>
      <c r="Z385" s="1914"/>
      <c r="AA385" s="1914"/>
      <c r="AB385" s="1914"/>
      <c r="AC385" s="1914"/>
      <c r="AD385" s="1914"/>
      <c r="AE385" s="1914"/>
      <c r="AF385" s="1914"/>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23" t="s">
        <v>600</v>
      </c>
      <c r="D386" s="1924"/>
      <c r="E386" s="726"/>
      <c r="F386" s="756" t="s">
        <v>1641</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12" t="s">
        <v>1642</v>
      </c>
      <c r="AG386" s="1912"/>
      <c r="AH386" s="1912"/>
      <c r="AI386" s="1912"/>
      <c r="AJ386" s="1912"/>
      <c r="AK386" s="1912"/>
      <c r="AL386" s="1925"/>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23" t="s">
        <v>554</v>
      </c>
      <c r="D388" s="1924"/>
      <c r="E388" s="726"/>
      <c r="F388" s="773" t="s">
        <v>1643</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12" t="s">
        <v>1637</v>
      </c>
      <c r="AG388" s="1912"/>
      <c r="AH388" s="1912"/>
      <c r="AI388" s="1912"/>
      <c r="AJ388" s="1912"/>
      <c r="AK388" s="1912"/>
      <c r="AL388" s="1925"/>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1644</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1645</v>
      </c>
      <c r="F392" s="1913" t="s">
        <v>1646</v>
      </c>
      <c r="G392" s="1913"/>
      <c r="H392" s="1913"/>
      <c r="I392" s="1913"/>
      <c r="J392" s="1913"/>
      <c r="K392" s="1913"/>
      <c r="L392" s="1913"/>
      <c r="M392" s="1913"/>
      <c r="N392" s="1913"/>
      <c r="O392" s="1913"/>
      <c r="P392" s="1913"/>
      <c r="Q392" s="1913"/>
      <c r="R392" s="1913"/>
      <c r="S392" s="1913"/>
      <c r="T392" s="1913"/>
      <c r="U392" s="1913"/>
      <c r="V392" s="1913"/>
      <c r="W392" s="1913"/>
      <c r="X392" s="1913"/>
      <c r="Y392" s="1913"/>
      <c r="Z392" s="1913"/>
      <c r="AA392" s="1913"/>
      <c r="AB392" s="1913"/>
      <c r="AC392" s="1913"/>
      <c r="AD392" s="1913"/>
      <c r="AE392" s="1913"/>
      <c r="AF392" s="1913"/>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14"/>
      <c r="G393" s="1914"/>
      <c r="H393" s="1914"/>
      <c r="I393" s="1914"/>
      <c r="J393" s="1914"/>
      <c r="K393" s="1914"/>
      <c r="L393" s="1914"/>
      <c r="M393" s="1914"/>
      <c r="N393" s="1914"/>
      <c r="O393" s="1914"/>
      <c r="P393" s="1914"/>
      <c r="Q393" s="1914"/>
      <c r="R393" s="1914"/>
      <c r="S393" s="1914"/>
      <c r="T393" s="1914"/>
      <c r="U393" s="1914"/>
      <c r="V393" s="1914"/>
      <c r="W393" s="1914"/>
      <c r="X393" s="1914"/>
      <c r="Y393" s="1914"/>
      <c r="Z393" s="1914"/>
      <c r="AA393" s="1914"/>
      <c r="AB393" s="1914"/>
      <c r="AC393" s="1914"/>
      <c r="AD393" s="1914"/>
      <c r="AE393" s="1914"/>
      <c r="AF393" s="1914"/>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1914"/>
      <c r="G394" s="1914"/>
      <c r="H394" s="1914"/>
      <c r="I394" s="1914"/>
      <c r="J394" s="1914"/>
      <c r="K394" s="1914"/>
      <c r="L394" s="1914"/>
      <c r="M394" s="1914"/>
      <c r="N394" s="1914"/>
      <c r="O394" s="1914"/>
      <c r="P394" s="1914"/>
      <c r="Q394" s="1914"/>
      <c r="R394" s="1914"/>
      <c r="S394" s="1914"/>
      <c r="T394" s="1914"/>
      <c r="U394" s="1914"/>
      <c r="V394" s="1914"/>
      <c r="W394" s="1914"/>
      <c r="X394" s="1914"/>
      <c r="Y394" s="1914"/>
      <c r="Z394" s="1914"/>
      <c r="AA394" s="1914"/>
      <c r="AB394" s="1914"/>
      <c r="AC394" s="1914"/>
      <c r="AD394" s="1914"/>
      <c r="AE394" s="1914"/>
      <c r="AF394" s="1914"/>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14"/>
      <c r="G395" s="1914"/>
      <c r="H395" s="1914"/>
      <c r="I395" s="1914"/>
      <c r="J395" s="1914"/>
      <c r="K395" s="1914"/>
      <c r="L395" s="1914"/>
      <c r="M395" s="1914"/>
      <c r="N395" s="1914"/>
      <c r="O395" s="1914"/>
      <c r="P395" s="1914"/>
      <c r="Q395" s="1914"/>
      <c r="R395" s="1914"/>
      <c r="S395" s="1914"/>
      <c r="T395" s="1914"/>
      <c r="U395" s="1914"/>
      <c r="V395" s="1914"/>
      <c r="W395" s="1914"/>
      <c r="X395" s="1914"/>
      <c r="Y395" s="1914"/>
      <c r="Z395" s="1914"/>
      <c r="AA395" s="1914"/>
      <c r="AB395" s="1914"/>
      <c r="AC395" s="1914"/>
      <c r="AD395" s="1914"/>
      <c r="AE395" s="1914"/>
      <c r="AF395" s="1914"/>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23" t="s">
        <v>600</v>
      </c>
      <c r="D396" s="1924"/>
      <c r="E396" s="726"/>
      <c r="F396" s="756" t="s">
        <v>1647</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12" t="s">
        <v>1637</v>
      </c>
      <c r="AG396" s="1912"/>
      <c r="AH396" s="1912"/>
      <c r="AI396" s="1912"/>
      <c r="AJ396" s="1912"/>
      <c r="AK396" s="1912"/>
      <c r="AL396" s="1925"/>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23" t="s">
        <v>600</v>
      </c>
      <c r="D398" s="1924"/>
      <c r="E398" s="754"/>
      <c r="F398" s="756" t="s">
        <v>1648</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12" t="s">
        <v>1649</v>
      </c>
      <c r="AG398" s="1912"/>
      <c r="AH398" s="1912"/>
      <c r="AI398" s="1912"/>
      <c r="AJ398" s="1912"/>
      <c r="AK398" s="1912"/>
      <c r="AL398" s="1925"/>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23" t="s">
        <v>600</v>
      </c>
      <c r="D401" s="1924"/>
      <c r="E401" s="750" t="s">
        <v>1650</v>
      </c>
      <c r="F401" s="1913" t="s">
        <v>1651</v>
      </c>
      <c r="G401" s="1913"/>
      <c r="H401" s="1913"/>
      <c r="I401" s="1913"/>
      <c r="J401" s="1913"/>
      <c r="K401" s="1913"/>
      <c r="L401" s="1913"/>
      <c r="M401" s="1913"/>
      <c r="N401" s="1913"/>
      <c r="O401" s="1913"/>
      <c r="P401" s="1913"/>
      <c r="Q401" s="1913"/>
      <c r="R401" s="1913"/>
      <c r="S401" s="1913"/>
      <c r="T401" s="1913"/>
      <c r="U401" s="1913"/>
      <c r="V401" s="1913"/>
      <c r="W401" s="1913"/>
      <c r="X401" s="1913"/>
      <c r="Y401" s="1913"/>
      <c r="Z401" s="1913"/>
      <c r="AA401" s="1913"/>
      <c r="AB401" s="1913"/>
      <c r="AC401" s="1913"/>
      <c r="AD401" s="1913"/>
      <c r="AE401" s="1913"/>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14"/>
      <c r="G402" s="1914"/>
      <c r="H402" s="1914"/>
      <c r="I402" s="1914"/>
      <c r="J402" s="1914"/>
      <c r="K402" s="1914"/>
      <c r="L402" s="1914"/>
      <c r="M402" s="1914"/>
      <c r="N402" s="1914"/>
      <c r="O402" s="1914"/>
      <c r="P402" s="1914"/>
      <c r="Q402" s="1914"/>
      <c r="R402" s="1914"/>
      <c r="S402" s="1914"/>
      <c r="T402" s="1914"/>
      <c r="U402" s="1914"/>
      <c r="V402" s="1914"/>
      <c r="W402" s="1914"/>
      <c r="X402" s="1914"/>
      <c r="Y402" s="1914"/>
      <c r="Z402" s="1914"/>
      <c r="AA402" s="1914"/>
      <c r="AB402" s="1914"/>
      <c r="AC402" s="1914"/>
      <c r="AD402" s="1914"/>
      <c r="AE402" s="1914"/>
      <c r="AF402" s="1982" t="s">
        <v>1637</v>
      </c>
      <c r="AG402" s="1982"/>
      <c r="AH402" s="1982"/>
      <c r="AI402" s="1982"/>
      <c r="AJ402" s="1982"/>
      <c r="AK402" s="1982"/>
      <c r="AL402" s="2012"/>
      <c r="AM402" s="605"/>
      <c r="AN402" s="632"/>
      <c r="BS402" s="605"/>
      <c r="BT402" s="605"/>
      <c r="BY402" s="605"/>
      <c r="BZ402" s="605"/>
      <c r="CA402" s="605"/>
      <c r="CB402" s="605"/>
      <c r="CC402" s="605"/>
    </row>
    <row r="403" spans="1:81" s="585" customFormat="1" ht="12.75" customHeight="1">
      <c r="A403" s="571"/>
      <c r="B403" s="14"/>
      <c r="C403" s="766"/>
      <c r="D403" s="14"/>
      <c r="E403" s="726"/>
      <c r="F403" s="1914"/>
      <c r="G403" s="1914"/>
      <c r="H403" s="1914"/>
      <c r="I403" s="1914"/>
      <c r="J403" s="1914"/>
      <c r="K403" s="1914"/>
      <c r="L403" s="1914"/>
      <c r="M403" s="1914"/>
      <c r="N403" s="1914"/>
      <c r="O403" s="1914"/>
      <c r="P403" s="1914"/>
      <c r="Q403" s="1914"/>
      <c r="R403" s="1914"/>
      <c r="S403" s="1914"/>
      <c r="T403" s="1914"/>
      <c r="U403" s="1914"/>
      <c r="V403" s="1914"/>
      <c r="W403" s="1914"/>
      <c r="X403" s="1914"/>
      <c r="Y403" s="1914"/>
      <c r="Z403" s="1914"/>
      <c r="AA403" s="1914"/>
      <c r="AB403" s="1914"/>
      <c r="AC403" s="1914"/>
      <c r="AD403" s="1914"/>
      <c r="AE403" s="1914"/>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1996"/>
      <c r="G404" s="1996"/>
      <c r="H404" s="1996"/>
      <c r="I404" s="1996"/>
      <c r="J404" s="1996"/>
      <c r="K404" s="1996"/>
      <c r="L404" s="1996"/>
      <c r="M404" s="1996"/>
      <c r="N404" s="1996"/>
      <c r="O404" s="1996"/>
      <c r="P404" s="1996"/>
      <c r="Q404" s="1996"/>
      <c r="R404" s="1996"/>
      <c r="S404" s="1996"/>
      <c r="T404" s="1996"/>
      <c r="U404" s="1996"/>
      <c r="V404" s="1996"/>
      <c r="W404" s="1996"/>
      <c r="X404" s="1996"/>
      <c r="Y404" s="1996"/>
      <c r="Z404" s="1996"/>
      <c r="AA404" s="1996"/>
      <c r="AB404" s="1996"/>
      <c r="AC404" s="1996"/>
      <c r="AD404" s="1996"/>
      <c r="AE404" s="1996"/>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1652</v>
      </c>
      <c r="F406" s="1913" t="s">
        <v>1653</v>
      </c>
      <c r="G406" s="1913"/>
      <c r="H406" s="1913"/>
      <c r="I406" s="1913"/>
      <c r="J406" s="1913"/>
      <c r="K406" s="1913"/>
      <c r="L406" s="1913"/>
      <c r="M406" s="1913"/>
      <c r="N406" s="1913"/>
      <c r="O406" s="1913"/>
      <c r="P406" s="1913"/>
      <c r="Q406" s="1913"/>
      <c r="R406" s="1913"/>
      <c r="S406" s="1913"/>
      <c r="T406" s="1913"/>
      <c r="U406" s="1913"/>
      <c r="V406" s="1913"/>
      <c r="W406" s="1913"/>
      <c r="X406" s="1913"/>
      <c r="Y406" s="1913"/>
      <c r="Z406" s="1913"/>
      <c r="AA406" s="1913"/>
      <c r="AB406" s="1913"/>
      <c r="AC406" s="1913"/>
      <c r="AD406" s="1913"/>
      <c r="AE406" s="1913"/>
      <c r="AF406" s="782"/>
      <c r="AG406" s="782"/>
      <c r="AH406" s="782"/>
      <c r="AI406" s="782"/>
      <c r="AJ406" s="782"/>
      <c r="AK406" s="782"/>
      <c r="AL406" s="783"/>
      <c r="AM406" s="605"/>
    </row>
    <row r="407" spans="1:81">
      <c r="A407" s="571"/>
      <c r="C407" s="766"/>
      <c r="E407" s="726"/>
      <c r="F407" s="1914"/>
      <c r="G407" s="1914"/>
      <c r="H407" s="1914"/>
      <c r="I407" s="1914"/>
      <c r="J407" s="1914"/>
      <c r="K407" s="1914"/>
      <c r="L407" s="1914"/>
      <c r="M407" s="1914"/>
      <c r="N407" s="1914"/>
      <c r="O407" s="1914"/>
      <c r="P407" s="1914"/>
      <c r="Q407" s="1914"/>
      <c r="R407" s="1914"/>
      <c r="S407" s="1914"/>
      <c r="T407" s="1914"/>
      <c r="U407" s="1914"/>
      <c r="V407" s="1914"/>
      <c r="W407" s="1914"/>
      <c r="X407" s="1914"/>
      <c r="Y407" s="1914"/>
      <c r="Z407" s="1914"/>
      <c r="AA407" s="1914"/>
      <c r="AB407" s="1914"/>
      <c r="AC407" s="1914"/>
      <c r="AD407" s="1914"/>
      <c r="AE407" s="1914"/>
      <c r="AF407" s="574"/>
      <c r="AG407" s="571"/>
      <c r="AH407" s="585"/>
      <c r="AI407" s="585"/>
      <c r="AJ407" s="585"/>
      <c r="AK407" s="585"/>
      <c r="AL407" s="767"/>
      <c r="AM407" s="605"/>
    </row>
    <row r="408" spans="1:81" s="585" customFormat="1" ht="12.75" customHeight="1">
      <c r="A408" s="571"/>
      <c r="B408" s="14"/>
      <c r="C408" s="766"/>
      <c r="D408" s="14"/>
      <c r="E408" s="726"/>
      <c r="F408" s="1914"/>
      <c r="G408" s="1914"/>
      <c r="H408" s="1914"/>
      <c r="I408" s="1914"/>
      <c r="J408" s="1914"/>
      <c r="K408" s="1914"/>
      <c r="L408" s="1914"/>
      <c r="M408" s="1914"/>
      <c r="N408" s="1914"/>
      <c r="O408" s="1914"/>
      <c r="P408" s="1914"/>
      <c r="Q408" s="1914"/>
      <c r="R408" s="1914"/>
      <c r="S408" s="1914"/>
      <c r="T408" s="1914"/>
      <c r="U408" s="1914"/>
      <c r="V408" s="1914"/>
      <c r="W408" s="1914"/>
      <c r="X408" s="1914"/>
      <c r="Y408" s="1914"/>
      <c r="Z408" s="1914"/>
      <c r="AA408" s="1914"/>
      <c r="AB408" s="1914"/>
      <c r="AC408" s="1914"/>
      <c r="AD408" s="1914"/>
      <c r="AE408" s="1914"/>
      <c r="AL408" s="767"/>
      <c r="AM408" s="605"/>
      <c r="AN408" s="632"/>
    </row>
    <row r="409" spans="1:81" s="585" customFormat="1" ht="12.75" customHeight="1">
      <c r="A409" s="571"/>
      <c r="B409" s="14"/>
      <c r="C409" s="774"/>
      <c r="F409" s="1914"/>
      <c r="G409" s="1914"/>
      <c r="H409" s="1914"/>
      <c r="I409" s="1914"/>
      <c r="J409" s="1914"/>
      <c r="K409" s="1914"/>
      <c r="L409" s="1914"/>
      <c r="M409" s="1914"/>
      <c r="N409" s="1914"/>
      <c r="O409" s="1914"/>
      <c r="P409" s="1914"/>
      <c r="Q409" s="1914"/>
      <c r="R409" s="1914"/>
      <c r="S409" s="1914"/>
      <c r="T409" s="1914"/>
      <c r="U409" s="1914"/>
      <c r="V409" s="1914"/>
      <c r="W409" s="1914"/>
      <c r="X409" s="1914"/>
      <c r="Y409" s="1914"/>
      <c r="Z409" s="1914"/>
      <c r="AA409" s="1914"/>
      <c r="AB409" s="1914"/>
      <c r="AC409" s="1914"/>
      <c r="AD409" s="1914"/>
      <c r="AE409" s="1914"/>
      <c r="AL409" s="767"/>
      <c r="AM409" s="605"/>
      <c r="AN409" s="632"/>
    </row>
    <row r="410" spans="1:81" s="585" customFormat="1" ht="12.75" customHeight="1">
      <c r="A410" s="571"/>
      <c r="B410" s="14"/>
      <c r="C410" s="1923" t="s">
        <v>600</v>
      </c>
      <c r="D410" s="1924"/>
      <c r="E410" s="726"/>
      <c r="F410" s="756" t="s">
        <v>1654</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82" t="s">
        <v>1637</v>
      </c>
      <c r="AG410" s="1982"/>
      <c r="AH410" s="1982"/>
      <c r="AI410" s="1982"/>
      <c r="AJ410" s="1982"/>
      <c r="AK410" s="1982"/>
      <c r="AL410" s="2012"/>
      <c r="AM410" s="605"/>
      <c r="AN410" s="632"/>
    </row>
    <row r="411" spans="1:81" s="585" customFormat="1" ht="12.75" customHeight="1">
      <c r="A411" s="571"/>
      <c r="B411" s="14"/>
      <c r="C411" s="774"/>
      <c r="AL411" s="767"/>
      <c r="AM411" s="605"/>
      <c r="AN411" s="632"/>
    </row>
    <row r="412" spans="1:81" s="585" customFormat="1" ht="12.75" customHeight="1">
      <c r="A412" s="571"/>
      <c r="B412" s="14"/>
      <c r="C412" s="1923" t="s">
        <v>600</v>
      </c>
      <c r="D412" s="1924"/>
      <c r="E412" s="754"/>
      <c r="F412" s="756" t="s">
        <v>1655</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82" t="s">
        <v>1649</v>
      </c>
      <c r="AG412" s="1982"/>
      <c r="AH412" s="1982"/>
      <c r="AI412" s="1982"/>
      <c r="AJ412" s="1982"/>
      <c r="AK412" s="1982"/>
      <c r="AL412" s="2012"/>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1656</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1657</v>
      </c>
      <c r="F416" s="1913" t="s">
        <v>1658</v>
      </c>
      <c r="G416" s="1913"/>
      <c r="H416" s="1913"/>
      <c r="I416" s="1913"/>
      <c r="J416" s="1913"/>
      <c r="K416" s="1913"/>
      <c r="L416" s="1913"/>
      <c r="M416" s="1913"/>
      <c r="N416" s="1913"/>
      <c r="O416" s="1913"/>
      <c r="P416" s="1913"/>
      <c r="Q416" s="1913"/>
      <c r="R416" s="1913"/>
      <c r="S416" s="1913"/>
      <c r="T416" s="1913"/>
      <c r="U416" s="1913"/>
      <c r="V416" s="1913"/>
      <c r="W416" s="1913"/>
      <c r="X416" s="1913"/>
      <c r="Y416" s="1913"/>
      <c r="Z416" s="1913"/>
      <c r="AA416" s="1913"/>
      <c r="AB416" s="1913"/>
      <c r="AC416" s="1913"/>
      <c r="AD416" s="1913"/>
      <c r="AE416" s="1913"/>
      <c r="AF416" s="749"/>
      <c r="AG416" s="749"/>
      <c r="AH416" s="749"/>
      <c r="AI416" s="749"/>
      <c r="AJ416" s="749"/>
      <c r="AK416" s="749"/>
      <c r="AL416" s="780"/>
      <c r="AM416" s="605"/>
      <c r="AN416" s="632"/>
    </row>
    <row r="417" spans="1:60" s="585" customFormat="1" ht="12.75" customHeight="1">
      <c r="A417" s="571"/>
      <c r="B417" s="14"/>
      <c r="C417" s="766"/>
      <c r="D417" s="14"/>
      <c r="E417" s="726"/>
      <c r="F417" s="1914"/>
      <c r="G417" s="1914"/>
      <c r="H417" s="1914"/>
      <c r="I417" s="1914"/>
      <c r="J417" s="1914"/>
      <c r="K417" s="1914"/>
      <c r="L417" s="1914"/>
      <c r="M417" s="1914"/>
      <c r="N417" s="1914"/>
      <c r="O417" s="1914"/>
      <c r="P417" s="1914"/>
      <c r="Q417" s="1914"/>
      <c r="R417" s="1914"/>
      <c r="S417" s="1914"/>
      <c r="T417" s="1914"/>
      <c r="U417" s="1914"/>
      <c r="V417" s="1914"/>
      <c r="W417" s="1914"/>
      <c r="X417" s="1914"/>
      <c r="Y417" s="1914"/>
      <c r="Z417" s="1914"/>
      <c r="AA417" s="1914"/>
      <c r="AB417" s="1914"/>
      <c r="AC417" s="1914"/>
      <c r="AD417" s="1914"/>
      <c r="AE417" s="1914"/>
      <c r="AF417" s="574"/>
      <c r="AG417" s="571"/>
      <c r="AL417" s="767"/>
      <c r="AM417" s="605"/>
      <c r="AN417" s="632"/>
    </row>
    <row r="418" spans="1:60" s="585" customFormat="1" ht="12.6" customHeight="1">
      <c r="A418" s="571"/>
      <c r="B418" s="14"/>
      <c r="C418" s="766"/>
      <c r="D418" s="14"/>
      <c r="E418" s="726"/>
      <c r="F418" s="1914"/>
      <c r="G418" s="1914"/>
      <c r="H418" s="1914"/>
      <c r="I418" s="1914"/>
      <c r="J418" s="1914"/>
      <c r="K418" s="1914"/>
      <c r="L418" s="1914"/>
      <c r="M418" s="1914"/>
      <c r="N418" s="1914"/>
      <c r="O418" s="1914"/>
      <c r="P418" s="1914"/>
      <c r="Q418" s="1914"/>
      <c r="R418" s="1914"/>
      <c r="S418" s="1914"/>
      <c r="T418" s="1914"/>
      <c r="U418" s="1914"/>
      <c r="V418" s="1914"/>
      <c r="W418" s="1914"/>
      <c r="X418" s="1914"/>
      <c r="Y418" s="1914"/>
      <c r="Z418" s="1914"/>
      <c r="AA418" s="1914"/>
      <c r="AB418" s="1914"/>
      <c r="AC418" s="1914"/>
      <c r="AD418" s="1914"/>
      <c r="AE418" s="1914"/>
      <c r="AL418" s="767"/>
      <c r="AM418" s="605"/>
      <c r="AN418" s="632"/>
    </row>
    <row r="419" spans="1:60" s="585" customFormat="1" ht="12.75" customHeight="1">
      <c r="A419" s="571"/>
      <c r="B419" s="14"/>
      <c r="C419" s="1923" t="s">
        <v>600</v>
      </c>
      <c r="D419" s="1924"/>
      <c r="E419" s="726"/>
      <c r="F419" s="756" t="s">
        <v>1659</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82" t="s">
        <v>1637</v>
      </c>
      <c r="AG419" s="1982"/>
      <c r="AH419" s="1982"/>
      <c r="AI419" s="1982"/>
      <c r="AJ419" s="1982"/>
      <c r="AK419" s="1982"/>
      <c r="AL419" s="2012"/>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35" customHeight="1">
      <c r="A422" s="571"/>
      <c r="C422" s="781"/>
      <c r="D422" s="782"/>
      <c r="E422" s="750" t="s">
        <v>1660</v>
      </c>
      <c r="F422" s="1913" t="s">
        <v>1661</v>
      </c>
      <c r="G422" s="1913"/>
      <c r="H422" s="1913"/>
      <c r="I422" s="1913"/>
      <c r="J422" s="1913"/>
      <c r="K422" s="1913"/>
      <c r="L422" s="1913"/>
      <c r="M422" s="1913"/>
      <c r="N422" s="1913"/>
      <c r="O422" s="1913"/>
      <c r="P422" s="1913"/>
      <c r="Q422" s="1913"/>
      <c r="R422" s="1913"/>
      <c r="S422" s="1913"/>
      <c r="T422" s="1913"/>
      <c r="U422" s="1913"/>
      <c r="V422" s="1913"/>
      <c r="W422" s="1913"/>
      <c r="X422" s="1913"/>
      <c r="Y422" s="1913"/>
      <c r="Z422" s="1913"/>
      <c r="AA422" s="1913"/>
      <c r="AB422" s="1913"/>
      <c r="AC422" s="1913"/>
      <c r="AD422" s="1913"/>
      <c r="AE422" s="1913"/>
      <c r="AF422" s="782"/>
      <c r="AG422" s="782"/>
      <c r="AH422" s="782"/>
      <c r="AI422" s="782"/>
      <c r="AJ422" s="782"/>
      <c r="AK422" s="782"/>
      <c r="AL422" s="783"/>
      <c r="AM422" s="605"/>
      <c r="AO422" s="585"/>
      <c r="AP422" s="585"/>
      <c r="BD422" s="14"/>
      <c r="BE422" s="14"/>
      <c r="BF422" s="14"/>
      <c r="BG422" s="14"/>
      <c r="BH422" s="14"/>
    </row>
    <row r="423" spans="1:60">
      <c r="A423" s="571"/>
      <c r="C423" s="766"/>
      <c r="E423" s="726"/>
      <c r="F423" s="1914"/>
      <c r="G423" s="1914"/>
      <c r="H423" s="1914"/>
      <c r="I423" s="1914"/>
      <c r="J423" s="1914"/>
      <c r="K423" s="1914"/>
      <c r="L423" s="1914"/>
      <c r="M423" s="1914"/>
      <c r="N423" s="1914"/>
      <c r="O423" s="1914"/>
      <c r="P423" s="1914"/>
      <c r="Q423" s="1914"/>
      <c r="R423" s="1914"/>
      <c r="S423" s="1914"/>
      <c r="T423" s="1914"/>
      <c r="U423" s="1914"/>
      <c r="V423" s="1914"/>
      <c r="W423" s="1914"/>
      <c r="X423" s="1914"/>
      <c r="Y423" s="1914"/>
      <c r="Z423" s="1914"/>
      <c r="AA423" s="1914"/>
      <c r="AB423" s="1914"/>
      <c r="AC423" s="1914"/>
      <c r="AD423" s="1914"/>
      <c r="AE423" s="1914"/>
      <c r="AF423" s="629"/>
      <c r="AG423" s="629"/>
      <c r="AH423" s="629"/>
      <c r="AI423" s="629"/>
      <c r="AJ423" s="629"/>
      <c r="AK423" s="629"/>
      <c r="AL423" s="786"/>
      <c r="AM423" s="605"/>
      <c r="AO423" s="585"/>
      <c r="AP423" s="585"/>
    </row>
    <row r="424" spans="1:60" s="585" customFormat="1" ht="12.75" customHeight="1">
      <c r="A424" s="571"/>
      <c r="B424" s="14"/>
      <c r="C424" s="766"/>
      <c r="D424" s="14"/>
      <c r="E424" s="726"/>
      <c r="F424" s="1914"/>
      <c r="G424" s="1914"/>
      <c r="H424" s="1914"/>
      <c r="I424" s="1914"/>
      <c r="J424" s="1914"/>
      <c r="K424" s="1914"/>
      <c r="L424" s="1914"/>
      <c r="M424" s="1914"/>
      <c r="N424" s="1914"/>
      <c r="O424" s="1914"/>
      <c r="P424" s="1914"/>
      <c r="Q424" s="1914"/>
      <c r="R424" s="1914"/>
      <c r="S424" s="1914"/>
      <c r="T424" s="1914"/>
      <c r="U424" s="1914"/>
      <c r="V424" s="1914"/>
      <c r="W424" s="1914"/>
      <c r="X424" s="1914"/>
      <c r="Y424" s="1914"/>
      <c r="Z424" s="1914"/>
      <c r="AA424" s="1914"/>
      <c r="AB424" s="1914"/>
      <c r="AC424" s="1914"/>
      <c r="AD424" s="1914"/>
      <c r="AE424" s="1914"/>
      <c r="AF424" s="629"/>
      <c r="AG424" s="629"/>
      <c r="AH424" s="629"/>
      <c r="AI424" s="629"/>
      <c r="AJ424" s="629"/>
      <c r="AK424" s="629"/>
      <c r="AL424" s="786"/>
      <c r="AM424" s="605"/>
      <c r="AN424" s="632"/>
    </row>
    <row r="425" spans="1:60" s="585" customFormat="1" ht="12.75" customHeight="1">
      <c r="A425" s="571"/>
      <c r="B425" s="14"/>
      <c r="C425" s="787"/>
      <c r="D425" s="765"/>
      <c r="E425" s="754"/>
      <c r="F425" s="1914"/>
      <c r="G425" s="1914"/>
      <c r="H425" s="1914"/>
      <c r="I425" s="1914"/>
      <c r="J425" s="1914"/>
      <c r="K425" s="1914"/>
      <c r="L425" s="1914"/>
      <c r="M425" s="1914"/>
      <c r="N425" s="1914"/>
      <c r="O425" s="1914"/>
      <c r="P425" s="1914"/>
      <c r="Q425" s="1914"/>
      <c r="R425" s="1914"/>
      <c r="S425" s="1914"/>
      <c r="T425" s="1914"/>
      <c r="U425" s="1914"/>
      <c r="V425" s="1914"/>
      <c r="W425" s="1914"/>
      <c r="X425" s="1914"/>
      <c r="Y425" s="1914"/>
      <c r="Z425" s="1914"/>
      <c r="AA425" s="1914"/>
      <c r="AB425" s="1914"/>
      <c r="AC425" s="1914"/>
      <c r="AD425" s="1914"/>
      <c r="AE425" s="1914"/>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14"/>
      <c r="G426" s="1914"/>
      <c r="H426" s="1914"/>
      <c r="I426" s="1914"/>
      <c r="J426" s="1914"/>
      <c r="K426" s="1914"/>
      <c r="L426" s="1914"/>
      <c r="M426" s="1914"/>
      <c r="N426" s="1914"/>
      <c r="O426" s="1914"/>
      <c r="P426" s="1914"/>
      <c r="Q426" s="1914"/>
      <c r="R426" s="1914"/>
      <c r="S426" s="1914"/>
      <c r="T426" s="1914"/>
      <c r="U426" s="1914"/>
      <c r="V426" s="1914"/>
      <c r="W426" s="1914"/>
      <c r="X426" s="1914"/>
      <c r="Y426" s="1914"/>
      <c r="Z426" s="1914"/>
      <c r="AA426" s="1914"/>
      <c r="AB426" s="1914"/>
      <c r="AC426" s="1914"/>
      <c r="AD426" s="1914"/>
      <c r="AE426" s="1914"/>
      <c r="AF426" s="629"/>
      <c r="AG426" s="629"/>
      <c r="AH426" s="629"/>
      <c r="AI426" s="629"/>
      <c r="AJ426" s="629"/>
      <c r="AK426" s="629"/>
      <c r="AL426" s="786"/>
      <c r="AM426" s="605"/>
      <c r="AN426" s="632"/>
    </row>
    <row r="427" spans="1:60" s="585" customFormat="1" ht="12.75" customHeight="1">
      <c r="A427" s="571"/>
      <c r="B427" s="14"/>
      <c r="C427" s="787"/>
      <c r="D427" s="765"/>
      <c r="E427" s="754"/>
      <c r="F427" s="1914"/>
      <c r="G427" s="1914"/>
      <c r="H427" s="1914"/>
      <c r="I427" s="1914"/>
      <c r="J427" s="1914"/>
      <c r="K427" s="1914"/>
      <c r="L427" s="1914"/>
      <c r="M427" s="1914"/>
      <c r="N427" s="1914"/>
      <c r="O427" s="1914"/>
      <c r="P427" s="1914"/>
      <c r="Q427" s="1914"/>
      <c r="R427" s="1914"/>
      <c r="S427" s="1914"/>
      <c r="T427" s="1914"/>
      <c r="U427" s="1914"/>
      <c r="V427" s="1914"/>
      <c r="W427" s="1914"/>
      <c r="X427" s="1914"/>
      <c r="Y427" s="1914"/>
      <c r="Z427" s="1914"/>
      <c r="AA427" s="1914"/>
      <c r="AB427" s="1914"/>
      <c r="AC427" s="1914"/>
      <c r="AD427" s="1914"/>
      <c r="AE427" s="1914"/>
      <c r="AF427" s="629"/>
      <c r="AG427" s="629"/>
      <c r="AH427" s="629"/>
      <c r="AI427" s="629"/>
      <c r="AJ427" s="629"/>
      <c r="AK427" s="629"/>
      <c r="AL427" s="786"/>
      <c r="AM427" s="605"/>
      <c r="AN427" s="632"/>
    </row>
    <row r="428" spans="1:60" s="585" customFormat="1" ht="12.75" customHeight="1">
      <c r="A428" s="571"/>
      <c r="B428" s="14"/>
      <c r="C428" s="787"/>
      <c r="D428" s="765"/>
      <c r="E428" s="754"/>
      <c r="F428" s="1914"/>
      <c r="G428" s="1914"/>
      <c r="H428" s="1914"/>
      <c r="I428" s="1914"/>
      <c r="J428" s="1914"/>
      <c r="K428" s="1914"/>
      <c r="L428" s="1914"/>
      <c r="M428" s="1914"/>
      <c r="N428" s="1914"/>
      <c r="O428" s="1914"/>
      <c r="P428" s="1914"/>
      <c r="Q428" s="1914"/>
      <c r="R428" s="1914"/>
      <c r="S428" s="1914"/>
      <c r="T428" s="1914"/>
      <c r="U428" s="1914"/>
      <c r="V428" s="1914"/>
      <c r="W428" s="1914"/>
      <c r="X428" s="1914"/>
      <c r="Y428" s="1914"/>
      <c r="Z428" s="1914"/>
      <c r="AA428" s="1914"/>
      <c r="AB428" s="1914"/>
      <c r="AC428" s="1914"/>
      <c r="AD428" s="1914"/>
      <c r="AE428" s="1914"/>
      <c r="AF428" s="629"/>
      <c r="AG428" s="629"/>
      <c r="AH428" s="629"/>
      <c r="AI428" s="629"/>
      <c r="AJ428" s="629"/>
      <c r="AK428" s="629"/>
      <c r="AL428" s="786"/>
      <c r="AM428" s="605"/>
      <c r="AN428" s="632"/>
    </row>
    <row r="429" spans="1:60" s="585" customFormat="1" ht="12.75" customHeight="1">
      <c r="A429" s="571"/>
      <c r="B429" s="14"/>
      <c r="C429" s="787"/>
      <c r="D429" s="765"/>
      <c r="E429" s="754"/>
      <c r="F429" s="1914"/>
      <c r="G429" s="1914"/>
      <c r="H429" s="1914"/>
      <c r="I429" s="1914"/>
      <c r="J429" s="1914"/>
      <c r="K429" s="1914"/>
      <c r="L429" s="1914"/>
      <c r="M429" s="1914"/>
      <c r="N429" s="1914"/>
      <c r="O429" s="1914"/>
      <c r="P429" s="1914"/>
      <c r="Q429" s="1914"/>
      <c r="R429" s="1914"/>
      <c r="S429" s="1914"/>
      <c r="T429" s="1914"/>
      <c r="U429" s="1914"/>
      <c r="V429" s="1914"/>
      <c r="W429" s="1914"/>
      <c r="X429" s="1914"/>
      <c r="Y429" s="1914"/>
      <c r="Z429" s="1914"/>
      <c r="AA429" s="1914"/>
      <c r="AB429" s="1914"/>
      <c r="AC429" s="1914"/>
      <c r="AD429" s="1914"/>
      <c r="AE429" s="1914"/>
      <c r="AF429" s="629"/>
      <c r="AG429" s="629"/>
      <c r="AH429" s="629"/>
      <c r="AI429" s="629"/>
      <c r="AJ429" s="629"/>
      <c r="AK429" s="629"/>
      <c r="AL429" s="786"/>
      <c r="AM429" s="605"/>
      <c r="AN429" s="632"/>
    </row>
    <row r="430" spans="1:60" s="585" customFormat="1" ht="17.25" customHeight="1">
      <c r="A430" s="571"/>
      <c r="B430" s="14"/>
      <c r="C430" s="787"/>
      <c r="D430" s="765"/>
      <c r="E430" s="754"/>
      <c r="F430" s="1914"/>
      <c r="G430" s="1914"/>
      <c r="H430" s="1914"/>
      <c r="I430" s="1914"/>
      <c r="J430" s="1914"/>
      <c r="K430" s="1914"/>
      <c r="L430" s="1914"/>
      <c r="M430" s="1914"/>
      <c r="N430" s="1914"/>
      <c r="O430" s="1914"/>
      <c r="P430" s="1914"/>
      <c r="Q430" s="1914"/>
      <c r="R430" s="1914"/>
      <c r="S430" s="1914"/>
      <c r="T430" s="1914"/>
      <c r="U430" s="1914"/>
      <c r="V430" s="1914"/>
      <c r="W430" s="1914"/>
      <c r="X430" s="1914"/>
      <c r="Y430" s="1914"/>
      <c r="Z430" s="1914"/>
      <c r="AA430" s="1914"/>
      <c r="AB430" s="1914"/>
      <c r="AC430" s="1914"/>
      <c r="AD430" s="1914"/>
      <c r="AE430" s="1914"/>
      <c r="AL430" s="767"/>
      <c r="AM430" s="605"/>
      <c r="AN430" s="632"/>
    </row>
    <row r="431" spans="1:60" s="585" customFormat="1" ht="12.75" customHeight="1">
      <c r="A431" s="571"/>
      <c r="B431" s="14"/>
      <c r="C431" s="1923" t="s">
        <v>600</v>
      </c>
      <c r="D431" s="1924"/>
      <c r="E431" s="754"/>
      <c r="F431" s="631" t="s">
        <v>1662</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82" t="s">
        <v>1637</v>
      </c>
      <c r="AG431" s="1982"/>
      <c r="AH431" s="1982"/>
      <c r="AI431" s="1982"/>
      <c r="AJ431" s="1982"/>
      <c r="AK431" s="1982"/>
      <c r="AL431" s="2012"/>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1663</v>
      </c>
      <c r="F434" s="1913" t="s">
        <v>1664</v>
      </c>
      <c r="G434" s="1913"/>
      <c r="H434" s="1913"/>
      <c r="I434" s="1913"/>
      <c r="J434" s="1913"/>
      <c r="K434" s="1913"/>
      <c r="L434" s="1913"/>
      <c r="M434" s="1913"/>
      <c r="N434" s="1913"/>
      <c r="O434" s="1913"/>
      <c r="P434" s="1913"/>
      <c r="Q434" s="1913"/>
      <c r="R434" s="1913"/>
      <c r="S434" s="1913"/>
      <c r="T434" s="1913"/>
      <c r="U434" s="1913"/>
      <c r="V434" s="1913"/>
      <c r="W434" s="1913"/>
      <c r="X434" s="1913"/>
      <c r="Y434" s="1913"/>
      <c r="Z434" s="1913"/>
      <c r="AA434" s="1913"/>
      <c r="AB434" s="1913"/>
      <c r="AC434" s="1913"/>
      <c r="AD434" s="1913"/>
      <c r="AE434" s="1913"/>
      <c r="AF434" s="749"/>
      <c r="AG434" s="749"/>
      <c r="AH434" s="749"/>
      <c r="AI434" s="749"/>
      <c r="AJ434" s="749"/>
      <c r="AK434" s="749"/>
      <c r="AL434" s="780"/>
      <c r="AM434" s="605"/>
      <c r="AN434" s="632"/>
      <c r="AO434" s="585" t="s">
        <v>600</v>
      </c>
      <c r="AP434" s="585">
        <v>0</v>
      </c>
      <c r="AQ434" s="788"/>
    </row>
    <row r="435" spans="1:54" s="585" customFormat="1" ht="12.75" customHeight="1">
      <c r="A435" s="571"/>
      <c r="B435" s="14"/>
      <c r="C435" s="787"/>
      <c r="D435" s="765"/>
      <c r="E435" s="754"/>
      <c r="F435" s="1914"/>
      <c r="G435" s="1914"/>
      <c r="H435" s="1914"/>
      <c r="I435" s="1914"/>
      <c r="J435" s="1914"/>
      <c r="K435" s="1914"/>
      <c r="L435" s="1914"/>
      <c r="M435" s="1914"/>
      <c r="N435" s="1914"/>
      <c r="O435" s="1914"/>
      <c r="P435" s="1914"/>
      <c r="Q435" s="1914"/>
      <c r="R435" s="1914"/>
      <c r="S435" s="1914"/>
      <c r="T435" s="1914"/>
      <c r="U435" s="1914"/>
      <c r="V435" s="1914"/>
      <c r="W435" s="1914"/>
      <c r="X435" s="1914"/>
      <c r="Y435" s="1914"/>
      <c r="Z435" s="1914"/>
      <c r="AA435" s="1914"/>
      <c r="AB435" s="1914"/>
      <c r="AC435" s="1914"/>
      <c r="AD435" s="1914"/>
      <c r="AE435" s="1914"/>
      <c r="AF435" s="626"/>
      <c r="AG435" s="626"/>
      <c r="AH435" s="626"/>
      <c r="AI435" s="626"/>
      <c r="AJ435" s="626"/>
      <c r="AK435" s="626"/>
      <c r="AL435" s="755"/>
      <c r="AM435" s="605"/>
      <c r="AN435" s="632"/>
      <c r="AO435" s="585" t="s">
        <v>1665</v>
      </c>
      <c r="AP435" s="585">
        <v>5</v>
      </c>
      <c r="AQ435" s="788"/>
    </row>
    <row r="436" spans="1:54" s="585" customFormat="1" ht="12.75" customHeight="1">
      <c r="A436" s="571"/>
      <c r="B436" s="14"/>
      <c r="C436" s="787"/>
      <c r="D436" s="765"/>
      <c r="E436" s="754"/>
      <c r="F436" s="1914"/>
      <c r="G436" s="1914"/>
      <c r="H436" s="1914"/>
      <c r="I436" s="1914"/>
      <c r="J436" s="1914"/>
      <c r="K436" s="1914"/>
      <c r="L436" s="1914"/>
      <c r="M436" s="1914"/>
      <c r="N436" s="1914"/>
      <c r="O436" s="1914"/>
      <c r="P436" s="1914"/>
      <c r="Q436" s="1914"/>
      <c r="R436" s="1914"/>
      <c r="S436" s="1914"/>
      <c r="T436" s="1914"/>
      <c r="U436" s="1914"/>
      <c r="V436" s="1914"/>
      <c r="W436" s="1914"/>
      <c r="X436" s="1914"/>
      <c r="Y436" s="1914"/>
      <c r="Z436" s="1914"/>
      <c r="AA436" s="1914"/>
      <c r="AB436" s="1914"/>
      <c r="AC436" s="1914"/>
      <c r="AD436" s="1914"/>
      <c r="AE436" s="1914"/>
      <c r="AF436" s="626"/>
      <c r="AG436" s="626"/>
      <c r="AH436" s="626"/>
      <c r="AI436" s="626"/>
      <c r="AJ436" s="626"/>
      <c r="AK436" s="626"/>
      <c r="AL436" s="755"/>
      <c r="AM436" s="605"/>
      <c r="AN436" s="632"/>
      <c r="AO436" s="585" t="s">
        <v>1666</v>
      </c>
      <c r="AP436" s="585">
        <v>5</v>
      </c>
      <c r="AQ436" s="788"/>
    </row>
    <row r="437" spans="1:54" s="585" customFormat="1" ht="12.75" customHeight="1">
      <c r="A437" s="571"/>
      <c r="B437" s="14"/>
      <c r="C437" s="787"/>
      <c r="D437" s="765"/>
      <c r="E437" s="754"/>
      <c r="F437" s="1914"/>
      <c r="G437" s="1914"/>
      <c r="H437" s="1914"/>
      <c r="I437" s="1914"/>
      <c r="J437" s="1914"/>
      <c r="K437" s="1914"/>
      <c r="L437" s="1914"/>
      <c r="M437" s="1914"/>
      <c r="N437" s="1914"/>
      <c r="O437" s="1914"/>
      <c r="P437" s="1914"/>
      <c r="Q437" s="1914"/>
      <c r="R437" s="1914"/>
      <c r="S437" s="1914"/>
      <c r="T437" s="1914"/>
      <c r="U437" s="1914"/>
      <c r="V437" s="1914"/>
      <c r="W437" s="1914"/>
      <c r="X437" s="1914"/>
      <c r="Y437" s="1914"/>
      <c r="Z437" s="1914"/>
      <c r="AA437" s="1914"/>
      <c r="AB437" s="1914"/>
      <c r="AC437" s="1914"/>
      <c r="AD437" s="1914"/>
      <c r="AE437" s="1914"/>
      <c r="AL437" s="767"/>
      <c r="AM437" s="605"/>
      <c r="AN437" s="632"/>
      <c r="AO437" s="585" t="s">
        <v>1667</v>
      </c>
      <c r="AP437" s="585">
        <v>5</v>
      </c>
      <c r="AQ437" s="571"/>
    </row>
    <row r="438" spans="1:54" s="585" customFormat="1" ht="12.75" customHeight="1">
      <c r="A438" s="571"/>
      <c r="B438" s="14"/>
      <c r="C438" s="1923" t="s">
        <v>600</v>
      </c>
      <c r="D438" s="1924"/>
      <c r="E438" s="754"/>
      <c r="F438" s="756" t="s">
        <v>1668</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82" t="s">
        <v>1637</v>
      </c>
      <c r="AG438" s="1982"/>
      <c r="AH438" s="1982"/>
      <c r="AI438" s="1982"/>
      <c r="AJ438" s="1982"/>
      <c r="AK438" s="1982"/>
      <c r="AL438" s="2012"/>
      <c r="AM438" s="605"/>
      <c r="AN438" s="789"/>
      <c r="AO438" s="585" t="s">
        <v>1669</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1670</v>
      </c>
      <c r="AP439" s="585">
        <v>5</v>
      </c>
    </row>
    <row r="440" spans="1:54" s="585" customFormat="1" ht="12.75" customHeight="1">
      <c r="A440" s="571"/>
      <c r="B440" s="14"/>
      <c r="C440" s="775"/>
      <c r="D440" s="768"/>
      <c r="E440" s="769"/>
      <c r="F440" s="762" t="s">
        <v>1644</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1671</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1672</v>
      </c>
      <c r="AP441" s="585">
        <v>5</v>
      </c>
    </row>
    <row r="442" spans="1:54" s="585" customFormat="1" ht="12.75" customHeight="1">
      <c r="A442" s="571"/>
      <c r="B442" s="14"/>
      <c r="C442" s="2037" t="s">
        <v>600</v>
      </c>
      <c r="D442" s="2038"/>
      <c r="E442" s="750" t="s">
        <v>1673</v>
      </c>
      <c r="F442" s="1913" t="s">
        <v>1674</v>
      </c>
      <c r="G442" s="1913"/>
      <c r="H442" s="1913"/>
      <c r="I442" s="1913"/>
      <c r="J442" s="1913"/>
      <c r="K442" s="1913"/>
      <c r="L442" s="1913"/>
      <c r="M442" s="1913"/>
      <c r="N442" s="1913"/>
      <c r="O442" s="1913"/>
      <c r="P442" s="1913"/>
      <c r="Q442" s="1913"/>
      <c r="R442" s="1913"/>
      <c r="S442" s="1913"/>
      <c r="T442" s="1913"/>
      <c r="U442" s="1913"/>
      <c r="V442" s="1913"/>
      <c r="W442" s="1913"/>
      <c r="X442" s="1913"/>
      <c r="Y442" s="1913"/>
      <c r="Z442" s="1913"/>
      <c r="AA442" s="1913"/>
      <c r="AB442" s="1913"/>
      <c r="AC442" s="1913"/>
      <c r="AD442" s="1913"/>
      <c r="AE442" s="1913"/>
      <c r="AF442" s="2008" t="s">
        <v>1637</v>
      </c>
      <c r="AG442" s="2008"/>
      <c r="AH442" s="2008"/>
      <c r="AI442" s="2008"/>
      <c r="AJ442" s="2008"/>
      <c r="AK442" s="2008"/>
      <c r="AL442" s="2009"/>
      <c r="AM442" s="605"/>
      <c r="AN442" s="789"/>
      <c r="AO442" s="585" t="s">
        <v>1675</v>
      </c>
      <c r="AP442" s="585">
        <v>1</v>
      </c>
    </row>
    <row r="443" spans="1:54" s="585" customFormat="1" ht="12.75" customHeight="1">
      <c r="A443" s="571"/>
      <c r="B443" s="14"/>
      <c r="C443" s="787"/>
      <c r="D443" s="765"/>
      <c r="E443" s="754"/>
      <c r="F443" s="1914"/>
      <c r="G443" s="1914"/>
      <c r="H443" s="1914"/>
      <c r="I443" s="1914"/>
      <c r="J443" s="1914"/>
      <c r="K443" s="1914"/>
      <c r="L443" s="1914"/>
      <c r="M443" s="1914"/>
      <c r="N443" s="1914"/>
      <c r="O443" s="1914"/>
      <c r="P443" s="1914"/>
      <c r="Q443" s="1914"/>
      <c r="R443" s="1914"/>
      <c r="S443" s="1914"/>
      <c r="T443" s="1914"/>
      <c r="U443" s="1914"/>
      <c r="V443" s="1914"/>
      <c r="W443" s="1914"/>
      <c r="X443" s="1914"/>
      <c r="Y443" s="1914"/>
      <c r="Z443" s="1914"/>
      <c r="AA443" s="1914"/>
      <c r="AB443" s="1914"/>
      <c r="AC443" s="1914"/>
      <c r="AD443" s="1914"/>
      <c r="AE443" s="1914"/>
      <c r="AF443" s="626"/>
      <c r="AG443" s="626"/>
      <c r="AH443" s="626"/>
      <c r="AI443" s="626"/>
      <c r="AJ443" s="626"/>
      <c r="AK443" s="626"/>
      <c r="AL443" s="755"/>
      <c r="AM443" s="605"/>
      <c r="AN443" s="790"/>
      <c r="AS443" s="791"/>
      <c r="AW443" s="791" t="s">
        <v>1676</v>
      </c>
      <c r="BA443" s="791" t="s">
        <v>1677</v>
      </c>
    </row>
    <row r="444" spans="1:54" s="585" customFormat="1" ht="17.850000000000001" customHeight="1">
      <c r="A444" s="571"/>
      <c r="B444" s="14"/>
      <c r="C444" s="792"/>
      <c r="D444" s="758"/>
      <c r="E444" s="759"/>
      <c r="F444" s="1996"/>
      <c r="G444" s="1996"/>
      <c r="H444" s="1996"/>
      <c r="I444" s="1996"/>
      <c r="J444" s="1996"/>
      <c r="K444" s="1996"/>
      <c r="L444" s="1996"/>
      <c r="M444" s="1996"/>
      <c r="N444" s="1996"/>
      <c r="O444" s="1996"/>
      <c r="P444" s="1996"/>
      <c r="Q444" s="1996"/>
      <c r="R444" s="1996"/>
      <c r="S444" s="1996"/>
      <c r="T444" s="1996"/>
      <c r="U444" s="1996"/>
      <c r="V444" s="1996"/>
      <c r="W444" s="1996"/>
      <c r="X444" s="1996"/>
      <c r="Y444" s="1996"/>
      <c r="Z444" s="1996"/>
      <c r="AA444" s="1996"/>
      <c r="AB444" s="1996"/>
      <c r="AC444" s="1996"/>
      <c r="AD444" s="1996"/>
      <c r="AE444" s="1996"/>
      <c r="AF444" s="763"/>
      <c r="AG444" s="763"/>
      <c r="AH444" s="763"/>
      <c r="AI444" s="763"/>
      <c r="AJ444" s="763"/>
      <c r="AK444" s="763"/>
      <c r="AL444" s="793"/>
      <c r="AM444" s="605"/>
      <c r="AN444" s="570"/>
      <c r="AO444" s="585" t="s">
        <v>600</v>
      </c>
      <c r="AP444" s="672">
        <v>0</v>
      </c>
      <c r="AR444" s="585" t="s">
        <v>600</v>
      </c>
      <c r="AS444" s="672">
        <v>0</v>
      </c>
      <c r="AT444" s="628"/>
      <c r="AW444" s="585" t="s">
        <v>600</v>
      </c>
      <c r="AX444" s="628">
        <v>0</v>
      </c>
      <c r="BA444" s="585" t="s">
        <v>600</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1678</v>
      </c>
      <c r="AS445" s="672">
        <v>3</v>
      </c>
      <c r="AT445" s="628"/>
      <c r="AW445" s="794">
        <v>0.4</v>
      </c>
      <c r="AX445" s="628">
        <v>3</v>
      </c>
      <c r="BA445" s="794">
        <v>0.4</v>
      </c>
      <c r="BB445" s="628">
        <v>4</v>
      </c>
    </row>
    <row r="446" spans="1:54" s="585" customFormat="1" ht="12.75" customHeight="1">
      <c r="A446" s="571"/>
      <c r="B446" s="14"/>
      <c r="C446" s="1923" t="s">
        <v>600</v>
      </c>
      <c r="D446" s="1924"/>
      <c r="E446" s="750" t="s">
        <v>1679</v>
      </c>
      <c r="F446" s="1913" t="s">
        <v>1680</v>
      </c>
      <c r="G446" s="1913"/>
      <c r="H446" s="1913"/>
      <c r="I446" s="1913"/>
      <c r="J446" s="1913"/>
      <c r="K446" s="1913"/>
      <c r="L446" s="1913"/>
      <c r="M446" s="1913"/>
      <c r="N446" s="1913"/>
      <c r="O446" s="1913"/>
      <c r="P446" s="1913"/>
      <c r="Q446" s="1913"/>
      <c r="R446" s="1913"/>
      <c r="S446" s="1913"/>
      <c r="T446" s="1913"/>
      <c r="U446" s="1913"/>
      <c r="V446" s="1913"/>
      <c r="W446" s="1913"/>
      <c r="X446" s="1913"/>
      <c r="Y446" s="1913"/>
      <c r="Z446" s="1913"/>
      <c r="AA446" s="1913"/>
      <c r="AB446" s="1913"/>
      <c r="AC446" s="1913"/>
      <c r="AD446" s="1913"/>
      <c r="AE446" s="1913"/>
      <c r="AF446" s="2008" t="s">
        <v>1637</v>
      </c>
      <c r="AG446" s="2008"/>
      <c r="AH446" s="2008"/>
      <c r="AI446" s="2008"/>
      <c r="AJ446" s="2008"/>
      <c r="AK446" s="2008"/>
      <c r="AL446" s="2009"/>
      <c r="AM446" s="605"/>
      <c r="AN446" s="570"/>
      <c r="AO446" s="794">
        <v>0.12</v>
      </c>
      <c r="AP446" s="672">
        <v>5</v>
      </c>
      <c r="AR446" s="585" t="s">
        <v>1681</v>
      </c>
      <c r="AS446" s="672">
        <v>5</v>
      </c>
      <c r="AT446" s="628"/>
      <c r="AW446" s="794">
        <v>0.6</v>
      </c>
      <c r="AX446" s="628">
        <v>4</v>
      </c>
      <c r="BA446" s="794">
        <v>0.6</v>
      </c>
      <c r="BB446" s="628">
        <v>5</v>
      </c>
    </row>
    <row r="447" spans="1:54" s="585" customFormat="1" ht="12.75" customHeight="1">
      <c r="A447" s="571"/>
      <c r="B447" s="14"/>
      <c r="C447" s="766"/>
      <c r="D447" s="14"/>
      <c r="E447" s="726"/>
      <c r="F447" s="1914"/>
      <c r="G447" s="1914"/>
      <c r="H447" s="1914"/>
      <c r="I447" s="1914"/>
      <c r="J447" s="1914"/>
      <c r="K447" s="1914"/>
      <c r="L447" s="1914"/>
      <c r="M447" s="1914"/>
      <c r="N447" s="1914"/>
      <c r="O447" s="1914"/>
      <c r="P447" s="1914"/>
      <c r="Q447" s="1914"/>
      <c r="R447" s="1914"/>
      <c r="S447" s="1914"/>
      <c r="T447" s="1914"/>
      <c r="U447" s="1914"/>
      <c r="V447" s="1914"/>
      <c r="W447" s="1914"/>
      <c r="X447" s="1914"/>
      <c r="Y447" s="1914"/>
      <c r="Z447" s="1914"/>
      <c r="AA447" s="1914"/>
      <c r="AB447" s="1914"/>
      <c r="AC447" s="1914"/>
      <c r="AD447" s="1914"/>
      <c r="AE447" s="1914"/>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14"/>
      <c r="G448" s="1914"/>
      <c r="H448" s="1914"/>
      <c r="I448" s="1914"/>
      <c r="J448" s="1914"/>
      <c r="K448" s="1914"/>
      <c r="L448" s="1914"/>
      <c r="M448" s="1914"/>
      <c r="N448" s="1914"/>
      <c r="O448" s="1914"/>
      <c r="P448" s="1914"/>
      <c r="Q448" s="1914"/>
      <c r="R448" s="1914"/>
      <c r="S448" s="1914"/>
      <c r="T448" s="1914"/>
      <c r="U448" s="1914"/>
      <c r="V448" s="1914"/>
      <c r="W448" s="1914"/>
      <c r="X448" s="1914"/>
      <c r="Y448" s="1914"/>
      <c r="Z448" s="1914"/>
      <c r="AA448" s="1914"/>
      <c r="AB448" s="1914"/>
      <c r="AC448" s="1914"/>
      <c r="AD448" s="1914"/>
      <c r="AE448" s="1914"/>
      <c r="AF448" s="574"/>
      <c r="AG448" s="571"/>
      <c r="AL448" s="767"/>
      <c r="AM448" s="605"/>
      <c r="AN448" s="570"/>
      <c r="AO448" s="585" t="s">
        <v>600</v>
      </c>
      <c r="AP448" s="672">
        <v>0</v>
      </c>
      <c r="AW448" s="794"/>
      <c r="AX448" s="628"/>
    </row>
    <row r="449" spans="1:49" s="585" customFormat="1" ht="12.75" customHeight="1">
      <c r="A449" s="571"/>
      <c r="B449" s="14"/>
      <c r="C449" s="792"/>
      <c r="D449" s="758"/>
      <c r="E449" s="759"/>
      <c r="F449" s="1996"/>
      <c r="G449" s="1996"/>
      <c r="H449" s="1996"/>
      <c r="I449" s="1996"/>
      <c r="J449" s="1996"/>
      <c r="K449" s="1996"/>
      <c r="L449" s="1996"/>
      <c r="M449" s="1996"/>
      <c r="N449" s="1996"/>
      <c r="O449" s="1996"/>
      <c r="P449" s="1996"/>
      <c r="Q449" s="1996"/>
      <c r="R449" s="1996"/>
      <c r="S449" s="1996"/>
      <c r="T449" s="1996"/>
      <c r="U449" s="1996"/>
      <c r="V449" s="1996"/>
      <c r="W449" s="1996"/>
      <c r="X449" s="1996"/>
      <c r="Y449" s="1996"/>
      <c r="Z449" s="1996"/>
      <c r="AA449" s="1996"/>
      <c r="AB449" s="1996"/>
      <c r="AC449" s="1996"/>
      <c r="AD449" s="1996"/>
      <c r="AE449" s="1996"/>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1682</v>
      </c>
      <c r="F451" s="1913" t="s">
        <v>1683</v>
      </c>
      <c r="G451" s="1913"/>
      <c r="H451" s="1913"/>
      <c r="I451" s="1913"/>
      <c r="J451" s="1913"/>
      <c r="K451" s="1913"/>
      <c r="L451" s="1913"/>
      <c r="M451" s="1913"/>
      <c r="N451" s="1913"/>
      <c r="O451" s="1913"/>
      <c r="P451" s="1913"/>
      <c r="Q451" s="1913"/>
      <c r="R451" s="1913"/>
      <c r="S451" s="1913"/>
      <c r="T451" s="1913"/>
      <c r="U451" s="1913"/>
      <c r="V451" s="1913"/>
      <c r="W451" s="1913"/>
      <c r="X451" s="1913"/>
      <c r="Y451" s="1913"/>
      <c r="Z451" s="1913"/>
      <c r="AA451" s="1913"/>
      <c r="AB451" s="1913"/>
      <c r="AC451" s="1913"/>
      <c r="AD451" s="1913"/>
      <c r="AE451" s="1913"/>
      <c r="AF451" s="1913"/>
      <c r="AG451" s="779"/>
      <c r="AH451" s="749"/>
      <c r="AI451" s="749"/>
      <c r="AJ451" s="749"/>
      <c r="AK451" s="749"/>
      <c r="AL451" s="780"/>
      <c r="AM451" s="605"/>
      <c r="AN451" s="632"/>
    </row>
    <row r="452" spans="1:49" s="585" customFormat="1" ht="12.75" customHeight="1">
      <c r="A452" s="571"/>
      <c r="B452" s="14"/>
      <c r="C452" s="766"/>
      <c r="D452" s="14"/>
      <c r="E452" s="726"/>
      <c r="F452" s="1914"/>
      <c r="G452" s="1914"/>
      <c r="H452" s="1914"/>
      <c r="I452" s="1914"/>
      <c r="J452" s="1914"/>
      <c r="K452" s="1914"/>
      <c r="L452" s="1914"/>
      <c r="M452" s="1914"/>
      <c r="N452" s="1914"/>
      <c r="O452" s="1914"/>
      <c r="P452" s="1914"/>
      <c r="Q452" s="1914"/>
      <c r="R452" s="1914"/>
      <c r="S452" s="1914"/>
      <c r="T452" s="1914"/>
      <c r="U452" s="1914"/>
      <c r="V452" s="1914"/>
      <c r="W452" s="1914"/>
      <c r="X452" s="1914"/>
      <c r="Y452" s="1914"/>
      <c r="Z452" s="1914"/>
      <c r="AA452" s="1914"/>
      <c r="AB452" s="1914"/>
      <c r="AC452" s="1914"/>
      <c r="AD452" s="1914"/>
      <c r="AE452" s="1914"/>
      <c r="AF452" s="1914"/>
      <c r="AL452" s="767"/>
      <c r="AM452" s="605"/>
      <c r="AN452" s="632"/>
    </row>
    <row r="453" spans="1:49" s="585" customFormat="1" ht="12.75" customHeight="1">
      <c r="A453" s="571"/>
      <c r="B453" s="14"/>
      <c r="C453" s="774"/>
      <c r="F453" s="1914"/>
      <c r="G453" s="1914"/>
      <c r="H453" s="1914"/>
      <c r="I453" s="1914"/>
      <c r="J453" s="1914"/>
      <c r="K453" s="1914"/>
      <c r="L453" s="1914"/>
      <c r="M453" s="1914"/>
      <c r="N453" s="1914"/>
      <c r="O453" s="1914"/>
      <c r="P453" s="1914"/>
      <c r="Q453" s="1914"/>
      <c r="R453" s="1914"/>
      <c r="S453" s="1914"/>
      <c r="T453" s="1914"/>
      <c r="U453" s="1914"/>
      <c r="V453" s="1914"/>
      <c r="W453" s="1914"/>
      <c r="X453" s="1914"/>
      <c r="Y453" s="1914"/>
      <c r="Z453" s="1914"/>
      <c r="AA453" s="1914"/>
      <c r="AB453" s="1914"/>
      <c r="AC453" s="1914"/>
      <c r="AD453" s="1914"/>
      <c r="AE453" s="1914"/>
      <c r="AF453" s="1914"/>
      <c r="AL453" s="767"/>
      <c r="AM453" s="605"/>
      <c r="AN453" s="632"/>
    </row>
    <row r="454" spans="1:49" s="585" customFormat="1" ht="12.75" customHeight="1">
      <c r="A454" s="571"/>
      <c r="B454" s="14"/>
      <c r="C454" s="774"/>
      <c r="F454" s="1914"/>
      <c r="G454" s="1914"/>
      <c r="H454" s="1914"/>
      <c r="I454" s="1914"/>
      <c r="J454" s="1914"/>
      <c r="K454" s="1914"/>
      <c r="L454" s="1914"/>
      <c r="M454" s="1914"/>
      <c r="N454" s="1914"/>
      <c r="O454" s="1914"/>
      <c r="P454" s="1914"/>
      <c r="Q454" s="1914"/>
      <c r="R454" s="1914"/>
      <c r="S454" s="1914"/>
      <c r="T454" s="1914"/>
      <c r="U454" s="1914"/>
      <c r="V454" s="1914"/>
      <c r="W454" s="1914"/>
      <c r="X454" s="1914"/>
      <c r="Y454" s="1914"/>
      <c r="Z454" s="1914"/>
      <c r="AA454" s="1914"/>
      <c r="AB454" s="1914"/>
      <c r="AC454" s="1914"/>
      <c r="AD454" s="1914"/>
      <c r="AE454" s="1914"/>
      <c r="AF454" s="1914"/>
      <c r="AL454" s="767"/>
      <c r="AM454" s="605"/>
      <c r="AN454" s="632"/>
    </row>
    <row r="455" spans="1:49" s="585" customFormat="1" ht="12.75" customHeight="1">
      <c r="A455" s="571"/>
      <c r="B455" s="14"/>
      <c r="C455" s="1923" t="s">
        <v>600</v>
      </c>
      <c r="D455" s="1924"/>
      <c r="E455" s="754"/>
      <c r="F455" s="756" t="s">
        <v>1654</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12" t="s">
        <v>1637</v>
      </c>
      <c r="AG455" s="1912"/>
      <c r="AH455" s="1912"/>
      <c r="AI455" s="1912"/>
      <c r="AJ455" s="1912"/>
      <c r="AK455" s="1912"/>
      <c r="AL455" s="1925"/>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1684</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1685</v>
      </c>
      <c r="AK458" s="1909">
        <f>IF(Application!D213="N/A",AS347,AS349)</f>
        <v>10</v>
      </c>
      <c r="AL458" s="1910"/>
      <c r="AM458" s="1911"/>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600</v>
      </c>
      <c r="AP460" s="585">
        <v>0</v>
      </c>
    </row>
    <row r="461" spans="1:49" s="585" customFormat="1" ht="12.75" hidden="1" customHeight="1">
      <c r="A461" s="574" t="s">
        <v>1686</v>
      </c>
      <c r="C461" s="574"/>
      <c r="E461" s="631"/>
      <c r="AE461" s="1912" t="s">
        <v>1687</v>
      </c>
      <c r="AF461" s="1912"/>
      <c r="AG461" s="1912"/>
      <c r="AH461" s="1912"/>
      <c r="AI461" s="1912"/>
      <c r="AJ461" s="1912"/>
      <c r="AK461" s="1912"/>
      <c r="AL461" s="626"/>
      <c r="AN461" s="632"/>
      <c r="AO461" s="585" t="s">
        <v>1665</v>
      </c>
      <c r="AP461" s="585">
        <v>5</v>
      </c>
    </row>
    <row r="462" spans="1:49" s="585" customFormat="1" ht="12.75" hidden="1" customHeight="1">
      <c r="A462" s="574"/>
      <c r="B462" s="571" t="s">
        <v>1688</v>
      </c>
      <c r="C462" s="574"/>
      <c r="E462" s="631"/>
      <c r="AE462" s="626"/>
      <c r="AF462" s="626"/>
      <c r="AG462" s="626"/>
      <c r="AH462" s="626"/>
      <c r="AI462" s="626"/>
      <c r="AJ462" s="626"/>
      <c r="AK462" s="626"/>
      <c r="AL462" s="626"/>
      <c r="AN462" s="632"/>
      <c r="AO462" s="585" t="s">
        <v>1689</v>
      </c>
      <c r="AP462" s="585">
        <v>5</v>
      </c>
    </row>
    <row r="463" spans="1:49" s="585" customFormat="1" ht="12.75" hidden="1" customHeight="1">
      <c r="A463" s="574"/>
      <c r="B463" s="574" t="s">
        <v>1690</v>
      </c>
      <c r="C463" s="574"/>
      <c r="E463" s="631"/>
      <c r="AE463" s="626"/>
      <c r="AF463" s="626"/>
      <c r="AG463" s="626"/>
      <c r="AH463" s="626"/>
      <c r="AI463" s="626"/>
      <c r="AJ463" s="626"/>
      <c r="AK463" s="626"/>
      <c r="AL463" s="626"/>
      <c r="AN463" s="632"/>
      <c r="AO463" s="585" t="s">
        <v>1667</v>
      </c>
      <c r="AP463" s="585">
        <v>5</v>
      </c>
      <c r="AQ463" s="574"/>
      <c r="AR463" s="574"/>
      <c r="AS463" s="791"/>
      <c r="AW463" s="791"/>
    </row>
    <row r="464" spans="1:49" s="585" customFormat="1" ht="12.75" hidden="1" customHeight="1">
      <c r="A464" s="574"/>
      <c r="B464" s="574" t="s">
        <v>1691</v>
      </c>
      <c r="C464" s="574"/>
      <c r="E464" s="631"/>
      <c r="AE464" s="626"/>
      <c r="AF464" s="626"/>
      <c r="AG464" s="626"/>
      <c r="AH464" s="626"/>
      <c r="AI464" s="626"/>
      <c r="AJ464" s="626"/>
      <c r="AK464" s="626"/>
      <c r="AL464" s="626"/>
      <c r="AN464" s="632"/>
      <c r="AO464" s="585" t="s">
        <v>1669</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1670</v>
      </c>
      <c r="AP465" s="585">
        <v>5</v>
      </c>
      <c r="AQ465" s="574"/>
      <c r="AR465" s="574"/>
      <c r="AW465" s="714"/>
    </row>
    <row r="466" spans="1:50" s="585" customFormat="1" ht="12.75" hidden="1" customHeight="1">
      <c r="A466" s="574"/>
      <c r="C466" s="747" t="s">
        <v>1692</v>
      </c>
      <c r="D466" s="605"/>
      <c r="AE466" s="626"/>
      <c r="AF466" s="626"/>
      <c r="AG466" s="631"/>
      <c r="AH466" s="631"/>
      <c r="AI466" s="631"/>
      <c r="AJ466" s="631"/>
      <c r="AK466" s="631"/>
      <c r="AL466" s="631"/>
      <c r="AN466" s="632"/>
      <c r="AO466" s="585" t="s">
        <v>1671</v>
      </c>
      <c r="AP466" s="585">
        <v>5</v>
      </c>
      <c r="AW466" s="714"/>
    </row>
    <row r="467" spans="1:50" s="585" customFormat="1" ht="12.75" hidden="1" customHeight="1">
      <c r="A467" s="574"/>
      <c r="C467" s="1989" t="s">
        <v>600</v>
      </c>
      <c r="D467" s="1990"/>
      <c r="E467" s="797" t="s">
        <v>516</v>
      </c>
      <c r="F467" s="2010" t="s">
        <v>1693</v>
      </c>
      <c r="G467" s="2010"/>
      <c r="H467" s="2010"/>
      <c r="I467" s="2010"/>
      <c r="J467" s="2010"/>
      <c r="K467" s="2010"/>
      <c r="L467" s="2010"/>
      <c r="M467" s="2010"/>
      <c r="N467" s="2010"/>
      <c r="O467" s="2010"/>
      <c r="P467" s="2010"/>
      <c r="Q467" s="2010"/>
      <c r="R467" s="2010"/>
      <c r="S467" s="2010"/>
      <c r="T467" s="2010"/>
      <c r="U467" s="2010"/>
      <c r="V467" s="2010"/>
      <c r="W467" s="2010"/>
      <c r="X467" s="2010"/>
      <c r="Y467" s="2010"/>
      <c r="Z467" s="2010"/>
      <c r="AA467" s="2010"/>
      <c r="AB467" s="2010"/>
      <c r="AC467" s="2010"/>
      <c r="AD467" s="2010"/>
      <c r="AE467" s="2010"/>
      <c r="AF467" s="749"/>
      <c r="AG467" s="749"/>
      <c r="AH467" s="749"/>
      <c r="AI467" s="749"/>
      <c r="AJ467" s="749"/>
      <c r="AK467" s="780"/>
      <c r="AN467" s="632"/>
      <c r="AO467" s="585" t="s">
        <v>1694</v>
      </c>
      <c r="AP467" s="585">
        <v>5</v>
      </c>
      <c r="AS467" s="794"/>
      <c r="AT467" s="628"/>
      <c r="AW467" s="714"/>
      <c r="AX467" s="672"/>
    </row>
    <row r="468" spans="1:50" s="585" customFormat="1" ht="12.75" hidden="1" customHeight="1">
      <c r="C468" s="798"/>
      <c r="E468" s="799"/>
      <c r="F468" s="2011"/>
      <c r="G468" s="2011"/>
      <c r="H468" s="2011"/>
      <c r="I468" s="2011"/>
      <c r="J468" s="2011"/>
      <c r="K468" s="2011"/>
      <c r="L468" s="2011"/>
      <c r="M468" s="2011"/>
      <c r="N468" s="2011"/>
      <c r="O468" s="2011"/>
      <c r="P468" s="2011"/>
      <c r="Q468" s="2011"/>
      <c r="R468" s="2011"/>
      <c r="S468" s="2011"/>
      <c r="T468" s="2011"/>
      <c r="U468" s="2011"/>
      <c r="V468" s="2011"/>
      <c r="W468" s="2011"/>
      <c r="X468" s="2011"/>
      <c r="Y468" s="2011"/>
      <c r="Z468" s="2011"/>
      <c r="AA468" s="2011"/>
      <c r="AB468" s="2011"/>
      <c r="AC468" s="2011"/>
      <c r="AD468" s="2011"/>
      <c r="AE468" s="2011"/>
      <c r="AG468" s="586"/>
      <c r="AH468" s="586"/>
      <c r="AI468" s="586"/>
      <c r="AJ468" s="586"/>
      <c r="AK468" s="767"/>
      <c r="AN468" s="632"/>
      <c r="AO468" s="585" t="s">
        <v>1675</v>
      </c>
      <c r="AP468" s="585">
        <v>1</v>
      </c>
    </row>
    <row r="469" spans="1:50" s="585" customFormat="1" ht="12.75" hidden="1" customHeight="1">
      <c r="C469" s="800"/>
      <c r="D469" s="762"/>
      <c r="E469" s="801"/>
      <c r="F469" s="2005" t="s">
        <v>600</v>
      </c>
      <c r="G469" s="2005"/>
      <c r="H469" s="2005"/>
      <c r="I469" s="2005"/>
      <c r="J469" s="2005"/>
      <c r="K469" s="2005"/>
      <c r="L469" s="2005"/>
      <c r="M469" s="2005"/>
      <c r="N469" s="2005"/>
      <c r="O469" s="2005"/>
      <c r="P469" s="2005"/>
      <c r="Q469" s="2005"/>
      <c r="R469" s="2005"/>
      <c r="S469" s="2005"/>
      <c r="T469" s="2005"/>
      <c r="U469" s="2005"/>
      <c r="V469" s="2005"/>
      <c r="W469" s="2005"/>
      <c r="X469" s="2005"/>
      <c r="Y469" s="2005"/>
      <c r="Z469" s="2005"/>
      <c r="AA469" s="802"/>
      <c r="AB469" s="693"/>
      <c r="AC469" s="693"/>
      <c r="AD469" s="762"/>
      <c r="AE469" s="762"/>
      <c r="AF469" s="762"/>
      <c r="AG469" s="803">
        <f>IF($C$467="Yes",(VLOOKUP($F$469,$AO$434:$AP$442,2,FALSE)),0)</f>
        <v>0</v>
      </c>
      <c r="AH469" s="804" t="s">
        <v>1499</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600</v>
      </c>
      <c r="AP470" s="672">
        <v>0</v>
      </c>
    </row>
    <row r="471" spans="1:50" s="585" customFormat="1" ht="12.75" hidden="1" customHeight="1">
      <c r="C471" s="2006" t="s">
        <v>554</v>
      </c>
      <c r="D471" s="2007"/>
      <c r="E471" s="797" t="s">
        <v>769</v>
      </c>
      <c r="F471" s="805" t="s">
        <v>1695</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1696</v>
      </c>
      <c r="F472" s="807" t="s">
        <v>1697</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1698</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1699</v>
      </c>
      <c r="G474" s="585"/>
      <c r="H474" s="585"/>
      <c r="I474" s="807"/>
      <c r="J474" s="807"/>
      <c r="K474" s="807"/>
      <c r="L474" s="807"/>
      <c r="M474" s="807"/>
      <c r="N474" s="807"/>
      <c r="O474" s="807"/>
      <c r="P474" s="807"/>
      <c r="Q474" s="807"/>
      <c r="R474" s="807"/>
      <c r="S474" s="807"/>
      <c r="T474" s="807"/>
      <c r="U474" s="807"/>
      <c r="V474" s="1918" t="s">
        <v>600</v>
      </c>
      <c r="W474" s="1918"/>
      <c r="X474" s="1918"/>
      <c r="Y474" s="807"/>
      <c r="Z474" s="807"/>
      <c r="AA474" s="807"/>
      <c r="AB474" s="807"/>
      <c r="AC474" s="807"/>
      <c r="AD474" s="644"/>
      <c r="AE474" s="644"/>
      <c r="AF474" s="644"/>
      <c r="AG474" s="648">
        <f>IF(AND($C$471="Yes",$V$476="N/A",$V$481="N/A",$V$485="N/A",$V$487="N/A"),(VLOOKUP(V474,$AR$444:$AS$446,2,FALSE)),0)</f>
        <v>0</v>
      </c>
      <c r="AH474" s="675" t="s">
        <v>1499</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1700</v>
      </c>
      <c r="G476" s="585"/>
      <c r="H476" s="585"/>
      <c r="I476" s="807"/>
      <c r="J476" s="807"/>
      <c r="K476" s="807"/>
      <c r="L476" s="807"/>
      <c r="M476" s="807"/>
      <c r="N476" s="807"/>
      <c r="O476" s="807"/>
      <c r="P476" s="807"/>
      <c r="Q476" s="807"/>
      <c r="R476" s="807"/>
      <c r="S476" s="807"/>
      <c r="T476" s="807"/>
      <c r="U476" s="807"/>
      <c r="V476" s="1918" t="s">
        <v>600</v>
      </c>
      <c r="W476" s="1918"/>
      <c r="X476" s="1918"/>
      <c r="Y476" s="807"/>
      <c r="Z476" s="807"/>
      <c r="AA476" s="807"/>
      <c r="AB476" s="807"/>
      <c r="AC476" s="807"/>
      <c r="AD476" s="644"/>
      <c r="AE476" s="644"/>
      <c r="AF476" s="644"/>
      <c r="AG476" s="648">
        <f>IF(AND($C$471="Yes",$V$474="N/A", $V$481="N/A",$V$485="N/A",$V$487="N/A"),(VLOOKUP(V476,$AO$444:$AP$446,2,FALSE)),0)</f>
        <v>0</v>
      </c>
      <c r="AH476" s="675" t="s">
        <v>1499</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600</v>
      </c>
      <c r="AP477" s="585">
        <v>0</v>
      </c>
    </row>
    <row r="478" spans="1:50" s="585" customFormat="1" ht="12.75" hidden="1" customHeight="1">
      <c r="C478" s="798"/>
      <c r="E478" s="799"/>
      <c r="F478" s="812" t="s">
        <v>1701</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1702</v>
      </c>
      <c r="AP478" s="672">
        <v>2</v>
      </c>
    </row>
    <row r="479" spans="1:50" s="585" customFormat="1" ht="12.75" hidden="1" customHeight="1">
      <c r="C479" s="798"/>
      <c r="F479" s="644" t="s">
        <v>1703</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1704</v>
      </c>
      <c r="AP479" s="585">
        <v>2</v>
      </c>
    </row>
    <row r="480" spans="1:50" s="631" customFormat="1" ht="12.75" hidden="1" customHeight="1">
      <c r="A480" s="585"/>
      <c r="B480" s="585"/>
      <c r="C480" s="774"/>
      <c r="D480" s="605"/>
      <c r="E480" s="605"/>
      <c r="F480" s="644" t="s">
        <v>1705</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1706</v>
      </c>
      <c r="AP480" s="585">
        <v>2</v>
      </c>
    </row>
    <row r="481" spans="1:81" s="585" customFormat="1" ht="12.75" hidden="1" customHeight="1">
      <c r="C481" s="813"/>
      <c r="F481" s="811" t="s">
        <v>1707</v>
      </c>
      <c r="M481" s="799"/>
      <c r="N481" s="799"/>
      <c r="O481" s="799"/>
      <c r="P481" s="799"/>
      <c r="Q481" s="586"/>
      <c r="R481" s="586"/>
      <c r="S481" s="586"/>
      <c r="T481" s="586"/>
      <c r="U481" s="586"/>
      <c r="V481" s="1918" t="s">
        <v>600</v>
      </c>
      <c r="W481" s="1918"/>
      <c r="X481" s="1918"/>
      <c r="Y481" s="586"/>
      <c r="Z481" s="586"/>
      <c r="AA481" s="586"/>
      <c r="AB481" s="586"/>
      <c r="AC481" s="586"/>
      <c r="AG481" s="648">
        <f>IF(AND($C$471="Yes",$V$474="N/A",$V$476="N/A", $V$485="N/A",$V$487="N/A"),(VLOOKUP($V$481,$AO$448:$AP$450,2,FALSE)),0)</f>
        <v>0</v>
      </c>
      <c r="AH481" s="675" t="s">
        <v>1499</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1708</v>
      </c>
      <c r="D483" s="749"/>
      <c r="E483" s="749"/>
      <c r="F483" s="816" t="s">
        <v>1709</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600</v>
      </c>
      <c r="AP483" s="585">
        <v>0</v>
      </c>
      <c r="AQ483" s="574"/>
    </row>
    <row r="484" spans="1:81" s="631" customFormat="1" ht="12.75" hidden="1" customHeight="1">
      <c r="A484" s="585"/>
      <c r="B484" s="585"/>
      <c r="C484" s="817"/>
      <c r="D484" s="1992"/>
      <c r="E484" s="1992"/>
      <c r="F484" s="807" t="s">
        <v>1710</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1711</v>
      </c>
      <c r="AP484" s="672">
        <v>5</v>
      </c>
      <c r="AQ484" s="574"/>
    </row>
    <row r="485" spans="1:81" s="605" customFormat="1" ht="12.75" hidden="1" customHeight="1">
      <c r="A485" s="714"/>
      <c r="B485" s="585"/>
      <c r="C485" s="798"/>
      <c r="D485" s="585"/>
      <c r="E485" s="585"/>
      <c r="F485" s="818" t="s">
        <v>1699</v>
      </c>
      <c r="G485" s="585"/>
      <c r="H485" s="585"/>
      <c r="I485" s="585"/>
      <c r="J485" s="585"/>
      <c r="K485" s="585"/>
      <c r="L485" s="585"/>
      <c r="M485" s="585"/>
      <c r="N485" s="585"/>
      <c r="O485" s="585"/>
      <c r="P485" s="585"/>
      <c r="Q485" s="585"/>
      <c r="R485" s="585"/>
      <c r="S485" s="585"/>
      <c r="T485" s="585"/>
      <c r="U485" s="585"/>
      <c r="V485" s="1918" t="s">
        <v>600</v>
      </c>
      <c r="W485" s="1918"/>
      <c r="X485" s="1918"/>
      <c r="Y485" s="585"/>
      <c r="Z485" s="585"/>
      <c r="AA485" s="585"/>
      <c r="AB485" s="585"/>
      <c r="AC485" s="585"/>
      <c r="AD485" s="585"/>
      <c r="AE485" s="585"/>
      <c r="AF485" s="585"/>
      <c r="AG485" s="648">
        <f>IF(AND($C$471="Yes",$V$474="N/A",V476="N/A",$V$481="N/A",$V$487="N/A"),(VLOOKUP($V$485,$AW$444:$AX$447,2,FALSE)),0)</f>
        <v>0</v>
      </c>
      <c r="AH485" s="675" t="s">
        <v>1499</v>
      </c>
      <c r="AI485" s="586"/>
      <c r="AJ485" s="585"/>
      <c r="AK485" s="767"/>
      <c r="AL485" s="585"/>
      <c r="AM485" s="585"/>
      <c r="AN485" s="719"/>
      <c r="AO485" s="585" t="s">
        <v>1712</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1713</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1700</v>
      </c>
      <c r="G487" s="802"/>
      <c r="H487" s="802"/>
      <c r="I487" s="762"/>
      <c r="J487" s="762"/>
      <c r="K487" s="762"/>
      <c r="L487" s="762"/>
      <c r="M487" s="762"/>
      <c r="N487" s="762"/>
      <c r="O487" s="762"/>
      <c r="P487" s="762"/>
      <c r="Q487" s="762"/>
      <c r="R487" s="762"/>
      <c r="S487" s="762"/>
      <c r="T487" s="762"/>
      <c r="U487" s="762"/>
      <c r="V487" s="1918" t="s">
        <v>600</v>
      </c>
      <c r="W487" s="1918"/>
      <c r="X487" s="1918"/>
      <c r="Y487" s="762"/>
      <c r="Z487" s="762"/>
      <c r="AA487" s="762"/>
      <c r="AB487" s="762"/>
      <c r="AC487" s="762"/>
      <c r="AD487" s="762"/>
      <c r="AE487" s="762"/>
      <c r="AF487" s="762"/>
      <c r="AG487" s="819">
        <f>IF(AND($C$471="Yes",$V$474="N/A",$V$476="N/A",$V$481="N/A",$V$485="N/A"),(VLOOKUP($V$487,$BA$444:$BB$446,2,FALSE)),0)</f>
        <v>0</v>
      </c>
      <c r="AH487" s="804" t="s">
        <v>1499</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1714</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1989" t="s">
        <v>600</v>
      </c>
      <c r="D490" s="1990"/>
      <c r="E490" s="797" t="s">
        <v>516</v>
      </c>
      <c r="F490" s="2010" t="s">
        <v>1693</v>
      </c>
      <c r="G490" s="2010"/>
      <c r="H490" s="2010"/>
      <c r="I490" s="2010"/>
      <c r="J490" s="2010"/>
      <c r="K490" s="2010"/>
      <c r="L490" s="2010"/>
      <c r="M490" s="2010"/>
      <c r="N490" s="2010"/>
      <c r="O490" s="2010"/>
      <c r="P490" s="2010"/>
      <c r="Q490" s="2010"/>
      <c r="R490" s="2010"/>
      <c r="S490" s="2010"/>
      <c r="T490" s="2010"/>
      <c r="U490" s="2010"/>
      <c r="V490" s="2010"/>
      <c r="W490" s="2010"/>
      <c r="X490" s="2010"/>
      <c r="Y490" s="2010"/>
      <c r="Z490" s="2010"/>
      <c r="AA490" s="2010"/>
      <c r="AB490" s="2010"/>
      <c r="AC490" s="2010"/>
      <c r="AD490" s="2010"/>
      <c r="AE490" s="2010"/>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11"/>
      <c r="G491" s="2011"/>
      <c r="H491" s="2011"/>
      <c r="I491" s="2011"/>
      <c r="J491" s="2011"/>
      <c r="K491" s="2011"/>
      <c r="L491" s="2011"/>
      <c r="M491" s="2011"/>
      <c r="N491" s="2011"/>
      <c r="O491" s="2011"/>
      <c r="P491" s="2011"/>
      <c r="Q491" s="2011"/>
      <c r="R491" s="2011"/>
      <c r="S491" s="2011"/>
      <c r="T491" s="2011"/>
      <c r="U491" s="2011"/>
      <c r="V491" s="2011"/>
      <c r="W491" s="2011"/>
      <c r="X491" s="2011"/>
      <c r="Y491" s="2011"/>
      <c r="Z491" s="2011"/>
      <c r="AA491" s="2011"/>
      <c r="AB491" s="2011"/>
      <c r="AC491" s="2011"/>
      <c r="AD491" s="2011"/>
      <c r="AE491" s="2011"/>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1997" t="s">
        <v>600</v>
      </c>
      <c r="G492" s="1997"/>
      <c r="H492" s="1997"/>
      <c r="I492" s="1997"/>
      <c r="J492" s="1997"/>
      <c r="K492" s="1997"/>
      <c r="L492" s="1997"/>
      <c r="M492" s="1997"/>
      <c r="N492" s="1997"/>
      <c r="O492" s="1997"/>
      <c r="P492" s="1997"/>
      <c r="Q492" s="1997"/>
      <c r="R492" s="1997"/>
      <c r="S492" s="1997"/>
      <c r="T492" s="1997"/>
      <c r="U492" s="1997"/>
      <c r="V492" s="1997"/>
      <c r="W492" s="1997"/>
      <c r="X492" s="1997"/>
      <c r="Y492" s="1997"/>
      <c r="Z492" s="1997"/>
      <c r="AA492" s="802"/>
      <c r="AB492" s="693"/>
      <c r="AC492" s="693"/>
      <c r="AD492" s="762"/>
      <c r="AE492" s="762"/>
      <c r="AF492" s="762"/>
      <c r="AG492" s="803">
        <f>IF($C$490="Yes",(VLOOKUP($F$492,$AO$460:$AP$468,2,FALSE)),0)</f>
        <v>0</v>
      </c>
      <c r="AH492" s="804" t="s">
        <v>1499</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1989" t="s">
        <v>600</v>
      </c>
      <c r="D494" s="1990"/>
      <c r="E494" s="797" t="s">
        <v>769</v>
      </c>
      <c r="F494" s="1998" t="s">
        <v>1715</v>
      </c>
      <c r="G494" s="1998"/>
      <c r="H494" s="1998"/>
      <c r="I494" s="1998"/>
      <c r="J494" s="1998"/>
      <c r="K494" s="1998"/>
      <c r="L494" s="1998"/>
      <c r="M494" s="1998"/>
      <c r="N494" s="1998"/>
      <c r="O494" s="1998"/>
      <c r="P494" s="1998"/>
      <c r="Q494" s="1998"/>
      <c r="R494" s="1998"/>
      <c r="S494" s="1998"/>
      <c r="T494" s="1998"/>
      <c r="U494" s="1998"/>
      <c r="V494" s="1998"/>
      <c r="W494" s="1998"/>
      <c r="X494" s="1998"/>
      <c r="Y494" s="1998"/>
      <c r="Z494" s="1998"/>
      <c r="AA494" s="1998"/>
      <c r="AB494" s="1998"/>
      <c r="AC494" s="1998"/>
      <c r="AD494" s="1998"/>
      <c r="AE494" s="1998"/>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1999"/>
      <c r="G495" s="1999"/>
      <c r="H495" s="1999"/>
      <c r="I495" s="1999"/>
      <c r="J495" s="1999"/>
      <c r="K495" s="1999"/>
      <c r="L495" s="1999"/>
      <c r="M495" s="1999"/>
      <c r="N495" s="1999"/>
      <c r="O495" s="1999"/>
      <c r="P495" s="1999"/>
      <c r="Q495" s="1999"/>
      <c r="R495" s="1999"/>
      <c r="S495" s="1999"/>
      <c r="T495" s="1999"/>
      <c r="U495" s="1999"/>
      <c r="V495" s="1999"/>
      <c r="W495" s="1999"/>
      <c r="X495" s="1999"/>
      <c r="Y495" s="1999"/>
      <c r="Z495" s="1999"/>
      <c r="AA495" s="1999"/>
      <c r="AB495" s="1999"/>
      <c r="AC495" s="1999"/>
      <c r="AD495" s="1999"/>
      <c r="AE495" s="1999"/>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1716</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5" hidden="1" thickTop="1">
      <c r="A497" s="585"/>
      <c r="B497" s="585"/>
      <c r="C497" s="800"/>
      <c r="D497" s="762"/>
      <c r="E497" s="801"/>
      <c r="F497" s="2000" t="s">
        <v>600</v>
      </c>
      <c r="G497" s="2000"/>
      <c r="H497" s="2000"/>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1499</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5"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5" hidden="1" thickTop="1">
      <c r="A499" s="585"/>
      <c r="B499" s="585"/>
      <c r="C499" s="1989" t="s">
        <v>600</v>
      </c>
      <c r="D499" s="1990"/>
      <c r="E499" s="797" t="s">
        <v>1717</v>
      </c>
      <c r="F499" s="816" t="s">
        <v>1718</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5"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5" hidden="1" thickTop="1">
      <c r="A501" s="585"/>
      <c r="B501" s="585"/>
      <c r="C501" s="1991"/>
      <c r="D501" s="1992"/>
      <c r="E501" s="808"/>
      <c r="F501" s="586" t="s">
        <v>1719</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1499</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5" hidden="1" thickTop="1">
      <c r="A502" s="585"/>
      <c r="B502" s="585"/>
      <c r="C502" s="798"/>
      <c r="D502" s="585"/>
      <c r="E502" s="799"/>
      <c r="F502" s="586"/>
      <c r="G502" s="1993" t="s">
        <v>600</v>
      </c>
      <c r="H502" s="1993"/>
      <c r="I502" s="1993"/>
      <c r="J502" s="1993"/>
      <c r="K502" s="1993"/>
      <c r="L502" s="1993"/>
      <c r="M502" s="1993"/>
      <c r="N502" s="1993"/>
      <c r="O502" s="1993"/>
      <c r="P502" s="1993"/>
      <c r="Q502" s="1993"/>
      <c r="R502" s="1993"/>
      <c r="S502" s="1993"/>
      <c r="T502" s="1993"/>
      <c r="U502" s="1993"/>
      <c r="V502" s="1993"/>
      <c r="W502" s="1993"/>
      <c r="X502" s="1993"/>
      <c r="Y502" s="1993"/>
      <c r="Z502" s="1993"/>
      <c r="AA502" s="1993"/>
      <c r="AB502" s="1993"/>
      <c r="AC502" s="1993"/>
      <c r="AD502" s="1993"/>
      <c r="AE502" s="1993"/>
      <c r="AF502" s="1993"/>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5"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1994" t="s">
        <v>600</v>
      </c>
      <c r="D504" s="1995"/>
      <c r="F504" s="586" t="s">
        <v>1720</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1499</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5" hidden="1" thickTop="1">
      <c r="A505" s="14"/>
      <c r="B505" s="585"/>
      <c r="C505" s="817"/>
      <c r="D505" s="765"/>
      <c r="E505" s="765"/>
      <c r="F505" s="586"/>
      <c r="G505" s="586" t="s">
        <v>1721</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1722</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1994" t="s">
        <v>600</v>
      </c>
      <c r="D508" s="1995"/>
      <c r="F508" s="831" t="s">
        <v>1723</v>
      </c>
      <c r="G508" s="1914" t="s">
        <v>1724</v>
      </c>
      <c r="H508" s="1914"/>
      <c r="I508" s="1914"/>
      <c r="J508" s="1914"/>
      <c r="K508" s="1914"/>
      <c r="L508" s="1914"/>
      <c r="M508" s="1914"/>
      <c r="N508" s="1914"/>
      <c r="O508" s="1914"/>
      <c r="P508" s="1914"/>
      <c r="Q508" s="1914"/>
      <c r="R508" s="1914"/>
      <c r="S508" s="1914"/>
      <c r="T508" s="1914"/>
      <c r="U508" s="1914"/>
      <c r="V508" s="1914"/>
      <c r="W508" s="1914"/>
      <c r="X508" s="1914"/>
      <c r="Y508" s="1914"/>
      <c r="Z508" s="1914"/>
      <c r="AA508" s="1914"/>
      <c r="AB508" s="1914"/>
      <c r="AC508" s="1914"/>
      <c r="AD508" s="1914"/>
      <c r="AE508" s="1914"/>
      <c r="AF508" s="1914"/>
      <c r="AG508" s="648">
        <f>IF(AND($C$508="Yes",$C$499="Yes"),2,0)</f>
        <v>0</v>
      </c>
      <c r="AH508" s="675" t="s">
        <v>1499</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1996"/>
      <c r="H509" s="1996"/>
      <c r="I509" s="1996"/>
      <c r="J509" s="1996"/>
      <c r="K509" s="1996"/>
      <c r="L509" s="1996"/>
      <c r="M509" s="1996"/>
      <c r="N509" s="1996"/>
      <c r="O509" s="1996"/>
      <c r="P509" s="1996"/>
      <c r="Q509" s="1996"/>
      <c r="R509" s="1996"/>
      <c r="S509" s="1996"/>
      <c r="T509" s="1996"/>
      <c r="U509" s="1996"/>
      <c r="V509" s="1996"/>
      <c r="W509" s="1996"/>
      <c r="X509" s="1996"/>
      <c r="Y509" s="1996"/>
      <c r="Z509" s="1996"/>
      <c r="AA509" s="1996"/>
      <c r="AB509" s="1996"/>
      <c r="AC509" s="1996"/>
      <c r="AD509" s="1996"/>
      <c r="AE509" s="1996"/>
      <c r="AF509" s="1996"/>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1725</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2001" t="s">
        <v>600</v>
      </c>
      <c r="D512" s="2002"/>
      <c r="E512" s="838" t="s">
        <v>1726</v>
      </c>
      <c r="F512" s="807" t="s">
        <v>1727</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1499</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03" t="s">
        <v>600</v>
      </c>
      <c r="G513" s="2003"/>
      <c r="H513" s="2003"/>
      <c r="I513" s="2003"/>
      <c r="J513" s="2003"/>
      <c r="K513" s="2003"/>
      <c r="L513" s="2003"/>
      <c r="M513" s="2003"/>
      <c r="N513" s="2003"/>
      <c r="O513" s="2003"/>
      <c r="P513" s="2003"/>
      <c r="Q513" s="2003"/>
      <c r="R513" s="2003"/>
      <c r="S513" s="2003"/>
      <c r="T513" s="2003"/>
      <c r="U513" s="2003"/>
      <c r="V513" s="2003"/>
      <c r="W513" s="2003"/>
      <c r="X513" s="2003"/>
      <c r="Y513" s="2003"/>
      <c r="Z513" s="2003"/>
      <c r="AA513" s="2003"/>
      <c r="AB513" s="2003"/>
      <c r="AC513" s="2003"/>
      <c r="AD513" s="2003"/>
      <c r="AE513" s="2003"/>
      <c r="AF513" s="2003"/>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04"/>
      <c r="G514" s="2004"/>
      <c r="H514" s="2004"/>
      <c r="I514" s="2004"/>
      <c r="J514" s="2004"/>
      <c r="K514" s="2004"/>
      <c r="L514" s="2004"/>
      <c r="M514" s="2004"/>
      <c r="N514" s="2004"/>
      <c r="O514" s="2004"/>
      <c r="P514" s="2004"/>
      <c r="Q514" s="2004"/>
      <c r="R514" s="2004"/>
      <c r="S514" s="2004"/>
      <c r="T514" s="2004"/>
      <c r="U514" s="2004"/>
      <c r="V514" s="2004"/>
      <c r="W514" s="2004"/>
      <c r="X514" s="2004"/>
      <c r="Y514" s="2004"/>
      <c r="Z514" s="2004"/>
      <c r="AA514" s="2004"/>
      <c r="AB514" s="2004"/>
      <c r="AC514" s="2004"/>
      <c r="AD514" s="2004"/>
      <c r="AE514" s="2004"/>
      <c r="AF514" s="2004"/>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1728</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1729</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2423</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1730</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2424</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1731</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1732</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1733</v>
      </c>
      <c r="AK524" s="1909">
        <f>SUM(AG468:AG513)</f>
        <v>0</v>
      </c>
      <c r="AL524" s="1910"/>
      <c r="AM524" s="1911"/>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5" thickTop="1"/>
    <row r="527" spans="1:81" s="585" customFormat="1" ht="12.75" customHeight="1">
      <c r="A527" s="574" t="s">
        <v>1734</v>
      </c>
      <c r="B527" s="574" t="s">
        <v>1735</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915" t="s">
        <v>1736</v>
      </c>
      <c r="AF527" s="1915"/>
      <c r="AG527" s="1915"/>
      <c r="AH527" s="1915"/>
      <c r="AI527" s="1915"/>
      <c r="AJ527" s="1915"/>
      <c r="AK527" s="1915"/>
      <c r="AL527" s="630"/>
      <c r="AM527" s="630"/>
      <c r="AN527" s="632"/>
    </row>
    <row r="528" spans="1:81" s="585" customFormat="1" ht="12.75" customHeight="1">
      <c r="A528" s="574"/>
      <c r="B528" s="574" t="s">
        <v>1495</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24" t="s">
        <v>554</v>
      </c>
      <c r="D530" s="1924"/>
      <c r="E530" s="586"/>
      <c r="F530" s="1983" t="s">
        <v>1737</v>
      </c>
      <c r="G530" s="1984"/>
      <c r="H530" s="1984"/>
      <c r="I530" s="1984"/>
      <c r="J530" s="1984"/>
      <c r="K530" s="1984"/>
      <c r="L530" s="1984"/>
      <c r="M530" s="1984"/>
      <c r="N530" s="1984"/>
      <c r="O530" s="1984"/>
      <c r="P530" s="1984"/>
      <c r="Q530" s="1984"/>
      <c r="R530" s="1984"/>
      <c r="S530" s="1984"/>
      <c r="T530" s="1984"/>
      <c r="U530" s="1984"/>
      <c r="V530" s="1984"/>
      <c r="W530" s="1984"/>
      <c r="X530" s="1984"/>
      <c r="Y530" s="1984"/>
      <c r="Z530" s="1984"/>
      <c r="AA530" s="1984"/>
      <c r="AB530" s="1984"/>
      <c r="AC530" s="1984"/>
      <c r="AD530" s="1984"/>
      <c r="AE530" s="1984"/>
      <c r="AF530" s="1984"/>
      <c r="AG530" s="1984"/>
      <c r="AH530" s="1984"/>
      <c r="AI530" s="1984"/>
      <c r="AJ530" s="1984"/>
      <c r="AK530" s="1984"/>
      <c r="AL530" s="1985"/>
      <c r="AM530" s="630"/>
      <c r="AN530" s="632"/>
    </row>
    <row r="531" spans="1:49" s="585" customFormat="1" ht="12.75" customHeight="1">
      <c r="A531" s="574"/>
      <c r="B531" s="574"/>
      <c r="C531" s="586"/>
      <c r="D531" s="586"/>
      <c r="E531" s="586"/>
      <c r="F531" s="1986"/>
      <c r="G531" s="1987"/>
      <c r="H531" s="1987"/>
      <c r="I531" s="1987"/>
      <c r="J531" s="1987"/>
      <c r="K531" s="1987"/>
      <c r="L531" s="1987"/>
      <c r="M531" s="1987"/>
      <c r="N531" s="1987"/>
      <c r="O531" s="1987"/>
      <c r="P531" s="1987"/>
      <c r="Q531" s="1987"/>
      <c r="R531" s="1987"/>
      <c r="S531" s="1987"/>
      <c r="T531" s="1987"/>
      <c r="U531" s="1987"/>
      <c r="V531" s="1987"/>
      <c r="W531" s="1987"/>
      <c r="X531" s="1987"/>
      <c r="Y531" s="1987"/>
      <c r="Z531" s="1987"/>
      <c r="AA531" s="1987"/>
      <c r="AB531" s="1987"/>
      <c r="AC531" s="1987"/>
      <c r="AD531" s="1987"/>
      <c r="AE531" s="1987"/>
      <c r="AF531" s="1987"/>
      <c r="AG531" s="1987"/>
      <c r="AH531" s="1987"/>
      <c r="AI531" s="1987"/>
      <c r="AJ531" s="1987"/>
      <c r="AK531" s="1987"/>
      <c r="AL531" s="1988"/>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24" t="s">
        <v>600</v>
      </c>
      <c r="D533" s="1924"/>
      <c r="E533" s="842"/>
      <c r="F533" s="679" t="s">
        <v>1738</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901" t="s">
        <v>1739</v>
      </c>
      <c r="G534" s="1902"/>
      <c r="H534" s="1902"/>
      <c r="I534" s="1902"/>
      <c r="J534" s="1902"/>
      <c r="K534" s="1902"/>
      <c r="L534" s="1902"/>
      <c r="M534" s="1902"/>
      <c r="N534" s="1902"/>
      <c r="O534" s="1902"/>
      <c r="P534" s="1902"/>
      <c r="Q534" s="1902"/>
      <c r="R534" s="1902"/>
      <c r="S534" s="1902"/>
      <c r="T534" s="1902"/>
      <c r="U534" s="1902"/>
      <c r="V534" s="1902"/>
      <c r="W534" s="1902"/>
      <c r="X534" s="1902"/>
      <c r="Y534" s="1902"/>
      <c r="Z534" s="1902"/>
      <c r="AA534" s="1902"/>
      <c r="AB534" s="1902"/>
      <c r="AC534" s="1902"/>
      <c r="AD534" s="1902"/>
      <c r="AE534" s="1902"/>
      <c r="AF534" s="1902"/>
      <c r="AG534" s="1902"/>
      <c r="AH534" s="1902"/>
      <c r="AI534" s="1902"/>
      <c r="AJ534" s="1902"/>
      <c r="AK534" s="1902"/>
      <c r="AL534" s="1903"/>
      <c r="AM534" s="630"/>
      <c r="AN534" s="632"/>
      <c r="AS534" s="906"/>
      <c r="AT534" s="906"/>
      <c r="AU534" s="906"/>
      <c r="AV534" s="906"/>
      <c r="AW534" s="906"/>
    </row>
    <row r="535" spans="1:49" s="585" customFormat="1" ht="12.75" customHeight="1">
      <c r="B535" s="842"/>
      <c r="C535" s="842"/>
      <c r="D535" s="842"/>
      <c r="E535" s="842"/>
      <c r="F535" s="1901"/>
      <c r="G535" s="1902"/>
      <c r="H535" s="1902"/>
      <c r="I535" s="1902"/>
      <c r="J535" s="1902"/>
      <c r="K535" s="1902"/>
      <c r="L535" s="1902"/>
      <c r="M535" s="1902"/>
      <c r="N535" s="1902"/>
      <c r="O535" s="1902"/>
      <c r="P535" s="1902"/>
      <c r="Q535" s="1902"/>
      <c r="R535" s="1902"/>
      <c r="S535" s="1902"/>
      <c r="T535" s="1902"/>
      <c r="U535" s="1902"/>
      <c r="V535" s="1902"/>
      <c r="W535" s="1902"/>
      <c r="X535" s="1902"/>
      <c r="Y535" s="1902"/>
      <c r="Z535" s="1902"/>
      <c r="AA535" s="1902"/>
      <c r="AB535" s="1902"/>
      <c r="AC535" s="1902"/>
      <c r="AD535" s="1902"/>
      <c r="AE535" s="1902"/>
      <c r="AF535" s="1902"/>
      <c r="AG535" s="1902"/>
      <c r="AH535" s="1902"/>
      <c r="AI535" s="1902"/>
      <c r="AJ535" s="1902"/>
      <c r="AK535" s="1902"/>
      <c r="AL535" s="1903"/>
      <c r="AM535" s="630"/>
      <c r="AN535" s="632"/>
    </row>
    <row r="536" spans="1:49" s="585" customFormat="1" ht="12.75" customHeight="1">
      <c r="B536" s="842"/>
      <c r="C536" s="842"/>
      <c r="D536" s="842"/>
      <c r="E536" s="842"/>
      <c r="F536" s="847" t="s">
        <v>2425</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901" t="s">
        <v>1740</v>
      </c>
      <c r="G537" s="1902"/>
      <c r="H537" s="1902"/>
      <c r="I537" s="1902"/>
      <c r="J537" s="1902"/>
      <c r="K537" s="1902"/>
      <c r="L537" s="1902"/>
      <c r="M537" s="1902"/>
      <c r="N537" s="1902"/>
      <c r="O537" s="1902"/>
      <c r="P537" s="1902"/>
      <c r="Q537" s="1902"/>
      <c r="R537" s="1902"/>
      <c r="S537" s="1902"/>
      <c r="T537" s="1902"/>
      <c r="U537" s="1902"/>
      <c r="V537" s="1902"/>
      <c r="W537" s="1902"/>
      <c r="X537" s="1902"/>
      <c r="Y537" s="1902"/>
      <c r="Z537" s="1902"/>
      <c r="AA537" s="1902"/>
      <c r="AB537" s="1902"/>
      <c r="AC537" s="1902"/>
      <c r="AD537" s="1902"/>
      <c r="AE537" s="1902"/>
      <c r="AF537" s="1902"/>
      <c r="AG537" s="1902"/>
      <c r="AH537" s="1902"/>
      <c r="AI537" s="1902"/>
      <c r="AJ537" s="1902"/>
      <c r="AK537" s="1902"/>
      <c r="AL537" s="849"/>
      <c r="AM537" s="630"/>
      <c r="AN537" s="632"/>
    </row>
    <row r="538" spans="1:49" s="585" customFormat="1" ht="12.75" customHeight="1">
      <c r="B538" s="842"/>
      <c r="C538" s="842"/>
      <c r="D538" s="842"/>
      <c r="E538" s="842"/>
      <c r="F538" s="1904"/>
      <c r="G538" s="1905"/>
      <c r="H538" s="1905"/>
      <c r="I538" s="1905"/>
      <c r="J538" s="1905"/>
      <c r="K538" s="1905"/>
      <c r="L538" s="1905"/>
      <c r="M538" s="1905"/>
      <c r="N538" s="1905"/>
      <c r="O538" s="1905"/>
      <c r="P538" s="1905"/>
      <c r="Q538" s="1905"/>
      <c r="R538" s="1905"/>
      <c r="S538" s="1905"/>
      <c r="T538" s="1905"/>
      <c r="U538" s="1905"/>
      <c r="V538" s="1905"/>
      <c r="W538" s="1905"/>
      <c r="X538" s="1905"/>
      <c r="Y538" s="1905"/>
      <c r="Z538" s="1905"/>
      <c r="AA538" s="1905"/>
      <c r="AB538" s="1905"/>
      <c r="AC538" s="1905"/>
      <c r="AD538" s="1905"/>
      <c r="AE538" s="1905"/>
      <c r="AF538" s="1905"/>
      <c r="AG538" s="1905"/>
      <c r="AH538" s="1905"/>
      <c r="AI538" s="1905"/>
      <c r="AJ538" s="1905"/>
      <c r="AK538" s="1905"/>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1896">
        <f>Application!AJ961</f>
        <v>169382269</v>
      </c>
      <c r="AQ539" s="1896"/>
      <c r="AR539" s="1896"/>
    </row>
    <row r="540" spans="1:49" s="585" customFormat="1" ht="12.75" customHeight="1">
      <c r="A540" s="533"/>
      <c r="B540" s="482" t="s">
        <v>1741</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06">
        <f>'Sources and Uses Budget'!S107+'Sources and Uses Budget'!T107</f>
        <v>174301852</v>
      </c>
      <c r="AG540" s="1906"/>
      <c r="AH540" s="1906"/>
      <c r="AI540" s="1906"/>
      <c r="AJ540" s="1906"/>
      <c r="AK540" s="630"/>
      <c r="AL540" s="630"/>
      <c r="AM540" s="630"/>
      <c r="AN540" s="632"/>
    </row>
    <row r="541" spans="1:49" s="585" customFormat="1" ht="12.75" customHeight="1">
      <c r="A541" s="660"/>
      <c r="B541" s="660" t="s">
        <v>1742</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1907">
        <f>IFERROR(AP548,0)</f>
        <v>381110105.19999999</v>
      </c>
      <c r="AG541" s="1907"/>
      <c r="AH541" s="1907"/>
      <c r="AI541" s="1907"/>
      <c r="AJ541" s="1907"/>
      <c r="AK541" s="630"/>
      <c r="AL541" s="630"/>
      <c r="AM541" s="630"/>
      <c r="AN541" s="632"/>
      <c r="AP541" s="1896">
        <f>Application!AJ1010</f>
        <v>88078779.88000001</v>
      </c>
      <c r="AQ541" s="1896"/>
      <c r="AR541" s="1896"/>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1908">
        <f>IFERROR(ROUNDDOWN(IF(C533="YES",((1-(AF540/AF541))*2),(1-(AF540/AF541))),2),0)</f>
        <v>0.54</v>
      </c>
      <c r="AG542" s="1908"/>
      <c r="AH542" s="1908"/>
      <c r="AI542" s="1908"/>
      <c r="AJ542" s="1908"/>
      <c r="AK542" s="630"/>
      <c r="AL542" s="630"/>
      <c r="AM542" s="630"/>
      <c r="AN542" s="632"/>
      <c r="AP542" s="1897">
        <f>Application!AJ1014</f>
        <v>94854070.640000015</v>
      </c>
      <c r="AQ542" s="1897"/>
      <c r="AR542" s="1897"/>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1916">
        <f>IF(((AP541+AP542)/AP539)&gt;0.8,0.8,((AP541+AP542)/AP539))</f>
        <v>0.8</v>
      </c>
      <c r="AQ543" s="1916"/>
      <c r="AR543" s="1916"/>
    </row>
    <row r="544" spans="1:49" s="585" customFormat="1" ht="12.75" customHeight="1">
      <c r="A544" s="659"/>
      <c r="B544" s="1962" t="s">
        <v>2426</v>
      </c>
      <c r="C544" s="1963"/>
      <c r="D544" s="1963"/>
      <c r="E544" s="1963"/>
      <c r="F544" s="1963"/>
      <c r="G544" s="1963"/>
      <c r="H544" s="1963"/>
      <c r="I544" s="1963"/>
      <c r="J544" s="1963"/>
      <c r="K544" s="1963"/>
      <c r="L544" s="1963"/>
      <c r="M544" s="1963"/>
      <c r="N544" s="1963"/>
      <c r="O544" s="1963"/>
      <c r="P544" s="1963"/>
      <c r="Q544" s="1963"/>
      <c r="R544" s="1963"/>
      <c r="S544" s="1963"/>
      <c r="T544" s="1963"/>
      <c r="U544" s="1963"/>
      <c r="V544" s="1963"/>
      <c r="W544" s="1963"/>
      <c r="X544" s="1963"/>
      <c r="Y544" s="1963"/>
      <c r="Z544" s="1963"/>
      <c r="AA544" s="1963"/>
      <c r="AB544" s="1963"/>
      <c r="AC544" s="1963"/>
      <c r="AD544" s="1963"/>
      <c r="AE544" s="1963"/>
      <c r="AF544" s="1963"/>
      <c r="AG544" s="1963"/>
      <c r="AH544" s="1963"/>
      <c r="AI544" s="1963"/>
      <c r="AJ544" s="1964"/>
      <c r="AK544" s="630"/>
      <c r="AL544" s="630"/>
      <c r="AM544" s="630"/>
      <c r="AN544" s="632"/>
    </row>
    <row r="545" spans="1:44" s="585" customFormat="1" ht="12.75" customHeight="1">
      <c r="A545" s="659"/>
      <c r="B545" s="1965"/>
      <c r="C545" s="1966"/>
      <c r="D545" s="1966"/>
      <c r="E545" s="1966"/>
      <c r="F545" s="1966"/>
      <c r="G545" s="1966"/>
      <c r="H545" s="1966"/>
      <c r="I545" s="1966"/>
      <c r="J545" s="1966"/>
      <c r="K545" s="1966"/>
      <c r="L545" s="1966"/>
      <c r="M545" s="1966"/>
      <c r="N545" s="1966"/>
      <c r="O545" s="1966"/>
      <c r="P545" s="1966"/>
      <c r="Q545" s="1966"/>
      <c r="R545" s="1966"/>
      <c r="S545" s="1966"/>
      <c r="T545" s="1966"/>
      <c r="U545" s="1966"/>
      <c r="V545" s="1966"/>
      <c r="W545" s="1966"/>
      <c r="X545" s="1966"/>
      <c r="Y545" s="1966"/>
      <c r="Z545" s="1966"/>
      <c r="AA545" s="1966"/>
      <c r="AB545" s="1966"/>
      <c r="AC545" s="1966"/>
      <c r="AD545" s="1966"/>
      <c r="AE545" s="1966"/>
      <c r="AF545" s="1966"/>
      <c r="AG545" s="1966"/>
      <c r="AH545" s="1966"/>
      <c r="AI545" s="1966"/>
      <c r="AJ545" s="1967"/>
      <c r="AK545" s="630"/>
      <c r="AL545" s="630"/>
      <c r="AM545" s="630"/>
      <c r="AN545" s="632"/>
      <c r="AP545" s="1896">
        <f>AP546-AP541-AP542</f>
        <v>245604289.99999997</v>
      </c>
      <c r="AQ545" s="1917"/>
      <c r="AR545" s="1917"/>
    </row>
    <row r="546" spans="1:44" s="585" customFormat="1" ht="12.75" customHeight="1">
      <c r="A546" s="659"/>
      <c r="B546" s="1968"/>
      <c r="C546" s="1969"/>
      <c r="D546" s="1969"/>
      <c r="E546" s="1969"/>
      <c r="F546" s="1969"/>
      <c r="G546" s="1969"/>
      <c r="H546" s="1969"/>
      <c r="I546" s="1969"/>
      <c r="J546" s="1969"/>
      <c r="K546" s="1969"/>
      <c r="L546" s="1969"/>
      <c r="M546" s="1969"/>
      <c r="N546" s="1969"/>
      <c r="O546" s="1969"/>
      <c r="P546" s="1969"/>
      <c r="Q546" s="1969"/>
      <c r="R546" s="1969"/>
      <c r="S546" s="1969"/>
      <c r="T546" s="1969"/>
      <c r="U546" s="1969"/>
      <c r="V546" s="1969"/>
      <c r="W546" s="1969"/>
      <c r="X546" s="1969"/>
      <c r="Y546" s="1969"/>
      <c r="Z546" s="1969"/>
      <c r="AA546" s="1969"/>
      <c r="AB546" s="1969"/>
      <c r="AC546" s="1969"/>
      <c r="AD546" s="1969"/>
      <c r="AE546" s="1969"/>
      <c r="AF546" s="1969"/>
      <c r="AG546" s="1969"/>
      <c r="AH546" s="1969"/>
      <c r="AI546" s="1969"/>
      <c r="AJ546" s="1970"/>
      <c r="AK546" s="630"/>
      <c r="AL546" s="630"/>
      <c r="AM546" s="630"/>
      <c r="AN546" s="632"/>
      <c r="AP546" s="1896">
        <f>Application!AJ1018</f>
        <v>428537140.51999998</v>
      </c>
      <c r="AQ546" s="1896"/>
      <c r="AR546" s="1896"/>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1743</v>
      </c>
      <c r="AK548" s="1971">
        <f>IFERROR(IF(AND(C530="N/A",C533="N/A"),0,IF(AF542=0,0,IF((AF542*100)&gt;12,12,(AF542*100)))),0)</f>
        <v>12</v>
      </c>
      <c r="AL548" s="1971"/>
      <c r="AM548" s="1972"/>
      <c r="AN548" s="632"/>
      <c r="AP548" s="1885">
        <f>AP545+(AP539*AP543)</f>
        <v>381110105.19999999</v>
      </c>
      <c r="AQ548" s="1886"/>
      <c r="AR548" s="1887"/>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2416</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915" t="s">
        <v>1485</v>
      </c>
      <c r="AF551" s="1915"/>
      <c r="AG551" s="1915"/>
      <c r="AH551" s="1915"/>
      <c r="AI551" s="1915"/>
      <c r="AJ551" s="1915"/>
      <c r="AK551" s="1915"/>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902" t="s">
        <v>2417</v>
      </c>
      <c r="C553" s="1902"/>
      <c r="D553" s="1902"/>
      <c r="E553" s="1902"/>
      <c r="F553" s="1902"/>
      <c r="G553" s="1902"/>
      <c r="H553" s="1902"/>
      <c r="I553" s="1902"/>
      <c r="J553" s="1902"/>
      <c r="K553" s="1902"/>
      <c r="L553" s="1902"/>
      <c r="M553" s="1902"/>
      <c r="N553" s="1902"/>
      <c r="O553" s="1902"/>
      <c r="P553" s="1902"/>
      <c r="Q553" s="1902"/>
      <c r="R553" s="1902"/>
      <c r="S553" s="1902"/>
      <c r="T553" s="1902"/>
      <c r="U553" s="1902"/>
      <c r="V553" s="1902"/>
      <c r="W553" s="1902"/>
      <c r="X553" s="1902"/>
      <c r="Y553" s="1902"/>
      <c r="Z553" s="1902"/>
      <c r="AA553" s="1902"/>
      <c r="AB553" s="1902"/>
      <c r="AC553" s="1902"/>
      <c r="AD553" s="1902"/>
      <c r="AE553" s="1902"/>
      <c r="AF553" s="1902"/>
      <c r="AG553" s="1902"/>
      <c r="AH553" s="1902"/>
      <c r="AI553" s="1902"/>
      <c r="AJ553" s="1902"/>
      <c r="AK553" s="677"/>
      <c r="AL553" s="608"/>
      <c r="AM553" s="638"/>
      <c r="AN553" s="632"/>
    </row>
    <row r="554" spans="1:44" s="585" customFormat="1" ht="12.75" customHeight="1">
      <c r="A554" s="638"/>
      <c r="B554" s="1902"/>
      <c r="C554" s="1902"/>
      <c r="D554" s="1902"/>
      <c r="E554" s="1902"/>
      <c r="F554" s="1902"/>
      <c r="G554" s="1902"/>
      <c r="H554" s="1902"/>
      <c r="I554" s="1902"/>
      <c r="J554" s="1902"/>
      <c r="K554" s="1902"/>
      <c r="L554" s="1902"/>
      <c r="M554" s="1902"/>
      <c r="N554" s="1902"/>
      <c r="O554" s="1902"/>
      <c r="P554" s="1902"/>
      <c r="Q554" s="1902"/>
      <c r="R554" s="1902"/>
      <c r="S554" s="1902"/>
      <c r="T554" s="1902"/>
      <c r="U554" s="1902"/>
      <c r="V554" s="1902"/>
      <c r="W554" s="1902"/>
      <c r="X554" s="1902"/>
      <c r="Y554" s="1902"/>
      <c r="Z554" s="1902"/>
      <c r="AA554" s="1902"/>
      <c r="AB554" s="1902"/>
      <c r="AC554" s="1902"/>
      <c r="AD554" s="1902"/>
      <c r="AE554" s="1902"/>
      <c r="AF554" s="1902"/>
      <c r="AG554" s="1902"/>
      <c r="AH554" s="1902"/>
      <c r="AI554" s="1902"/>
      <c r="AJ554" s="1902"/>
      <c r="AK554" s="677"/>
      <c r="AL554" s="608"/>
      <c r="AM554" s="638"/>
      <c r="AN554" s="632"/>
    </row>
    <row r="555" spans="1:44" s="585" customFormat="1" ht="12.75" customHeight="1">
      <c r="A555" s="638"/>
      <c r="B555" s="1902"/>
      <c r="C555" s="1902"/>
      <c r="D555" s="1902"/>
      <c r="E555" s="1902"/>
      <c r="F555" s="1902"/>
      <c r="G555" s="1902"/>
      <c r="H555" s="1902"/>
      <c r="I555" s="1902"/>
      <c r="J555" s="1902"/>
      <c r="K555" s="1902"/>
      <c r="L555" s="1902"/>
      <c r="M555" s="1902"/>
      <c r="N555" s="1902"/>
      <c r="O555" s="1902"/>
      <c r="P555" s="1902"/>
      <c r="Q555" s="1902"/>
      <c r="R555" s="1902"/>
      <c r="S555" s="1902"/>
      <c r="T555" s="1902"/>
      <c r="U555" s="1902"/>
      <c r="V555" s="1902"/>
      <c r="W555" s="1902"/>
      <c r="X555" s="1902"/>
      <c r="Y555" s="1902"/>
      <c r="Z555" s="1902"/>
      <c r="AA555" s="1902"/>
      <c r="AB555" s="1902"/>
      <c r="AC555" s="1902"/>
      <c r="AD555" s="1902"/>
      <c r="AE555" s="1902"/>
      <c r="AF555" s="1902"/>
      <c r="AG555" s="1902"/>
      <c r="AH555" s="1902"/>
      <c r="AI555" s="1902"/>
      <c r="AJ555" s="1902"/>
      <c r="AK555" s="677"/>
      <c r="AL555" s="608"/>
      <c r="AM555" s="638"/>
      <c r="AN555" s="632"/>
    </row>
    <row r="556" spans="1:44" s="585" customFormat="1" ht="12.75" customHeight="1">
      <c r="A556" s="638"/>
      <c r="B556" s="1902"/>
      <c r="C556" s="1902"/>
      <c r="D556" s="1902"/>
      <c r="E556" s="1902"/>
      <c r="F556" s="1902"/>
      <c r="G556" s="1902"/>
      <c r="H556" s="1902"/>
      <c r="I556" s="1902"/>
      <c r="J556" s="1902"/>
      <c r="K556" s="1902"/>
      <c r="L556" s="1902"/>
      <c r="M556" s="1902"/>
      <c r="N556" s="1902"/>
      <c r="O556" s="1902"/>
      <c r="P556" s="1902"/>
      <c r="Q556" s="1902"/>
      <c r="R556" s="1902"/>
      <c r="S556" s="1902"/>
      <c r="T556" s="1902"/>
      <c r="U556" s="1902"/>
      <c r="V556" s="1902"/>
      <c r="W556" s="1902"/>
      <c r="X556" s="1902"/>
      <c r="Y556" s="1902"/>
      <c r="Z556" s="1902"/>
      <c r="AA556" s="1902"/>
      <c r="AB556" s="1902"/>
      <c r="AC556" s="1902"/>
      <c r="AD556" s="1902"/>
      <c r="AE556" s="1902"/>
      <c r="AF556" s="1902"/>
      <c r="AG556" s="1902"/>
      <c r="AH556" s="1902"/>
      <c r="AI556" s="1902"/>
      <c r="AJ556" s="1902"/>
      <c r="AK556" s="677"/>
      <c r="AL556" s="608"/>
      <c r="AM556" s="638"/>
      <c r="AN556" s="632"/>
    </row>
    <row r="557" spans="1:44" s="585" customFormat="1" ht="12.75" customHeight="1">
      <c r="A557" s="638"/>
      <c r="B557" s="1902"/>
      <c r="C557" s="1902"/>
      <c r="D557" s="1902"/>
      <c r="E557" s="1902"/>
      <c r="F557" s="1902"/>
      <c r="G557" s="1902"/>
      <c r="H557" s="1902"/>
      <c r="I557" s="1902"/>
      <c r="J557" s="1902"/>
      <c r="K557" s="1902"/>
      <c r="L557" s="1902"/>
      <c r="M557" s="1902"/>
      <c r="N557" s="1902"/>
      <c r="O557" s="1902"/>
      <c r="P557" s="1902"/>
      <c r="Q557" s="1902"/>
      <c r="R557" s="1902"/>
      <c r="S557" s="1902"/>
      <c r="T557" s="1902"/>
      <c r="U557" s="1902"/>
      <c r="V557" s="1902"/>
      <c r="W557" s="1902"/>
      <c r="X557" s="1902"/>
      <c r="Y557" s="1902"/>
      <c r="Z557" s="1902"/>
      <c r="AA557" s="1902"/>
      <c r="AB557" s="1902"/>
      <c r="AC557" s="1902"/>
      <c r="AD557" s="1902"/>
      <c r="AE557" s="1902"/>
      <c r="AF557" s="1902"/>
      <c r="AG557" s="1902"/>
      <c r="AH557" s="1902"/>
      <c r="AI557" s="1902"/>
      <c r="AJ557" s="1902"/>
      <c r="AK557" s="677"/>
      <c r="AL557" s="608"/>
      <c r="AM557" s="638"/>
      <c r="AN557" s="632"/>
    </row>
    <row r="558" spans="1:44" s="585" customFormat="1" ht="12.75" customHeight="1">
      <c r="A558" s="638"/>
      <c r="B558" s="1902"/>
      <c r="C558" s="1902"/>
      <c r="D558" s="1902"/>
      <c r="E558" s="1902"/>
      <c r="F558" s="1902"/>
      <c r="G558" s="1902"/>
      <c r="H558" s="1902"/>
      <c r="I558" s="1902"/>
      <c r="J558" s="1902"/>
      <c r="K558" s="1902"/>
      <c r="L558" s="1902"/>
      <c r="M558" s="1902"/>
      <c r="N558" s="1902"/>
      <c r="O558" s="1902"/>
      <c r="P558" s="1902"/>
      <c r="Q558" s="1902"/>
      <c r="R558" s="1902"/>
      <c r="S558" s="1902"/>
      <c r="T558" s="1902"/>
      <c r="U558" s="1902"/>
      <c r="V558" s="1902"/>
      <c r="W558" s="1902"/>
      <c r="X558" s="1902"/>
      <c r="Y558" s="1902"/>
      <c r="Z558" s="1902"/>
      <c r="AA558" s="1902"/>
      <c r="AB558" s="1902"/>
      <c r="AC558" s="1902"/>
      <c r="AD558" s="1902"/>
      <c r="AE558" s="1902"/>
      <c r="AF558" s="1902"/>
      <c r="AG558" s="1902"/>
      <c r="AH558" s="1902"/>
      <c r="AI558" s="1902"/>
      <c r="AJ558" s="1902"/>
      <c r="AK558" s="677"/>
      <c r="AL558" s="608"/>
      <c r="AM558" s="638"/>
      <c r="AN558" s="632"/>
    </row>
    <row r="559" spans="1:44" s="585" customFormat="1" ht="12.75" customHeight="1">
      <c r="A559" s="638"/>
      <c r="B559" s="1902"/>
      <c r="C559" s="1902"/>
      <c r="D559" s="1902"/>
      <c r="E559" s="1902"/>
      <c r="F559" s="1902"/>
      <c r="G559" s="1902"/>
      <c r="H559" s="1902"/>
      <c r="I559" s="1902"/>
      <c r="J559" s="1902"/>
      <c r="K559" s="1902"/>
      <c r="L559" s="1902"/>
      <c r="M559" s="1902"/>
      <c r="N559" s="1902"/>
      <c r="O559" s="1902"/>
      <c r="P559" s="1902"/>
      <c r="Q559" s="1902"/>
      <c r="R559" s="1902"/>
      <c r="S559" s="1902"/>
      <c r="T559" s="1902"/>
      <c r="U559" s="1902"/>
      <c r="V559" s="1902"/>
      <c r="W559" s="1902"/>
      <c r="X559" s="1902"/>
      <c r="Y559" s="1902"/>
      <c r="Z559" s="1902"/>
      <c r="AA559" s="1902"/>
      <c r="AB559" s="1902"/>
      <c r="AC559" s="1902"/>
      <c r="AD559" s="1902"/>
      <c r="AE559" s="1902"/>
      <c r="AF559" s="1902"/>
      <c r="AG559" s="1902"/>
      <c r="AH559" s="1902"/>
      <c r="AI559" s="1902"/>
      <c r="AJ559" s="1902"/>
      <c r="AK559" s="677"/>
      <c r="AL559" s="608"/>
      <c r="AM559" s="638"/>
      <c r="AN559" s="632"/>
    </row>
    <row r="560" spans="1:44" ht="12.75" customHeight="1">
      <c r="A560" s="638"/>
      <c r="B560" s="1902"/>
      <c r="C560" s="1902"/>
      <c r="D560" s="1902"/>
      <c r="E560" s="1902"/>
      <c r="F560" s="1902"/>
      <c r="G560" s="1902"/>
      <c r="H560" s="1902"/>
      <c r="I560" s="1902"/>
      <c r="J560" s="1902"/>
      <c r="K560" s="1902"/>
      <c r="L560" s="1902"/>
      <c r="M560" s="1902"/>
      <c r="N560" s="1902"/>
      <c r="O560" s="1902"/>
      <c r="P560" s="1902"/>
      <c r="Q560" s="1902"/>
      <c r="R560" s="1902"/>
      <c r="S560" s="1902"/>
      <c r="T560" s="1902"/>
      <c r="U560" s="1902"/>
      <c r="V560" s="1902"/>
      <c r="W560" s="1902"/>
      <c r="X560" s="1902"/>
      <c r="Y560" s="1902"/>
      <c r="Z560" s="1902"/>
      <c r="AA560" s="1902"/>
      <c r="AB560" s="1902"/>
      <c r="AC560" s="1902"/>
      <c r="AD560" s="1902"/>
      <c r="AE560" s="1902"/>
      <c r="AF560" s="1902"/>
      <c r="AG560" s="1902"/>
      <c r="AH560" s="1902"/>
      <c r="AI560" s="1902"/>
      <c r="AJ560" s="1902"/>
      <c r="AK560" s="677"/>
      <c r="AL560" s="608"/>
      <c r="AM560" s="638"/>
    </row>
    <row r="561" spans="1:42" s="585" customFormat="1" ht="12.75" customHeight="1">
      <c r="B561" s="1902"/>
      <c r="C561" s="1902"/>
      <c r="D561" s="1902"/>
      <c r="E561" s="1902"/>
      <c r="F561" s="1902"/>
      <c r="G561" s="1902"/>
      <c r="H561" s="1902"/>
      <c r="I561" s="1902"/>
      <c r="J561" s="1902"/>
      <c r="K561" s="1902"/>
      <c r="L561" s="1902"/>
      <c r="M561" s="1902"/>
      <c r="N561" s="1902"/>
      <c r="O561" s="1902"/>
      <c r="P561" s="1902"/>
      <c r="Q561" s="1902"/>
      <c r="R561" s="1902"/>
      <c r="S561" s="1902"/>
      <c r="T561" s="1902"/>
      <c r="U561" s="1902"/>
      <c r="V561" s="1902"/>
      <c r="W561" s="1902"/>
      <c r="X561" s="1902"/>
      <c r="Y561" s="1902"/>
      <c r="Z561" s="1902"/>
      <c r="AA561" s="1902"/>
      <c r="AB561" s="1902"/>
      <c r="AC561" s="1902"/>
      <c r="AD561" s="1902"/>
      <c r="AE561" s="1902"/>
      <c r="AF561" s="1902"/>
      <c r="AG561" s="1902"/>
      <c r="AH561" s="1902"/>
      <c r="AI561" s="1902"/>
      <c r="AJ561" s="1902"/>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1565</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600</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554</v>
      </c>
    </row>
    <row r="565" spans="1:42" s="585" customFormat="1" ht="12.75" customHeight="1">
      <c r="C565" s="574" t="s">
        <v>1566</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697</v>
      </c>
      <c r="E567" s="874" t="s">
        <v>1957</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82" t="s">
        <v>1509</v>
      </c>
      <c r="AG567" s="1982"/>
      <c r="AH567" s="1982"/>
      <c r="AI567" s="1982"/>
      <c r="AJ567" s="1982"/>
      <c r="AK567" s="1982"/>
      <c r="AL567" s="1982"/>
      <c r="AN567" s="632"/>
    </row>
    <row r="568" spans="1:42" s="585" customFormat="1" ht="12.75" customHeight="1">
      <c r="B568" s="571"/>
      <c r="C568" s="651"/>
      <c r="D568" s="698"/>
      <c r="E568" s="874" t="s">
        <v>1958</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1959</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1960</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1961</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1962</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518</v>
      </c>
      <c r="E574" s="874" t="s">
        <v>1963</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82" t="s">
        <v>1567</v>
      </c>
      <c r="AG574" s="1982"/>
      <c r="AH574" s="1982"/>
      <c r="AI574" s="1982"/>
      <c r="AJ574" s="1982"/>
      <c r="AK574" s="1982"/>
      <c r="AL574" s="1982"/>
      <c r="AN574" s="632"/>
    </row>
    <row r="575" spans="1:42" s="585" customFormat="1" ht="12.75" customHeight="1">
      <c r="B575" s="571"/>
      <c r="C575" s="970"/>
      <c r="D575" s="698"/>
      <c r="E575" s="874" t="s">
        <v>1964</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600</v>
      </c>
      <c r="AP575" s="708">
        <v>0</v>
      </c>
    </row>
    <row r="576" spans="1:42" s="585" customFormat="1" ht="12.75" customHeight="1">
      <c r="B576" s="645"/>
      <c r="C576" s="968"/>
      <c r="D576" s="698"/>
      <c r="E576" s="874" t="s">
        <v>1965</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697</v>
      </c>
      <c r="AP576" s="585">
        <v>7</v>
      </c>
    </row>
    <row r="577" spans="1:53" s="585" customFormat="1" ht="12.75" customHeight="1">
      <c r="B577" s="645"/>
      <c r="C577" s="968"/>
      <c r="D577" s="698"/>
      <c r="E577" s="874" t="s">
        <v>1967</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518</v>
      </c>
      <c r="AP577" s="585">
        <v>6</v>
      </c>
    </row>
    <row r="578" spans="1:53" s="585" customFormat="1" ht="12.75" customHeight="1">
      <c r="B578" s="645"/>
      <c r="C578" s="968"/>
      <c r="D578" s="698"/>
      <c r="E578" s="874" t="s">
        <v>1966</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1568</v>
      </c>
      <c r="AP579" s="585">
        <v>4</v>
      </c>
    </row>
    <row r="580" spans="1:53" s="585" customFormat="1" ht="12.75" customHeight="1">
      <c r="B580" s="571"/>
      <c r="C580" s="968"/>
      <c r="D580" s="698" t="s">
        <v>280</v>
      </c>
      <c r="E580" s="874" t="s">
        <v>1968</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82" t="s">
        <v>1549</v>
      </c>
      <c r="AG580" s="1982"/>
      <c r="AH580" s="1982"/>
      <c r="AI580" s="1982"/>
      <c r="AJ580" s="1982"/>
      <c r="AK580" s="1982"/>
      <c r="AL580" s="1982"/>
      <c r="AN580" s="632"/>
      <c r="AO580" s="646" t="s">
        <v>1569</v>
      </c>
      <c r="AP580" s="585">
        <v>3</v>
      </c>
    </row>
    <row r="581" spans="1:53" s="585" customFormat="1" ht="12.75" customHeight="1">
      <c r="B581" s="571"/>
      <c r="C581" s="970"/>
      <c r="D581" s="698"/>
      <c r="E581" s="874" t="s">
        <v>1964</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1965</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1967</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1966</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1568</v>
      </c>
      <c r="E586" s="874" t="s">
        <v>1969</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82" t="s">
        <v>1570</v>
      </c>
      <c r="AG586" s="1982"/>
      <c r="AH586" s="1982"/>
      <c r="AI586" s="1982"/>
      <c r="AJ586" s="1982"/>
      <c r="AK586" s="1982"/>
      <c r="AL586" s="1982"/>
      <c r="AN586" s="632"/>
      <c r="AO586" s="585" t="str">
        <f>X623</f>
        <v>N/A</v>
      </c>
    </row>
    <row r="587" spans="1:53" s="585" customFormat="1" ht="12.75" customHeight="1">
      <c r="B587" s="571"/>
      <c r="C587" s="970"/>
      <c r="D587" s="698"/>
      <c r="E587" s="874" t="s">
        <v>1970</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1971</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2129</v>
      </c>
      <c r="O590" s="2020" t="s">
        <v>1326</v>
      </c>
      <c r="P590" s="2020"/>
      <c r="Q590" s="2020"/>
      <c r="R590" s="2020"/>
      <c r="S590" s="2020"/>
      <c r="T590" s="2020"/>
      <c r="U590" s="2020"/>
      <c r="V590" s="2020"/>
      <c r="W590" s="2020"/>
      <c r="X590" s="2020"/>
      <c r="Y590" s="2020"/>
      <c r="Z590" s="2020"/>
      <c r="AA590" s="2020"/>
      <c r="AB590" s="2020"/>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1569</v>
      </c>
      <c r="E592" s="874" t="s">
        <v>1973</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82" t="s">
        <v>1523</v>
      </c>
      <c r="AG592" s="1982"/>
      <c r="AH592" s="1982"/>
      <c r="AI592" s="1982"/>
      <c r="AJ592" s="1982"/>
      <c r="AK592" s="1982"/>
      <c r="AL592" s="1982"/>
      <c r="AN592" s="632"/>
    </row>
    <row r="593" spans="2:47" s="585" customFormat="1" ht="12.75" customHeight="1">
      <c r="B593" s="571"/>
      <c r="C593" s="968"/>
      <c r="D593" s="698"/>
      <c r="E593" s="874" t="s">
        <v>1972</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600</v>
      </c>
      <c r="AP594" s="708">
        <v>0</v>
      </c>
      <c r="AT594" s="585" t="s">
        <v>600</v>
      </c>
      <c r="AU594" s="708">
        <v>0</v>
      </c>
    </row>
    <row r="595" spans="2:47" s="585" customFormat="1" ht="12.75" customHeight="1">
      <c r="B595" s="571"/>
      <c r="C595" s="970"/>
      <c r="D595" s="571" t="s">
        <v>1571</v>
      </c>
      <c r="E595" s="973"/>
      <c r="F595" s="973"/>
      <c r="G595" s="973"/>
      <c r="H595" s="1926" t="s">
        <v>697</v>
      </c>
      <c r="I595" s="1926"/>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697</v>
      </c>
      <c r="AP595" s="585">
        <v>3</v>
      </c>
      <c r="AT595" s="646" t="s">
        <v>697</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518</v>
      </c>
      <c r="AP596" s="585">
        <v>2</v>
      </c>
      <c r="AT596" s="646" t="s">
        <v>518</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1974</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1975</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1976</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1977</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600</v>
      </c>
      <c r="AP602" s="708">
        <v>0</v>
      </c>
    </row>
    <row r="603" spans="2:47" s="585" customFormat="1" ht="12.75" customHeight="1">
      <c r="B603" s="571"/>
      <c r="C603" s="970"/>
      <c r="D603" s="571"/>
      <c r="E603" s="571" t="s">
        <v>1571</v>
      </c>
      <c r="F603" s="973"/>
      <c r="G603" s="973"/>
      <c r="I603" s="2019" t="s">
        <v>600</v>
      </c>
      <c r="J603" s="2019"/>
      <c r="K603" s="2019"/>
      <c r="L603" s="2019"/>
      <c r="M603" s="2019"/>
      <c r="N603" s="2019"/>
      <c r="O603" s="2019"/>
      <c r="P603" s="2019"/>
      <c r="Q603" s="2019"/>
      <c r="R603" s="2019"/>
      <c r="S603" s="2019"/>
      <c r="T603" s="2019"/>
      <c r="U603" s="2019"/>
      <c r="V603" s="2019"/>
      <c r="W603" s="2019"/>
      <c r="X603" s="2019"/>
      <c r="Y603" s="2019"/>
      <c r="Z603" s="2019"/>
      <c r="AA603" s="2019"/>
      <c r="AB603" s="2019"/>
      <c r="AC603" s="2019"/>
      <c r="AD603" s="2019"/>
      <c r="AE603" s="2019"/>
      <c r="AF603" s="571"/>
      <c r="AG603" s="571"/>
      <c r="AH603" s="571"/>
      <c r="AI603" s="571"/>
      <c r="AJ603" s="571"/>
      <c r="AK603" s="571"/>
      <c r="AL603" s="571"/>
      <c r="AN603" s="632"/>
      <c r="AO603" s="585" t="s">
        <v>1572</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1573</v>
      </c>
      <c r="AP604" s="585">
        <v>2</v>
      </c>
    </row>
    <row r="605" spans="2:47" s="585" customFormat="1" ht="12.75" customHeight="1">
      <c r="B605" s="2017" t="s">
        <v>600</v>
      </c>
      <c r="C605" s="2017"/>
      <c r="D605" s="677"/>
      <c r="E605" s="1902" t="s">
        <v>1574</v>
      </c>
      <c r="F605" s="1902"/>
      <c r="G605" s="1902"/>
      <c r="H605" s="1902"/>
      <c r="I605" s="1902"/>
      <c r="J605" s="1902"/>
      <c r="K605" s="1902"/>
      <c r="L605" s="1902"/>
      <c r="M605" s="1902"/>
      <c r="N605" s="1902"/>
      <c r="O605" s="1902"/>
      <c r="P605" s="1902"/>
      <c r="Q605" s="1902"/>
      <c r="R605" s="1902"/>
      <c r="S605" s="1902"/>
      <c r="T605" s="1902"/>
      <c r="U605" s="1902"/>
      <c r="V605" s="1902"/>
      <c r="W605" s="1902"/>
      <c r="X605" s="1902"/>
      <c r="Y605" s="1902"/>
      <c r="Z605" s="1902"/>
      <c r="AA605" s="1902"/>
      <c r="AB605" s="1902"/>
      <c r="AC605" s="1902"/>
      <c r="AD605" s="1902"/>
      <c r="AE605" s="1902"/>
      <c r="AF605" s="1902"/>
      <c r="AG605" s="1902"/>
      <c r="AH605" s="677"/>
      <c r="AI605" s="677"/>
      <c r="AJ605" s="677"/>
      <c r="AK605" s="677"/>
      <c r="AL605" s="677"/>
      <c r="AN605" s="632"/>
    </row>
    <row r="606" spans="2:47" s="585" customFormat="1" ht="12.75" customHeight="1">
      <c r="B606" s="571"/>
      <c r="C606" s="970"/>
      <c r="D606" s="677"/>
      <c r="E606" s="1902"/>
      <c r="F606" s="1902"/>
      <c r="G606" s="1902"/>
      <c r="H606" s="1902"/>
      <c r="I606" s="1902"/>
      <c r="J606" s="1902"/>
      <c r="K606" s="1902"/>
      <c r="L606" s="1902"/>
      <c r="M606" s="1902"/>
      <c r="N606" s="1902"/>
      <c r="O606" s="1902"/>
      <c r="P606" s="1902"/>
      <c r="Q606" s="1902"/>
      <c r="R606" s="1902"/>
      <c r="S606" s="1902"/>
      <c r="T606" s="1902"/>
      <c r="U606" s="1902"/>
      <c r="V606" s="1902"/>
      <c r="W606" s="1902"/>
      <c r="X606" s="1902"/>
      <c r="Y606" s="1902"/>
      <c r="Z606" s="1902"/>
      <c r="AA606" s="1902"/>
      <c r="AB606" s="1902"/>
      <c r="AC606" s="1902"/>
      <c r="AD606" s="1902"/>
      <c r="AE606" s="1902"/>
      <c r="AF606" s="1902"/>
      <c r="AG606" s="1902"/>
      <c r="AH606" s="677"/>
      <c r="AI606" s="677"/>
      <c r="AJ606" s="677"/>
      <c r="AK606" s="677"/>
      <c r="AL606" s="677"/>
      <c r="AN606" s="632"/>
    </row>
    <row r="607" spans="2:47" s="585" customFormat="1" ht="12.75" customHeight="1">
      <c r="B607" s="571"/>
      <c r="C607" s="970"/>
      <c r="D607" s="677"/>
      <c r="E607" s="1902"/>
      <c r="F607" s="1902"/>
      <c r="G607" s="1902"/>
      <c r="H607" s="1902"/>
      <c r="I607" s="1902"/>
      <c r="J607" s="1902"/>
      <c r="K607" s="1902"/>
      <c r="L607" s="1902"/>
      <c r="M607" s="1902"/>
      <c r="N607" s="1902"/>
      <c r="O607" s="1902"/>
      <c r="P607" s="1902"/>
      <c r="Q607" s="1902"/>
      <c r="R607" s="1902"/>
      <c r="S607" s="1902"/>
      <c r="T607" s="1902"/>
      <c r="U607" s="1902"/>
      <c r="V607" s="1902"/>
      <c r="W607" s="1902"/>
      <c r="X607" s="1902"/>
      <c r="Y607" s="1902"/>
      <c r="Z607" s="1902"/>
      <c r="AA607" s="1902"/>
      <c r="AB607" s="1902"/>
      <c r="AC607" s="1902"/>
      <c r="AD607" s="1902"/>
      <c r="AE607" s="1902"/>
      <c r="AF607" s="1902"/>
      <c r="AG607" s="1902"/>
      <c r="AH607" s="677"/>
      <c r="AI607" s="677"/>
      <c r="AJ607" s="677"/>
      <c r="AK607" s="677"/>
      <c r="AL607" s="677"/>
      <c r="AN607" s="632"/>
    </row>
    <row r="608" spans="2:47" s="585" customFormat="1" ht="12.75" customHeight="1">
      <c r="B608" s="571"/>
      <c r="C608" s="970"/>
      <c r="D608" s="677"/>
      <c r="E608" s="1902"/>
      <c r="F608" s="1902"/>
      <c r="G608" s="1902"/>
      <c r="H608" s="1902"/>
      <c r="I608" s="1902"/>
      <c r="J608" s="1902"/>
      <c r="K608" s="1902"/>
      <c r="L608" s="1902"/>
      <c r="M608" s="1902"/>
      <c r="N608" s="1902"/>
      <c r="O608" s="1902"/>
      <c r="P608" s="1902"/>
      <c r="Q608" s="1902"/>
      <c r="R608" s="1902"/>
      <c r="S608" s="1902"/>
      <c r="T608" s="1902"/>
      <c r="U608" s="1902"/>
      <c r="V608" s="1902"/>
      <c r="W608" s="1902"/>
      <c r="X608" s="1902"/>
      <c r="Y608" s="1902"/>
      <c r="Z608" s="1902"/>
      <c r="AA608" s="1902"/>
      <c r="AB608" s="1902"/>
      <c r="AC608" s="1902"/>
      <c r="AD608" s="1902"/>
      <c r="AE608" s="1902"/>
      <c r="AF608" s="1902"/>
      <c r="AG608" s="1902"/>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1575</v>
      </c>
      <c r="AJ610" s="1909">
        <f>VLOOKUP($H$595,$AO$575:$AP$580,2,FALSE)+VLOOKUP($I$603,$AO$602:$AP$604,2,FALSE)</f>
        <v>7</v>
      </c>
      <c r="AK610" s="1911"/>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1576</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697</v>
      </c>
      <c r="E614" s="2018" t="s">
        <v>1953</v>
      </c>
      <c r="F614" s="2018"/>
      <c r="G614" s="2018"/>
      <c r="H614" s="2018"/>
      <c r="I614" s="2018"/>
      <c r="J614" s="2018"/>
      <c r="K614" s="2018"/>
      <c r="L614" s="2018"/>
      <c r="M614" s="2018"/>
      <c r="N614" s="2018"/>
      <c r="O614" s="2018"/>
      <c r="P614" s="2018"/>
      <c r="Q614" s="2018"/>
      <c r="R614" s="2018"/>
      <c r="S614" s="2018"/>
      <c r="T614" s="2018"/>
      <c r="U614" s="2018"/>
      <c r="V614" s="2018"/>
      <c r="W614" s="2018"/>
      <c r="X614" s="2018"/>
      <c r="Y614" s="2018"/>
      <c r="Z614" s="2018"/>
      <c r="AA614" s="2018"/>
      <c r="AB614" s="2018"/>
      <c r="AC614" s="2018"/>
      <c r="AD614" s="2018"/>
      <c r="AE614" s="574"/>
      <c r="AF614" s="1982" t="s">
        <v>1523</v>
      </c>
      <c r="AG614" s="1982"/>
      <c r="AH614" s="1982"/>
      <c r="AI614" s="1982"/>
      <c r="AJ614" s="1982"/>
      <c r="AK614" s="1982"/>
      <c r="AL614" s="1982"/>
      <c r="AM614" s="585"/>
      <c r="AN614" s="713"/>
    </row>
    <row r="615" spans="1:42" s="585" customFormat="1" ht="12.75" customHeight="1">
      <c r="A615" s="714"/>
      <c r="B615" s="571"/>
      <c r="C615" s="970"/>
      <c r="D615" s="698"/>
      <c r="E615" s="2018"/>
      <c r="F615" s="2018"/>
      <c r="G615" s="2018"/>
      <c r="H615" s="2018"/>
      <c r="I615" s="2018"/>
      <c r="J615" s="2018"/>
      <c r="K615" s="2018"/>
      <c r="L615" s="2018"/>
      <c r="M615" s="2018"/>
      <c r="N615" s="2018"/>
      <c r="O615" s="2018"/>
      <c r="P615" s="2018"/>
      <c r="Q615" s="2018"/>
      <c r="R615" s="2018"/>
      <c r="S615" s="2018"/>
      <c r="T615" s="2018"/>
      <c r="U615" s="2018"/>
      <c r="V615" s="2018"/>
      <c r="W615" s="2018"/>
      <c r="X615" s="2018"/>
      <c r="Y615" s="2018"/>
      <c r="Z615" s="2018"/>
      <c r="AA615" s="2018"/>
      <c r="AB615" s="2018"/>
      <c r="AC615" s="2018"/>
      <c r="AD615" s="2018"/>
      <c r="AE615" s="571"/>
      <c r="AF615" s="571"/>
      <c r="AG615" s="571"/>
      <c r="AH615" s="571"/>
      <c r="AI615" s="571"/>
      <c r="AJ615" s="571"/>
      <c r="AK615" s="571"/>
      <c r="AL615" s="571"/>
      <c r="AN615" s="632"/>
    </row>
    <row r="616" spans="1:42" s="585" customFormat="1" ht="12.75" customHeight="1">
      <c r="B616" s="571"/>
      <c r="C616" s="968"/>
      <c r="D616" s="698"/>
      <c r="E616" s="2018"/>
      <c r="F616" s="2018"/>
      <c r="G616" s="2018"/>
      <c r="H616" s="2018"/>
      <c r="I616" s="2018"/>
      <c r="J616" s="2018"/>
      <c r="K616" s="2018"/>
      <c r="L616" s="2018"/>
      <c r="M616" s="2018"/>
      <c r="N616" s="2018"/>
      <c r="O616" s="2018"/>
      <c r="P616" s="2018"/>
      <c r="Q616" s="2018"/>
      <c r="R616" s="2018"/>
      <c r="S616" s="2018"/>
      <c r="T616" s="2018"/>
      <c r="U616" s="2018"/>
      <c r="V616" s="2018"/>
      <c r="W616" s="2018"/>
      <c r="X616" s="2018"/>
      <c r="Y616" s="2018"/>
      <c r="Z616" s="2018"/>
      <c r="AA616" s="2018"/>
      <c r="AB616" s="2018"/>
      <c r="AC616" s="2018"/>
      <c r="AD616" s="2018"/>
      <c r="AE616" s="571"/>
      <c r="AF616" s="571"/>
      <c r="AG616" s="571"/>
      <c r="AH616" s="571"/>
      <c r="AI616" s="571"/>
      <c r="AJ616" s="571"/>
      <c r="AK616" s="571"/>
      <c r="AL616" s="571"/>
      <c r="AN616" s="632"/>
    </row>
    <row r="617" spans="1:42" s="585" customFormat="1" ht="12.75" customHeight="1">
      <c r="B617" s="571"/>
      <c r="C617" s="968"/>
      <c r="D617" s="698"/>
      <c r="E617" s="2018"/>
      <c r="F617" s="2018"/>
      <c r="G617" s="2018"/>
      <c r="H617" s="2018"/>
      <c r="I617" s="2018"/>
      <c r="J617" s="2018"/>
      <c r="K617" s="2018"/>
      <c r="L617" s="2018"/>
      <c r="M617" s="2018"/>
      <c r="N617" s="2018"/>
      <c r="O617" s="2018"/>
      <c r="P617" s="2018"/>
      <c r="Q617" s="2018"/>
      <c r="R617" s="2018"/>
      <c r="S617" s="2018"/>
      <c r="T617" s="2018"/>
      <c r="U617" s="2018"/>
      <c r="V617" s="2018"/>
      <c r="W617" s="2018"/>
      <c r="X617" s="2018"/>
      <c r="Y617" s="2018"/>
      <c r="Z617" s="2018"/>
      <c r="AA617" s="2018"/>
      <c r="AB617" s="2018"/>
      <c r="AC617" s="2018"/>
      <c r="AD617" s="2018"/>
      <c r="AE617" s="571"/>
      <c r="AF617" s="571"/>
      <c r="AG617" s="571"/>
      <c r="AH617" s="571"/>
      <c r="AI617" s="571"/>
      <c r="AJ617" s="571"/>
      <c r="AK617" s="571"/>
      <c r="AL617" s="571"/>
      <c r="AN617" s="632"/>
    </row>
    <row r="618" spans="1:42" s="585" customFormat="1" ht="12.75" customHeight="1">
      <c r="B618" s="571"/>
      <c r="C618" s="968"/>
      <c r="D618" s="698"/>
      <c r="E618" s="2018"/>
      <c r="F618" s="2018"/>
      <c r="G618" s="2018"/>
      <c r="H618" s="2018"/>
      <c r="I618" s="2018"/>
      <c r="J618" s="2018"/>
      <c r="K618" s="2018"/>
      <c r="L618" s="2018"/>
      <c r="M618" s="2018"/>
      <c r="N618" s="2018"/>
      <c r="O618" s="2018"/>
      <c r="P618" s="2018"/>
      <c r="Q618" s="2018"/>
      <c r="R618" s="2018"/>
      <c r="S618" s="2018"/>
      <c r="T618" s="2018"/>
      <c r="U618" s="2018"/>
      <c r="V618" s="2018"/>
      <c r="W618" s="2018"/>
      <c r="X618" s="2018"/>
      <c r="Y618" s="2018"/>
      <c r="Z618" s="2018"/>
      <c r="AA618" s="2018"/>
      <c r="AB618" s="2018"/>
      <c r="AC618" s="2018"/>
      <c r="AD618" s="2018"/>
      <c r="AE618" s="571"/>
      <c r="AF618" s="571"/>
      <c r="AG618" s="571"/>
      <c r="AH618" s="571"/>
      <c r="AI618" s="571"/>
      <c r="AJ618" s="571"/>
      <c r="AK618" s="571"/>
      <c r="AL618" s="571"/>
      <c r="AN618" s="632"/>
    </row>
    <row r="619" spans="1:42" s="585" customFormat="1" ht="12.75" customHeight="1">
      <c r="B619" s="571"/>
      <c r="C619" s="968"/>
      <c r="D619" s="698"/>
      <c r="E619" s="2018"/>
      <c r="F619" s="2018"/>
      <c r="G619" s="2018"/>
      <c r="H619" s="2018"/>
      <c r="I619" s="2018"/>
      <c r="J619" s="2018"/>
      <c r="K619" s="2018"/>
      <c r="L619" s="2018"/>
      <c r="M619" s="2018"/>
      <c r="N619" s="2018"/>
      <c r="O619" s="2018"/>
      <c r="P619" s="2018"/>
      <c r="Q619" s="2018"/>
      <c r="R619" s="2018"/>
      <c r="S619" s="2018"/>
      <c r="T619" s="2018"/>
      <c r="U619" s="2018"/>
      <c r="V619" s="2018"/>
      <c r="W619" s="2018"/>
      <c r="X619" s="2018"/>
      <c r="Y619" s="2018"/>
      <c r="Z619" s="2018"/>
      <c r="AA619" s="2018"/>
      <c r="AB619" s="2018"/>
      <c r="AC619" s="2018"/>
      <c r="AD619" s="2018"/>
      <c r="AE619" s="571"/>
      <c r="AF619" s="571"/>
      <c r="AG619" s="571"/>
      <c r="AH619" s="571"/>
      <c r="AI619" s="571"/>
      <c r="AJ619" s="571"/>
      <c r="AK619" s="571"/>
      <c r="AL619" s="571"/>
      <c r="AN619" s="632"/>
    </row>
    <row r="620" spans="1:42" s="585" customFormat="1" ht="12.75" customHeight="1">
      <c r="A620" s="672"/>
      <c r="B620" s="651"/>
      <c r="C620" s="977"/>
      <c r="D620" s="698"/>
      <c r="E620" s="2018"/>
      <c r="F620" s="2018"/>
      <c r="G620" s="2018"/>
      <c r="H620" s="2018"/>
      <c r="I620" s="2018"/>
      <c r="J620" s="2018"/>
      <c r="K620" s="2018"/>
      <c r="L620" s="2018"/>
      <c r="M620" s="2018"/>
      <c r="N620" s="2018"/>
      <c r="O620" s="2018"/>
      <c r="P620" s="2018"/>
      <c r="Q620" s="2018"/>
      <c r="R620" s="2018"/>
      <c r="S620" s="2018"/>
      <c r="T620" s="2018"/>
      <c r="U620" s="2018"/>
      <c r="V620" s="2018"/>
      <c r="W620" s="2018"/>
      <c r="X620" s="2018"/>
      <c r="Y620" s="2018"/>
      <c r="Z620" s="2018"/>
      <c r="AA620" s="2018"/>
      <c r="AB620" s="2018"/>
      <c r="AC620" s="2018"/>
      <c r="AD620" s="2018"/>
      <c r="AE620" s="651"/>
      <c r="AF620" s="651"/>
      <c r="AG620" s="651"/>
      <c r="AH620" s="651"/>
      <c r="AI620" s="651"/>
      <c r="AJ620" s="651"/>
      <c r="AK620" s="571"/>
      <c r="AL620" s="571"/>
      <c r="AN620" s="632"/>
    </row>
    <row r="621" spans="1:42" s="585" customFormat="1" ht="12.75" customHeight="1">
      <c r="B621" s="651"/>
      <c r="C621" s="977"/>
      <c r="D621" s="698"/>
      <c r="E621" s="2018"/>
      <c r="F621" s="2018"/>
      <c r="G621" s="2018"/>
      <c r="H621" s="2018"/>
      <c r="I621" s="2018"/>
      <c r="J621" s="2018"/>
      <c r="K621" s="2018"/>
      <c r="L621" s="2018"/>
      <c r="M621" s="2018"/>
      <c r="N621" s="2018"/>
      <c r="O621" s="2018"/>
      <c r="P621" s="2018"/>
      <c r="Q621" s="2018"/>
      <c r="R621" s="2018"/>
      <c r="S621" s="2018"/>
      <c r="T621" s="2018"/>
      <c r="U621" s="2018"/>
      <c r="V621" s="2018"/>
      <c r="W621" s="2018"/>
      <c r="X621" s="2018"/>
      <c r="Y621" s="2018"/>
      <c r="Z621" s="2018"/>
      <c r="AA621" s="2018"/>
      <c r="AB621" s="2018"/>
      <c r="AC621" s="2018"/>
      <c r="AD621" s="2018"/>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600</v>
      </c>
      <c r="AP622" s="708">
        <v>0</v>
      </c>
    </row>
    <row r="623" spans="1:42" s="585" customFormat="1" ht="12.75" customHeight="1">
      <c r="B623" s="651"/>
      <c r="C623" s="968"/>
      <c r="D623" s="698"/>
      <c r="E623" s="651" t="s">
        <v>1577</v>
      </c>
      <c r="F623" s="978"/>
      <c r="G623" s="978"/>
      <c r="H623" s="978"/>
      <c r="I623" s="978"/>
      <c r="J623" s="978"/>
      <c r="K623" s="978"/>
      <c r="L623" s="978"/>
      <c r="M623" s="978"/>
      <c r="N623" s="978"/>
      <c r="O623" s="978"/>
      <c r="P623" s="978"/>
      <c r="Q623" s="978"/>
      <c r="R623" s="978"/>
      <c r="U623" s="978"/>
      <c r="V623" s="978"/>
      <c r="W623" s="978"/>
      <c r="X623" s="2017" t="s">
        <v>600</v>
      </c>
      <c r="Y623" s="2017"/>
      <c r="Z623" s="978"/>
      <c r="AA623" s="978"/>
      <c r="AB623" s="978"/>
      <c r="AC623" s="978"/>
      <c r="AD623" s="978"/>
      <c r="AE623" s="571"/>
      <c r="AF623" s="651"/>
      <c r="AG623" s="651"/>
      <c r="AH623" s="651"/>
      <c r="AI623" s="651"/>
      <c r="AJ623" s="651"/>
      <c r="AK623" s="571"/>
      <c r="AL623" s="571"/>
      <c r="AN623" s="632"/>
      <c r="AO623" s="646" t="s">
        <v>697</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518</v>
      </c>
      <c r="AP624" s="715">
        <v>4</v>
      </c>
    </row>
    <row r="625" spans="1:42" s="585" customFormat="1" ht="12.75" customHeight="1">
      <c r="B625" s="571"/>
      <c r="C625" s="968"/>
      <c r="D625" s="698" t="s">
        <v>518</v>
      </c>
      <c r="E625" s="590" t="s">
        <v>1578</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82" t="s">
        <v>1579</v>
      </c>
      <c r="AG625" s="1982"/>
      <c r="AH625" s="1982"/>
      <c r="AI625" s="1982"/>
      <c r="AJ625" s="1982"/>
      <c r="AK625" s="1982"/>
      <c r="AL625" s="1982"/>
      <c r="AN625" s="632"/>
      <c r="AO625" s="646" t="s">
        <v>280</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1568</v>
      </c>
      <c r="AP626" s="715">
        <v>4</v>
      </c>
    </row>
    <row r="627" spans="1:42" s="585" customFormat="1" ht="12.75" customHeight="1">
      <c r="B627" s="571"/>
      <c r="C627" s="968"/>
      <c r="D627" s="571" t="s">
        <v>1571</v>
      </c>
      <c r="E627" s="973"/>
      <c r="F627" s="973"/>
      <c r="G627" s="973"/>
      <c r="H627" s="1926" t="s">
        <v>697</v>
      </c>
      <c r="I627" s="1926"/>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1569</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1580</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1581</v>
      </c>
      <c r="AJ629" s="1909">
        <f>VLOOKUP($H$627,$AO$594:$AP$596,2,FALSE)</f>
        <v>3</v>
      </c>
      <c r="AK629" s="1911"/>
      <c r="AL629" s="630"/>
      <c r="AN629" s="632"/>
      <c r="AO629" s="646" t="s">
        <v>1582</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1583</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697</v>
      </c>
      <c r="E633" s="1902" t="s">
        <v>2517</v>
      </c>
      <c r="F633" s="1902"/>
      <c r="G633" s="1902"/>
      <c r="H633" s="1902"/>
      <c r="I633" s="1902"/>
      <c r="J633" s="1902"/>
      <c r="K633" s="1902"/>
      <c r="L633" s="1902"/>
      <c r="M633" s="1902"/>
      <c r="N633" s="1902"/>
      <c r="O633" s="1902"/>
      <c r="P633" s="1902"/>
      <c r="Q633" s="1902"/>
      <c r="R633" s="1902"/>
      <c r="S633" s="1902"/>
      <c r="T633" s="1902"/>
      <c r="U633" s="1902"/>
      <c r="V633" s="1902"/>
      <c r="W633" s="1902"/>
      <c r="X633" s="1902"/>
      <c r="Y633" s="1902"/>
      <c r="Z633" s="1902"/>
      <c r="AA633" s="1902"/>
      <c r="AB633" s="1902"/>
      <c r="AC633" s="1902"/>
      <c r="AD633" s="1902"/>
      <c r="AE633" s="571"/>
      <c r="AF633" s="1982" t="s">
        <v>1523</v>
      </c>
      <c r="AG633" s="1982"/>
      <c r="AH633" s="1982"/>
      <c r="AI633" s="1982"/>
      <c r="AJ633" s="1982"/>
      <c r="AK633" s="1982"/>
      <c r="AL633" s="1982"/>
      <c r="AN633" s="632"/>
    </row>
    <row r="634" spans="1:42" s="585" customFormat="1" ht="12.75" customHeight="1">
      <c r="B634" s="571"/>
      <c r="C634" s="571"/>
      <c r="D634" s="698"/>
      <c r="E634" s="1902"/>
      <c r="F634" s="1902"/>
      <c r="G634" s="1902"/>
      <c r="H634" s="1902"/>
      <c r="I634" s="1902"/>
      <c r="J634" s="1902"/>
      <c r="K634" s="1902"/>
      <c r="L634" s="1902"/>
      <c r="M634" s="1902"/>
      <c r="N634" s="1902"/>
      <c r="O634" s="1902"/>
      <c r="P634" s="1902"/>
      <c r="Q634" s="1902"/>
      <c r="R634" s="1902"/>
      <c r="S634" s="1902"/>
      <c r="T634" s="1902"/>
      <c r="U634" s="1902"/>
      <c r="V634" s="1902"/>
      <c r="W634" s="1902"/>
      <c r="X634" s="1902"/>
      <c r="Y634" s="1902"/>
      <c r="Z634" s="1902"/>
      <c r="AA634" s="1902"/>
      <c r="AB634" s="1902"/>
      <c r="AC634" s="1902"/>
      <c r="AD634" s="1902"/>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518</v>
      </c>
      <c r="E636" s="651" t="s">
        <v>1584</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82" t="s">
        <v>1579</v>
      </c>
      <c r="AG636" s="1982"/>
      <c r="AH636" s="1982"/>
      <c r="AI636" s="1982"/>
      <c r="AJ636" s="1982"/>
      <c r="AK636" s="1982"/>
      <c r="AL636" s="1982"/>
      <c r="AN636" s="632"/>
    </row>
    <row r="637" spans="1:42" s="585" customFormat="1" ht="12.75" customHeight="1">
      <c r="B637" s="571"/>
      <c r="C637" s="968"/>
      <c r="D637" s="698"/>
      <c r="E637" s="651" t="s">
        <v>1585</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1571</v>
      </c>
      <c r="E639" s="973"/>
      <c r="F639" s="973"/>
      <c r="G639" s="973"/>
      <c r="H639" s="1926" t="s">
        <v>600</v>
      </c>
      <c r="I639" s="1926"/>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1586</v>
      </c>
      <c r="AJ641" s="1909">
        <f>VLOOKUP(H639,AT594:AU596,2,FALSE)</f>
        <v>0</v>
      </c>
      <c r="AK641" s="1911"/>
      <c r="AL641" s="630"/>
      <c r="AN641" s="632"/>
      <c r="AO641" s="585" t="s">
        <v>600</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697</v>
      </c>
      <c r="AP642" s="585">
        <v>3</v>
      </c>
    </row>
    <row r="643" spans="1:42" s="585" customFormat="1" ht="12.75" customHeight="1">
      <c r="B643" s="571"/>
      <c r="C643" s="574" t="s">
        <v>1587</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518</v>
      </c>
      <c r="AP643" s="585">
        <v>2</v>
      </c>
    </row>
    <row r="644" spans="1:42" s="585" customFormat="1" ht="12.75" customHeight="1">
      <c r="B644" s="571"/>
      <c r="C644" s="574"/>
      <c r="D644" s="717" t="s">
        <v>1588</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697</v>
      </c>
      <c r="E646" s="1902" t="s">
        <v>1589</v>
      </c>
      <c r="F646" s="1902"/>
      <c r="G646" s="1902"/>
      <c r="H646" s="1902"/>
      <c r="I646" s="1902"/>
      <c r="J646" s="1902"/>
      <c r="K646" s="1902"/>
      <c r="L646" s="1902"/>
      <c r="M646" s="1902"/>
      <c r="N646" s="1902"/>
      <c r="O646" s="1902"/>
      <c r="P646" s="1902"/>
      <c r="Q646" s="1902"/>
      <c r="R646" s="1902"/>
      <c r="S646" s="1902"/>
      <c r="T646" s="1902"/>
      <c r="U646" s="1902"/>
      <c r="V646" s="1902"/>
      <c r="W646" s="1902"/>
      <c r="X646" s="1902"/>
      <c r="Y646" s="1902"/>
      <c r="Z646" s="1902"/>
      <c r="AA646" s="1902"/>
      <c r="AB646" s="1902"/>
      <c r="AC646" s="1902"/>
      <c r="AD646" s="571"/>
      <c r="AE646" s="571"/>
      <c r="AF646" s="1982" t="s">
        <v>1549</v>
      </c>
      <c r="AG646" s="1982"/>
      <c r="AH646" s="1982"/>
      <c r="AI646" s="1982"/>
      <c r="AJ646" s="1982"/>
      <c r="AK646" s="1982"/>
      <c r="AL646" s="1982"/>
      <c r="AN646" s="632"/>
    </row>
    <row r="647" spans="1:42" s="585" customFormat="1" ht="12.75" customHeight="1">
      <c r="B647" s="571"/>
      <c r="C647" s="574"/>
      <c r="D647" s="571"/>
      <c r="E647" s="1902"/>
      <c r="F647" s="1902"/>
      <c r="G647" s="1902"/>
      <c r="H647" s="1902"/>
      <c r="I647" s="1902"/>
      <c r="J647" s="1902"/>
      <c r="K647" s="1902"/>
      <c r="L647" s="1902"/>
      <c r="M647" s="1902"/>
      <c r="N647" s="1902"/>
      <c r="O647" s="1902"/>
      <c r="P647" s="1902"/>
      <c r="Q647" s="1902"/>
      <c r="R647" s="1902"/>
      <c r="S647" s="1902"/>
      <c r="T647" s="1902"/>
      <c r="U647" s="1902"/>
      <c r="V647" s="1902"/>
      <c r="W647" s="1902"/>
      <c r="X647" s="1902"/>
      <c r="Y647" s="1902"/>
      <c r="Z647" s="1902"/>
      <c r="AA647" s="1902"/>
      <c r="AB647" s="1902"/>
      <c r="AC647" s="1902"/>
      <c r="AD647" s="571"/>
      <c r="AE647" s="571"/>
      <c r="AF647" s="571"/>
      <c r="AG647" s="571"/>
      <c r="AH647" s="571"/>
      <c r="AI647" s="571"/>
      <c r="AJ647" s="571"/>
      <c r="AK647" s="571"/>
      <c r="AL647" s="571"/>
      <c r="AN647" s="632"/>
    </row>
    <row r="648" spans="1:42" s="585" customFormat="1" ht="12.75" customHeight="1">
      <c r="B648" s="571"/>
      <c r="C648" s="574"/>
      <c r="D648" s="698"/>
      <c r="E648" s="1902"/>
      <c r="F648" s="1902"/>
      <c r="G648" s="1902"/>
      <c r="H648" s="1902"/>
      <c r="I648" s="1902"/>
      <c r="J648" s="1902"/>
      <c r="K648" s="1902"/>
      <c r="L648" s="1902"/>
      <c r="M648" s="1902"/>
      <c r="N648" s="1902"/>
      <c r="O648" s="1902"/>
      <c r="P648" s="1902"/>
      <c r="Q648" s="1902"/>
      <c r="R648" s="1902"/>
      <c r="S648" s="1902"/>
      <c r="T648" s="1902"/>
      <c r="U648" s="1902"/>
      <c r="V648" s="1902"/>
      <c r="W648" s="1902"/>
      <c r="X648" s="1902"/>
      <c r="Y648" s="1902"/>
      <c r="Z648" s="1902"/>
      <c r="AA648" s="1902"/>
      <c r="AB648" s="1902"/>
      <c r="AC648" s="1902"/>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518</v>
      </c>
      <c r="E650" s="1902" t="s">
        <v>1590</v>
      </c>
      <c r="F650" s="1902"/>
      <c r="G650" s="1902"/>
      <c r="H650" s="1902"/>
      <c r="I650" s="1902"/>
      <c r="J650" s="1902"/>
      <c r="K650" s="1902"/>
      <c r="L650" s="1902"/>
      <c r="M650" s="1902"/>
      <c r="N650" s="1902"/>
      <c r="O650" s="1902"/>
      <c r="P650" s="1902"/>
      <c r="Q650" s="1902"/>
      <c r="R650" s="1902"/>
      <c r="S650" s="1902"/>
      <c r="T650" s="1902"/>
      <c r="U650" s="1902"/>
      <c r="V650" s="1902"/>
      <c r="W650" s="1902"/>
      <c r="X650" s="1902"/>
      <c r="Y650" s="1902"/>
      <c r="Z650" s="1902"/>
      <c r="AA650" s="1902"/>
      <c r="AB650" s="1902"/>
      <c r="AC650" s="1902"/>
      <c r="AD650" s="571"/>
      <c r="AE650" s="571"/>
      <c r="AF650" s="1982" t="s">
        <v>1570</v>
      </c>
      <c r="AG650" s="1982"/>
      <c r="AH650" s="1982"/>
      <c r="AI650" s="1982"/>
      <c r="AJ650" s="1982"/>
      <c r="AK650" s="1982"/>
      <c r="AL650" s="1982"/>
      <c r="AN650" s="632"/>
    </row>
    <row r="651" spans="1:42" s="585" customFormat="1" ht="12.75" customHeight="1">
      <c r="B651" s="571"/>
      <c r="C651" s="574"/>
      <c r="D651" s="571"/>
      <c r="E651" s="1902"/>
      <c r="F651" s="1902"/>
      <c r="G651" s="1902"/>
      <c r="H651" s="1902"/>
      <c r="I651" s="1902"/>
      <c r="J651" s="1902"/>
      <c r="K651" s="1902"/>
      <c r="L651" s="1902"/>
      <c r="M651" s="1902"/>
      <c r="N651" s="1902"/>
      <c r="O651" s="1902"/>
      <c r="P651" s="1902"/>
      <c r="Q651" s="1902"/>
      <c r="R651" s="1902"/>
      <c r="S651" s="1902"/>
      <c r="T651" s="1902"/>
      <c r="U651" s="1902"/>
      <c r="V651" s="1902"/>
      <c r="W651" s="1902"/>
      <c r="X651" s="1902"/>
      <c r="Y651" s="1902"/>
      <c r="Z651" s="1902"/>
      <c r="AA651" s="1902"/>
      <c r="AB651" s="1902"/>
      <c r="AC651" s="1902"/>
      <c r="AD651" s="571"/>
      <c r="AE651" s="571"/>
      <c r="AF651" s="571"/>
      <c r="AG651" s="571"/>
      <c r="AH651" s="571"/>
      <c r="AI651" s="571"/>
      <c r="AJ651" s="571"/>
      <c r="AK651" s="571"/>
      <c r="AL651" s="571"/>
      <c r="AN651" s="632"/>
    </row>
    <row r="652" spans="1:42" s="585" customFormat="1" ht="15" customHeight="1">
      <c r="B652" s="571"/>
      <c r="C652" s="574"/>
      <c r="D652" s="698"/>
      <c r="E652" s="1902"/>
      <c r="F652" s="1902"/>
      <c r="G652" s="1902"/>
      <c r="H652" s="1902"/>
      <c r="I652" s="1902"/>
      <c r="J652" s="1902"/>
      <c r="K652" s="1902"/>
      <c r="L652" s="1902"/>
      <c r="M652" s="1902"/>
      <c r="N652" s="1902"/>
      <c r="O652" s="1902"/>
      <c r="P652" s="1902"/>
      <c r="Q652" s="1902"/>
      <c r="R652" s="1902"/>
      <c r="S652" s="1902"/>
      <c r="T652" s="1902"/>
      <c r="U652" s="1902"/>
      <c r="V652" s="1902"/>
      <c r="W652" s="1902"/>
      <c r="X652" s="1902"/>
      <c r="Y652" s="1902"/>
      <c r="Z652" s="1902"/>
      <c r="AA652" s="1902"/>
      <c r="AB652" s="1902"/>
      <c r="AC652" s="1902"/>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280</v>
      </c>
      <c r="E654" s="1902" t="s">
        <v>1591</v>
      </c>
      <c r="F654" s="1902"/>
      <c r="G654" s="1902"/>
      <c r="H654" s="1902"/>
      <c r="I654" s="1902"/>
      <c r="J654" s="1902"/>
      <c r="K654" s="1902"/>
      <c r="L654" s="1902"/>
      <c r="M654" s="1902"/>
      <c r="N654" s="1902"/>
      <c r="O654" s="1902"/>
      <c r="P654" s="1902"/>
      <c r="Q654" s="1902"/>
      <c r="R654" s="1902"/>
      <c r="S654" s="1902"/>
      <c r="T654" s="1902"/>
      <c r="U654" s="1902"/>
      <c r="V654" s="1902"/>
      <c r="W654" s="1902"/>
      <c r="X654" s="1902"/>
      <c r="Y654" s="1902"/>
      <c r="Z654" s="1902"/>
      <c r="AA654" s="1902"/>
      <c r="AB654" s="1902"/>
      <c r="AC654" s="1902"/>
      <c r="AD654" s="571"/>
      <c r="AE654" s="571"/>
      <c r="AF654" s="1982" t="s">
        <v>1523</v>
      </c>
      <c r="AG654" s="1982"/>
      <c r="AH654" s="1982"/>
      <c r="AI654" s="1982"/>
      <c r="AJ654" s="1982"/>
      <c r="AK654" s="1982"/>
      <c r="AL654" s="1982"/>
      <c r="AN654" s="632"/>
    </row>
    <row r="655" spans="1:42" s="585" customFormat="1" ht="12.75" customHeight="1">
      <c r="B655" s="571"/>
      <c r="C655" s="968"/>
      <c r="D655" s="571"/>
      <c r="E655" s="1902"/>
      <c r="F655" s="1902"/>
      <c r="G655" s="1902"/>
      <c r="H655" s="1902"/>
      <c r="I655" s="1902"/>
      <c r="J655" s="1902"/>
      <c r="K655" s="1902"/>
      <c r="L655" s="1902"/>
      <c r="M655" s="1902"/>
      <c r="N655" s="1902"/>
      <c r="O655" s="1902"/>
      <c r="P655" s="1902"/>
      <c r="Q655" s="1902"/>
      <c r="R655" s="1902"/>
      <c r="S655" s="1902"/>
      <c r="T655" s="1902"/>
      <c r="U655" s="1902"/>
      <c r="V655" s="1902"/>
      <c r="W655" s="1902"/>
      <c r="X655" s="1902"/>
      <c r="Y655" s="1902"/>
      <c r="Z655" s="1902"/>
      <c r="AA655" s="1902"/>
      <c r="AB655" s="1902"/>
      <c r="AC655" s="1902"/>
      <c r="AD655" s="571"/>
      <c r="AE655" s="1982"/>
      <c r="AF655" s="1982"/>
      <c r="AG655" s="1982"/>
      <c r="AH655" s="1982"/>
      <c r="AI655" s="1982"/>
      <c r="AJ655" s="1982"/>
      <c r="AK655" s="1982"/>
      <c r="AL655" s="629"/>
      <c r="AN655" s="632"/>
      <c r="AO655" s="585" t="s">
        <v>600</v>
      </c>
      <c r="AP655" s="708">
        <v>0</v>
      </c>
    </row>
    <row r="656" spans="1:42" s="585" customFormat="1" ht="12.75" customHeight="1">
      <c r="A656" s="714"/>
      <c r="B656" s="571"/>
      <c r="C656" s="571"/>
      <c r="D656" s="698"/>
      <c r="E656" s="1902"/>
      <c r="F656" s="1902"/>
      <c r="G656" s="1902"/>
      <c r="H656" s="1902"/>
      <c r="I656" s="1902"/>
      <c r="J656" s="1902"/>
      <c r="K656" s="1902"/>
      <c r="L656" s="1902"/>
      <c r="M656" s="1902"/>
      <c r="N656" s="1902"/>
      <c r="O656" s="1902"/>
      <c r="P656" s="1902"/>
      <c r="Q656" s="1902"/>
      <c r="R656" s="1902"/>
      <c r="S656" s="1902"/>
      <c r="T656" s="1902"/>
      <c r="U656" s="1902"/>
      <c r="V656" s="1902"/>
      <c r="W656" s="1902"/>
      <c r="X656" s="1902"/>
      <c r="Y656" s="1902"/>
      <c r="Z656" s="1902"/>
      <c r="AA656" s="1902"/>
      <c r="AB656" s="1902"/>
      <c r="AC656" s="1902"/>
      <c r="AD656" s="571"/>
      <c r="AE656" s="571"/>
      <c r="AF656" s="571"/>
      <c r="AG656" s="571"/>
      <c r="AH656" s="571"/>
      <c r="AI656" s="571"/>
      <c r="AJ656" s="571"/>
      <c r="AK656" s="571"/>
      <c r="AL656" s="571"/>
      <c r="AN656" s="632"/>
      <c r="AO656" s="646" t="s">
        <v>697</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518</v>
      </c>
      <c r="AP657" s="585">
        <v>2</v>
      </c>
    </row>
    <row r="658" spans="1:42" s="585" customFormat="1" ht="12.75" customHeight="1">
      <c r="A658" s="705"/>
      <c r="B658" s="571"/>
      <c r="C658" s="984"/>
      <c r="D658" s="698" t="s">
        <v>1568</v>
      </c>
      <c r="E658" s="1902" t="s">
        <v>1592</v>
      </c>
      <c r="F658" s="1902"/>
      <c r="G658" s="1902"/>
      <c r="H658" s="1902"/>
      <c r="I658" s="1902"/>
      <c r="J658" s="1902"/>
      <c r="K658" s="1902"/>
      <c r="L658" s="1902"/>
      <c r="M658" s="1902"/>
      <c r="N658" s="1902"/>
      <c r="O658" s="1902"/>
      <c r="P658" s="1902"/>
      <c r="Q658" s="1902"/>
      <c r="R658" s="1902"/>
      <c r="S658" s="1902"/>
      <c r="T658" s="1902"/>
      <c r="U658" s="1902"/>
      <c r="V658" s="1902"/>
      <c r="W658" s="1902"/>
      <c r="X658" s="1902"/>
      <c r="Y658" s="1902"/>
      <c r="Z658" s="1902"/>
      <c r="AA658" s="1902"/>
      <c r="AB658" s="1902"/>
      <c r="AC658" s="1902"/>
      <c r="AD658" s="571"/>
      <c r="AE658" s="571"/>
      <c r="AF658" s="1982" t="s">
        <v>1570</v>
      </c>
      <c r="AG658" s="1982"/>
      <c r="AH658" s="1982"/>
      <c r="AI658" s="1982"/>
      <c r="AJ658" s="1982"/>
      <c r="AK658" s="1982"/>
      <c r="AL658" s="1982"/>
      <c r="AN658" s="632"/>
    </row>
    <row r="659" spans="1:42" s="585" customFormat="1" ht="12.75" customHeight="1">
      <c r="A659" s="705"/>
      <c r="B659" s="571"/>
      <c r="C659" s="984"/>
      <c r="D659" s="698"/>
      <c r="E659" s="1902"/>
      <c r="F659" s="1902"/>
      <c r="G659" s="1902"/>
      <c r="H659" s="1902"/>
      <c r="I659" s="1902"/>
      <c r="J659" s="1902"/>
      <c r="K659" s="1902"/>
      <c r="L659" s="1902"/>
      <c r="M659" s="1902"/>
      <c r="N659" s="1902"/>
      <c r="O659" s="1902"/>
      <c r="P659" s="1902"/>
      <c r="Q659" s="1902"/>
      <c r="R659" s="1902"/>
      <c r="S659" s="1902"/>
      <c r="T659" s="1902"/>
      <c r="U659" s="1902"/>
      <c r="V659" s="1902"/>
      <c r="W659" s="1902"/>
      <c r="X659" s="1902"/>
      <c r="Y659" s="1902"/>
      <c r="Z659" s="1902"/>
      <c r="AA659" s="1902"/>
      <c r="AB659" s="1902"/>
      <c r="AC659" s="1902"/>
      <c r="AD659" s="571"/>
      <c r="AE659" s="629"/>
      <c r="AF659" s="629"/>
      <c r="AG659" s="629"/>
      <c r="AH659" s="629"/>
      <c r="AI659" s="629"/>
      <c r="AJ659" s="629"/>
      <c r="AK659" s="629"/>
      <c r="AL659" s="629"/>
      <c r="AM659" s="631"/>
      <c r="AN659" s="632"/>
    </row>
    <row r="660" spans="1:42" s="585" customFormat="1" ht="12.75" customHeight="1">
      <c r="A660" s="705"/>
      <c r="B660" s="571"/>
      <c r="C660" s="984"/>
      <c r="D660" s="698"/>
      <c r="E660" s="1902"/>
      <c r="F660" s="1902"/>
      <c r="G660" s="1902"/>
      <c r="H660" s="1902"/>
      <c r="I660" s="1902"/>
      <c r="J660" s="1902"/>
      <c r="K660" s="1902"/>
      <c r="L660" s="1902"/>
      <c r="M660" s="1902"/>
      <c r="N660" s="1902"/>
      <c r="O660" s="1902"/>
      <c r="P660" s="1902"/>
      <c r="Q660" s="1902"/>
      <c r="R660" s="1902"/>
      <c r="S660" s="1902"/>
      <c r="T660" s="1902"/>
      <c r="U660" s="1902"/>
      <c r="V660" s="1902"/>
      <c r="W660" s="1902"/>
      <c r="X660" s="1902"/>
      <c r="Y660" s="1902"/>
      <c r="Z660" s="1902"/>
      <c r="AA660" s="1902"/>
      <c r="AB660" s="1902"/>
      <c r="AC660" s="1902"/>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1569</v>
      </c>
      <c r="E662" s="1902" t="s">
        <v>1593</v>
      </c>
      <c r="F662" s="1902"/>
      <c r="G662" s="1902"/>
      <c r="H662" s="1902"/>
      <c r="I662" s="1902"/>
      <c r="J662" s="1902"/>
      <c r="K662" s="1902"/>
      <c r="L662" s="1902"/>
      <c r="M662" s="1902"/>
      <c r="N662" s="1902"/>
      <c r="O662" s="1902"/>
      <c r="P662" s="1902"/>
      <c r="Q662" s="1902"/>
      <c r="R662" s="1902"/>
      <c r="S662" s="1902"/>
      <c r="T662" s="1902"/>
      <c r="U662" s="1902"/>
      <c r="V662" s="1902"/>
      <c r="W662" s="1902"/>
      <c r="X662" s="1902"/>
      <c r="Y662" s="1902"/>
      <c r="Z662" s="1902"/>
      <c r="AA662" s="1902"/>
      <c r="AB662" s="1902"/>
      <c r="AC662" s="1902"/>
      <c r="AD662" s="571"/>
      <c r="AE662" s="571"/>
      <c r="AF662" s="1982" t="s">
        <v>1523</v>
      </c>
      <c r="AG662" s="1982"/>
      <c r="AH662" s="1982"/>
      <c r="AI662" s="1982"/>
      <c r="AJ662" s="1982"/>
      <c r="AK662" s="1982"/>
      <c r="AL662" s="1982"/>
      <c r="AM662" s="631"/>
      <c r="AN662" s="632"/>
    </row>
    <row r="663" spans="1:42" s="585" customFormat="1" ht="12.75" customHeight="1">
      <c r="B663" s="571"/>
      <c r="C663" s="968"/>
      <c r="D663" s="698"/>
      <c r="E663" s="1902"/>
      <c r="F663" s="1902"/>
      <c r="G663" s="1902"/>
      <c r="H663" s="1902"/>
      <c r="I663" s="1902"/>
      <c r="J663" s="1902"/>
      <c r="K663" s="1902"/>
      <c r="L663" s="1902"/>
      <c r="M663" s="1902"/>
      <c r="N663" s="1902"/>
      <c r="O663" s="1902"/>
      <c r="P663" s="1902"/>
      <c r="Q663" s="1902"/>
      <c r="R663" s="1902"/>
      <c r="S663" s="1902"/>
      <c r="T663" s="1902"/>
      <c r="U663" s="1902"/>
      <c r="V663" s="1902"/>
      <c r="W663" s="1902"/>
      <c r="X663" s="1902"/>
      <c r="Y663" s="1902"/>
      <c r="Z663" s="1902"/>
      <c r="AA663" s="1902"/>
      <c r="AB663" s="1902"/>
      <c r="AC663" s="1902"/>
      <c r="AD663" s="571"/>
      <c r="AE663" s="571"/>
      <c r="AF663" s="571"/>
      <c r="AG663" s="571"/>
      <c r="AH663" s="571"/>
      <c r="AI663" s="571"/>
      <c r="AJ663" s="571"/>
      <c r="AK663" s="571"/>
      <c r="AL663" s="571"/>
      <c r="AM663" s="631"/>
      <c r="AN663" s="632"/>
    </row>
    <row r="664" spans="1:42" s="585" customFormat="1" ht="12.75" customHeight="1">
      <c r="B664" s="571"/>
      <c r="C664" s="968"/>
      <c r="D664" s="698"/>
      <c r="E664" s="1902"/>
      <c r="F664" s="1902"/>
      <c r="G664" s="1902"/>
      <c r="H664" s="1902"/>
      <c r="I664" s="1902"/>
      <c r="J664" s="1902"/>
      <c r="K664" s="1902"/>
      <c r="L664" s="1902"/>
      <c r="M664" s="1902"/>
      <c r="N664" s="1902"/>
      <c r="O664" s="1902"/>
      <c r="P664" s="1902"/>
      <c r="Q664" s="1902"/>
      <c r="R664" s="1902"/>
      <c r="S664" s="1902"/>
      <c r="T664" s="1902"/>
      <c r="U664" s="1902"/>
      <c r="V664" s="1902"/>
      <c r="W664" s="1902"/>
      <c r="X664" s="1902"/>
      <c r="Y664" s="1902"/>
      <c r="Z664" s="1902"/>
      <c r="AA664" s="1902"/>
      <c r="AB664" s="1902"/>
      <c r="AC664" s="1902"/>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1580</v>
      </c>
      <c r="E666" s="1902" t="s">
        <v>1594</v>
      </c>
      <c r="F666" s="1902"/>
      <c r="G666" s="1902"/>
      <c r="H666" s="1902"/>
      <c r="I666" s="1902"/>
      <c r="J666" s="1902"/>
      <c r="K666" s="1902"/>
      <c r="L666" s="1902"/>
      <c r="M666" s="1902"/>
      <c r="N666" s="1902"/>
      <c r="O666" s="1902"/>
      <c r="P666" s="1902"/>
      <c r="Q666" s="1902"/>
      <c r="R666" s="1902"/>
      <c r="S666" s="1902"/>
      <c r="T666" s="1902"/>
      <c r="U666" s="1902"/>
      <c r="V666" s="1902"/>
      <c r="W666" s="1902"/>
      <c r="X666" s="1902"/>
      <c r="Y666" s="1902"/>
      <c r="Z666" s="1902"/>
      <c r="AA666" s="1902"/>
      <c r="AB666" s="1902"/>
      <c r="AC666" s="1902"/>
      <c r="AD666" s="571"/>
      <c r="AE666" s="571"/>
      <c r="AF666" s="1982" t="s">
        <v>1579</v>
      </c>
      <c r="AG666" s="1982"/>
      <c r="AH666" s="1982"/>
      <c r="AI666" s="1982"/>
      <c r="AJ666" s="1982"/>
      <c r="AK666" s="1982"/>
      <c r="AL666" s="1982"/>
      <c r="AM666" s="631"/>
      <c r="AN666" s="632"/>
    </row>
    <row r="667" spans="1:42" s="585" customFormat="1" ht="12.75" customHeight="1">
      <c r="A667" s="714"/>
      <c r="B667" s="571"/>
      <c r="C667" s="968"/>
      <c r="D667" s="698"/>
      <c r="E667" s="1902"/>
      <c r="F667" s="1902"/>
      <c r="G667" s="1902"/>
      <c r="H667" s="1902"/>
      <c r="I667" s="1902"/>
      <c r="J667" s="1902"/>
      <c r="K667" s="1902"/>
      <c r="L667" s="1902"/>
      <c r="M667" s="1902"/>
      <c r="N667" s="1902"/>
      <c r="O667" s="1902"/>
      <c r="P667" s="1902"/>
      <c r="Q667" s="1902"/>
      <c r="R667" s="1902"/>
      <c r="S667" s="1902"/>
      <c r="T667" s="1902"/>
      <c r="U667" s="1902"/>
      <c r="V667" s="1902"/>
      <c r="W667" s="1902"/>
      <c r="X667" s="1902"/>
      <c r="Y667" s="1902"/>
      <c r="Z667" s="1902"/>
      <c r="AA667" s="1902"/>
      <c r="AB667" s="1902"/>
      <c r="AC667" s="1902"/>
      <c r="AD667" s="571"/>
      <c r="AE667" s="571"/>
      <c r="AF667" s="629"/>
      <c r="AG667" s="629"/>
      <c r="AH667" s="629"/>
      <c r="AI667" s="629"/>
      <c r="AJ667" s="629"/>
      <c r="AK667" s="629"/>
      <c r="AL667" s="629"/>
      <c r="AM667" s="631"/>
      <c r="AN667" s="632"/>
    </row>
    <row r="668" spans="1:42" s="585" customFormat="1" ht="12.75" customHeight="1">
      <c r="A668" s="714"/>
      <c r="B668" s="571"/>
      <c r="C668" s="968"/>
      <c r="D668" s="698"/>
      <c r="E668" s="1902"/>
      <c r="F668" s="1902"/>
      <c r="G668" s="1902"/>
      <c r="H668" s="1902"/>
      <c r="I668" s="1902"/>
      <c r="J668" s="1902"/>
      <c r="K668" s="1902"/>
      <c r="L668" s="1902"/>
      <c r="M668" s="1902"/>
      <c r="N668" s="1902"/>
      <c r="O668" s="1902"/>
      <c r="P668" s="1902"/>
      <c r="Q668" s="1902"/>
      <c r="R668" s="1902"/>
      <c r="S668" s="1902"/>
      <c r="T668" s="1902"/>
      <c r="U668" s="1902"/>
      <c r="V668" s="1902"/>
      <c r="W668" s="1902"/>
      <c r="X668" s="1902"/>
      <c r="Y668" s="1902"/>
      <c r="Z668" s="1902"/>
      <c r="AA668" s="1902"/>
      <c r="AB668" s="1902"/>
      <c r="AC668" s="1902"/>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600</v>
      </c>
      <c r="AP669" s="672">
        <v>0</v>
      </c>
    </row>
    <row r="670" spans="1:42" s="585" customFormat="1" ht="12.75" customHeight="1">
      <c r="A670" s="714"/>
      <c r="B670" s="571"/>
      <c r="C670" s="968"/>
      <c r="D670" s="698" t="s">
        <v>1582</v>
      </c>
      <c r="E670" s="1902" t="s">
        <v>1595</v>
      </c>
      <c r="F670" s="1902"/>
      <c r="G670" s="1902"/>
      <c r="H670" s="1902"/>
      <c r="I670" s="1902"/>
      <c r="J670" s="1902"/>
      <c r="K670" s="1902"/>
      <c r="L670" s="1902"/>
      <c r="M670" s="1902"/>
      <c r="N670" s="1902"/>
      <c r="O670" s="1902"/>
      <c r="P670" s="1902"/>
      <c r="Q670" s="1902"/>
      <c r="R670" s="1902"/>
      <c r="S670" s="1902"/>
      <c r="T670" s="1902"/>
      <c r="U670" s="1902"/>
      <c r="V670" s="1902"/>
      <c r="W670" s="1902"/>
      <c r="X670" s="1902"/>
      <c r="Y670" s="1902"/>
      <c r="Z670" s="1902"/>
      <c r="AA670" s="1902"/>
      <c r="AB670" s="1902"/>
      <c r="AC670" s="1902"/>
      <c r="AD670" s="571"/>
      <c r="AE670" s="571"/>
      <c r="AF670" s="1982" t="s">
        <v>1596</v>
      </c>
      <c r="AG670" s="1982"/>
      <c r="AH670" s="1982"/>
      <c r="AI670" s="1982"/>
      <c r="AJ670" s="1982"/>
      <c r="AK670" s="1982"/>
      <c r="AL670" s="1982"/>
      <c r="AM670" s="631"/>
      <c r="AN670" s="632"/>
      <c r="AO670" s="646" t="s">
        <v>697</v>
      </c>
      <c r="AP670" s="585">
        <v>3</v>
      </c>
    </row>
    <row r="671" spans="1:42" s="585" customFormat="1" ht="12.75" customHeight="1">
      <c r="A671" s="714"/>
      <c r="B671" s="571"/>
      <c r="C671" s="968"/>
      <c r="D671" s="698"/>
      <c r="E671" s="1902"/>
      <c r="F671" s="1902"/>
      <c r="G671" s="1902"/>
      <c r="H671" s="1902"/>
      <c r="I671" s="1902"/>
      <c r="J671" s="1902"/>
      <c r="K671" s="1902"/>
      <c r="L671" s="1902"/>
      <c r="M671" s="1902"/>
      <c r="N671" s="1902"/>
      <c r="O671" s="1902"/>
      <c r="P671" s="1902"/>
      <c r="Q671" s="1902"/>
      <c r="R671" s="1902"/>
      <c r="S671" s="1902"/>
      <c r="T671" s="1902"/>
      <c r="U671" s="1902"/>
      <c r="V671" s="1902"/>
      <c r="W671" s="1902"/>
      <c r="X671" s="1902"/>
      <c r="Y671" s="1902"/>
      <c r="Z671" s="1902"/>
      <c r="AA671" s="1902"/>
      <c r="AB671" s="1902"/>
      <c r="AC671" s="1902"/>
      <c r="AD671" s="571"/>
      <c r="AE671" s="571"/>
      <c r="AF671" s="629"/>
      <c r="AG671" s="629"/>
      <c r="AH671" s="629"/>
      <c r="AI671" s="629"/>
      <c r="AJ671" s="629"/>
      <c r="AK671" s="629"/>
      <c r="AL671" s="629"/>
      <c r="AM671" s="631"/>
      <c r="AN671" s="632"/>
      <c r="AO671" s="646" t="s">
        <v>518</v>
      </c>
      <c r="AP671" s="585">
        <v>2</v>
      </c>
    </row>
    <row r="672" spans="1:42" s="585" customFormat="1" ht="12.75" customHeight="1">
      <c r="A672" s="714"/>
      <c r="B672" s="571"/>
      <c r="C672" s="968"/>
      <c r="D672" s="698"/>
      <c r="E672" s="1902"/>
      <c r="F672" s="1902"/>
      <c r="G672" s="1902"/>
      <c r="H672" s="1902"/>
      <c r="I672" s="1902"/>
      <c r="J672" s="1902"/>
      <c r="K672" s="1902"/>
      <c r="L672" s="1902"/>
      <c r="M672" s="1902"/>
      <c r="N672" s="1902"/>
      <c r="O672" s="1902"/>
      <c r="P672" s="1902"/>
      <c r="Q672" s="1902"/>
      <c r="R672" s="1902"/>
      <c r="S672" s="1902"/>
      <c r="T672" s="1902"/>
      <c r="U672" s="1902"/>
      <c r="V672" s="1902"/>
      <c r="W672" s="1902"/>
      <c r="X672" s="1902"/>
      <c r="Y672" s="1902"/>
      <c r="Z672" s="1902"/>
      <c r="AA672" s="1902"/>
      <c r="AB672" s="1902"/>
      <c r="AC672" s="1902"/>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1571</v>
      </c>
      <c r="E674" s="973"/>
      <c r="F674" s="973"/>
      <c r="G674" s="973"/>
      <c r="H674" s="1926" t="s">
        <v>1568</v>
      </c>
      <c r="I674" s="1926"/>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1597</v>
      </c>
      <c r="AJ676" s="1909">
        <f>VLOOKUP($H$674,$AO$622:$AP$629,2,FALSE)</f>
        <v>4</v>
      </c>
      <c r="AK676" s="1911"/>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2556</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697</v>
      </c>
      <c r="E680" s="1902" t="s">
        <v>2554</v>
      </c>
      <c r="F680" s="1902"/>
      <c r="G680" s="1902"/>
      <c r="H680" s="1902"/>
      <c r="I680" s="1902"/>
      <c r="J680" s="1902"/>
      <c r="K680" s="1902"/>
      <c r="L680" s="1902"/>
      <c r="M680" s="1902"/>
      <c r="N680" s="1902"/>
      <c r="O680" s="1902"/>
      <c r="P680" s="1902"/>
      <c r="Q680" s="1902"/>
      <c r="R680" s="1902"/>
      <c r="S680" s="1902"/>
      <c r="T680" s="1902"/>
      <c r="U680" s="1902"/>
      <c r="V680" s="1902"/>
      <c r="W680" s="1902"/>
      <c r="X680" s="1902"/>
      <c r="Y680" s="1902"/>
      <c r="Z680" s="1902"/>
      <c r="AA680" s="1902"/>
      <c r="AB680" s="1902"/>
      <c r="AC680" s="571"/>
      <c r="AD680" s="571"/>
      <c r="AE680" s="571"/>
      <c r="AF680" s="1982" t="s">
        <v>1523</v>
      </c>
      <c r="AG680" s="1982"/>
      <c r="AH680" s="1982"/>
      <c r="AI680" s="1982"/>
      <c r="AJ680" s="1982"/>
      <c r="AK680" s="1982"/>
      <c r="AL680" s="1982"/>
      <c r="AN680" s="632"/>
    </row>
    <row r="681" spans="1:42" s="585" customFormat="1" ht="12.75" customHeight="1">
      <c r="B681" s="571"/>
      <c r="C681" s="977"/>
      <c r="D681" s="698"/>
      <c r="E681" s="1902"/>
      <c r="F681" s="1902"/>
      <c r="G681" s="1902"/>
      <c r="H681" s="1902"/>
      <c r="I681" s="1902"/>
      <c r="J681" s="1902"/>
      <c r="K681" s="1902"/>
      <c r="L681" s="1902"/>
      <c r="M681" s="1902"/>
      <c r="N681" s="1902"/>
      <c r="O681" s="1902"/>
      <c r="P681" s="1902"/>
      <c r="Q681" s="1902"/>
      <c r="R681" s="1902"/>
      <c r="S681" s="1902"/>
      <c r="T681" s="1902"/>
      <c r="U681" s="1902"/>
      <c r="V681" s="1902"/>
      <c r="W681" s="1902"/>
      <c r="X681" s="1902"/>
      <c r="Y681" s="1902"/>
      <c r="Z681" s="1902"/>
      <c r="AA681" s="1902"/>
      <c r="AB681" s="1902"/>
      <c r="AC681" s="571"/>
      <c r="AD681" s="571"/>
      <c r="AE681" s="651"/>
      <c r="AF681" s="571"/>
      <c r="AG681" s="571"/>
      <c r="AH681" s="571"/>
      <c r="AI681" s="571"/>
      <c r="AJ681" s="571"/>
      <c r="AK681" s="571"/>
      <c r="AL681" s="571"/>
      <c r="AN681" s="632"/>
      <c r="AO681" s="1917"/>
      <c r="AP681" s="1917"/>
    </row>
    <row r="682" spans="1:42" s="585" customFormat="1" ht="12.75" customHeight="1">
      <c r="B682" s="571"/>
      <c r="C682" s="977"/>
      <c r="D682" s="698"/>
      <c r="E682" s="1902"/>
      <c r="F682" s="1902"/>
      <c r="G682" s="1902"/>
      <c r="H682" s="1902"/>
      <c r="I682" s="1902"/>
      <c r="J682" s="1902"/>
      <c r="K682" s="1902"/>
      <c r="L682" s="1902"/>
      <c r="M682" s="1902"/>
      <c r="N682" s="1902"/>
      <c r="O682" s="1902"/>
      <c r="P682" s="1902"/>
      <c r="Q682" s="1902"/>
      <c r="R682" s="1902"/>
      <c r="S682" s="1902"/>
      <c r="T682" s="1902"/>
      <c r="U682" s="1902"/>
      <c r="V682" s="1902"/>
      <c r="W682" s="1902"/>
      <c r="X682" s="1902"/>
      <c r="Y682" s="1902"/>
      <c r="Z682" s="1902"/>
      <c r="AA682" s="1902"/>
      <c r="AB682" s="1902"/>
      <c r="AC682" s="571"/>
      <c r="AD682" s="571"/>
      <c r="AE682" s="651"/>
      <c r="AF682" s="651"/>
      <c r="AG682" s="651"/>
      <c r="AH682" s="651"/>
      <c r="AI682" s="651"/>
      <c r="AJ682" s="651"/>
      <c r="AK682" s="651"/>
      <c r="AL682" s="651"/>
      <c r="AN682" s="632"/>
    </row>
    <row r="683" spans="1:42" s="585" customFormat="1" ht="28.5" customHeight="1">
      <c r="B683" s="571"/>
      <c r="C683" s="977"/>
      <c r="D683" s="698"/>
      <c r="E683" s="1902"/>
      <c r="F683" s="1902"/>
      <c r="G683" s="1902"/>
      <c r="H683" s="1902"/>
      <c r="I683" s="1902"/>
      <c r="J683" s="1902"/>
      <c r="K683" s="1902"/>
      <c r="L683" s="1902"/>
      <c r="M683" s="1902"/>
      <c r="N683" s="1902"/>
      <c r="O683" s="1902"/>
      <c r="P683" s="1902"/>
      <c r="Q683" s="1902"/>
      <c r="R683" s="1902"/>
      <c r="S683" s="1902"/>
      <c r="T683" s="1902"/>
      <c r="U683" s="1902"/>
      <c r="V683" s="1902"/>
      <c r="W683" s="1902"/>
      <c r="X683" s="1902"/>
      <c r="Y683" s="1902"/>
      <c r="Z683" s="1902"/>
      <c r="AA683" s="1902"/>
      <c r="AB683" s="1902"/>
      <c r="AC683" s="571"/>
      <c r="AD683" s="571"/>
      <c r="AE683" s="651"/>
      <c r="AF683" s="651"/>
      <c r="AG683" s="651"/>
      <c r="AH683" s="651"/>
      <c r="AI683" s="651"/>
      <c r="AJ683" s="651"/>
      <c r="AK683" s="651"/>
      <c r="AL683" s="651"/>
      <c r="AN683" s="632"/>
      <c r="AO683" s="585" t="s">
        <v>600</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697</v>
      </c>
      <c r="AP684" s="585">
        <v>2</v>
      </c>
    </row>
    <row r="685" spans="1:42" s="585" customFormat="1" ht="12.75" customHeight="1">
      <c r="B685" s="571"/>
      <c r="C685" s="968"/>
      <c r="D685" s="698" t="s">
        <v>518</v>
      </c>
      <c r="E685" s="1902" t="s">
        <v>2555</v>
      </c>
      <c r="F685" s="1902"/>
      <c r="G685" s="1902"/>
      <c r="H685" s="1902"/>
      <c r="I685" s="1902"/>
      <c r="J685" s="1902"/>
      <c r="K685" s="1902"/>
      <c r="L685" s="1902"/>
      <c r="M685" s="1902"/>
      <c r="N685" s="1902"/>
      <c r="O685" s="1902"/>
      <c r="P685" s="1902"/>
      <c r="Q685" s="1902"/>
      <c r="R685" s="1902"/>
      <c r="S685" s="1902"/>
      <c r="T685" s="1902"/>
      <c r="U685" s="1902"/>
      <c r="V685" s="1902"/>
      <c r="W685" s="1902"/>
      <c r="X685" s="1902"/>
      <c r="Y685" s="1902"/>
      <c r="Z685" s="1902"/>
      <c r="AA685" s="1902"/>
      <c r="AB685" s="1902"/>
      <c r="AC685" s="571"/>
      <c r="AD685" s="571"/>
      <c r="AE685" s="571"/>
      <c r="AF685" s="1982" t="s">
        <v>1579</v>
      </c>
      <c r="AG685" s="1982"/>
      <c r="AH685" s="1982"/>
      <c r="AI685" s="1982"/>
      <c r="AJ685" s="1982"/>
      <c r="AK685" s="1982"/>
      <c r="AL685" s="1982"/>
      <c r="AN685" s="632"/>
      <c r="AO685" s="646" t="s">
        <v>518</v>
      </c>
      <c r="AP685" s="585">
        <v>1</v>
      </c>
    </row>
    <row r="686" spans="1:42" s="585" customFormat="1" ht="12" customHeight="1">
      <c r="B686" s="571"/>
      <c r="C686" s="968"/>
      <c r="D686" s="571"/>
      <c r="E686" s="1902"/>
      <c r="F686" s="1902"/>
      <c r="G686" s="1902"/>
      <c r="H686" s="1902"/>
      <c r="I686" s="1902"/>
      <c r="J686" s="1902"/>
      <c r="K686" s="1902"/>
      <c r="L686" s="1902"/>
      <c r="M686" s="1902"/>
      <c r="N686" s="1902"/>
      <c r="O686" s="1902"/>
      <c r="P686" s="1902"/>
      <c r="Q686" s="1902"/>
      <c r="R686" s="1902"/>
      <c r="S686" s="1902"/>
      <c r="T686" s="1902"/>
      <c r="U686" s="1902"/>
      <c r="V686" s="1902"/>
      <c r="W686" s="1902"/>
      <c r="X686" s="1902"/>
      <c r="Y686" s="1902"/>
      <c r="Z686" s="1902"/>
      <c r="AA686" s="1902"/>
      <c r="AB686" s="1902"/>
      <c r="AC686" s="571"/>
      <c r="AD686" s="571"/>
      <c r="AE686" s="651"/>
      <c r="AF686" s="571"/>
      <c r="AG686" s="571"/>
      <c r="AH686" s="571"/>
      <c r="AI686" s="571"/>
      <c r="AJ686" s="571"/>
      <c r="AK686" s="571"/>
      <c r="AL686" s="571"/>
      <c r="AN686" s="632"/>
    </row>
    <row r="687" spans="1:42" s="585" customFormat="1" ht="12" customHeight="1">
      <c r="B687" s="571"/>
      <c r="C687" s="968"/>
      <c r="D687" s="571"/>
      <c r="E687" s="1902"/>
      <c r="F687" s="1902"/>
      <c r="G687" s="1902"/>
      <c r="H687" s="1902"/>
      <c r="I687" s="1902"/>
      <c r="J687" s="1902"/>
      <c r="K687" s="1902"/>
      <c r="L687" s="1902"/>
      <c r="M687" s="1902"/>
      <c r="N687" s="1902"/>
      <c r="O687" s="1902"/>
      <c r="P687" s="1902"/>
      <c r="Q687" s="1902"/>
      <c r="R687" s="1902"/>
      <c r="S687" s="1902"/>
      <c r="T687" s="1902"/>
      <c r="U687" s="1902"/>
      <c r="V687" s="1902"/>
      <c r="W687" s="1902"/>
      <c r="X687" s="1902"/>
      <c r="Y687" s="1902"/>
      <c r="Z687" s="1902"/>
      <c r="AA687" s="1902"/>
      <c r="AB687" s="1902"/>
      <c r="AC687" s="571"/>
      <c r="AD687" s="571"/>
      <c r="AE687" s="651"/>
      <c r="AF687" s="571"/>
      <c r="AG687" s="571"/>
      <c r="AH687" s="571"/>
      <c r="AI687" s="571"/>
      <c r="AJ687" s="571"/>
      <c r="AK687" s="571"/>
      <c r="AL687" s="571"/>
      <c r="AN687" s="632"/>
    </row>
    <row r="688" spans="1:42" s="605" customFormat="1" ht="29.25" customHeight="1">
      <c r="A688" s="585"/>
      <c r="B688" s="571"/>
      <c r="C688" s="968"/>
      <c r="D688" s="571"/>
      <c r="E688" s="1902"/>
      <c r="F688" s="1902"/>
      <c r="G688" s="1902"/>
      <c r="H688" s="1902"/>
      <c r="I688" s="1902"/>
      <c r="J688" s="1902"/>
      <c r="K688" s="1902"/>
      <c r="L688" s="1902"/>
      <c r="M688" s="1902"/>
      <c r="N688" s="1902"/>
      <c r="O688" s="1902"/>
      <c r="P688" s="1902"/>
      <c r="Q688" s="1902"/>
      <c r="R688" s="1902"/>
      <c r="S688" s="1902"/>
      <c r="T688" s="1902"/>
      <c r="U688" s="1902"/>
      <c r="V688" s="1902"/>
      <c r="W688" s="1902"/>
      <c r="X688" s="1902"/>
      <c r="Y688" s="1902"/>
      <c r="Z688" s="1902"/>
      <c r="AA688" s="1902"/>
      <c r="AB688" s="1902"/>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902" t="s">
        <v>1952</v>
      </c>
      <c r="F690" s="1902"/>
      <c r="G690" s="1902"/>
      <c r="H690" s="1902"/>
      <c r="I690" s="1902"/>
      <c r="J690" s="1902"/>
      <c r="K690" s="1902"/>
      <c r="L690" s="1902"/>
      <c r="M690" s="1902"/>
      <c r="N690" s="1902"/>
      <c r="O690" s="1902"/>
      <c r="P690" s="1902"/>
      <c r="Q690" s="1902"/>
      <c r="R690" s="1902"/>
      <c r="S690" s="1902"/>
      <c r="T690" s="1902"/>
      <c r="U690" s="1902"/>
      <c r="V690" s="1902"/>
      <c r="W690" s="1902"/>
      <c r="X690" s="1902"/>
      <c r="Y690" s="1902"/>
      <c r="Z690" s="1902"/>
      <c r="AA690" s="1902"/>
      <c r="AB690" s="1902"/>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902"/>
      <c r="F691" s="1902"/>
      <c r="G691" s="1902"/>
      <c r="H691" s="1902"/>
      <c r="I691" s="1902"/>
      <c r="J691" s="1902"/>
      <c r="K691" s="1902"/>
      <c r="L691" s="1902"/>
      <c r="M691" s="1902"/>
      <c r="N691" s="1902"/>
      <c r="O691" s="1902"/>
      <c r="P691" s="1902"/>
      <c r="Q691" s="1902"/>
      <c r="R691" s="1902"/>
      <c r="S691" s="1902"/>
      <c r="T691" s="1902"/>
      <c r="U691" s="1902"/>
      <c r="V691" s="1902"/>
      <c r="W691" s="1902"/>
      <c r="X691" s="1902"/>
      <c r="Y691" s="1902"/>
      <c r="Z691" s="1902"/>
      <c r="AA691" s="1902"/>
      <c r="AB691" s="1902"/>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902"/>
      <c r="F692" s="1902"/>
      <c r="G692" s="1902"/>
      <c r="H692" s="1902"/>
      <c r="I692" s="1902"/>
      <c r="J692" s="1902"/>
      <c r="K692" s="1902"/>
      <c r="L692" s="1902"/>
      <c r="M692" s="1902"/>
      <c r="N692" s="1902"/>
      <c r="O692" s="1902"/>
      <c r="P692" s="1902"/>
      <c r="Q692" s="1902"/>
      <c r="R692" s="1902"/>
      <c r="S692" s="1902"/>
      <c r="T692" s="1902"/>
      <c r="U692" s="1902"/>
      <c r="V692" s="1902"/>
      <c r="W692" s="1902"/>
      <c r="X692" s="1902"/>
      <c r="Y692" s="1902"/>
      <c r="Z692" s="1902"/>
      <c r="AA692" s="1902"/>
      <c r="AB692" s="1902"/>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1571</v>
      </c>
      <c r="E694" s="973"/>
      <c r="F694" s="973"/>
      <c r="G694" s="973"/>
      <c r="H694" s="1926" t="s">
        <v>600</v>
      </c>
      <c r="I694" s="1926"/>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1598</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1576</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2557</v>
      </c>
      <c r="AJ696" s="1909">
        <f>VLOOKUP($H$694,$AO$641:$AP$643,2,FALSE)</f>
        <v>0</v>
      </c>
      <c r="AK696" s="1911"/>
      <c r="AL696" s="630"/>
      <c r="AM696" s="585"/>
      <c r="AN696" s="719"/>
      <c r="AP696" s="605" t="s">
        <v>1583</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1599</v>
      </c>
    </row>
    <row r="698" spans="1:42" s="605" customFormat="1" ht="12.75" customHeight="1">
      <c r="A698" s="585"/>
      <c r="B698" s="571"/>
      <c r="C698" s="574" t="s">
        <v>1600</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1601</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1602</v>
      </c>
    </row>
    <row r="700" spans="1:42" s="605" customFormat="1" ht="12.75" customHeight="1">
      <c r="A700" s="672"/>
      <c r="B700" s="571"/>
      <c r="C700" s="968"/>
      <c r="D700" s="698" t="s">
        <v>697</v>
      </c>
      <c r="E700" s="2015" t="s">
        <v>1954</v>
      </c>
      <c r="F700" s="2015"/>
      <c r="G700" s="2015"/>
      <c r="H700" s="2015"/>
      <c r="I700" s="2015"/>
      <c r="J700" s="2015"/>
      <c r="K700" s="2015"/>
      <c r="L700" s="2015"/>
      <c r="M700" s="2015"/>
      <c r="N700" s="2015"/>
      <c r="O700" s="2015"/>
      <c r="P700" s="2015"/>
      <c r="Q700" s="2015"/>
      <c r="R700" s="2015"/>
      <c r="S700" s="2015"/>
      <c r="T700" s="2015"/>
      <c r="U700" s="2015"/>
      <c r="V700" s="2015"/>
      <c r="W700" s="2015"/>
      <c r="X700" s="2015"/>
      <c r="Y700" s="2015"/>
      <c r="Z700" s="2015"/>
      <c r="AA700" s="2015"/>
      <c r="AB700" s="2015"/>
      <c r="AC700" s="571"/>
      <c r="AD700" s="571"/>
      <c r="AE700" s="571"/>
      <c r="AF700" s="1982" t="s">
        <v>1523</v>
      </c>
      <c r="AG700" s="1982"/>
      <c r="AH700" s="1982"/>
      <c r="AI700" s="1982"/>
      <c r="AJ700" s="1982"/>
      <c r="AK700" s="1982"/>
      <c r="AL700" s="1982"/>
      <c r="AM700" s="585"/>
      <c r="AN700" s="719"/>
      <c r="AP700" s="605" t="s">
        <v>1603</v>
      </c>
    </row>
    <row r="701" spans="1:42" s="605" customFormat="1" ht="12" customHeight="1">
      <c r="A701" s="585"/>
      <c r="B701" s="571"/>
      <c r="C701" s="970"/>
      <c r="D701" s="698"/>
      <c r="E701" s="2015"/>
      <c r="F701" s="2015"/>
      <c r="G701" s="2015"/>
      <c r="H701" s="2015"/>
      <c r="I701" s="2015"/>
      <c r="J701" s="2015"/>
      <c r="K701" s="2015"/>
      <c r="L701" s="2015"/>
      <c r="M701" s="2015"/>
      <c r="N701" s="2015"/>
      <c r="O701" s="2015"/>
      <c r="P701" s="2015"/>
      <c r="Q701" s="2015"/>
      <c r="R701" s="2015"/>
      <c r="S701" s="2015"/>
      <c r="T701" s="2015"/>
      <c r="U701" s="2015"/>
      <c r="V701" s="2015"/>
      <c r="W701" s="2015"/>
      <c r="X701" s="2015"/>
      <c r="Y701" s="2015"/>
      <c r="Z701" s="2015"/>
      <c r="AA701" s="2015"/>
      <c r="AB701" s="2015"/>
      <c r="AC701" s="571"/>
      <c r="AD701" s="571"/>
      <c r="AE701" s="571"/>
      <c r="AF701" s="571"/>
      <c r="AG701" s="571"/>
      <c r="AH701" s="571"/>
      <c r="AI701" s="571"/>
      <c r="AJ701" s="571"/>
      <c r="AK701" s="571"/>
      <c r="AL701" s="571"/>
      <c r="AM701" s="585"/>
      <c r="AN701" s="719"/>
      <c r="AP701" s="605" t="s">
        <v>1604</v>
      </c>
    </row>
    <row r="702" spans="1:42" s="605" customFormat="1" ht="14.1" customHeight="1">
      <c r="A702" s="585"/>
      <c r="B702" s="645"/>
      <c r="C702" s="968"/>
      <c r="D702" s="698"/>
      <c r="E702" s="2015"/>
      <c r="F702" s="2015"/>
      <c r="G702" s="2015"/>
      <c r="H702" s="2015"/>
      <c r="I702" s="2015"/>
      <c r="J702" s="2015"/>
      <c r="K702" s="2015"/>
      <c r="L702" s="2015"/>
      <c r="M702" s="2015"/>
      <c r="N702" s="2015"/>
      <c r="O702" s="2015"/>
      <c r="P702" s="2015"/>
      <c r="Q702" s="2015"/>
      <c r="R702" s="2015"/>
      <c r="S702" s="2015"/>
      <c r="T702" s="2015"/>
      <c r="U702" s="2015"/>
      <c r="V702" s="2015"/>
      <c r="W702" s="2015"/>
      <c r="X702" s="2015"/>
      <c r="Y702" s="2015"/>
      <c r="Z702" s="2015"/>
      <c r="AA702" s="2015"/>
      <c r="AB702" s="2015"/>
      <c r="AC702" s="571"/>
      <c r="AD702" s="571"/>
      <c r="AE702" s="651"/>
      <c r="AF702" s="571"/>
      <c r="AG702" s="571"/>
      <c r="AH702" s="571"/>
      <c r="AI702" s="571"/>
      <c r="AJ702" s="571"/>
      <c r="AK702" s="571"/>
      <c r="AL702" s="571"/>
      <c r="AM702" s="585"/>
      <c r="AN702" s="719"/>
      <c r="AP702" s="605" t="s">
        <v>1605</v>
      </c>
    </row>
    <row r="703" spans="1:42" s="605" customFormat="1" ht="14.1"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1607</v>
      </c>
    </row>
    <row r="704" spans="1:42" s="605" customFormat="1" ht="14.1" customHeight="1">
      <c r="A704" s="585"/>
      <c r="B704" s="571"/>
      <c r="C704" s="968"/>
      <c r="D704" s="698" t="s">
        <v>518</v>
      </c>
      <c r="E704" s="2016" t="s">
        <v>1606</v>
      </c>
      <c r="F704" s="2016"/>
      <c r="G704" s="2016"/>
      <c r="H704" s="2016"/>
      <c r="I704" s="2016"/>
      <c r="J704" s="2016"/>
      <c r="K704" s="2016"/>
      <c r="L704" s="2016"/>
      <c r="M704" s="2016"/>
      <c r="N704" s="2016"/>
      <c r="O704" s="2016"/>
      <c r="P704" s="2016"/>
      <c r="Q704" s="2016"/>
      <c r="R704" s="2016"/>
      <c r="S704" s="2016"/>
      <c r="T704" s="2016"/>
      <c r="U704" s="2016"/>
      <c r="V704" s="2016"/>
      <c r="W704" s="2016"/>
      <c r="X704" s="2016"/>
      <c r="Y704" s="2016"/>
      <c r="Z704" s="2016"/>
      <c r="AA704" s="2016"/>
      <c r="AB704" s="2016"/>
      <c r="AC704" s="571"/>
      <c r="AD704" s="571"/>
      <c r="AE704" s="571"/>
      <c r="AF704" s="1982" t="s">
        <v>1579</v>
      </c>
      <c r="AG704" s="1982"/>
      <c r="AH704" s="1982"/>
      <c r="AI704" s="1982"/>
      <c r="AJ704" s="1982"/>
      <c r="AK704" s="1982"/>
      <c r="AL704" s="1982"/>
      <c r="AM704" s="585"/>
      <c r="AN704" s="720"/>
    </row>
    <row r="705" spans="1:52" s="605" customFormat="1" ht="12.75" customHeight="1">
      <c r="A705" s="585"/>
      <c r="B705" s="571"/>
      <c r="C705" s="970"/>
      <c r="D705" s="571"/>
      <c r="E705" s="2016"/>
      <c r="F705" s="2016"/>
      <c r="G705" s="2016"/>
      <c r="H705" s="2016"/>
      <c r="I705" s="2016"/>
      <c r="J705" s="2016"/>
      <c r="K705" s="2016"/>
      <c r="L705" s="2016"/>
      <c r="M705" s="2016"/>
      <c r="N705" s="2016"/>
      <c r="O705" s="2016"/>
      <c r="P705" s="2016"/>
      <c r="Q705" s="2016"/>
      <c r="R705" s="2016"/>
      <c r="S705" s="2016"/>
      <c r="T705" s="2016"/>
      <c r="U705" s="2016"/>
      <c r="V705" s="2016"/>
      <c r="W705" s="2016"/>
      <c r="X705" s="2016"/>
      <c r="Y705" s="2016"/>
      <c r="Z705" s="2016"/>
      <c r="AA705" s="2016"/>
      <c r="AB705" s="2016"/>
      <c r="AC705" s="571"/>
      <c r="AD705" s="571"/>
      <c r="AE705" s="571"/>
      <c r="AF705" s="571"/>
      <c r="AG705" s="571"/>
      <c r="AH705" s="571"/>
      <c r="AI705" s="571"/>
      <c r="AJ705" s="571"/>
      <c r="AK705" s="571"/>
      <c r="AL705" s="571"/>
      <c r="AM705" s="585"/>
      <c r="AN705" s="719"/>
      <c r="AP705" s="585" t="s">
        <v>600</v>
      </c>
      <c r="AQ705" s="708">
        <v>0</v>
      </c>
    </row>
    <row r="706" spans="1:52" s="605" customFormat="1" ht="14.1" customHeight="1">
      <c r="A706" s="585"/>
      <c r="B706" s="571"/>
      <c r="C706" s="970"/>
      <c r="D706" s="571"/>
      <c r="E706" s="2016"/>
      <c r="F706" s="2016"/>
      <c r="G706" s="2016"/>
      <c r="H706" s="2016"/>
      <c r="I706" s="2016"/>
      <c r="J706" s="2016"/>
      <c r="K706" s="2016"/>
      <c r="L706" s="2016"/>
      <c r="M706" s="2016"/>
      <c r="N706" s="2016"/>
      <c r="O706" s="2016"/>
      <c r="P706" s="2016"/>
      <c r="Q706" s="2016"/>
      <c r="R706" s="2016"/>
      <c r="S706" s="2016"/>
      <c r="T706" s="2016"/>
      <c r="U706" s="2016"/>
      <c r="V706" s="2016"/>
      <c r="W706" s="2016"/>
      <c r="X706" s="2016"/>
      <c r="Y706" s="2016"/>
      <c r="Z706" s="2016"/>
      <c r="AA706" s="2016"/>
      <c r="AB706" s="2016"/>
      <c r="AC706" s="571"/>
      <c r="AD706" s="571"/>
      <c r="AE706" s="571"/>
      <c r="AF706" s="571"/>
      <c r="AG706" s="571"/>
      <c r="AH706" s="571"/>
      <c r="AI706" s="571"/>
      <c r="AJ706" s="571"/>
      <c r="AK706" s="571"/>
      <c r="AL706" s="571"/>
      <c r="AM706" s="585"/>
      <c r="AN706" s="719"/>
      <c r="AP706" s="646" t="s">
        <v>697</v>
      </c>
      <c r="AQ706" s="585">
        <v>2</v>
      </c>
    </row>
    <row r="707" spans="1:52" s="605" customFormat="1" ht="14.1"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518</v>
      </c>
      <c r="AQ707" s="585">
        <v>3</v>
      </c>
    </row>
    <row r="708" spans="1:52" s="605" customFormat="1" ht="14.1" customHeight="1">
      <c r="A708" s="585"/>
      <c r="B708" s="571"/>
      <c r="C708" s="970"/>
      <c r="D708" s="571" t="s">
        <v>1571</v>
      </c>
      <c r="E708" s="973"/>
      <c r="F708" s="973"/>
      <c r="G708" s="973"/>
      <c r="H708" s="1926" t="s">
        <v>600</v>
      </c>
      <c r="I708" s="1926"/>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1608</v>
      </c>
      <c r="AJ710" s="1909">
        <f>VLOOKUP($H$708,$AO$641:$AP$643,2,FALSE)</f>
        <v>0</v>
      </c>
      <c r="AK710" s="1911"/>
      <c r="AL710" s="630"/>
      <c r="AM710" s="585"/>
      <c r="AN710" s="719"/>
      <c r="AP710" s="1909"/>
      <c r="AQ710" s="1911"/>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1609</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697</v>
      </c>
      <c r="E714" s="1902" t="s">
        <v>1955</v>
      </c>
      <c r="F714" s="1902"/>
      <c r="G714" s="1902"/>
      <c r="H714" s="1902"/>
      <c r="I714" s="1902"/>
      <c r="J714" s="1902"/>
      <c r="K714" s="1902"/>
      <c r="L714" s="1902"/>
      <c r="M714" s="1902"/>
      <c r="N714" s="1902"/>
      <c r="O714" s="1902"/>
      <c r="P714" s="1902"/>
      <c r="Q714" s="1902"/>
      <c r="R714" s="1902"/>
      <c r="S714" s="1902"/>
      <c r="T714" s="1902"/>
      <c r="U714" s="1902"/>
      <c r="V714" s="1902"/>
      <c r="W714" s="1902"/>
      <c r="X714" s="1902"/>
      <c r="Y714" s="1902"/>
      <c r="Z714" s="1902"/>
      <c r="AA714" s="1902"/>
      <c r="AB714" s="1902"/>
      <c r="AC714" s="571"/>
      <c r="AD714" s="571"/>
      <c r="AE714" s="571"/>
      <c r="AF714" s="1982" t="s">
        <v>1523</v>
      </c>
      <c r="AG714" s="1982"/>
      <c r="AH714" s="1982"/>
      <c r="AI714" s="1982"/>
      <c r="AJ714" s="1982"/>
      <c r="AK714" s="1982"/>
      <c r="AL714" s="1982"/>
      <c r="AM714" s="585"/>
      <c r="AN714" s="719"/>
      <c r="AT714" s="14"/>
      <c r="AU714" s="14"/>
      <c r="AV714" s="14"/>
      <c r="AW714" s="14"/>
      <c r="AX714" s="14"/>
      <c r="AY714" s="14"/>
      <c r="AZ714" s="14"/>
    </row>
    <row r="715" spans="1:52" s="605" customFormat="1">
      <c r="A715" s="585"/>
      <c r="B715" s="571"/>
      <c r="C715" s="970"/>
      <c r="D715" s="698"/>
      <c r="E715" s="1902"/>
      <c r="F715" s="1902"/>
      <c r="G715" s="1902"/>
      <c r="H715" s="1902"/>
      <c r="I715" s="1902"/>
      <c r="J715" s="1902"/>
      <c r="K715" s="1902"/>
      <c r="L715" s="1902"/>
      <c r="M715" s="1902"/>
      <c r="N715" s="1902"/>
      <c r="O715" s="1902"/>
      <c r="P715" s="1902"/>
      <c r="Q715" s="1902"/>
      <c r="R715" s="1902"/>
      <c r="S715" s="1902"/>
      <c r="T715" s="1902"/>
      <c r="U715" s="1902"/>
      <c r="V715" s="1902"/>
      <c r="W715" s="1902"/>
      <c r="X715" s="1902"/>
      <c r="Y715" s="1902"/>
      <c r="Z715" s="1902"/>
      <c r="AA715" s="1902"/>
      <c r="AB715" s="1902"/>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518</v>
      </c>
      <c r="E717" s="1902" t="s">
        <v>1610</v>
      </c>
      <c r="F717" s="1902"/>
      <c r="G717" s="1902"/>
      <c r="H717" s="1902"/>
      <c r="I717" s="1902"/>
      <c r="J717" s="1902"/>
      <c r="K717" s="1902"/>
      <c r="L717" s="1902"/>
      <c r="M717" s="1902"/>
      <c r="N717" s="1902"/>
      <c r="O717" s="1902"/>
      <c r="P717" s="1902"/>
      <c r="Q717" s="1902"/>
      <c r="R717" s="1902"/>
      <c r="S717" s="1902"/>
      <c r="T717" s="1902"/>
      <c r="U717" s="1902"/>
      <c r="V717" s="1902"/>
      <c r="W717" s="1902"/>
      <c r="X717" s="1902"/>
      <c r="Y717" s="1902"/>
      <c r="Z717" s="1902"/>
      <c r="AA717" s="1902"/>
      <c r="AB717" s="1902"/>
      <c r="AC717" s="571"/>
      <c r="AD717" s="571"/>
      <c r="AE717" s="571"/>
      <c r="AF717" s="1982" t="s">
        <v>1579</v>
      </c>
      <c r="AG717" s="1982"/>
      <c r="AH717" s="1982"/>
      <c r="AI717" s="1982"/>
      <c r="AJ717" s="1982"/>
      <c r="AK717" s="1982"/>
      <c r="AL717" s="1982"/>
      <c r="AM717" s="585"/>
      <c r="AN717" s="719"/>
      <c r="AT717" s="14"/>
      <c r="AU717" s="14"/>
      <c r="AV717" s="14"/>
      <c r="AW717" s="14"/>
      <c r="AX717" s="14"/>
      <c r="AY717" s="14"/>
      <c r="AZ717" s="14"/>
    </row>
    <row r="718" spans="1:52" s="605" customFormat="1">
      <c r="A718" s="585"/>
      <c r="B718" s="571"/>
      <c r="C718" s="970"/>
      <c r="D718" s="571"/>
      <c r="E718" s="1902"/>
      <c r="F718" s="1902"/>
      <c r="G718" s="1902"/>
      <c r="H718" s="1902"/>
      <c r="I718" s="1902"/>
      <c r="J718" s="1902"/>
      <c r="K718" s="1902"/>
      <c r="L718" s="1902"/>
      <c r="M718" s="1902"/>
      <c r="N718" s="1902"/>
      <c r="O718" s="1902"/>
      <c r="P718" s="1902"/>
      <c r="Q718" s="1902"/>
      <c r="R718" s="1902"/>
      <c r="S718" s="1902"/>
      <c r="T718" s="1902"/>
      <c r="U718" s="1902"/>
      <c r="V718" s="1902"/>
      <c r="W718" s="1902"/>
      <c r="X718" s="1902"/>
      <c r="Y718" s="1902"/>
      <c r="Z718" s="1902"/>
      <c r="AA718" s="1902"/>
      <c r="AB718" s="1902"/>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1571</v>
      </c>
      <c r="E720" s="973"/>
      <c r="F720" s="973"/>
      <c r="G720" s="973"/>
      <c r="H720" s="1926" t="s">
        <v>600</v>
      </c>
      <c r="I720" s="1926"/>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1611</v>
      </c>
      <c r="AJ722" s="1909">
        <f>VLOOKUP($H$720,$AO$655:$AP$657,2,FALSE)</f>
        <v>0</v>
      </c>
      <c r="AK722" s="1911"/>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1612</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697</v>
      </c>
      <c r="E726" s="1902" t="s">
        <v>1613</v>
      </c>
      <c r="F726" s="1902"/>
      <c r="G726" s="1902"/>
      <c r="H726" s="1902"/>
      <c r="I726" s="1902"/>
      <c r="J726" s="1902"/>
      <c r="K726" s="1902"/>
      <c r="L726" s="1902"/>
      <c r="M726" s="1902"/>
      <c r="N726" s="1902"/>
      <c r="O726" s="1902"/>
      <c r="P726" s="1902"/>
      <c r="Q726" s="1902"/>
      <c r="R726" s="1902"/>
      <c r="S726" s="1902"/>
      <c r="T726" s="1902"/>
      <c r="U726" s="1902"/>
      <c r="V726" s="1902"/>
      <c r="W726" s="1902"/>
      <c r="X726" s="1902"/>
      <c r="Y726" s="1902"/>
      <c r="Z726" s="1902"/>
      <c r="AA726" s="1902"/>
      <c r="AB726" s="1902"/>
      <c r="AC726" s="571"/>
      <c r="AD726" s="571"/>
      <c r="AE726" s="571"/>
      <c r="AF726" s="1982" t="s">
        <v>1523</v>
      </c>
      <c r="AG726" s="1982"/>
      <c r="AH726" s="1982"/>
      <c r="AI726" s="1982"/>
      <c r="AJ726" s="1982"/>
      <c r="AK726" s="1982"/>
      <c r="AL726" s="1982"/>
      <c r="AM726" s="585"/>
      <c r="AN726" s="719"/>
      <c r="AT726" s="14"/>
      <c r="AU726" s="14"/>
      <c r="AV726" s="14"/>
      <c r="AW726" s="14"/>
      <c r="AX726" s="14"/>
      <c r="AY726" s="14"/>
      <c r="AZ726" s="14"/>
    </row>
    <row r="727" spans="1:81" s="605" customFormat="1">
      <c r="A727" s="585"/>
      <c r="B727" s="571"/>
      <c r="C727" s="968"/>
      <c r="D727" s="698"/>
      <c r="E727" s="1902"/>
      <c r="F727" s="1902"/>
      <c r="G727" s="1902"/>
      <c r="H727" s="1902"/>
      <c r="I727" s="1902"/>
      <c r="J727" s="1902"/>
      <c r="K727" s="1902"/>
      <c r="L727" s="1902"/>
      <c r="M727" s="1902"/>
      <c r="N727" s="1902"/>
      <c r="O727" s="1902"/>
      <c r="P727" s="1902"/>
      <c r="Q727" s="1902"/>
      <c r="R727" s="1902"/>
      <c r="S727" s="1902"/>
      <c r="T727" s="1902"/>
      <c r="U727" s="1902"/>
      <c r="V727" s="1902"/>
      <c r="W727" s="1902"/>
      <c r="X727" s="1902"/>
      <c r="Y727" s="1902"/>
      <c r="Z727" s="1902"/>
      <c r="AA727" s="1902"/>
      <c r="AB727" s="1902"/>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1902"/>
      <c r="F728" s="1902"/>
      <c r="G728" s="1902"/>
      <c r="H728" s="1902"/>
      <c r="I728" s="1902"/>
      <c r="J728" s="1902"/>
      <c r="K728" s="1902"/>
      <c r="L728" s="1902"/>
      <c r="M728" s="1902"/>
      <c r="N728" s="1902"/>
      <c r="O728" s="1902"/>
      <c r="P728" s="1902"/>
      <c r="Q728" s="1902"/>
      <c r="R728" s="1902"/>
      <c r="S728" s="1902"/>
      <c r="T728" s="1902"/>
      <c r="U728" s="1902"/>
      <c r="V728" s="1902"/>
      <c r="W728" s="1902"/>
      <c r="X728" s="1902"/>
      <c r="Y728" s="1902"/>
      <c r="Z728" s="1902"/>
      <c r="AA728" s="1902"/>
      <c r="AB728" s="1902"/>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902"/>
      <c r="F729" s="1902"/>
      <c r="G729" s="1902"/>
      <c r="H729" s="1902"/>
      <c r="I729" s="1902"/>
      <c r="J729" s="1902"/>
      <c r="K729" s="1902"/>
      <c r="L729" s="1902"/>
      <c r="M729" s="1902"/>
      <c r="N729" s="1902"/>
      <c r="O729" s="1902"/>
      <c r="P729" s="1902"/>
      <c r="Q729" s="1902"/>
      <c r="R729" s="1902"/>
      <c r="S729" s="1902"/>
      <c r="T729" s="1902"/>
      <c r="U729" s="1902"/>
      <c r="V729" s="1902"/>
      <c r="W729" s="1902"/>
      <c r="X729" s="1902"/>
      <c r="Y729" s="1902"/>
      <c r="Z729" s="1902"/>
      <c r="AA729" s="1902"/>
      <c r="AB729" s="1902"/>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518</v>
      </c>
      <c r="E731" s="1902" t="s">
        <v>1614</v>
      </c>
      <c r="F731" s="1902"/>
      <c r="G731" s="1902"/>
      <c r="H731" s="1902"/>
      <c r="I731" s="1902"/>
      <c r="J731" s="1902"/>
      <c r="K731" s="1902"/>
      <c r="L731" s="1902"/>
      <c r="M731" s="1902"/>
      <c r="N731" s="1902"/>
      <c r="O731" s="1902"/>
      <c r="P731" s="1902"/>
      <c r="Q731" s="1902"/>
      <c r="R731" s="1902"/>
      <c r="S731" s="1902"/>
      <c r="T731" s="1902"/>
      <c r="U731" s="1902"/>
      <c r="V731" s="1902"/>
      <c r="W731" s="1902"/>
      <c r="X731" s="1902"/>
      <c r="Y731" s="1902"/>
      <c r="Z731" s="1902"/>
      <c r="AA731" s="1902"/>
      <c r="AB731" s="610"/>
      <c r="AC731" s="571"/>
      <c r="AD731" s="571"/>
      <c r="AE731" s="571"/>
      <c r="AF731" s="1982" t="s">
        <v>1579</v>
      </c>
      <c r="AG731" s="1982"/>
      <c r="AH731" s="1982"/>
      <c r="AI731" s="1982"/>
      <c r="AJ731" s="1982"/>
      <c r="AK731" s="1982"/>
      <c r="AL731" s="1982"/>
      <c r="AM731" s="585"/>
      <c r="AN731" s="719"/>
      <c r="AO731" s="30"/>
      <c r="AP731" s="14"/>
    </row>
    <row r="732" spans="1:81" s="605" customFormat="1">
      <c r="A732" s="585"/>
      <c r="B732" s="571"/>
      <c r="C732" s="968"/>
      <c r="D732" s="698"/>
      <c r="E732" s="1902"/>
      <c r="F732" s="1902"/>
      <c r="G732" s="1902"/>
      <c r="H732" s="1902"/>
      <c r="I732" s="1902"/>
      <c r="J732" s="1902"/>
      <c r="K732" s="1902"/>
      <c r="L732" s="1902"/>
      <c r="M732" s="1902"/>
      <c r="N732" s="1902"/>
      <c r="O732" s="1902"/>
      <c r="P732" s="1902"/>
      <c r="Q732" s="1902"/>
      <c r="R732" s="1902"/>
      <c r="S732" s="1902"/>
      <c r="T732" s="1902"/>
      <c r="U732" s="1902"/>
      <c r="V732" s="1902"/>
      <c r="W732" s="1902"/>
      <c r="X732" s="1902"/>
      <c r="Y732" s="1902"/>
      <c r="Z732" s="1902"/>
      <c r="AA732" s="1902"/>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1902"/>
      <c r="F733" s="1902"/>
      <c r="G733" s="1902"/>
      <c r="H733" s="1902"/>
      <c r="I733" s="1902"/>
      <c r="J733" s="1902"/>
      <c r="K733" s="1902"/>
      <c r="L733" s="1902"/>
      <c r="M733" s="1902"/>
      <c r="N733" s="1902"/>
      <c r="O733" s="1902"/>
      <c r="P733" s="1902"/>
      <c r="Q733" s="1902"/>
      <c r="R733" s="1902"/>
      <c r="S733" s="1902"/>
      <c r="T733" s="1902"/>
      <c r="U733" s="1902"/>
      <c r="V733" s="1902"/>
      <c r="W733" s="1902"/>
      <c r="X733" s="1902"/>
      <c r="Y733" s="1902"/>
      <c r="Z733" s="1902"/>
      <c r="AA733" s="1902"/>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1902"/>
      <c r="F734" s="1902"/>
      <c r="G734" s="1902"/>
      <c r="H734" s="1902"/>
      <c r="I734" s="1902"/>
      <c r="J734" s="1902"/>
      <c r="K734" s="1902"/>
      <c r="L734" s="1902"/>
      <c r="M734" s="1902"/>
      <c r="N734" s="1902"/>
      <c r="O734" s="1902"/>
      <c r="P734" s="1902"/>
      <c r="Q734" s="1902"/>
      <c r="R734" s="1902"/>
      <c r="S734" s="1902"/>
      <c r="T734" s="1902"/>
      <c r="U734" s="1902"/>
      <c r="V734" s="1902"/>
      <c r="W734" s="1902"/>
      <c r="X734" s="1902"/>
      <c r="Y734" s="1902"/>
      <c r="Z734" s="1902"/>
      <c r="AA734" s="1902"/>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1571</v>
      </c>
      <c r="E736" s="973"/>
      <c r="F736" s="973"/>
      <c r="G736" s="973"/>
      <c r="H736" s="1926" t="s">
        <v>697</v>
      </c>
      <c r="I736" s="1926"/>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1615</v>
      </c>
      <c r="AJ738" s="1909">
        <f>VLOOKUP($H$736,$AO$669:$AP$671,2,FALSE)</f>
        <v>3</v>
      </c>
      <c r="AK738" s="1911"/>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1605</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697</v>
      </c>
      <c r="E742" s="1902" t="s">
        <v>1616</v>
      </c>
      <c r="F742" s="1902"/>
      <c r="G742" s="1902"/>
      <c r="H742" s="1902"/>
      <c r="I742" s="1902"/>
      <c r="J742" s="1902"/>
      <c r="K742" s="1902"/>
      <c r="L742" s="1902"/>
      <c r="M742" s="1902"/>
      <c r="N742" s="1902"/>
      <c r="O742" s="1902"/>
      <c r="P742" s="1902"/>
      <c r="Q742" s="1902"/>
      <c r="R742" s="1902"/>
      <c r="S742" s="1902"/>
      <c r="T742" s="1902"/>
      <c r="U742" s="1902"/>
      <c r="V742" s="1902"/>
      <c r="W742" s="1902"/>
      <c r="X742" s="1902"/>
      <c r="Y742" s="1902"/>
      <c r="Z742" s="1902"/>
      <c r="AA742" s="1902"/>
      <c r="AB742" s="1902"/>
      <c r="AC742" s="571"/>
      <c r="AD742" s="571"/>
      <c r="AE742" s="571"/>
      <c r="AF742" s="1982" t="s">
        <v>1579</v>
      </c>
      <c r="AG742" s="1982"/>
      <c r="AH742" s="1982"/>
      <c r="AI742" s="1982"/>
      <c r="AJ742" s="1982"/>
      <c r="AK742" s="1982"/>
      <c r="AL742" s="1982"/>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1902"/>
      <c r="F743" s="1902"/>
      <c r="G743" s="1902"/>
      <c r="H743" s="1902"/>
      <c r="I743" s="1902"/>
      <c r="J743" s="1902"/>
      <c r="K743" s="1902"/>
      <c r="L743" s="1902"/>
      <c r="M743" s="1902"/>
      <c r="N743" s="1902"/>
      <c r="O743" s="1902"/>
      <c r="P743" s="1902"/>
      <c r="Q743" s="1902"/>
      <c r="R743" s="1902"/>
      <c r="S743" s="1902"/>
      <c r="T743" s="1902"/>
      <c r="U743" s="1902"/>
      <c r="V743" s="1902"/>
      <c r="W743" s="1902"/>
      <c r="X743" s="1902"/>
      <c r="Y743" s="1902"/>
      <c r="Z743" s="1902"/>
      <c r="AA743" s="1902"/>
      <c r="AB743" s="1902"/>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518</v>
      </c>
      <c r="E745" s="1902" t="s">
        <v>1617</v>
      </c>
      <c r="F745" s="1902"/>
      <c r="G745" s="1902"/>
      <c r="H745" s="1902"/>
      <c r="I745" s="1902"/>
      <c r="J745" s="1902"/>
      <c r="K745" s="1902"/>
      <c r="L745" s="1902"/>
      <c r="M745" s="1902"/>
      <c r="N745" s="1902"/>
      <c r="O745" s="1902"/>
      <c r="P745" s="1902"/>
      <c r="Q745" s="1902"/>
      <c r="R745" s="1902"/>
      <c r="S745" s="1902"/>
      <c r="T745" s="1902"/>
      <c r="U745" s="1902"/>
      <c r="V745" s="1902"/>
      <c r="W745" s="1902"/>
      <c r="X745" s="1902"/>
      <c r="Y745" s="1902"/>
      <c r="Z745" s="1902"/>
      <c r="AA745" s="1902"/>
      <c r="AB745" s="1902"/>
      <c r="AC745" s="571"/>
      <c r="AD745" s="571"/>
      <c r="AE745" s="571"/>
      <c r="AF745" s="1982" t="s">
        <v>1596</v>
      </c>
      <c r="AG745" s="1982"/>
      <c r="AH745" s="1982"/>
      <c r="AI745" s="1982"/>
      <c r="AJ745" s="1982"/>
      <c r="AK745" s="1982"/>
      <c r="AL745" s="1982"/>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902"/>
      <c r="F746" s="1902"/>
      <c r="G746" s="1902"/>
      <c r="H746" s="1902"/>
      <c r="I746" s="1902"/>
      <c r="J746" s="1902"/>
      <c r="K746" s="1902"/>
      <c r="L746" s="1902"/>
      <c r="M746" s="1902"/>
      <c r="N746" s="1902"/>
      <c r="O746" s="1902"/>
      <c r="P746" s="1902"/>
      <c r="Q746" s="1902"/>
      <c r="R746" s="1902"/>
      <c r="S746" s="1902"/>
      <c r="T746" s="1902"/>
      <c r="U746" s="1902"/>
      <c r="V746" s="1902"/>
      <c r="W746" s="1902"/>
      <c r="X746" s="1902"/>
      <c r="Y746" s="1902"/>
      <c r="Z746" s="1902"/>
      <c r="AA746" s="1902"/>
      <c r="AB746" s="1902"/>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1571</v>
      </c>
      <c r="E748" s="973"/>
      <c r="F748" s="973"/>
      <c r="G748" s="973"/>
      <c r="H748" s="1926" t="s">
        <v>697</v>
      </c>
      <c r="I748" s="1926"/>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4.1"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1618</v>
      </c>
      <c r="AJ750" s="1909">
        <f>VLOOKUP($H$748,$AO$683:$AP$685,2,FALSE)</f>
        <v>2</v>
      </c>
      <c r="AK750" s="1911"/>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1607</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 customHeight="1">
      <c r="A754" s="585"/>
      <c r="B754" s="651"/>
      <c r="C754" s="977"/>
      <c r="D754" s="698" t="s">
        <v>697</v>
      </c>
      <c r="E754" s="1902" t="s">
        <v>1951</v>
      </c>
      <c r="F754" s="1902"/>
      <c r="G754" s="1902"/>
      <c r="H754" s="1902"/>
      <c r="I754" s="1902"/>
      <c r="J754" s="1902"/>
      <c r="K754" s="1902"/>
      <c r="L754" s="1902"/>
      <c r="M754" s="1902"/>
      <c r="N754" s="1902"/>
      <c r="O754" s="1902"/>
      <c r="P754" s="1902"/>
      <c r="Q754" s="1902"/>
      <c r="R754" s="1902"/>
      <c r="S754" s="1902"/>
      <c r="T754" s="1902"/>
      <c r="U754" s="1902"/>
      <c r="V754" s="1902"/>
      <c r="W754" s="1902"/>
      <c r="X754" s="1902"/>
      <c r="Y754" s="1902"/>
      <c r="Z754" s="1902"/>
      <c r="AA754" s="1902"/>
      <c r="AB754" s="1902"/>
      <c r="AC754" s="1902"/>
      <c r="AD754" s="1902"/>
      <c r="AE754" s="571"/>
      <c r="AF754" s="1982" t="s">
        <v>1579</v>
      </c>
      <c r="AG754" s="1982"/>
      <c r="AH754" s="1982"/>
      <c r="AI754" s="1982"/>
      <c r="AJ754" s="1982"/>
      <c r="AK754" s="1982"/>
      <c r="AL754" s="1982"/>
      <c r="AM754" s="648"/>
      <c r="AN754" s="719"/>
    </row>
    <row r="755" spans="1:81" s="605" customFormat="1" ht="13.7" customHeight="1">
      <c r="A755" s="585"/>
      <c r="B755" s="651"/>
      <c r="C755" s="977"/>
      <c r="D755" s="698"/>
      <c r="E755" s="1902"/>
      <c r="F755" s="1902"/>
      <c r="G755" s="1902"/>
      <c r="H755" s="1902"/>
      <c r="I755" s="1902"/>
      <c r="J755" s="1902"/>
      <c r="K755" s="1902"/>
      <c r="L755" s="1902"/>
      <c r="M755" s="1902"/>
      <c r="N755" s="1902"/>
      <c r="O755" s="1902"/>
      <c r="P755" s="1902"/>
      <c r="Q755" s="1902"/>
      <c r="R755" s="1902"/>
      <c r="S755" s="1902"/>
      <c r="T755" s="1902"/>
      <c r="U755" s="1902"/>
      <c r="V755" s="1902"/>
      <c r="W755" s="1902"/>
      <c r="X755" s="1902"/>
      <c r="Y755" s="1902"/>
      <c r="Z755" s="1902"/>
      <c r="AA755" s="1902"/>
      <c r="AB755" s="1902"/>
      <c r="AC755" s="1902"/>
      <c r="AD755" s="1902"/>
      <c r="AE755" s="571"/>
      <c r="AF755" s="629"/>
      <c r="AG755" s="629"/>
      <c r="AH755" s="629"/>
      <c r="AI755" s="629"/>
      <c r="AJ755" s="629"/>
      <c r="AK755" s="629"/>
      <c r="AL755" s="629"/>
      <c r="AM755" s="648"/>
      <c r="AN755" s="719"/>
    </row>
    <row r="756" spans="1:81" s="605" customFormat="1">
      <c r="A756" s="585"/>
      <c r="B756" s="651"/>
      <c r="C756" s="977"/>
      <c r="D756" s="698"/>
      <c r="E756" s="1902"/>
      <c r="F756" s="1902"/>
      <c r="G756" s="1902"/>
      <c r="H756" s="1902"/>
      <c r="I756" s="1902"/>
      <c r="J756" s="1902"/>
      <c r="K756" s="1902"/>
      <c r="L756" s="1902"/>
      <c r="M756" s="1902"/>
      <c r="N756" s="1902"/>
      <c r="O756" s="1902"/>
      <c r="P756" s="1902"/>
      <c r="Q756" s="1902"/>
      <c r="R756" s="1902"/>
      <c r="S756" s="1902"/>
      <c r="T756" s="1902"/>
      <c r="U756" s="1902"/>
      <c r="V756" s="1902"/>
      <c r="W756" s="1902"/>
      <c r="X756" s="1902"/>
      <c r="Y756" s="1902"/>
      <c r="Z756" s="1902"/>
      <c r="AA756" s="1902"/>
      <c r="AB756" s="1902"/>
      <c r="AC756" s="1902"/>
      <c r="AD756" s="1902"/>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75" customHeight="1">
      <c r="A757" s="585"/>
      <c r="B757" s="651"/>
      <c r="C757" s="977"/>
      <c r="D757" s="698"/>
      <c r="E757" s="1902"/>
      <c r="F757" s="1902"/>
      <c r="G757" s="1902"/>
      <c r="H757" s="1902"/>
      <c r="I757" s="1902"/>
      <c r="J757" s="1902"/>
      <c r="K757" s="1902"/>
      <c r="L757" s="1902"/>
      <c r="M757" s="1902"/>
      <c r="N757" s="1902"/>
      <c r="O757" s="1902"/>
      <c r="P757" s="1902"/>
      <c r="Q757" s="1902"/>
      <c r="R757" s="1902"/>
      <c r="S757" s="1902"/>
      <c r="T757" s="1902"/>
      <c r="U757" s="1902"/>
      <c r="V757" s="1902"/>
      <c r="W757" s="1902"/>
      <c r="X757" s="1902"/>
      <c r="Y757" s="1902"/>
      <c r="Z757" s="1902"/>
      <c r="AA757" s="1902"/>
      <c r="AB757" s="1902"/>
      <c r="AC757" s="1902"/>
      <c r="AD757" s="1902"/>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518</v>
      </c>
      <c r="E759" s="2014" t="s">
        <v>1956</v>
      </c>
      <c r="F759" s="2014"/>
      <c r="G759" s="2014"/>
      <c r="H759" s="2014"/>
      <c r="I759" s="2014"/>
      <c r="J759" s="2014"/>
      <c r="K759" s="2014"/>
      <c r="L759" s="2014"/>
      <c r="M759" s="2014"/>
      <c r="N759" s="2014"/>
      <c r="O759" s="2014"/>
      <c r="P759" s="2014"/>
      <c r="Q759" s="2014"/>
      <c r="R759" s="2014"/>
      <c r="S759" s="2014"/>
      <c r="T759" s="2014"/>
      <c r="U759" s="2014"/>
      <c r="V759" s="2014"/>
      <c r="W759" s="2014"/>
      <c r="X759" s="2014"/>
      <c r="Y759" s="2014"/>
      <c r="Z759" s="2014"/>
      <c r="AA759" s="2014"/>
      <c r="AB759" s="2014"/>
      <c r="AC759" s="2014"/>
      <c r="AD759" s="2014"/>
      <c r="AE759" s="571"/>
      <c r="AF759" s="1982" t="s">
        <v>1523</v>
      </c>
      <c r="AG759" s="1982"/>
      <c r="AH759" s="1982"/>
      <c r="AI759" s="1982"/>
      <c r="AJ759" s="1982"/>
      <c r="AK759" s="1982"/>
      <c r="AL759" s="1982"/>
      <c r="AM759" s="648"/>
      <c r="AN759" s="632"/>
    </row>
    <row r="760" spans="1:81" s="585" customFormat="1" ht="12.75" customHeight="1">
      <c r="B760" s="651"/>
      <c r="C760" s="977"/>
      <c r="D760" s="698"/>
      <c r="E760" s="2014"/>
      <c r="F760" s="2014"/>
      <c r="G760" s="2014"/>
      <c r="H760" s="2014"/>
      <c r="I760" s="2014"/>
      <c r="J760" s="2014"/>
      <c r="K760" s="2014"/>
      <c r="L760" s="2014"/>
      <c r="M760" s="2014"/>
      <c r="N760" s="2014"/>
      <c r="O760" s="2014"/>
      <c r="P760" s="2014"/>
      <c r="Q760" s="2014"/>
      <c r="R760" s="2014"/>
      <c r="S760" s="2014"/>
      <c r="T760" s="2014"/>
      <c r="U760" s="2014"/>
      <c r="V760" s="2014"/>
      <c r="W760" s="2014"/>
      <c r="X760" s="2014"/>
      <c r="Y760" s="2014"/>
      <c r="Z760" s="2014"/>
      <c r="AA760" s="2014"/>
      <c r="AB760" s="2014"/>
      <c r="AC760" s="2014"/>
      <c r="AD760" s="2014"/>
      <c r="AE760" s="629"/>
      <c r="AF760" s="629"/>
      <c r="AG760" s="629"/>
      <c r="AH760" s="629"/>
      <c r="AI760" s="629"/>
      <c r="AJ760" s="629"/>
      <c r="AK760" s="629"/>
      <c r="AL760" s="629"/>
      <c r="AM760" s="648"/>
      <c r="AN760" s="632"/>
    </row>
    <row r="761" spans="1:81" s="585" customFormat="1" ht="12.75" customHeight="1">
      <c r="B761" s="651"/>
      <c r="C761" s="977"/>
      <c r="D761" s="698"/>
      <c r="E761" s="2014"/>
      <c r="F761" s="2014"/>
      <c r="G761" s="2014"/>
      <c r="H761" s="2014"/>
      <c r="I761" s="2014"/>
      <c r="J761" s="2014"/>
      <c r="K761" s="2014"/>
      <c r="L761" s="2014"/>
      <c r="M761" s="2014"/>
      <c r="N761" s="2014"/>
      <c r="O761" s="2014"/>
      <c r="P761" s="2014"/>
      <c r="Q761" s="2014"/>
      <c r="R761" s="2014"/>
      <c r="S761" s="2014"/>
      <c r="T761" s="2014"/>
      <c r="U761" s="2014"/>
      <c r="V761" s="2014"/>
      <c r="W761" s="2014"/>
      <c r="X761" s="2014"/>
      <c r="Y761" s="2014"/>
      <c r="Z761" s="2014"/>
      <c r="AA761" s="2014"/>
      <c r="AB761" s="2014"/>
      <c r="AC761" s="2014"/>
      <c r="AD761" s="2014"/>
      <c r="AE761" s="629"/>
      <c r="AF761" s="629"/>
      <c r="AG761" s="629"/>
      <c r="AH761" s="629"/>
      <c r="AI761" s="629"/>
      <c r="AJ761" s="629"/>
      <c r="AK761" s="629"/>
      <c r="AL761" s="629"/>
      <c r="AM761" s="648"/>
      <c r="AN761" s="632"/>
    </row>
    <row r="762" spans="1:81" s="585" customFormat="1" ht="12.75" customHeight="1">
      <c r="B762" s="651"/>
      <c r="C762" s="977"/>
      <c r="D762" s="698"/>
      <c r="E762" s="2014"/>
      <c r="F762" s="2014"/>
      <c r="G762" s="2014"/>
      <c r="H762" s="2014"/>
      <c r="I762" s="2014"/>
      <c r="J762" s="2014"/>
      <c r="K762" s="2014"/>
      <c r="L762" s="2014"/>
      <c r="M762" s="2014"/>
      <c r="N762" s="2014"/>
      <c r="O762" s="2014"/>
      <c r="P762" s="2014"/>
      <c r="Q762" s="2014"/>
      <c r="R762" s="2014"/>
      <c r="S762" s="2014"/>
      <c r="T762" s="2014"/>
      <c r="U762" s="2014"/>
      <c r="V762" s="2014"/>
      <c r="W762" s="2014"/>
      <c r="X762" s="2014"/>
      <c r="Y762" s="2014"/>
      <c r="Z762" s="2014"/>
      <c r="AA762" s="2014"/>
      <c r="AB762" s="2014"/>
      <c r="AC762" s="2014"/>
      <c r="AD762" s="2014"/>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1571</v>
      </c>
      <c r="E764" s="973"/>
      <c r="F764" s="973"/>
      <c r="G764" s="973"/>
      <c r="H764" s="1926" t="s">
        <v>600</v>
      </c>
      <c r="I764" s="1926"/>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1619</v>
      </c>
      <c r="AJ766" s="1909">
        <f>VLOOKUP($H$764,$AP$705:$AQ$707,2,FALSE)</f>
        <v>0</v>
      </c>
      <c r="AK766" s="1911"/>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1620</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600</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 customHeight="1">
      <c r="A770" s="585"/>
      <c r="B770" s="651"/>
      <c r="C770" s="977"/>
      <c r="D770" s="698" t="s">
        <v>697</v>
      </c>
      <c r="E770" s="1902" t="s">
        <v>2427</v>
      </c>
      <c r="F770" s="1902"/>
      <c r="G770" s="1902"/>
      <c r="H770" s="1902"/>
      <c r="I770" s="1902"/>
      <c r="J770" s="1902"/>
      <c r="K770" s="1902"/>
      <c r="L770" s="1902"/>
      <c r="M770" s="1902"/>
      <c r="N770" s="1902"/>
      <c r="O770" s="1902"/>
      <c r="P770" s="1902"/>
      <c r="Q770" s="1902"/>
      <c r="R770" s="1902"/>
      <c r="S770" s="1902"/>
      <c r="T770" s="1902"/>
      <c r="U770" s="1902"/>
      <c r="V770" s="1902"/>
      <c r="W770" s="1902"/>
      <c r="X770" s="1902"/>
      <c r="Y770" s="1902"/>
      <c r="Z770" s="1902"/>
      <c r="AA770" s="1902"/>
      <c r="AB770" s="1902"/>
      <c r="AC770" s="1902"/>
      <c r="AD770" s="1902"/>
      <c r="AE770" s="571"/>
      <c r="AF770" s="1982" t="s">
        <v>1523</v>
      </c>
      <c r="AG770" s="1982"/>
      <c r="AH770" s="1982"/>
      <c r="AI770" s="1982"/>
      <c r="AJ770" s="1982"/>
      <c r="AK770" s="1982"/>
      <c r="AL770" s="1982"/>
      <c r="AM770" s="648"/>
      <c r="AN770" s="719"/>
      <c r="AO770" s="646" t="s">
        <v>554</v>
      </c>
      <c r="AP770" s="585">
        <v>3</v>
      </c>
      <c r="AT770" s="709"/>
      <c r="AU770" s="709"/>
      <c r="AV770" s="709"/>
      <c r="AW770" s="709"/>
      <c r="AX770" s="709"/>
      <c r="AY770" s="709"/>
      <c r="AZ770" s="709"/>
    </row>
    <row r="771" spans="1:81" s="605" customFormat="1" ht="13.7" customHeight="1">
      <c r="A771" s="585"/>
      <c r="B771" s="651"/>
      <c r="C771" s="977"/>
      <c r="D771" s="698"/>
      <c r="E771" s="1902"/>
      <c r="F771" s="1902"/>
      <c r="G771" s="1902"/>
      <c r="H771" s="1902"/>
      <c r="I771" s="1902"/>
      <c r="J771" s="1902"/>
      <c r="K771" s="1902"/>
      <c r="L771" s="1902"/>
      <c r="M771" s="1902"/>
      <c r="N771" s="1902"/>
      <c r="O771" s="1902"/>
      <c r="P771" s="1902"/>
      <c r="Q771" s="1902"/>
      <c r="R771" s="1902"/>
      <c r="S771" s="1902"/>
      <c r="T771" s="1902"/>
      <c r="U771" s="1902"/>
      <c r="V771" s="1902"/>
      <c r="W771" s="1902"/>
      <c r="X771" s="1902"/>
      <c r="Y771" s="1902"/>
      <c r="Z771" s="1902"/>
      <c r="AA771" s="1902"/>
      <c r="AB771" s="1902"/>
      <c r="AC771" s="1902"/>
      <c r="AD771" s="1902"/>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1902"/>
      <c r="F772" s="1902"/>
      <c r="G772" s="1902"/>
      <c r="H772" s="1902"/>
      <c r="I772" s="1902"/>
      <c r="J772" s="1902"/>
      <c r="K772" s="1902"/>
      <c r="L772" s="1902"/>
      <c r="M772" s="1902"/>
      <c r="N772" s="1902"/>
      <c r="O772" s="1902"/>
      <c r="P772" s="1902"/>
      <c r="Q772" s="1902"/>
      <c r="R772" s="1902"/>
      <c r="S772" s="1902"/>
      <c r="T772" s="1902"/>
      <c r="U772" s="1902"/>
      <c r="V772" s="1902"/>
      <c r="W772" s="1902"/>
      <c r="X772" s="1902"/>
      <c r="Y772" s="1902"/>
      <c r="Z772" s="1902"/>
      <c r="AA772" s="1902"/>
      <c r="AB772" s="1902"/>
      <c r="AC772" s="1902"/>
      <c r="AD772" s="1902"/>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1902"/>
      <c r="F773" s="1902"/>
      <c r="G773" s="1902"/>
      <c r="H773" s="1902"/>
      <c r="I773" s="1902"/>
      <c r="J773" s="1902"/>
      <c r="K773" s="1902"/>
      <c r="L773" s="1902"/>
      <c r="M773" s="1902"/>
      <c r="N773" s="1902"/>
      <c r="O773" s="1902"/>
      <c r="P773" s="1902"/>
      <c r="Q773" s="1902"/>
      <c r="R773" s="1902"/>
      <c r="S773" s="1902"/>
      <c r="T773" s="1902"/>
      <c r="U773" s="1902"/>
      <c r="V773" s="1902"/>
      <c r="W773" s="1902"/>
      <c r="X773" s="1902"/>
      <c r="Y773" s="1902"/>
      <c r="Z773" s="1902"/>
      <c r="AA773" s="1902"/>
      <c r="AB773" s="1902"/>
      <c r="AC773" s="1902"/>
      <c r="AD773" s="1902"/>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1571</v>
      </c>
      <c r="E775" s="973"/>
      <c r="F775" s="973"/>
      <c r="G775" s="973"/>
      <c r="H775" s="1926" t="s">
        <v>600</v>
      </c>
      <c r="I775" s="1926"/>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1621</v>
      </c>
      <c r="AJ777" s="1909">
        <f>VLOOKUP($H$775,$AO$769:$AP$770,2,FALSE)</f>
        <v>0</v>
      </c>
      <c r="AK777" s="1911"/>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1622</v>
      </c>
      <c r="AK779" s="1909">
        <f>IF(($AJ$610+$AJ$629+$AJ$641+$AJ$676+$AJ$696+$AJ$710+$AJ$722+$AJ$738+$AJ$750+$AJ$766+AJ777)&gt;10,10,($AJ$610+$AJ$629+$AJ$641+$AJ$676+$AJ$696+$AJ$710+$AJ$722+$AJ$738+$AJ$750+$AJ$766+AJ777))</f>
        <v>10</v>
      </c>
      <c r="AL779" s="1910"/>
      <c r="AM779" s="1911"/>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1973" t="s">
        <v>1744</v>
      </c>
      <c r="B782" s="1974"/>
      <c r="C782" s="1974"/>
      <c r="D782" s="1974"/>
      <c r="E782" s="1974"/>
      <c r="F782" s="1974"/>
      <c r="G782" s="1974"/>
      <c r="H782" s="1974"/>
      <c r="I782" s="1974"/>
      <c r="J782" s="1974"/>
      <c r="K782" s="1974"/>
      <c r="L782" s="1974"/>
      <c r="M782" s="1974"/>
      <c r="N782" s="1974"/>
      <c r="O782" s="1974"/>
      <c r="P782" s="1974"/>
      <c r="Q782" s="1974"/>
      <c r="R782" s="1974"/>
      <c r="S782" s="1974"/>
      <c r="T782" s="1974"/>
      <c r="U782" s="1974"/>
      <c r="V782" s="1974"/>
      <c r="W782" s="1974"/>
      <c r="X782" s="1974"/>
      <c r="Y782" s="1974"/>
      <c r="Z782" s="1974"/>
      <c r="AA782" s="1974"/>
      <c r="AB782" s="1974"/>
      <c r="AC782" s="1974"/>
      <c r="AD782" s="1974"/>
      <c r="AE782" s="1974"/>
      <c r="AF782" s="1974"/>
      <c r="AG782" s="1974"/>
      <c r="AH782" s="1974"/>
      <c r="AI782" s="1974"/>
      <c r="AJ782" s="1974"/>
      <c r="AK782" s="1974"/>
      <c r="AL782" s="1974"/>
      <c r="AM782" s="1974"/>
    </row>
    <row r="783" spans="1:81">
      <c r="A783" s="1975"/>
      <c r="B783" s="1975"/>
      <c r="C783" s="1975"/>
      <c r="D783" s="1975"/>
      <c r="E783" s="1975"/>
      <c r="F783" s="1975"/>
      <c r="G783" s="1975"/>
      <c r="H783" s="1975"/>
      <c r="I783" s="1975"/>
      <c r="J783" s="1975"/>
      <c r="K783" s="1975"/>
      <c r="L783" s="1975"/>
      <c r="M783" s="1975"/>
      <c r="N783" s="1975"/>
      <c r="O783" s="1975"/>
      <c r="P783" s="1975"/>
      <c r="Q783" s="1975"/>
      <c r="R783" s="1975"/>
      <c r="S783" s="1975"/>
      <c r="T783" s="1975"/>
      <c r="U783" s="1975"/>
      <c r="V783" s="1975"/>
      <c r="W783" s="1975"/>
      <c r="X783" s="1975"/>
      <c r="Y783" s="1975"/>
      <c r="Z783" s="1975"/>
      <c r="AA783" s="1975"/>
      <c r="AB783" s="1975"/>
      <c r="AC783" s="1975"/>
      <c r="AD783" s="1975"/>
      <c r="AE783" s="1975"/>
      <c r="AF783" s="1975"/>
      <c r="AG783" s="1975"/>
      <c r="AH783" s="1975"/>
      <c r="AI783" s="1975"/>
      <c r="AJ783" s="1975"/>
      <c r="AK783" s="1975"/>
      <c r="AL783" s="1975"/>
      <c r="AM783" s="1975"/>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1912"/>
      <c r="B785" s="1912"/>
      <c r="C785" s="1912"/>
      <c r="D785" s="1912"/>
      <c r="E785" s="1912"/>
      <c r="F785" s="1912"/>
      <c r="G785" s="1912"/>
      <c r="H785" s="1912"/>
      <c r="I785" s="1912"/>
      <c r="J785" s="1912"/>
      <c r="K785" s="1912"/>
      <c r="L785" s="1912"/>
      <c r="M785" s="1912"/>
      <c r="N785" s="1912"/>
      <c r="O785" s="1912"/>
      <c r="P785" s="1912"/>
      <c r="Q785" s="1912"/>
      <c r="R785" s="1912"/>
      <c r="S785" s="1912"/>
      <c r="T785" s="1912"/>
      <c r="U785" s="1912"/>
      <c r="V785" s="1912"/>
      <c r="W785" s="1912"/>
      <c r="X785" s="1912"/>
      <c r="Y785" s="1912"/>
      <c r="Z785" s="1912"/>
      <c r="AA785" s="1912"/>
      <c r="AB785" s="1912"/>
      <c r="AC785" s="1912"/>
      <c r="AD785" s="1912"/>
      <c r="AE785" s="1912"/>
      <c r="AF785" s="1912"/>
      <c r="AG785" s="1912"/>
      <c r="AH785" s="1912"/>
      <c r="AI785" s="1912"/>
      <c r="AJ785" s="1912"/>
      <c r="AK785" s="1912"/>
      <c r="AL785" s="1912"/>
      <c r="AM785" s="1912"/>
      <c r="AP785" s="852"/>
      <c r="AQ785" s="852"/>
    </row>
    <row r="786" spans="1:81">
      <c r="A786" s="1912"/>
      <c r="B786" s="1912"/>
      <c r="C786" s="1912"/>
      <c r="D786" s="1912"/>
      <c r="E786" s="1912"/>
      <c r="F786" s="1912"/>
      <c r="G786" s="1912"/>
      <c r="H786" s="1912"/>
      <c r="I786" s="1912"/>
      <c r="J786" s="1912"/>
      <c r="K786" s="1912"/>
      <c r="L786" s="1912"/>
      <c r="M786" s="1912"/>
      <c r="N786" s="1912"/>
      <c r="O786" s="1912"/>
      <c r="P786" s="1912"/>
      <c r="Q786" s="1912"/>
      <c r="R786" s="1912"/>
      <c r="S786" s="1912"/>
      <c r="T786" s="1912"/>
      <c r="U786" s="1912"/>
      <c r="V786" s="1912"/>
      <c r="W786" s="1912"/>
      <c r="X786" s="1912"/>
      <c r="Y786" s="1912"/>
      <c r="Z786" s="1912"/>
      <c r="AA786" s="1912"/>
      <c r="AB786" s="1912"/>
      <c r="AC786" s="1912"/>
      <c r="AD786" s="1912"/>
      <c r="AE786" s="1912"/>
      <c r="AF786" s="1912"/>
      <c r="AG786" s="1912"/>
      <c r="AH786" s="1912"/>
      <c r="AI786" s="1912"/>
      <c r="AJ786" s="1912"/>
      <c r="AK786" s="1912"/>
      <c r="AL786" s="1912"/>
      <c r="AM786" s="1912"/>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1976" t="s">
        <v>1745</v>
      </c>
      <c r="U787" s="1977"/>
      <c r="V787" s="1977"/>
      <c r="W787" s="1977"/>
      <c r="X787" s="1977"/>
      <c r="Y787" s="1978"/>
      <c r="Z787" s="1976" t="s">
        <v>1746</v>
      </c>
      <c r="AA787" s="1977"/>
      <c r="AB787" s="1977"/>
      <c r="AC787" s="1977"/>
      <c r="AD787" s="1977"/>
      <c r="AE787" s="1978"/>
      <c r="AF787" s="1976" t="s">
        <v>1747</v>
      </c>
      <c r="AG787" s="1977"/>
      <c r="AH787" s="1977"/>
      <c r="AI787" s="1977"/>
      <c r="AJ787" s="1977"/>
      <c r="AK787" s="1978"/>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1979"/>
      <c r="U788" s="1980"/>
      <c r="V788" s="1980"/>
      <c r="W788" s="1980"/>
      <c r="X788" s="1980"/>
      <c r="Y788" s="1981"/>
      <c r="Z788" s="1979"/>
      <c r="AA788" s="1980"/>
      <c r="AB788" s="1980"/>
      <c r="AC788" s="1980"/>
      <c r="AD788" s="1980"/>
      <c r="AE788" s="1981"/>
      <c r="AF788" s="1979"/>
      <c r="AG788" s="1980"/>
      <c r="AH788" s="1980"/>
      <c r="AI788" s="1980"/>
      <c r="AJ788" s="1980"/>
      <c r="AK788" s="1981"/>
      <c r="AL788" s="854"/>
      <c r="AM788" s="631"/>
      <c r="AO788" s="852"/>
      <c r="AP788" s="852"/>
      <c r="AQ788" s="852"/>
    </row>
    <row r="789" spans="1:81">
      <c r="A789" s="855" t="s">
        <v>769</v>
      </c>
      <c r="B789" s="1933" t="s">
        <v>1475</v>
      </c>
      <c r="C789" s="1933"/>
      <c r="D789" s="1933"/>
      <c r="E789" s="1933"/>
      <c r="F789" s="1933"/>
      <c r="G789" s="1933"/>
      <c r="H789" s="1933"/>
      <c r="I789" s="1933"/>
      <c r="J789" s="1933"/>
      <c r="K789" s="1933"/>
      <c r="L789" s="1933"/>
      <c r="M789" s="1933"/>
      <c r="N789" s="1933"/>
      <c r="O789" s="1933"/>
      <c r="P789" s="1933"/>
      <c r="Q789" s="1933"/>
      <c r="R789" s="1933"/>
      <c r="S789" s="1934"/>
      <c r="T789" s="1961">
        <f>AK56</f>
        <v>0</v>
      </c>
      <c r="U789" s="1937"/>
      <c r="V789" s="1937"/>
      <c r="W789" s="1937"/>
      <c r="X789" s="1937"/>
      <c r="Y789" s="1938"/>
      <c r="Z789" s="1936">
        <v>20</v>
      </c>
      <c r="AA789" s="1937"/>
      <c r="AB789" s="1937"/>
      <c r="AC789" s="1937"/>
      <c r="AD789" s="1937"/>
      <c r="AE789" s="1938"/>
      <c r="AF789" s="1922">
        <f>IF(T789&gt;Z789,Z789,T789)</f>
        <v>0</v>
      </c>
      <c r="AG789" s="1922"/>
      <c r="AH789" s="1922"/>
      <c r="AI789" s="1922"/>
      <c r="AJ789" s="1922"/>
      <c r="AK789" s="1922"/>
      <c r="AL789" s="854"/>
      <c r="AM789" s="631"/>
      <c r="AO789" s="852"/>
      <c r="AP789" s="852"/>
      <c r="AQ789" s="852"/>
    </row>
    <row r="790" spans="1:81">
      <c r="A790" s="855" t="s">
        <v>1717</v>
      </c>
      <c r="B790" s="1933" t="s">
        <v>1484</v>
      </c>
      <c r="C790" s="1933"/>
      <c r="D790" s="1933"/>
      <c r="E790" s="1933"/>
      <c r="F790" s="1933"/>
      <c r="G790" s="1933"/>
      <c r="H790" s="1933"/>
      <c r="I790" s="1933"/>
      <c r="J790" s="1933"/>
      <c r="K790" s="1933"/>
      <c r="L790" s="1933"/>
      <c r="M790" s="1933"/>
      <c r="N790" s="1933"/>
      <c r="O790" s="1933"/>
      <c r="P790" s="1933"/>
      <c r="Q790" s="1933"/>
      <c r="R790" s="1933"/>
      <c r="S790" s="1934"/>
      <c r="T790" s="1961">
        <f>AK78</f>
        <v>10</v>
      </c>
      <c r="U790" s="1937"/>
      <c r="V790" s="1937"/>
      <c r="W790" s="1937"/>
      <c r="X790" s="1937"/>
      <c r="Y790" s="1938"/>
      <c r="Z790" s="1936">
        <v>10</v>
      </c>
      <c r="AA790" s="1937"/>
      <c r="AB790" s="1937"/>
      <c r="AC790" s="1937"/>
      <c r="AD790" s="1937"/>
      <c r="AE790" s="1938"/>
      <c r="AF790" s="1922">
        <f>IF(T790&gt;Z790,Z790,T790)</f>
        <v>10</v>
      </c>
      <c r="AG790" s="1922"/>
      <c r="AH790" s="1922"/>
      <c r="AI790" s="1922"/>
      <c r="AJ790" s="1922"/>
      <c r="AK790" s="1922"/>
      <c r="AL790" s="854"/>
      <c r="AM790" s="631"/>
      <c r="AO790" s="852"/>
      <c r="AP790" s="852"/>
      <c r="AQ790" s="852"/>
    </row>
    <row r="791" spans="1:81">
      <c r="A791" s="855" t="s">
        <v>1726</v>
      </c>
      <c r="B791" s="1933" t="s">
        <v>1494</v>
      </c>
      <c r="C791" s="1933"/>
      <c r="D791" s="1933"/>
      <c r="E791" s="1933"/>
      <c r="F791" s="1933"/>
      <c r="G791" s="1933"/>
      <c r="H791" s="1933"/>
      <c r="I791" s="1933"/>
      <c r="J791" s="1933"/>
      <c r="K791" s="1933"/>
      <c r="L791" s="1933"/>
      <c r="M791" s="1933"/>
      <c r="N791" s="1933"/>
      <c r="O791" s="1933"/>
      <c r="P791" s="1933"/>
      <c r="Q791" s="1933"/>
      <c r="R791" s="1933"/>
      <c r="S791" s="1934"/>
      <c r="T791" s="1961">
        <f ca="1">AK103</f>
        <v>20</v>
      </c>
      <c r="U791" s="1937"/>
      <c r="V791" s="1937"/>
      <c r="W791" s="1937"/>
      <c r="X791" s="1937"/>
      <c r="Y791" s="1938"/>
      <c r="Z791" s="1936">
        <v>20</v>
      </c>
      <c r="AA791" s="1937"/>
      <c r="AB791" s="1937"/>
      <c r="AC791" s="1937"/>
      <c r="AD791" s="1937"/>
      <c r="AE791" s="1938"/>
      <c r="AF791" s="1922">
        <f ca="1">IF(T791&gt;Z791,Z791,T791)</f>
        <v>20</v>
      </c>
      <c r="AG791" s="1922"/>
      <c r="AH791" s="1922"/>
      <c r="AI791" s="1922"/>
      <c r="AJ791" s="1922"/>
      <c r="AK791" s="1922"/>
      <c r="AL791" s="854"/>
      <c r="AM791" s="631"/>
      <c r="AO791" s="852"/>
      <c r="AP791" s="852"/>
      <c r="AQ791" s="852"/>
    </row>
    <row r="792" spans="1:81">
      <c r="A792" s="855" t="s">
        <v>1748</v>
      </c>
      <c r="B792" s="1933" t="s">
        <v>1504</v>
      </c>
      <c r="C792" s="1933"/>
      <c r="D792" s="1933"/>
      <c r="E792" s="1933"/>
      <c r="F792" s="1933"/>
      <c r="G792" s="1933"/>
      <c r="H792" s="1933"/>
      <c r="I792" s="1933"/>
      <c r="J792" s="1933"/>
      <c r="K792" s="1933"/>
      <c r="L792" s="1933"/>
      <c r="M792" s="1933"/>
      <c r="N792" s="1933"/>
      <c r="O792" s="1933"/>
      <c r="P792" s="1933"/>
      <c r="Q792" s="1933"/>
      <c r="R792" s="1933"/>
      <c r="S792" s="1934"/>
      <c r="T792" s="1961">
        <f>AK137</f>
        <v>10</v>
      </c>
      <c r="U792" s="1937"/>
      <c r="V792" s="1937"/>
      <c r="W792" s="1937"/>
      <c r="X792" s="1937"/>
      <c r="Y792" s="1938"/>
      <c r="Z792" s="1936">
        <v>10</v>
      </c>
      <c r="AA792" s="1937"/>
      <c r="AB792" s="1937"/>
      <c r="AC792" s="1937"/>
      <c r="AD792" s="1937"/>
      <c r="AE792" s="1938"/>
      <c r="AF792" s="1922">
        <f>IF(T792&gt;Z792,Z792,T792)</f>
        <v>10</v>
      </c>
      <c r="AG792" s="1922"/>
      <c r="AH792" s="1922"/>
      <c r="AI792" s="1922"/>
      <c r="AJ792" s="1922"/>
      <c r="AK792" s="1922"/>
      <c r="AL792" s="854"/>
      <c r="AM792" s="631"/>
      <c r="AO792" s="852"/>
      <c r="AP792" s="852"/>
      <c r="AQ792" s="852"/>
    </row>
    <row r="793" spans="1:81">
      <c r="A793" s="856" t="s">
        <v>1749</v>
      </c>
      <c r="B793" s="1933" t="s">
        <v>1750</v>
      </c>
      <c r="C793" s="1933"/>
      <c r="D793" s="1933"/>
      <c r="E793" s="1933"/>
      <c r="F793" s="1933"/>
      <c r="G793" s="1933"/>
      <c r="H793" s="1933"/>
      <c r="I793" s="1933"/>
      <c r="J793" s="1933"/>
      <c r="K793" s="1933"/>
      <c r="L793" s="1933"/>
      <c r="M793" s="1933"/>
      <c r="N793" s="1933"/>
      <c r="O793" s="1933"/>
      <c r="P793" s="1933"/>
      <c r="Q793" s="1933"/>
      <c r="R793" s="1933"/>
      <c r="S793" s="1934"/>
      <c r="T793" s="1935">
        <f>SUM(T794:Y795)</f>
        <v>10</v>
      </c>
      <c r="U793" s="1935"/>
      <c r="V793" s="1935"/>
      <c r="W793" s="1935"/>
      <c r="X793" s="1935"/>
      <c r="Y793" s="1935"/>
      <c r="Z793" s="1922">
        <v>10</v>
      </c>
      <c r="AA793" s="1922"/>
      <c r="AB793" s="1922"/>
      <c r="AC793" s="1922"/>
      <c r="AD793" s="1922"/>
      <c r="AE793" s="1922"/>
      <c r="AF793" s="1922">
        <f>IF(T793&gt;Z793,Z793,T793)</f>
        <v>10</v>
      </c>
      <c r="AG793" s="1922"/>
      <c r="AH793" s="1922"/>
      <c r="AI793" s="1922"/>
      <c r="AJ793" s="1922"/>
      <c r="AK793" s="1922"/>
      <c r="AL793" s="854"/>
      <c r="AM793" s="631"/>
    </row>
    <row r="794" spans="1:81">
      <c r="A794" s="570"/>
      <c r="B794" s="636"/>
      <c r="C794" s="1939" t="s">
        <v>1751</v>
      </c>
      <c r="D794" s="1939"/>
      <c r="E794" s="1939"/>
      <c r="F794" s="1939"/>
      <c r="G794" s="1939"/>
      <c r="H794" s="1939"/>
      <c r="I794" s="1939"/>
      <c r="J794" s="1939"/>
      <c r="K794" s="1939"/>
      <c r="L794" s="1939"/>
      <c r="M794" s="1939"/>
      <c r="N794" s="1939"/>
      <c r="O794" s="1939"/>
      <c r="P794" s="1939"/>
      <c r="Q794" s="1939"/>
      <c r="R794" s="1939"/>
      <c r="S794" s="1940"/>
      <c r="T794" s="1941">
        <f>AJ155</f>
        <v>7</v>
      </c>
      <c r="U794" s="1941"/>
      <c r="V794" s="1941"/>
      <c r="W794" s="1941"/>
      <c r="X794" s="1941"/>
      <c r="Y794" s="1941"/>
      <c r="Z794" s="1942">
        <v>7</v>
      </c>
      <c r="AA794" s="1942"/>
      <c r="AB794" s="1942"/>
      <c r="AC794" s="1942"/>
      <c r="AD794" s="1942"/>
      <c r="AE794" s="1942"/>
      <c r="AF794" s="1943"/>
      <c r="AG794" s="1943"/>
      <c r="AH794" s="1943"/>
      <c r="AI794" s="1943"/>
      <c r="AJ794" s="1943"/>
      <c r="AK794" s="1943"/>
      <c r="AL794" s="854"/>
      <c r="AM794" s="631"/>
    </row>
    <row r="795" spans="1:81">
      <c r="A795" s="635"/>
      <c r="B795" s="636"/>
      <c r="C795" s="1939" t="s">
        <v>1752</v>
      </c>
      <c r="D795" s="1939"/>
      <c r="E795" s="1939"/>
      <c r="F795" s="1939"/>
      <c r="G795" s="1939"/>
      <c r="H795" s="1939"/>
      <c r="I795" s="1939"/>
      <c r="J795" s="1939"/>
      <c r="K795" s="1939"/>
      <c r="L795" s="1939"/>
      <c r="M795" s="1939"/>
      <c r="N795" s="1939"/>
      <c r="O795" s="1939"/>
      <c r="P795" s="1939"/>
      <c r="Q795" s="1939"/>
      <c r="R795" s="1939"/>
      <c r="S795" s="1940"/>
      <c r="T795" s="1941">
        <f>AJ169</f>
        <v>3</v>
      </c>
      <c r="U795" s="1941"/>
      <c r="V795" s="1941"/>
      <c r="W795" s="1941"/>
      <c r="X795" s="1941"/>
      <c r="Y795" s="1941"/>
      <c r="Z795" s="1942">
        <v>3</v>
      </c>
      <c r="AA795" s="1942"/>
      <c r="AB795" s="1942"/>
      <c r="AC795" s="1942"/>
      <c r="AD795" s="1942"/>
      <c r="AE795" s="1942"/>
      <c r="AF795" s="1943"/>
      <c r="AG795" s="1943"/>
      <c r="AH795" s="1943"/>
      <c r="AI795" s="1943"/>
      <c r="AJ795" s="1943"/>
      <c r="AK795" s="1943"/>
      <c r="AL795" s="854"/>
      <c r="AM795" s="631"/>
      <c r="AO795" s="585"/>
    </row>
    <row r="796" spans="1:81">
      <c r="A796" s="856" t="s">
        <v>1532</v>
      </c>
      <c r="B796" s="1933" t="s">
        <v>1753</v>
      </c>
      <c r="C796" s="1933"/>
      <c r="D796" s="1933"/>
      <c r="E796" s="1933"/>
      <c r="F796" s="1933"/>
      <c r="G796" s="1933"/>
      <c r="H796" s="1933"/>
      <c r="I796" s="1933"/>
      <c r="J796" s="1933"/>
      <c r="K796" s="1933"/>
      <c r="L796" s="1933"/>
      <c r="M796" s="1933"/>
      <c r="N796" s="1933"/>
      <c r="O796" s="1933"/>
      <c r="P796" s="1933"/>
      <c r="Q796" s="1933"/>
      <c r="R796" s="1933"/>
      <c r="S796" s="1934"/>
      <c r="T796" s="1935">
        <f>AK180</f>
        <v>10</v>
      </c>
      <c r="U796" s="1935"/>
      <c r="V796" s="1935"/>
      <c r="W796" s="1935"/>
      <c r="X796" s="1935"/>
      <c r="Y796" s="1935"/>
      <c r="Z796" s="1922">
        <v>10</v>
      </c>
      <c r="AA796" s="1922"/>
      <c r="AB796" s="1922"/>
      <c r="AC796" s="1922"/>
      <c r="AD796" s="1922"/>
      <c r="AE796" s="1922"/>
      <c r="AF796" s="1922">
        <f>IF(T796&gt;Z796,Z796,T796)</f>
        <v>10</v>
      </c>
      <c r="AG796" s="1922"/>
      <c r="AH796" s="1922"/>
      <c r="AI796" s="1922"/>
      <c r="AJ796" s="1922"/>
      <c r="AK796" s="1922"/>
      <c r="AL796" s="854"/>
      <c r="AM796" s="631"/>
    </row>
    <row r="797" spans="1:81">
      <c r="A797" s="855" t="s">
        <v>1541</v>
      </c>
      <c r="B797" s="1933" t="s">
        <v>1542</v>
      </c>
      <c r="C797" s="1933"/>
      <c r="D797" s="1933"/>
      <c r="E797" s="1933"/>
      <c r="F797" s="1933"/>
      <c r="G797" s="1933"/>
      <c r="H797" s="1933"/>
      <c r="I797" s="1933"/>
      <c r="J797" s="1933"/>
      <c r="K797" s="1933"/>
      <c r="L797" s="1933"/>
      <c r="M797" s="1933"/>
      <c r="N797" s="1933"/>
      <c r="O797" s="1933"/>
      <c r="P797" s="1933"/>
      <c r="Q797" s="1933"/>
      <c r="R797" s="1933"/>
      <c r="S797" s="1934"/>
      <c r="T797" s="1935">
        <f>AK262</f>
        <v>8</v>
      </c>
      <c r="U797" s="1935"/>
      <c r="V797" s="1935"/>
      <c r="W797" s="1935"/>
      <c r="X797" s="1935"/>
      <c r="Y797" s="1935"/>
      <c r="Z797" s="1936">
        <v>8</v>
      </c>
      <c r="AA797" s="1937"/>
      <c r="AB797" s="1937"/>
      <c r="AC797" s="1937"/>
      <c r="AD797" s="1937"/>
      <c r="AE797" s="1938"/>
      <c r="AF797" s="1922">
        <f>IF(T797&gt;Z797,Z797,T797)</f>
        <v>8</v>
      </c>
      <c r="AG797" s="1922"/>
      <c r="AH797" s="1922"/>
      <c r="AI797" s="1922"/>
      <c r="AJ797" s="1922"/>
      <c r="AK797" s="1922"/>
      <c r="AL797" s="854"/>
      <c r="AM797" s="631"/>
    </row>
    <row r="798" spans="1:81" s="569" customFormat="1" hidden="1">
      <c r="A798" s="856" t="s">
        <v>598</v>
      </c>
      <c r="B798" s="1933" t="s">
        <v>1754</v>
      </c>
      <c r="C798" s="1933"/>
      <c r="D798" s="1933"/>
      <c r="E798" s="1933"/>
      <c r="F798" s="1933"/>
      <c r="G798" s="1933"/>
      <c r="H798" s="1933"/>
      <c r="I798" s="1933"/>
      <c r="J798" s="1933"/>
      <c r="K798" s="1933"/>
      <c r="L798" s="1933"/>
      <c r="M798" s="1933"/>
      <c r="N798" s="1933"/>
      <c r="O798" s="1933"/>
      <c r="P798" s="1933"/>
      <c r="Q798" s="1933"/>
      <c r="R798" s="1933"/>
      <c r="S798" s="1934"/>
      <c r="T798" s="1935">
        <f>IF(AK524&gt;5,5,AK524)</f>
        <v>0</v>
      </c>
      <c r="U798" s="1935"/>
      <c r="V798" s="1935"/>
      <c r="W798" s="1935"/>
      <c r="X798" s="1935"/>
      <c r="Y798" s="1935"/>
      <c r="Z798" s="1922">
        <v>5</v>
      </c>
      <c r="AA798" s="1922"/>
      <c r="AB798" s="1922"/>
      <c r="AC798" s="1922"/>
      <c r="AD798" s="1922"/>
      <c r="AE798" s="1922"/>
      <c r="AF798" s="1922">
        <f>IF(T798&gt;Z798,5,T798)</f>
        <v>0</v>
      </c>
      <c r="AG798" s="1922"/>
      <c r="AH798" s="1922"/>
      <c r="AI798" s="1922"/>
      <c r="AJ798" s="1922"/>
      <c r="AK798" s="1922"/>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1547</v>
      </c>
      <c r="B799" s="1933" t="s">
        <v>1755</v>
      </c>
      <c r="C799" s="1933"/>
      <c r="D799" s="1933"/>
      <c r="E799" s="1933"/>
      <c r="F799" s="1933"/>
      <c r="G799" s="1933"/>
      <c r="H799" s="1933"/>
      <c r="I799" s="1933"/>
      <c r="J799" s="1933"/>
      <c r="K799" s="1933"/>
      <c r="L799" s="1933"/>
      <c r="M799" s="1933"/>
      <c r="N799" s="1933"/>
      <c r="O799" s="1933"/>
      <c r="P799" s="1933"/>
      <c r="Q799" s="1933"/>
      <c r="R799" s="1933"/>
      <c r="S799" s="1934"/>
      <c r="T799" s="1935">
        <f>AK274</f>
        <v>10</v>
      </c>
      <c r="U799" s="1935"/>
      <c r="V799" s="1935"/>
      <c r="W799" s="1935"/>
      <c r="X799" s="1935"/>
      <c r="Y799" s="1935"/>
      <c r="Z799" s="1922">
        <v>10</v>
      </c>
      <c r="AA799" s="1922"/>
      <c r="AB799" s="1922"/>
      <c r="AC799" s="1922"/>
      <c r="AD799" s="1922"/>
      <c r="AE799" s="1922"/>
      <c r="AF799" s="1944">
        <f>IF(T799&gt;Z799,Z799,T799)</f>
        <v>10</v>
      </c>
      <c r="AG799" s="1945"/>
      <c r="AH799" s="1945"/>
      <c r="AI799" s="1945"/>
      <c r="AJ799" s="1945"/>
      <c r="AK799" s="1946"/>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1551</v>
      </c>
      <c r="B800" s="1933" t="s">
        <v>1552</v>
      </c>
      <c r="C800" s="1933"/>
      <c r="D800" s="1933"/>
      <c r="E800" s="1933"/>
      <c r="F800" s="1933"/>
      <c r="G800" s="1933"/>
      <c r="H800" s="1933"/>
      <c r="I800" s="1933"/>
      <c r="J800" s="1933"/>
      <c r="K800" s="1933"/>
      <c r="L800" s="1933"/>
      <c r="M800" s="1933"/>
      <c r="N800" s="1933"/>
      <c r="O800" s="1933"/>
      <c r="P800" s="1933"/>
      <c r="Q800" s="1933"/>
      <c r="R800" s="1933"/>
      <c r="S800" s="1934"/>
      <c r="T800" s="1935">
        <f>AK327</f>
        <v>9</v>
      </c>
      <c r="U800" s="1935"/>
      <c r="V800" s="1935"/>
      <c r="W800" s="1935"/>
      <c r="X800" s="1935"/>
      <c r="Y800" s="1935"/>
      <c r="Z800" s="1944">
        <v>10</v>
      </c>
      <c r="AA800" s="1945"/>
      <c r="AB800" s="1945"/>
      <c r="AC800" s="1945"/>
      <c r="AD800" s="1945"/>
      <c r="AE800" s="1946"/>
      <c r="AF800" s="1944">
        <f>IF(T800&gt;Z800,Z800,T800)</f>
        <v>9</v>
      </c>
      <c r="AG800" s="1945"/>
      <c r="AH800" s="1945"/>
      <c r="AI800" s="1945"/>
      <c r="AJ800" s="1945"/>
      <c r="AK800" s="1946"/>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1756</v>
      </c>
      <c r="D801" s="859"/>
      <c r="E801" s="859"/>
      <c r="F801" s="859"/>
      <c r="G801" s="859"/>
      <c r="H801" s="859"/>
      <c r="I801" s="859"/>
      <c r="J801" s="859"/>
      <c r="K801" s="859"/>
      <c r="L801" s="859"/>
      <c r="M801" s="859"/>
      <c r="N801" s="859"/>
      <c r="O801" s="859"/>
      <c r="P801" s="859"/>
      <c r="Q801" s="859"/>
      <c r="R801" s="857"/>
      <c r="S801" s="860"/>
      <c r="T801" s="1941">
        <f>AK327</f>
        <v>9</v>
      </c>
      <c r="U801" s="1941"/>
      <c r="V801" s="1941"/>
      <c r="W801" s="1941"/>
      <c r="X801" s="1941"/>
      <c r="Y801" s="1941"/>
      <c r="Z801" s="1909">
        <v>20</v>
      </c>
      <c r="AA801" s="1910"/>
      <c r="AB801" s="1910"/>
      <c r="AC801" s="1910"/>
      <c r="AD801" s="1910"/>
      <c r="AE801" s="1911"/>
      <c r="AF801" s="1943"/>
      <c r="AG801" s="1943"/>
      <c r="AH801" s="1943"/>
      <c r="AI801" s="1943"/>
      <c r="AJ801" s="1943"/>
      <c r="AK801" s="1943"/>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1624</v>
      </c>
      <c r="B802" s="1933" t="s">
        <v>873</v>
      </c>
      <c r="C802" s="1933"/>
      <c r="D802" s="1933"/>
      <c r="E802" s="1933"/>
      <c r="F802" s="1933"/>
      <c r="G802" s="1933"/>
      <c r="H802" s="1933"/>
      <c r="I802" s="1933"/>
      <c r="J802" s="1933"/>
      <c r="K802" s="1933"/>
      <c r="L802" s="1933"/>
      <c r="M802" s="1933"/>
      <c r="N802" s="1933"/>
      <c r="O802" s="1933"/>
      <c r="P802" s="1933"/>
      <c r="Q802" s="1933"/>
      <c r="R802" s="1933"/>
      <c r="S802" s="1934"/>
      <c r="T802" s="1935">
        <f>AK458</f>
        <v>10</v>
      </c>
      <c r="U802" s="1935"/>
      <c r="V802" s="1935"/>
      <c r="W802" s="1935"/>
      <c r="X802" s="1935"/>
      <c r="Y802" s="1935"/>
      <c r="Z802" s="1944">
        <v>10</v>
      </c>
      <c r="AA802" s="1945"/>
      <c r="AB802" s="1945"/>
      <c r="AC802" s="1945"/>
      <c r="AD802" s="1945"/>
      <c r="AE802" s="1946"/>
      <c r="AF802" s="1922">
        <f>IF(T802&gt;Z802,Z802,T802)</f>
        <v>10</v>
      </c>
      <c r="AG802" s="1922"/>
      <c r="AH802" s="1922"/>
      <c r="AI802" s="1922"/>
      <c r="AJ802" s="1922"/>
      <c r="AK802" s="1922"/>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1734</v>
      </c>
      <c r="B803" s="1933" t="s">
        <v>1735</v>
      </c>
      <c r="C803" s="1933"/>
      <c r="D803" s="1933"/>
      <c r="E803" s="1933"/>
      <c r="F803" s="1933"/>
      <c r="G803" s="1933"/>
      <c r="H803" s="1933"/>
      <c r="I803" s="1933"/>
      <c r="J803" s="1933"/>
      <c r="K803" s="1933"/>
      <c r="L803" s="1933"/>
      <c r="M803" s="1933"/>
      <c r="N803" s="1933"/>
      <c r="O803" s="1933"/>
      <c r="P803" s="1933"/>
      <c r="Q803" s="1933"/>
      <c r="R803" s="1933"/>
      <c r="S803" s="1934"/>
      <c r="T803" s="1935">
        <f>AK548</f>
        <v>12</v>
      </c>
      <c r="U803" s="1935"/>
      <c r="V803" s="1935"/>
      <c r="W803" s="1935"/>
      <c r="X803" s="1935"/>
      <c r="Y803" s="1935"/>
      <c r="Z803" s="1944">
        <v>12</v>
      </c>
      <c r="AA803" s="1945"/>
      <c r="AB803" s="1945"/>
      <c r="AC803" s="1945"/>
      <c r="AD803" s="1945"/>
      <c r="AE803" s="1946"/>
      <c r="AF803" s="1922">
        <f>IF(T803&gt;Z803,Z803,T803)</f>
        <v>12</v>
      </c>
      <c r="AG803" s="1922"/>
      <c r="AH803" s="1922"/>
      <c r="AI803" s="1922"/>
      <c r="AJ803" s="1922"/>
      <c r="AK803" s="1922"/>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2415</v>
      </c>
      <c r="B804" s="1933" t="s">
        <v>1757</v>
      </c>
      <c r="C804" s="1933"/>
      <c r="D804" s="1933"/>
      <c r="E804" s="1933"/>
      <c r="F804" s="1933"/>
      <c r="G804" s="1933"/>
      <c r="H804" s="1933"/>
      <c r="I804" s="1933"/>
      <c r="J804" s="1933"/>
      <c r="K804" s="1933"/>
      <c r="L804" s="1933"/>
      <c r="M804" s="1933"/>
      <c r="N804" s="1933"/>
      <c r="O804" s="1933"/>
      <c r="P804" s="1933"/>
      <c r="Q804" s="1933"/>
      <c r="R804" s="1933"/>
      <c r="S804" s="1934"/>
      <c r="T804" s="1935">
        <f>AK779</f>
        <v>10</v>
      </c>
      <c r="U804" s="1935"/>
      <c r="V804" s="1935"/>
      <c r="W804" s="1935"/>
      <c r="X804" s="1935"/>
      <c r="Y804" s="1935"/>
      <c r="Z804" s="1944">
        <v>10</v>
      </c>
      <c r="AA804" s="1945"/>
      <c r="AB804" s="1945"/>
      <c r="AC804" s="1945"/>
      <c r="AD804" s="1945"/>
      <c r="AE804" s="1946"/>
      <c r="AF804" s="1922">
        <f>IF(T804&gt;Z804,Z804,T804)</f>
        <v>10</v>
      </c>
      <c r="AG804" s="1922"/>
      <c r="AH804" s="1922"/>
      <c r="AI804" s="1922"/>
      <c r="AJ804" s="1922"/>
      <c r="AK804" s="1922"/>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1947" t="s">
        <v>1758</v>
      </c>
      <c r="B805" s="1933"/>
      <c r="C805" s="1933"/>
      <c r="D805" s="1933"/>
      <c r="E805" s="1933"/>
      <c r="F805" s="1933"/>
      <c r="G805" s="1933"/>
      <c r="H805" s="1933"/>
      <c r="I805" s="1933"/>
      <c r="J805" s="1933"/>
      <c r="K805" s="1933"/>
      <c r="L805" s="1933"/>
      <c r="M805" s="1933"/>
      <c r="N805" s="1933"/>
      <c r="O805" s="1933"/>
      <c r="P805" s="1933"/>
      <c r="Q805" s="1933"/>
      <c r="R805" s="1933"/>
      <c r="S805" s="1934"/>
      <c r="T805" s="1948"/>
      <c r="U805" s="1948"/>
      <c r="V805" s="1948"/>
      <c r="W805" s="1948"/>
      <c r="X805" s="1948"/>
      <c r="Y805" s="1948"/>
      <c r="Z805" s="1942" t="s">
        <v>1759</v>
      </c>
      <c r="AA805" s="1942"/>
      <c r="AB805" s="1942"/>
      <c r="AC805" s="1942"/>
      <c r="AD805" s="1942"/>
      <c r="AE805" s="1942"/>
      <c r="AF805" s="1944">
        <f>IF(T805&gt;0,T805,0)</f>
        <v>0</v>
      </c>
      <c r="AG805" s="1945"/>
      <c r="AH805" s="1945"/>
      <c r="AI805" s="1945"/>
      <c r="AJ805" s="1945"/>
      <c r="AK805" s="1946"/>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75">
      <c r="A806" s="1949" t="s">
        <v>1760</v>
      </c>
      <c r="B806" s="1950"/>
      <c r="C806" s="1950"/>
      <c r="D806" s="1950"/>
      <c r="E806" s="1950"/>
      <c r="F806" s="1950"/>
      <c r="G806" s="1950"/>
      <c r="H806" s="1950"/>
      <c r="I806" s="1950"/>
      <c r="J806" s="1950"/>
      <c r="K806" s="1950"/>
      <c r="L806" s="1950"/>
      <c r="M806" s="1950"/>
      <c r="N806" s="1950"/>
      <c r="O806" s="1950"/>
      <c r="P806" s="1950"/>
      <c r="Q806" s="1950"/>
      <c r="R806" s="1950"/>
      <c r="S806" s="1950"/>
      <c r="T806" s="1950"/>
      <c r="U806" s="1950"/>
      <c r="V806" s="1950"/>
      <c r="W806" s="1950"/>
      <c r="X806" s="1950"/>
      <c r="Y806" s="1950"/>
      <c r="Z806" s="1950"/>
      <c r="AA806" s="1950"/>
      <c r="AB806" s="1950"/>
      <c r="AC806" s="1950"/>
      <c r="AD806" s="1950"/>
      <c r="AE806" s="1951"/>
      <c r="AF806" s="1955">
        <f ca="1">SUM(AF789:AK804)-AF805</f>
        <v>119</v>
      </c>
      <c r="AG806" s="1956"/>
      <c r="AH806" s="1956"/>
      <c r="AI806" s="1956"/>
      <c r="AJ806" s="1956"/>
      <c r="AK806" s="1957"/>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75">
      <c r="A807" s="1952"/>
      <c r="B807" s="1953"/>
      <c r="C807" s="1953"/>
      <c r="D807" s="1953"/>
      <c r="E807" s="1953"/>
      <c r="F807" s="1953"/>
      <c r="G807" s="1953"/>
      <c r="H807" s="1953"/>
      <c r="I807" s="1953"/>
      <c r="J807" s="1953"/>
      <c r="K807" s="1953"/>
      <c r="L807" s="1953"/>
      <c r="M807" s="1953"/>
      <c r="N807" s="1953"/>
      <c r="O807" s="1953"/>
      <c r="P807" s="1953"/>
      <c r="Q807" s="1953"/>
      <c r="R807" s="1953"/>
      <c r="S807" s="1953"/>
      <c r="T807" s="1953"/>
      <c r="U807" s="1953"/>
      <c r="V807" s="1953"/>
      <c r="W807" s="1953"/>
      <c r="X807" s="1953"/>
      <c r="Y807" s="1953"/>
      <c r="Z807" s="1953"/>
      <c r="AA807" s="1953"/>
      <c r="AB807" s="1953"/>
      <c r="AC807" s="1953"/>
      <c r="AD807" s="1953"/>
      <c r="AE807" s="1954"/>
      <c r="AF807" s="1958"/>
      <c r="AG807" s="1959"/>
      <c r="AH807" s="1959"/>
      <c r="AI807" s="1959"/>
      <c r="AJ807" s="1959"/>
      <c r="AK807" s="1960"/>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s8Dd5t/Z2bar/hhHNB/6YmKDjpq+sVjzRh2MUygz49HUYFqr6LlzO7LiREW0JCn4Rm8F1lbL/sGzMlNMkdOc6A==" saltValue="1n6LU6niKltzOkWCPoeDJg=="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T797:Y797">
    <cfRule type="expression" dxfId="14" priority="7" stopIfTrue="1">
      <formula>ISERROR(T797)</formula>
    </cfRule>
  </conditionalFormatting>
  <conditionalFormatting sqref="T802:Z804">
    <cfRule type="expression" dxfId="13" priority="1" stopIfTrue="1">
      <formula>ISERROR(T802)</formula>
    </cfRule>
  </conditionalFormatting>
  <conditionalFormatting sqref="AF789:AK792">
    <cfRule type="expression" dxfId="12" priority="3" stopIfTrue="1">
      <formula>ISERROR(AF789)</formula>
    </cfRule>
  </conditionalFormatting>
  <conditionalFormatting sqref="AF797:AK797">
    <cfRule type="expression" dxfId="11" priority="8" stopIfTrue="1">
      <formula>ISERROR(AF797)</formula>
    </cfRule>
  </conditionalFormatting>
  <conditionalFormatting sqref="AF802:AK804">
    <cfRule type="expression" dxfId="10" priority="9" stopIfTrue="1">
      <formula>ISERROR(AF802)</formula>
    </cfRule>
  </conditionalFormatting>
  <conditionalFormatting sqref="AP434 AQ435:AQ437 AN444:AN448 T793:AK793 T794:AF796 AG796:AK796 T798:AK800 T801:AF801 AF804:AF806 T805:AE805 AG805:AL805">
    <cfRule type="expression" dxfId="9" priority="13" stopIfTrue="1">
      <formula>ISERROR(T434)</formula>
    </cfRule>
  </conditionalFormatting>
  <conditionalFormatting sqref="AP460">
    <cfRule type="expression" dxfId="8" priority="12" stopIfTrue="1">
      <formula>ISERROR(AP460)</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4" sqref="C4"/>
    </sheetView>
  </sheetViews>
  <sheetFormatPr defaultColWidth="0" defaultRowHeight="12" zeroHeight="1"/>
  <cols>
    <col min="1" max="1" width="32.5703125" style="429" customWidth="1"/>
    <col min="2" max="3" width="12.140625" style="425" customWidth="1"/>
    <col min="4" max="6" width="12.85546875" style="425" customWidth="1"/>
    <col min="7" max="9" width="12.140625" style="425" customWidth="1"/>
    <col min="10" max="10" width="12.140625" style="426" customWidth="1"/>
    <col min="11" max="11" width="8.85546875" style="427" hidden="1" customWidth="1"/>
    <col min="12" max="21" width="8.85546875" style="425" hidden="1" customWidth="1"/>
    <col min="22" max="23" width="0" style="425" hidden="1"/>
    <col min="24" max="256" width="8.85546875" style="425" hidden="1"/>
    <col min="257" max="257" width="32.5703125" style="425" hidden="1" customWidth="1"/>
    <col min="258" max="259" width="12.140625" style="425" hidden="1" customWidth="1"/>
    <col min="260" max="260" width="12.85546875" style="425" hidden="1" customWidth="1"/>
    <col min="261" max="266" width="12.140625" style="425" hidden="1" customWidth="1"/>
    <col min="267" max="277" width="8.85546875" style="425" hidden="1" customWidth="1"/>
    <col min="278" max="512" width="8.85546875" style="425" hidden="1"/>
    <col min="513" max="513" width="32.5703125" style="425" hidden="1" customWidth="1"/>
    <col min="514" max="515" width="12.140625" style="425" hidden="1" customWidth="1"/>
    <col min="516" max="516" width="12.85546875" style="425" hidden="1" customWidth="1"/>
    <col min="517" max="522" width="12.140625" style="425" hidden="1" customWidth="1"/>
    <col min="523" max="533" width="8.85546875" style="425" hidden="1" customWidth="1"/>
    <col min="534" max="768" width="8.85546875" style="425" hidden="1"/>
    <col min="769" max="769" width="32.5703125" style="425" hidden="1" customWidth="1"/>
    <col min="770" max="771" width="12.140625" style="425" hidden="1" customWidth="1"/>
    <col min="772" max="772" width="12.85546875" style="425" hidden="1" customWidth="1"/>
    <col min="773" max="778" width="12.140625" style="425" hidden="1" customWidth="1"/>
    <col min="779" max="789" width="8.85546875" style="425" hidden="1" customWidth="1"/>
    <col min="790" max="1024" width="8.85546875" style="425" hidden="1"/>
    <col min="1025" max="1025" width="32.5703125" style="425" hidden="1" customWidth="1"/>
    <col min="1026" max="1027" width="12.140625" style="425" hidden="1" customWidth="1"/>
    <col min="1028" max="1028" width="12.85546875" style="425" hidden="1" customWidth="1"/>
    <col min="1029" max="1034" width="12.140625" style="425" hidden="1" customWidth="1"/>
    <col min="1035" max="1045" width="8.85546875" style="425" hidden="1" customWidth="1"/>
    <col min="1046" max="1280" width="8.85546875" style="425" hidden="1"/>
    <col min="1281" max="1281" width="32.5703125" style="425" hidden="1" customWidth="1"/>
    <col min="1282" max="1283" width="12.140625" style="425" hidden="1" customWidth="1"/>
    <col min="1284" max="1284" width="12.85546875" style="425" hidden="1" customWidth="1"/>
    <col min="1285" max="1290" width="12.140625" style="425" hidden="1" customWidth="1"/>
    <col min="1291" max="1301" width="8.85546875" style="425" hidden="1" customWidth="1"/>
    <col min="1302" max="1536" width="8.85546875" style="425" hidden="1"/>
    <col min="1537" max="1537" width="32.5703125" style="425" hidden="1" customWidth="1"/>
    <col min="1538" max="1539" width="12.140625" style="425" hidden="1" customWidth="1"/>
    <col min="1540" max="1540" width="12.85546875" style="425" hidden="1" customWidth="1"/>
    <col min="1541" max="1546" width="12.140625" style="425" hidden="1" customWidth="1"/>
    <col min="1547" max="1557" width="8.85546875" style="425" hidden="1" customWidth="1"/>
    <col min="1558" max="1792" width="8.85546875" style="425" hidden="1"/>
    <col min="1793" max="1793" width="32.5703125" style="425" hidden="1" customWidth="1"/>
    <col min="1794" max="1795" width="12.140625" style="425" hidden="1" customWidth="1"/>
    <col min="1796" max="1796" width="12.85546875" style="425" hidden="1" customWidth="1"/>
    <col min="1797" max="1802" width="12.140625" style="425" hidden="1" customWidth="1"/>
    <col min="1803" max="1813" width="8.85546875" style="425" hidden="1" customWidth="1"/>
    <col min="1814" max="2048" width="8.85546875" style="425" hidden="1"/>
    <col min="2049" max="2049" width="32.5703125" style="425" hidden="1" customWidth="1"/>
    <col min="2050" max="2051" width="12.140625" style="425" hidden="1" customWidth="1"/>
    <col min="2052" max="2052" width="12.85546875" style="425" hidden="1" customWidth="1"/>
    <col min="2053" max="2058" width="12.140625" style="425" hidden="1" customWidth="1"/>
    <col min="2059" max="2069" width="8.85546875" style="425" hidden="1" customWidth="1"/>
    <col min="2070" max="2304" width="8.85546875" style="425" hidden="1"/>
    <col min="2305" max="2305" width="32.5703125" style="425" hidden="1" customWidth="1"/>
    <col min="2306" max="2307" width="12.140625" style="425" hidden="1" customWidth="1"/>
    <col min="2308" max="2308" width="12.85546875" style="425" hidden="1" customWidth="1"/>
    <col min="2309" max="2314" width="12.140625" style="425" hidden="1" customWidth="1"/>
    <col min="2315" max="2325" width="8.85546875" style="425" hidden="1" customWidth="1"/>
    <col min="2326" max="2560" width="8.85546875" style="425" hidden="1"/>
    <col min="2561" max="2561" width="32.5703125" style="425" hidden="1" customWidth="1"/>
    <col min="2562" max="2563" width="12.140625" style="425" hidden="1" customWidth="1"/>
    <col min="2564" max="2564" width="12.85546875" style="425" hidden="1" customWidth="1"/>
    <col min="2565" max="2570" width="12.140625" style="425" hidden="1" customWidth="1"/>
    <col min="2571" max="2581" width="8.85546875" style="425" hidden="1" customWidth="1"/>
    <col min="2582" max="2816" width="8.85546875" style="425" hidden="1"/>
    <col min="2817" max="2817" width="32.5703125" style="425" hidden="1" customWidth="1"/>
    <col min="2818" max="2819" width="12.140625" style="425" hidden="1" customWidth="1"/>
    <col min="2820" max="2820" width="12.85546875" style="425" hidden="1" customWidth="1"/>
    <col min="2821" max="2826" width="12.140625" style="425" hidden="1" customWidth="1"/>
    <col min="2827" max="2837" width="8.85546875" style="425" hidden="1" customWidth="1"/>
    <col min="2838" max="3072" width="8.85546875" style="425" hidden="1"/>
    <col min="3073" max="3073" width="32.5703125" style="425" hidden="1" customWidth="1"/>
    <col min="3074" max="3075" width="12.140625" style="425" hidden="1" customWidth="1"/>
    <col min="3076" max="3076" width="12.85546875" style="425" hidden="1" customWidth="1"/>
    <col min="3077" max="3082" width="12.140625" style="425" hidden="1" customWidth="1"/>
    <col min="3083" max="3093" width="8.85546875" style="425" hidden="1" customWidth="1"/>
    <col min="3094" max="3328" width="8.85546875" style="425" hidden="1"/>
    <col min="3329" max="3329" width="32.5703125" style="425" hidden="1" customWidth="1"/>
    <col min="3330" max="3331" width="12.140625" style="425" hidden="1" customWidth="1"/>
    <col min="3332" max="3332" width="12.85546875" style="425" hidden="1" customWidth="1"/>
    <col min="3333" max="3338" width="12.140625" style="425" hidden="1" customWidth="1"/>
    <col min="3339" max="3349" width="8.85546875" style="425" hidden="1" customWidth="1"/>
    <col min="3350" max="3584" width="8.85546875" style="425" hidden="1"/>
    <col min="3585" max="3585" width="32.5703125" style="425" hidden="1" customWidth="1"/>
    <col min="3586" max="3587" width="12.140625" style="425" hidden="1" customWidth="1"/>
    <col min="3588" max="3588" width="12.85546875" style="425" hidden="1" customWidth="1"/>
    <col min="3589" max="3594" width="12.140625" style="425" hidden="1" customWidth="1"/>
    <col min="3595" max="3605" width="8.85546875" style="425" hidden="1" customWidth="1"/>
    <col min="3606" max="3840" width="8.85546875" style="425" hidden="1"/>
    <col min="3841" max="3841" width="32.5703125" style="425" hidden="1" customWidth="1"/>
    <col min="3842" max="3843" width="12.140625" style="425" hidden="1" customWidth="1"/>
    <col min="3844" max="3844" width="12.85546875" style="425" hidden="1" customWidth="1"/>
    <col min="3845" max="3850" width="12.140625" style="425" hidden="1" customWidth="1"/>
    <col min="3851" max="3861" width="8.85546875" style="425" hidden="1" customWidth="1"/>
    <col min="3862" max="4096" width="8.85546875" style="425" hidden="1"/>
    <col min="4097" max="4097" width="32.5703125" style="425" hidden="1" customWidth="1"/>
    <col min="4098" max="4099" width="12.140625" style="425" hidden="1" customWidth="1"/>
    <col min="4100" max="4100" width="12.85546875" style="425" hidden="1" customWidth="1"/>
    <col min="4101" max="4106" width="12.140625" style="425" hidden="1" customWidth="1"/>
    <col min="4107" max="4117" width="8.85546875" style="425" hidden="1" customWidth="1"/>
    <col min="4118" max="4352" width="8.85546875" style="425" hidden="1"/>
    <col min="4353" max="4353" width="32.5703125" style="425" hidden="1" customWidth="1"/>
    <col min="4354" max="4355" width="12.140625" style="425" hidden="1" customWidth="1"/>
    <col min="4356" max="4356" width="12.85546875" style="425" hidden="1" customWidth="1"/>
    <col min="4357" max="4362" width="12.140625" style="425" hidden="1" customWidth="1"/>
    <col min="4363" max="4373" width="8.85546875" style="425" hidden="1" customWidth="1"/>
    <col min="4374" max="4608" width="8.85546875" style="425" hidden="1"/>
    <col min="4609" max="4609" width="32.5703125" style="425" hidden="1" customWidth="1"/>
    <col min="4610" max="4611" width="12.140625" style="425" hidden="1" customWidth="1"/>
    <col min="4612" max="4612" width="12.85546875" style="425" hidden="1" customWidth="1"/>
    <col min="4613" max="4618" width="12.140625" style="425" hidden="1" customWidth="1"/>
    <col min="4619" max="4629" width="8.85546875" style="425" hidden="1" customWidth="1"/>
    <col min="4630" max="4864" width="8.85546875" style="425" hidden="1"/>
    <col min="4865" max="4865" width="32.5703125" style="425" hidden="1" customWidth="1"/>
    <col min="4866" max="4867" width="12.140625" style="425" hidden="1" customWidth="1"/>
    <col min="4868" max="4868" width="12.85546875" style="425" hidden="1" customWidth="1"/>
    <col min="4869" max="4874" width="12.140625" style="425" hidden="1" customWidth="1"/>
    <col min="4875" max="4885" width="8.85546875" style="425" hidden="1" customWidth="1"/>
    <col min="4886" max="5120" width="8.85546875" style="425" hidden="1"/>
    <col min="5121" max="5121" width="32.5703125" style="425" hidden="1" customWidth="1"/>
    <col min="5122" max="5123" width="12.140625" style="425" hidden="1" customWidth="1"/>
    <col min="5124" max="5124" width="12.85546875" style="425" hidden="1" customWidth="1"/>
    <col min="5125" max="5130" width="12.140625" style="425" hidden="1" customWidth="1"/>
    <col min="5131" max="5141" width="8.85546875" style="425" hidden="1" customWidth="1"/>
    <col min="5142" max="5376" width="8.85546875" style="425" hidden="1"/>
    <col min="5377" max="5377" width="32.5703125" style="425" hidden="1" customWidth="1"/>
    <col min="5378" max="5379" width="12.140625" style="425" hidden="1" customWidth="1"/>
    <col min="5380" max="5380" width="12.85546875" style="425" hidden="1" customWidth="1"/>
    <col min="5381" max="5386" width="12.140625" style="425" hidden="1" customWidth="1"/>
    <col min="5387" max="5397" width="8.85546875" style="425" hidden="1" customWidth="1"/>
    <col min="5398" max="5632" width="8.85546875" style="425" hidden="1"/>
    <col min="5633" max="5633" width="32.5703125" style="425" hidden="1" customWidth="1"/>
    <col min="5634" max="5635" width="12.140625" style="425" hidden="1" customWidth="1"/>
    <col min="5636" max="5636" width="12.85546875" style="425" hidden="1" customWidth="1"/>
    <col min="5637" max="5642" width="12.140625" style="425" hidden="1" customWidth="1"/>
    <col min="5643" max="5653" width="8.85546875" style="425" hidden="1" customWidth="1"/>
    <col min="5654" max="5888" width="8.85546875" style="425" hidden="1"/>
    <col min="5889" max="5889" width="32.5703125" style="425" hidden="1" customWidth="1"/>
    <col min="5890" max="5891" width="12.140625" style="425" hidden="1" customWidth="1"/>
    <col min="5892" max="5892" width="12.85546875" style="425" hidden="1" customWidth="1"/>
    <col min="5893" max="5898" width="12.140625" style="425" hidden="1" customWidth="1"/>
    <col min="5899" max="5909" width="8.85546875" style="425" hidden="1" customWidth="1"/>
    <col min="5910" max="6144" width="8.85546875" style="425" hidden="1"/>
    <col min="6145" max="6145" width="32.5703125" style="425" hidden="1" customWidth="1"/>
    <col min="6146" max="6147" width="12.140625" style="425" hidden="1" customWidth="1"/>
    <col min="6148" max="6148" width="12.85546875" style="425" hidden="1" customWidth="1"/>
    <col min="6149" max="6154" width="12.140625" style="425" hidden="1" customWidth="1"/>
    <col min="6155" max="6165" width="8.85546875" style="425" hidden="1" customWidth="1"/>
    <col min="6166" max="6400" width="8.85546875" style="425" hidden="1"/>
    <col min="6401" max="6401" width="32.5703125" style="425" hidden="1" customWidth="1"/>
    <col min="6402" max="6403" width="12.140625" style="425" hidden="1" customWidth="1"/>
    <col min="6404" max="6404" width="12.85546875" style="425" hidden="1" customWidth="1"/>
    <col min="6405" max="6410" width="12.140625" style="425" hidden="1" customWidth="1"/>
    <col min="6411" max="6421" width="8.85546875" style="425" hidden="1" customWidth="1"/>
    <col min="6422" max="6656" width="8.85546875" style="425" hidden="1"/>
    <col min="6657" max="6657" width="32.5703125" style="425" hidden="1" customWidth="1"/>
    <col min="6658" max="6659" width="12.140625" style="425" hidden="1" customWidth="1"/>
    <col min="6660" max="6660" width="12.85546875" style="425" hidden="1" customWidth="1"/>
    <col min="6661" max="6666" width="12.140625" style="425" hidden="1" customWidth="1"/>
    <col min="6667" max="6677" width="8.85546875" style="425" hidden="1" customWidth="1"/>
    <col min="6678" max="6912" width="8.85546875" style="425" hidden="1"/>
    <col min="6913" max="6913" width="32.5703125" style="425" hidden="1" customWidth="1"/>
    <col min="6914" max="6915" width="12.140625" style="425" hidden="1" customWidth="1"/>
    <col min="6916" max="6916" width="12.85546875" style="425" hidden="1" customWidth="1"/>
    <col min="6917" max="6922" width="12.140625" style="425" hidden="1" customWidth="1"/>
    <col min="6923" max="6933" width="8.85546875" style="425" hidden="1" customWidth="1"/>
    <col min="6934" max="7168" width="8.85546875" style="425" hidden="1"/>
    <col min="7169" max="7169" width="32.5703125" style="425" hidden="1" customWidth="1"/>
    <col min="7170" max="7171" width="12.140625" style="425" hidden="1" customWidth="1"/>
    <col min="7172" max="7172" width="12.85546875" style="425" hidden="1" customWidth="1"/>
    <col min="7173" max="7178" width="12.140625" style="425" hidden="1" customWidth="1"/>
    <col min="7179" max="7189" width="8.85546875" style="425" hidden="1" customWidth="1"/>
    <col min="7190" max="7424" width="8.85546875" style="425" hidden="1"/>
    <col min="7425" max="7425" width="32.5703125" style="425" hidden="1" customWidth="1"/>
    <col min="7426" max="7427" width="12.140625" style="425" hidden="1" customWidth="1"/>
    <col min="7428" max="7428" width="12.85546875" style="425" hidden="1" customWidth="1"/>
    <col min="7429" max="7434" width="12.140625" style="425" hidden="1" customWidth="1"/>
    <col min="7435" max="7445" width="8.85546875" style="425" hidden="1" customWidth="1"/>
    <col min="7446" max="7680" width="8.85546875" style="425" hidden="1"/>
    <col min="7681" max="7681" width="32.5703125" style="425" hidden="1" customWidth="1"/>
    <col min="7682" max="7683" width="12.140625" style="425" hidden="1" customWidth="1"/>
    <col min="7684" max="7684" width="12.85546875" style="425" hidden="1" customWidth="1"/>
    <col min="7685" max="7690" width="12.140625" style="425" hidden="1" customWidth="1"/>
    <col min="7691" max="7701" width="8.85546875" style="425" hidden="1" customWidth="1"/>
    <col min="7702" max="7936" width="8.85546875" style="425" hidden="1"/>
    <col min="7937" max="7937" width="32.5703125" style="425" hidden="1" customWidth="1"/>
    <col min="7938" max="7939" width="12.140625" style="425" hidden="1" customWidth="1"/>
    <col min="7940" max="7940" width="12.85546875" style="425" hidden="1" customWidth="1"/>
    <col min="7941" max="7946" width="12.140625" style="425" hidden="1" customWidth="1"/>
    <col min="7947" max="7957" width="8.85546875" style="425" hidden="1" customWidth="1"/>
    <col min="7958" max="8192" width="8.85546875" style="425" hidden="1"/>
    <col min="8193" max="8193" width="32.5703125" style="425" hidden="1" customWidth="1"/>
    <col min="8194" max="8195" width="12.140625" style="425" hidden="1" customWidth="1"/>
    <col min="8196" max="8196" width="12.85546875" style="425" hidden="1" customWidth="1"/>
    <col min="8197" max="8202" width="12.140625" style="425" hidden="1" customWidth="1"/>
    <col min="8203" max="8213" width="8.85546875" style="425" hidden="1" customWidth="1"/>
    <col min="8214" max="8448" width="8.85546875" style="425" hidden="1"/>
    <col min="8449" max="8449" width="32.5703125" style="425" hidden="1" customWidth="1"/>
    <col min="8450" max="8451" width="12.140625" style="425" hidden="1" customWidth="1"/>
    <col min="8452" max="8452" width="12.85546875" style="425" hidden="1" customWidth="1"/>
    <col min="8453" max="8458" width="12.140625" style="425" hidden="1" customWidth="1"/>
    <col min="8459" max="8469" width="8.85546875" style="425" hidden="1" customWidth="1"/>
    <col min="8470" max="8704" width="8.85546875" style="425" hidden="1"/>
    <col min="8705" max="8705" width="32.5703125" style="425" hidden="1" customWidth="1"/>
    <col min="8706" max="8707" width="12.140625" style="425" hidden="1" customWidth="1"/>
    <col min="8708" max="8708" width="12.85546875" style="425" hidden="1" customWidth="1"/>
    <col min="8709" max="8714" width="12.140625" style="425" hidden="1" customWidth="1"/>
    <col min="8715" max="8725" width="8.85546875" style="425" hidden="1" customWidth="1"/>
    <col min="8726" max="8960" width="8.85546875" style="425" hidden="1"/>
    <col min="8961" max="8961" width="32.5703125" style="425" hidden="1" customWidth="1"/>
    <col min="8962" max="8963" width="12.140625" style="425" hidden="1" customWidth="1"/>
    <col min="8964" max="8964" width="12.85546875" style="425" hidden="1" customWidth="1"/>
    <col min="8965" max="8970" width="12.140625" style="425" hidden="1" customWidth="1"/>
    <col min="8971" max="8981" width="8.85546875" style="425" hidden="1" customWidth="1"/>
    <col min="8982" max="9216" width="8.85546875" style="425" hidden="1"/>
    <col min="9217" max="9217" width="32.5703125" style="425" hidden="1" customWidth="1"/>
    <col min="9218" max="9219" width="12.140625" style="425" hidden="1" customWidth="1"/>
    <col min="9220" max="9220" width="12.85546875" style="425" hidden="1" customWidth="1"/>
    <col min="9221" max="9226" width="12.140625" style="425" hidden="1" customWidth="1"/>
    <col min="9227" max="9237" width="8.85546875" style="425" hidden="1" customWidth="1"/>
    <col min="9238" max="9472" width="8.85546875" style="425" hidden="1"/>
    <col min="9473" max="9473" width="32.5703125" style="425" hidden="1" customWidth="1"/>
    <col min="9474" max="9475" width="12.140625" style="425" hidden="1" customWidth="1"/>
    <col min="9476" max="9476" width="12.85546875" style="425" hidden="1" customWidth="1"/>
    <col min="9477" max="9482" width="12.140625" style="425" hidden="1" customWidth="1"/>
    <col min="9483" max="9493" width="8.85546875" style="425" hidden="1" customWidth="1"/>
    <col min="9494" max="9728" width="8.85546875" style="425" hidden="1"/>
    <col min="9729" max="9729" width="32.5703125" style="425" hidden="1" customWidth="1"/>
    <col min="9730" max="9731" width="12.140625" style="425" hidden="1" customWidth="1"/>
    <col min="9732" max="9732" width="12.85546875" style="425" hidden="1" customWidth="1"/>
    <col min="9733" max="9738" width="12.140625" style="425" hidden="1" customWidth="1"/>
    <col min="9739" max="9749" width="8.85546875" style="425" hidden="1" customWidth="1"/>
    <col min="9750" max="9984" width="8.85546875" style="425" hidden="1"/>
    <col min="9985" max="9985" width="32.5703125" style="425" hidden="1" customWidth="1"/>
    <col min="9986" max="9987" width="12.140625" style="425" hidden="1" customWidth="1"/>
    <col min="9988" max="9988" width="12.85546875" style="425" hidden="1" customWidth="1"/>
    <col min="9989" max="9994" width="12.140625" style="425" hidden="1" customWidth="1"/>
    <col min="9995" max="10005" width="8.85546875" style="425" hidden="1" customWidth="1"/>
    <col min="10006" max="10240" width="8.85546875" style="425" hidden="1"/>
    <col min="10241" max="10241" width="32.5703125" style="425" hidden="1" customWidth="1"/>
    <col min="10242" max="10243" width="12.140625" style="425" hidden="1" customWidth="1"/>
    <col min="10244" max="10244" width="12.85546875" style="425" hidden="1" customWidth="1"/>
    <col min="10245" max="10250" width="12.140625" style="425" hidden="1" customWidth="1"/>
    <col min="10251" max="10261" width="8.85546875" style="425" hidden="1" customWidth="1"/>
    <col min="10262" max="10496" width="8.85546875" style="425" hidden="1"/>
    <col min="10497" max="10497" width="32.5703125" style="425" hidden="1" customWidth="1"/>
    <col min="10498" max="10499" width="12.140625" style="425" hidden="1" customWidth="1"/>
    <col min="10500" max="10500" width="12.85546875" style="425" hidden="1" customWidth="1"/>
    <col min="10501" max="10506" width="12.140625" style="425" hidden="1" customWidth="1"/>
    <col min="10507" max="10517" width="8.85546875" style="425" hidden="1" customWidth="1"/>
    <col min="10518" max="10752" width="8.85546875" style="425" hidden="1"/>
    <col min="10753" max="10753" width="32.5703125" style="425" hidden="1" customWidth="1"/>
    <col min="10754" max="10755" width="12.140625" style="425" hidden="1" customWidth="1"/>
    <col min="10756" max="10756" width="12.85546875" style="425" hidden="1" customWidth="1"/>
    <col min="10757" max="10762" width="12.140625" style="425" hidden="1" customWidth="1"/>
    <col min="10763" max="10773" width="8.85546875" style="425" hidden="1" customWidth="1"/>
    <col min="10774" max="11008" width="8.85546875" style="425" hidden="1"/>
    <col min="11009" max="11009" width="32.5703125" style="425" hidden="1" customWidth="1"/>
    <col min="11010" max="11011" width="12.140625" style="425" hidden="1" customWidth="1"/>
    <col min="11012" max="11012" width="12.85546875" style="425" hidden="1" customWidth="1"/>
    <col min="11013" max="11018" width="12.140625" style="425" hidden="1" customWidth="1"/>
    <col min="11019" max="11029" width="8.85546875" style="425" hidden="1" customWidth="1"/>
    <col min="11030" max="11264" width="8.85546875" style="425" hidden="1"/>
    <col min="11265" max="11265" width="32.5703125" style="425" hidden="1" customWidth="1"/>
    <col min="11266" max="11267" width="12.140625" style="425" hidden="1" customWidth="1"/>
    <col min="11268" max="11268" width="12.85546875" style="425" hidden="1" customWidth="1"/>
    <col min="11269" max="11274" width="12.140625" style="425" hidden="1" customWidth="1"/>
    <col min="11275" max="11285" width="8.85546875" style="425" hidden="1" customWidth="1"/>
    <col min="11286" max="11520" width="8.85546875" style="425" hidden="1"/>
    <col min="11521" max="11521" width="32.5703125" style="425" hidden="1" customWidth="1"/>
    <col min="11522" max="11523" width="12.140625" style="425" hidden="1" customWidth="1"/>
    <col min="11524" max="11524" width="12.85546875" style="425" hidden="1" customWidth="1"/>
    <col min="11525" max="11530" width="12.140625" style="425" hidden="1" customWidth="1"/>
    <col min="11531" max="11541" width="8.85546875" style="425" hidden="1" customWidth="1"/>
    <col min="11542" max="11776" width="8.85546875" style="425" hidden="1"/>
    <col min="11777" max="11777" width="32.5703125" style="425" hidden="1" customWidth="1"/>
    <col min="11778" max="11779" width="12.140625" style="425" hidden="1" customWidth="1"/>
    <col min="11780" max="11780" width="12.85546875" style="425" hidden="1" customWidth="1"/>
    <col min="11781" max="11786" width="12.140625" style="425" hidden="1" customWidth="1"/>
    <col min="11787" max="11797" width="8.85546875" style="425" hidden="1" customWidth="1"/>
    <col min="11798" max="12032" width="8.85546875" style="425" hidden="1"/>
    <col min="12033" max="12033" width="32.5703125" style="425" hidden="1" customWidth="1"/>
    <col min="12034" max="12035" width="12.140625" style="425" hidden="1" customWidth="1"/>
    <col min="12036" max="12036" width="12.85546875" style="425" hidden="1" customWidth="1"/>
    <col min="12037" max="12042" width="12.140625" style="425" hidden="1" customWidth="1"/>
    <col min="12043" max="12053" width="8.85546875" style="425" hidden="1" customWidth="1"/>
    <col min="12054" max="12288" width="8.85546875" style="425" hidden="1"/>
    <col min="12289" max="12289" width="32.5703125" style="425" hidden="1" customWidth="1"/>
    <col min="12290" max="12291" width="12.140625" style="425" hidden="1" customWidth="1"/>
    <col min="12292" max="12292" width="12.85546875" style="425" hidden="1" customWidth="1"/>
    <col min="12293" max="12298" width="12.140625" style="425" hidden="1" customWidth="1"/>
    <col min="12299" max="12309" width="8.85546875" style="425" hidden="1" customWidth="1"/>
    <col min="12310" max="12544" width="8.85546875" style="425" hidden="1"/>
    <col min="12545" max="12545" width="32.5703125" style="425" hidden="1" customWidth="1"/>
    <col min="12546" max="12547" width="12.140625" style="425" hidden="1" customWidth="1"/>
    <col min="12548" max="12548" width="12.85546875" style="425" hidden="1" customWidth="1"/>
    <col min="12549" max="12554" width="12.140625" style="425" hidden="1" customWidth="1"/>
    <col min="12555" max="12565" width="8.85546875" style="425" hidden="1" customWidth="1"/>
    <col min="12566" max="12800" width="8.85546875" style="425" hidden="1"/>
    <col min="12801" max="12801" width="32.5703125" style="425" hidden="1" customWidth="1"/>
    <col min="12802" max="12803" width="12.140625" style="425" hidden="1" customWidth="1"/>
    <col min="12804" max="12804" width="12.85546875" style="425" hidden="1" customWidth="1"/>
    <col min="12805" max="12810" width="12.140625" style="425" hidden="1" customWidth="1"/>
    <col min="12811" max="12821" width="8.85546875" style="425" hidden="1" customWidth="1"/>
    <col min="12822" max="13056" width="8.85546875" style="425" hidden="1"/>
    <col min="13057" max="13057" width="32.5703125" style="425" hidden="1" customWidth="1"/>
    <col min="13058" max="13059" width="12.140625" style="425" hidden="1" customWidth="1"/>
    <col min="13060" max="13060" width="12.85546875" style="425" hidden="1" customWidth="1"/>
    <col min="13061" max="13066" width="12.140625" style="425" hidden="1" customWidth="1"/>
    <col min="13067" max="13077" width="8.85546875" style="425" hidden="1" customWidth="1"/>
    <col min="13078" max="13312" width="8.85546875" style="425" hidden="1"/>
    <col min="13313" max="13313" width="32.5703125" style="425" hidden="1" customWidth="1"/>
    <col min="13314" max="13315" width="12.140625" style="425" hidden="1" customWidth="1"/>
    <col min="13316" max="13316" width="12.85546875" style="425" hidden="1" customWidth="1"/>
    <col min="13317" max="13322" width="12.140625" style="425" hidden="1" customWidth="1"/>
    <col min="13323" max="13333" width="8.85546875" style="425" hidden="1" customWidth="1"/>
    <col min="13334" max="13568" width="8.85546875" style="425" hidden="1"/>
    <col min="13569" max="13569" width="32.5703125" style="425" hidden="1" customWidth="1"/>
    <col min="13570" max="13571" width="12.140625" style="425" hidden="1" customWidth="1"/>
    <col min="13572" max="13572" width="12.85546875" style="425" hidden="1" customWidth="1"/>
    <col min="13573" max="13578" width="12.140625" style="425" hidden="1" customWidth="1"/>
    <col min="13579" max="13589" width="8.85546875" style="425" hidden="1" customWidth="1"/>
    <col min="13590" max="13824" width="8.85546875" style="425" hidden="1"/>
    <col min="13825" max="13825" width="32.5703125" style="425" hidden="1" customWidth="1"/>
    <col min="13826" max="13827" width="12.140625" style="425" hidden="1" customWidth="1"/>
    <col min="13828" max="13828" width="12.85546875" style="425" hidden="1" customWidth="1"/>
    <col min="13829" max="13834" width="12.140625" style="425" hidden="1" customWidth="1"/>
    <col min="13835" max="13845" width="8.85546875" style="425" hidden="1" customWidth="1"/>
    <col min="13846" max="14080" width="8.85546875" style="425" hidden="1"/>
    <col min="14081" max="14081" width="32.5703125" style="425" hidden="1" customWidth="1"/>
    <col min="14082" max="14083" width="12.140625" style="425" hidden="1" customWidth="1"/>
    <col min="14084" max="14084" width="12.85546875" style="425" hidden="1" customWidth="1"/>
    <col min="14085" max="14090" width="12.140625" style="425" hidden="1" customWidth="1"/>
    <col min="14091" max="14101" width="8.85546875" style="425" hidden="1" customWidth="1"/>
    <col min="14102" max="14336" width="8.85546875" style="425" hidden="1"/>
    <col min="14337" max="14337" width="32.5703125" style="425" hidden="1" customWidth="1"/>
    <col min="14338" max="14339" width="12.140625" style="425" hidden="1" customWidth="1"/>
    <col min="14340" max="14340" width="12.85546875" style="425" hidden="1" customWidth="1"/>
    <col min="14341" max="14346" width="12.140625" style="425" hidden="1" customWidth="1"/>
    <col min="14347" max="14357" width="8.85546875" style="425" hidden="1" customWidth="1"/>
    <col min="14358" max="14592" width="8.85546875" style="425" hidden="1"/>
    <col min="14593" max="14593" width="32.5703125" style="425" hidden="1" customWidth="1"/>
    <col min="14594" max="14595" width="12.140625" style="425" hidden="1" customWidth="1"/>
    <col min="14596" max="14596" width="12.85546875" style="425" hidden="1" customWidth="1"/>
    <col min="14597" max="14602" width="12.140625" style="425" hidden="1" customWidth="1"/>
    <col min="14603" max="14613" width="8.85546875" style="425" hidden="1" customWidth="1"/>
    <col min="14614" max="14848" width="8.85546875" style="425" hidden="1"/>
    <col min="14849" max="14849" width="32.5703125" style="425" hidden="1" customWidth="1"/>
    <col min="14850" max="14851" width="12.140625" style="425" hidden="1" customWidth="1"/>
    <col min="14852" max="14852" width="12.85546875" style="425" hidden="1" customWidth="1"/>
    <col min="14853" max="14858" width="12.140625" style="425" hidden="1" customWidth="1"/>
    <col min="14859" max="14869" width="8.85546875" style="425" hidden="1" customWidth="1"/>
    <col min="14870" max="15104" width="8.85546875" style="425" hidden="1"/>
    <col min="15105" max="15105" width="32.5703125" style="425" hidden="1" customWidth="1"/>
    <col min="15106" max="15107" width="12.140625" style="425" hidden="1" customWidth="1"/>
    <col min="15108" max="15108" width="12.85546875" style="425" hidden="1" customWidth="1"/>
    <col min="15109" max="15114" width="12.140625" style="425" hidden="1" customWidth="1"/>
    <col min="15115" max="15125" width="8.85546875" style="425" hidden="1" customWidth="1"/>
    <col min="15126" max="15360" width="8.85546875" style="425" hidden="1"/>
    <col min="15361" max="15361" width="32.5703125" style="425" hidden="1" customWidth="1"/>
    <col min="15362" max="15363" width="12.140625" style="425" hidden="1" customWidth="1"/>
    <col min="15364" max="15364" width="12.85546875" style="425" hidden="1" customWidth="1"/>
    <col min="15365" max="15370" width="12.140625" style="425" hidden="1" customWidth="1"/>
    <col min="15371" max="15381" width="8.85546875" style="425" hidden="1" customWidth="1"/>
    <col min="15382" max="15616" width="8.85546875" style="425" hidden="1"/>
    <col min="15617" max="15617" width="32.5703125" style="425" hidden="1" customWidth="1"/>
    <col min="15618" max="15619" width="12.140625" style="425" hidden="1" customWidth="1"/>
    <col min="15620" max="15620" width="12.85546875" style="425" hidden="1" customWidth="1"/>
    <col min="15621" max="15626" width="12.140625" style="425" hidden="1" customWidth="1"/>
    <col min="15627" max="15637" width="8.85546875" style="425" hidden="1" customWidth="1"/>
    <col min="15638" max="15872" width="8.85546875" style="425" hidden="1"/>
    <col min="15873" max="15873" width="32.5703125" style="425" hidden="1" customWidth="1"/>
    <col min="15874" max="15875" width="12.140625" style="425" hidden="1" customWidth="1"/>
    <col min="15876" max="15876" width="12.85546875" style="425" hidden="1" customWidth="1"/>
    <col min="15877" max="15882" width="12.140625" style="425" hidden="1" customWidth="1"/>
    <col min="15883" max="15893" width="8.85546875" style="425" hidden="1" customWidth="1"/>
    <col min="15894" max="16128" width="8.85546875" style="425" hidden="1"/>
    <col min="16129" max="16129" width="32.5703125" style="425" hidden="1" customWidth="1"/>
    <col min="16130" max="16131" width="12.140625" style="425" hidden="1" customWidth="1"/>
    <col min="16132" max="16132" width="12.85546875" style="425" hidden="1" customWidth="1"/>
    <col min="16133" max="16138" width="12.140625" style="425" hidden="1" customWidth="1"/>
    <col min="16139" max="16149" width="8.85546875" style="425" hidden="1" customWidth="1"/>
    <col min="16150" max="16384" width="8.85546875" style="425" hidden="1"/>
  </cols>
  <sheetData>
    <row r="1" spans="1:11" s="388" customFormat="1" ht="12.75">
      <c r="A1" s="2124" t="s">
        <v>1373</v>
      </c>
      <c r="B1" s="2125"/>
      <c r="C1" s="2125"/>
      <c r="D1" s="2125"/>
      <c r="E1" s="2125"/>
      <c r="F1" s="2125"/>
      <c r="G1" s="2125"/>
      <c r="H1" s="2125"/>
      <c r="I1" s="2125"/>
      <c r="J1" s="2126"/>
      <c r="K1" s="387"/>
    </row>
    <row r="2" spans="1:11" s="433" customFormat="1" ht="72">
      <c r="A2" s="430"/>
      <c r="B2" s="431" t="s">
        <v>1087</v>
      </c>
      <c r="C2" s="431" t="s">
        <v>1375</v>
      </c>
      <c r="D2" s="431" t="s">
        <v>1376</v>
      </c>
      <c r="E2" s="431" t="s">
        <v>1298</v>
      </c>
      <c r="F2" s="431" t="s">
        <v>1377</v>
      </c>
      <c r="G2" s="431" t="s">
        <v>1378</v>
      </c>
      <c r="H2" s="431" t="s">
        <v>1088</v>
      </c>
      <c r="I2" s="431" t="s">
        <v>1379</v>
      </c>
      <c r="J2" s="431" t="s">
        <v>1380</v>
      </c>
      <c r="K2" s="432"/>
    </row>
    <row r="3" spans="1:11" s="392" customFormat="1">
      <c r="A3" s="389" t="s">
        <v>26</v>
      </c>
      <c r="B3" s="390"/>
      <c r="C3" s="390"/>
      <c r="D3" s="390"/>
      <c r="E3" s="390"/>
      <c r="F3" s="390"/>
      <c r="G3" s="390"/>
      <c r="H3" s="390"/>
      <c r="I3" s="390"/>
      <c r="J3" s="390"/>
      <c r="K3" s="391"/>
    </row>
    <row r="4" spans="1:11" s="392" customFormat="1">
      <c r="A4" s="396" t="s">
        <v>27</v>
      </c>
      <c r="B4" s="393">
        <f>'Sources and Uses Budget'!C4</f>
        <v>0</v>
      </c>
      <c r="C4" s="394"/>
      <c r="D4" s="394"/>
      <c r="E4" s="395"/>
      <c r="F4" s="395"/>
      <c r="G4" s="395"/>
      <c r="H4" s="395"/>
      <c r="I4" s="395"/>
      <c r="J4" s="395"/>
      <c r="K4" s="391"/>
    </row>
    <row r="5" spans="1:11" s="392" customFormat="1">
      <c r="A5" s="396" t="s">
        <v>28</v>
      </c>
      <c r="B5" s="393">
        <f>'Sources and Uses Budget'!C5</f>
        <v>0</v>
      </c>
      <c r="C5" s="394"/>
      <c r="D5" s="394"/>
      <c r="E5" s="395"/>
      <c r="F5" s="395"/>
      <c r="G5" s="395"/>
      <c r="H5" s="395"/>
      <c r="I5" s="395"/>
      <c r="J5" s="395"/>
      <c r="K5" s="391"/>
    </row>
    <row r="6" spans="1:11" s="392" customFormat="1">
      <c r="A6" s="396" t="s">
        <v>29</v>
      </c>
      <c r="B6" s="393">
        <f>'Sources and Uses Budget'!C6</f>
        <v>0</v>
      </c>
      <c r="C6" s="394"/>
      <c r="D6" s="394"/>
      <c r="E6" s="395"/>
      <c r="F6" s="395"/>
      <c r="G6" s="395"/>
      <c r="H6" s="395"/>
      <c r="I6" s="395"/>
      <c r="J6" s="395"/>
      <c r="K6" s="391"/>
    </row>
    <row r="7" spans="1:11" s="392" customFormat="1">
      <c r="A7" s="396" t="s">
        <v>98</v>
      </c>
      <c r="B7" s="393">
        <f>'Sources and Uses Budget'!C7</f>
        <v>0</v>
      </c>
      <c r="C7" s="394"/>
      <c r="D7" s="394"/>
      <c r="E7" s="395"/>
      <c r="F7" s="395"/>
      <c r="G7" s="395"/>
      <c r="H7" s="395"/>
      <c r="I7" s="395"/>
      <c r="J7" s="395"/>
      <c r="K7" s="391"/>
    </row>
    <row r="8" spans="1:11" s="392" customFormat="1">
      <c r="A8" s="397" t="s">
        <v>602</v>
      </c>
      <c r="B8" s="393">
        <f>'Sources and Uses Budget'!C8</f>
        <v>0</v>
      </c>
      <c r="C8" s="393">
        <f>SUM(C4:C7)</f>
        <v>0</v>
      </c>
      <c r="D8" s="393">
        <f>SUM(D4:D7)</f>
        <v>0</v>
      </c>
      <c r="E8" s="395"/>
      <c r="F8" s="395"/>
      <c r="G8" s="395"/>
      <c r="H8" s="395"/>
      <c r="I8" s="395"/>
      <c r="J8" s="395"/>
      <c r="K8" s="391"/>
    </row>
    <row r="9" spans="1:11" s="392" customFormat="1">
      <c r="A9" s="396" t="s">
        <v>603</v>
      </c>
      <c r="B9" s="393">
        <f>'Sources and Uses Budget'!C9</f>
        <v>0</v>
      </c>
      <c r="C9" s="394"/>
      <c r="D9" s="394"/>
      <c r="E9" s="395"/>
      <c r="F9" s="395"/>
      <c r="G9" s="395"/>
      <c r="H9" s="393">
        <f>'Sources and Uses Budget'!T9</f>
        <v>0</v>
      </c>
      <c r="I9" s="394"/>
      <c r="J9" s="394"/>
      <c r="K9" s="391"/>
    </row>
    <row r="10" spans="1:11" s="392" customFormat="1">
      <c r="A10" s="396" t="s">
        <v>604</v>
      </c>
      <c r="B10" s="393">
        <f>'Sources and Uses Budget'!C10</f>
        <v>0</v>
      </c>
      <c r="C10" s="394"/>
      <c r="D10" s="394"/>
      <c r="E10" s="393">
        <f>'Sources and Uses Budget'!S10</f>
        <v>0</v>
      </c>
      <c r="F10" s="394"/>
      <c r="G10" s="394"/>
      <c r="H10" s="393">
        <f>'Sources and Uses Budget'!T10</f>
        <v>0</v>
      </c>
      <c r="I10" s="394"/>
      <c r="J10" s="394"/>
      <c r="K10" s="391"/>
    </row>
    <row r="11" spans="1:11" s="392" customFormat="1">
      <c r="A11" s="397" t="s">
        <v>605</v>
      </c>
      <c r="B11" s="393">
        <f>'Sources and Uses Budget'!C11</f>
        <v>0</v>
      </c>
      <c r="C11" s="393">
        <f>SUM(C9:C10)</f>
        <v>0</v>
      </c>
      <c r="D11" s="393">
        <f>SUM(D9:D10)</f>
        <v>0</v>
      </c>
      <c r="E11" s="395"/>
      <c r="F11" s="395"/>
      <c r="G11" s="395"/>
      <c r="H11" s="393">
        <f>'Sources and Uses Budget'!T11</f>
        <v>0</v>
      </c>
      <c r="I11" s="393">
        <f>SUM(I9:I10)</f>
        <v>0</v>
      </c>
      <c r="J11" s="393">
        <f>SUM(J9:J10)</f>
        <v>0</v>
      </c>
      <c r="K11" s="391"/>
    </row>
    <row r="12" spans="1:11" s="392" customFormat="1">
      <c r="A12" s="397" t="s">
        <v>85</v>
      </c>
      <c r="B12" s="393">
        <f>'Sources and Uses Budget'!C12</f>
        <v>0</v>
      </c>
      <c r="C12" s="393">
        <f>SUM(C8+C11)</f>
        <v>0</v>
      </c>
      <c r="D12" s="393">
        <f>SUM(D8+D11)</f>
        <v>0</v>
      </c>
      <c r="E12" s="395"/>
      <c r="F12" s="395"/>
      <c r="G12" s="395"/>
      <c r="H12" s="395"/>
      <c r="I12" s="395"/>
      <c r="J12" s="395"/>
      <c r="K12" s="391"/>
    </row>
    <row r="13" spans="1:11" s="392" customFormat="1">
      <c r="A13" s="398" t="s">
        <v>935</v>
      </c>
      <c r="B13" s="393">
        <f>'Sources and Uses Budget'!C13</f>
        <v>0</v>
      </c>
      <c r="C13" s="394"/>
      <c r="D13" s="394"/>
      <c r="E13" s="393">
        <f>'Sources and Uses Budget'!S13</f>
        <v>0</v>
      </c>
      <c r="F13" s="394"/>
      <c r="G13" s="394"/>
      <c r="H13" s="393">
        <f>'Sources and Uses Budget'!T13</f>
        <v>0</v>
      </c>
      <c r="I13" s="394"/>
      <c r="J13" s="394"/>
      <c r="K13" s="391"/>
    </row>
    <row r="14" spans="1:11" s="392" customFormat="1" ht="24">
      <c r="A14" s="396" t="s">
        <v>936</v>
      </c>
      <c r="B14" s="393">
        <f>'Sources and Uses Budget'!C14</f>
        <v>0</v>
      </c>
      <c r="C14" s="394"/>
      <c r="D14" s="394"/>
      <c r="E14" s="393">
        <f>'Sources and Uses Budget'!S14</f>
        <v>0</v>
      </c>
      <c r="F14" s="394"/>
      <c r="G14" s="394"/>
      <c r="H14" s="393">
        <f>'Sources and Uses Budget'!T14</f>
        <v>0</v>
      </c>
      <c r="I14" s="394"/>
      <c r="J14" s="394"/>
      <c r="K14" s="391"/>
    </row>
    <row r="15" spans="1:11" s="392" customFormat="1">
      <c r="A15" s="396" t="s">
        <v>1302</v>
      </c>
      <c r="B15" s="393">
        <f>'Sources and Uses Budget'!C15</f>
        <v>0</v>
      </c>
      <c r="C15" s="394"/>
      <c r="D15" s="394"/>
      <c r="E15" s="395">
        <f>'Sources and Uses Budget'!S15</f>
        <v>0</v>
      </c>
      <c r="F15" s="395"/>
      <c r="G15" s="395"/>
      <c r="H15" s="395">
        <f>'Sources and Uses Budget'!T15</f>
        <v>0</v>
      </c>
      <c r="I15" s="395"/>
      <c r="J15" s="395"/>
      <c r="K15" s="391"/>
    </row>
    <row r="16" spans="1:11" s="392" customFormat="1">
      <c r="A16" s="389" t="s">
        <v>606</v>
      </c>
      <c r="B16" s="390"/>
      <c r="C16" s="390"/>
      <c r="D16" s="390"/>
      <c r="E16" s="390"/>
      <c r="F16" s="390"/>
      <c r="G16" s="390"/>
      <c r="H16" s="390"/>
      <c r="I16" s="390"/>
      <c r="J16" s="390"/>
      <c r="K16" s="391"/>
    </row>
    <row r="17" spans="1:11" s="392" customFormat="1">
      <c r="A17" s="396" t="s">
        <v>607</v>
      </c>
      <c r="B17" s="393">
        <f>'Sources and Uses Budget'!C17</f>
        <v>0</v>
      </c>
      <c r="C17" s="394"/>
      <c r="D17" s="394"/>
      <c r="E17" s="393">
        <f>'Sources and Uses Budget'!S17</f>
        <v>0</v>
      </c>
      <c r="F17" s="394"/>
      <c r="G17" s="394"/>
      <c r="H17" s="393">
        <f>'Sources and Uses Budget'!T17</f>
        <v>0</v>
      </c>
      <c r="I17" s="394"/>
      <c r="J17" s="394"/>
      <c r="K17" s="391"/>
    </row>
    <row r="18" spans="1:11" s="392" customFormat="1">
      <c r="A18" s="396" t="s">
        <v>608</v>
      </c>
      <c r="B18" s="393">
        <f>'Sources and Uses Budget'!C18</f>
        <v>0</v>
      </c>
      <c r="C18" s="394"/>
      <c r="D18" s="394"/>
      <c r="E18" s="393">
        <f>'Sources and Uses Budget'!S18</f>
        <v>0</v>
      </c>
      <c r="F18" s="394"/>
      <c r="G18" s="394"/>
      <c r="H18" s="393">
        <f>'Sources and Uses Budget'!T18</f>
        <v>0</v>
      </c>
      <c r="I18" s="394"/>
      <c r="J18" s="394"/>
      <c r="K18" s="391"/>
    </row>
    <row r="19" spans="1:11" s="392" customFormat="1">
      <c r="A19" s="396" t="s">
        <v>609</v>
      </c>
      <c r="B19" s="393">
        <f>'Sources and Uses Budget'!C19</f>
        <v>0</v>
      </c>
      <c r="C19" s="394"/>
      <c r="D19" s="394"/>
      <c r="E19" s="393">
        <f>'Sources and Uses Budget'!S19</f>
        <v>0</v>
      </c>
      <c r="F19" s="394"/>
      <c r="G19" s="394"/>
      <c r="H19" s="393">
        <f>'Sources and Uses Budget'!T19</f>
        <v>0</v>
      </c>
      <c r="I19" s="394"/>
      <c r="J19" s="394"/>
      <c r="K19" s="391"/>
    </row>
    <row r="20" spans="1:11" s="392" customFormat="1">
      <c r="A20" s="396" t="s">
        <v>138</v>
      </c>
      <c r="B20" s="393">
        <f>'Sources and Uses Budget'!C20</f>
        <v>0</v>
      </c>
      <c r="C20" s="394"/>
      <c r="D20" s="394"/>
      <c r="E20" s="393">
        <f>'Sources and Uses Budget'!S20</f>
        <v>0</v>
      </c>
      <c r="F20" s="394"/>
      <c r="G20" s="394"/>
      <c r="H20" s="393">
        <f>'Sources and Uses Budget'!T20</f>
        <v>0</v>
      </c>
      <c r="I20" s="394"/>
      <c r="J20" s="394"/>
      <c r="K20" s="391"/>
    </row>
    <row r="21" spans="1:11" s="392" customFormat="1">
      <c r="A21" s="396" t="s">
        <v>139</v>
      </c>
      <c r="B21" s="393">
        <f>'Sources and Uses Budget'!C21</f>
        <v>0</v>
      </c>
      <c r="C21" s="394"/>
      <c r="D21" s="394"/>
      <c r="E21" s="393">
        <f>'Sources and Uses Budget'!S21</f>
        <v>0</v>
      </c>
      <c r="F21" s="394"/>
      <c r="G21" s="394"/>
      <c r="H21" s="393">
        <f>'Sources and Uses Budget'!T21</f>
        <v>0</v>
      </c>
      <c r="I21" s="394"/>
      <c r="J21" s="394"/>
      <c r="K21" s="391"/>
    </row>
    <row r="22" spans="1:11" s="392" customFormat="1">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c r="A23" s="396" t="s">
        <v>141</v>
      </c>
      <c r="B23" s="393">
        <f>'Sources and Uses Budget'!C23</f>
        <v>0</v>
      </c>
      <c r="C23" s="394"/>
      <c r="D23" s="394"/>
      <c r="E23" s="393">
        <f>'Sources and Uses Budget'!S23</f>
        <v>0</v>
      </c>
      <c r="F23" s="394"/>
      <c r="G23" s="394"/>
      <c r="H23" s="393">
        <f>'Sources and Uses Budget'!T23</f>
        <v>0</v>
      </c>
      <c r="I23" s="394"/>
      <c r="J23" s="394"/>
      <c r="K23" s="391"/>
    </row>
    <row r="24" spans="1:11" s="392" customFormat="1">
      <c r="A24" s="543" t="s">
        <v>1819</v>
      </c>
      <c r="B24" s="393">
        <f>'Sources and Uses Budget'!C24</f>
        <v>0</v>
      </c>
      <c r="C24" s="394"/>
      <c r="D24" s="394"/>
      <c r="E24" s="393">
        <f>'Sources and Uses Budget'!S24</f>
        <v>0</v>
      </c>
      <c r="F24" s="394"/>
      <c r="G24" s="394"/>
      <c r="H24" s="393">
        <f>'Sources and Uses Budget'!T24</f>
        <v>0</v>
      </c>
      <c r="I24" s="394"/>
      <c r="J24" s="394"/>
      <c r="K24" s="391"/>
    </row>
    <row r="25" spans="1:11" s="392" customFormat="1">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c r="A26" s="397" t="s">
        <v>134</v>
      </c>
      <c r="B26" s="393">
        <f>'Sources and Uses Budget'!C26</f>
        <v>0</v>
      </c>
      <c r="C26" s="393">
        <f>SUM(C17:C25)</f>
        <v>0</v>
      </c>
      <c r="D26" s="393">
        <f>SUM(D17:D25)</f>
        <v>0</v>
      </c>
      <c r="E26" s="393">
        <f>'Sources and Uses Budget'!S26</f>
        <v>0</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0</v>
      </c>
      <c r="C27" s="394"/>
      <c r="D27" s="394"/>
      <c r="E27" s="393">
        <f>'Sources and Uses Budget'!S27</f>
        <v>0</v>
      </c>
      <c r="F27" s="394"/>
      <c r="G27" s="394"/>
      <c r="H27" s="393">
        <f>'Sources and Uses Budget'!T27</f>
        <v>0</v>
      </c>
      <c r="I27" s="394"/>
      <c r="J27" s="394"/>
      <c r="K27" s="391"/>
    </row>
    <row r="28" spans="1:11" s="392" customFormat="1">
      <c r="A28" s="389" t="s">
        <v>143</v>
      </c>
      <c r="B28" s="390"/>
      <c r="C28" s="390"/>
      <c r="D28" s="390"/>
      <c r="E28" s="390"/>
      <c r="F28" s="390"/>
      <c r="G28" s="390"/>
      <c r="H28" s="390"/>
      <c r="I28" s="390"/>
      <c r="J28" s="390"/>
      <c r="K28" s="391"/>
    </row>
    <row r="29" spans="1:11" s="392" customFormat="1">
      <c r="A29" s="145" t="s">
        <v>607</v>
      </c>
      <c r="B29" s="393">
        <f>'Sources and Uses Budget'!C29</f>
        <v>0</v>
      </c>
      <c r="C29" s="394"/>
      <c r="D29" s="394"/>
      <c r="E29" s="393">
        <f>'Sources and Uses Budget'!S29</f>
        <v>0</v>
      </c>
      <c r="F29" s="394"/>
      <c r="G29" s="394"/>
      <c r="H29" s="393">
        <f>'Sources and Uses Budget'!T29</f>
        <v>0</v>
      </c>
      <c r="I29" s="394"/>
      <c r="J29" s="394"/>
      <c r="K29" s="391"/>
    </row>
    <row r="30" spans="1:11" s="392" customFormat="1">
      <c r="A30" s="145" t="s">
        <v>608</v>
      </c>
      <c r="B30" s="393">
        <f>'Sources and Uses Budget'!C30</f>
        <v>133915463</v>
      </c>
      <c r="C30" s="394"/>
      <c r="D30" s="394"/>
      <c r="E30" s="393">
        <f>'Sources and Uses Budget'!S30</f>
        <v>133915463</v>
      </c>
      <c r="F30" s="394"/>
      <c r="G30" s="394"/>
      <c r="H30" s="393">
        <f>'Sources and Uses Budget'!T30</f>
        <v>0</v>
      </c>
      <c r="I30" s="394"/>
      <c r="J30" s="394"/>
      <c r="K30" s="391"/>
    </row>
    <row r="31" spans="1:11" s="392" customFormat="1">
      <c r="A31" s="145" t="s">
        <v>609</v>
      </c>
      <c r="B31" s="393">
        <f>'Sources and Uses Budget'!C31</f>
        <v>5227916</v>
      </c>
      <c r="C31" s="394"/>
      <c r="D31" s="394"/>
      <c r="E31" s="393">
        <f>'Sources and Uses Budget'!S31</f>
        <v>5227916</v>
      </c>
      <c r="F31" s="394"/>
      <c r="G31" s="394"/>
      <c r="H31" s="393">
        <f>'Sources and Uses Budget'!T31</f>
        <v>0</v>
      </c>
      <c r="I31" s="394"/>
      <c r="J31" s="394"/>
      <c r="K31" s="391"/>
    </row>
    <row r="32" spans="1:11" s="392" customFormat="1">
      <c r="A32" s="145" t="s">
        <v>138</v>
      </c>
      <c r="B32" s="393">
        <f>'Sources and Uses Budget'!C32</f>
        <v>3406372</v>
      </c>
      <c r="C32" s="394"/>
      <c r="D32" s="394"/>
      <c r="E32" s="393">
        <f>'Sources and Uses Budget'!S32</f>
        <v>3406372</v>
      </c>
      <c r="F32" s="394"/>
      <c r="G32" s="394"/>
      <c r="H32" s="393">
        <f>'Sources and Uses Budget'!T32</f>
        <v>0</v>
      </c>
      <c r="I32" s="394"/>
      <c r="J32" s="394"/>
      <c r="K32" s="391"/>
    </row>
    <row r="33" spans="1:11" s="392" customFormat="1">
      <c r="A33" s="145" t="s">
        <v>139</v>
      </c>
      <c r="B33" s="393">
        <f>'Sources and Uses Budget'!C33</f>
        <v>0</v>
      </c>
      <c r="C33" s="394"/>
      <c r="D33" s="394"/>
      <c r="E33" s="393">
        <f>'Sources and Uses Budget'!S33</f>
        <v>0</v>
      </c>
      <c r="F33" s="394"/>
      <c r="G33" s="394"/>
      <c r="H33" s="393">
        <f>'Sources and Uses Budget'!T33</f>
        <v>0</v>
      </c>
      <c r="I33" s="394"/>
      <c r="J33" s="394"/>
      <c r="K33" s="391"/>
    </row>
    <row r="34" spans="1:11" s="392" customFormat="1">
      <c r="A34" s="145" t="s">
        <v>140</v>
      </c>
      <c r="B34" s="393">
        <f>'Sources and Uses Budget'!C34</f>
        <v>0</v>
      </c>
      <c r="C34" s="394"/>
      <c r="D34" s="394"/>
      <c r="E34" s="393">
        <f>'Sources and Uses Budget'!S34</f>
        <v>0</v>
      </c>
      <c r="F34" s="394"/>
      <c r="G34" s="394"/>
      <c r="H34" s="393">
        <f>'Sources and Uses Budget'!T34</f>
        <v>0</v>
      </c>
      <c r="I34" s="394"/>
      <c r="J34" s="394"/>
      <c r="K34" s="391"/>
    </row>
    <row r="35" spans="1:11" s="392" customFormat="1">
      <c r="A35" s="145" t="s">
        <v>141</v>
      </c>
      <c r="B35" s="393">
        <f>'Sources and Uses Budget'!C35</f>
        <v>4655557</v>
      </c>
      <c r="C35" s="394"/>
      <c r="D35" s="394"/>
      <c r="E35" s="393">
        <f>'Sources and Uses Budget'!S35</f>
        <v>4655557</v>
      </c>
      <c r="F35" s="394"/>
      <c r="G35" s="394"/>
      <c r="H35" s="393">
        <f>'Sources and Uses Budget'!T35</f>
        <v>0</v>
      </c>
      <c r="I35" s="394"/>
      <c r="J35" s="394"/>
      <c r="K35" s="391"/>
    </row>
    <row r="36" spans="1:11" s="392" customFormat="1">
      <c r="A36" s="543" t="s">
        <v>1819</v>
      </c>
      <c r="B36" s="393">
        <f>'Sources and Uses Budget'!C36</f>
        <v>206431</v>
      </c>
      <c r="C36" s="394"/>
      <c r="D36" s="394"/>
      <c r="E36" s="393">
        <f>'Sources and Uses Budget'!S36</f>
        <v>206431</v>
      </c>
      <c r="F36" s="394"/>
      <c r="G36" s="394"/>
      <c r="H36" s="393">
        <f>'Sources and Uses Budget'!T36</f>
        <v>0</v>
      </c>
      <c r="I36" s="394"/>
      <c r="J36" s="394"/>
      <c r="K36" s="391"/>
    </row>
    <row r="37" spans="1:11" s="392" customFormat="1" ht="24">
      <c r="A37" s="396" t="str">
        <f>'Sources and Uses Budget'!$A37</f>
        <v>Other: Street Space Permits &amp; Other Taxes</v>
      </c>
      <c r="B37" s="393">
        <f>'Sources and Uses Budget'!C37</f>
        <v>1164068</v>
      </c>
      <c r="C37" s="394"/>
      <c r="D37" s="394"/>
      <c r="E37" s="393">
        <f>'Sources and Uses Budget'!S37</f>
        <v>1164068</v>
      </c>
      <c r="F37" s="394"/>
      <c r="G37" s="394"/>
      <c r="H37" s="393">
        <f>'Sources and Uses Budget'!T37</f>
        <v>0</v>
      </c>
      <c r="I37" s="394"/>
      <c r="J37" s="394"/>
      <c r="K37" s="391"/>
    </row>
    <row r="38" spans="1:11" s="392" customFormat="1">
      <c r="A38" s="397" t="s">
        <v>144</v>
      </c>
      <c r="B38" s="393">
        <f>'Sources and Uses Budget'!C38</f>
        <v>148575807</v>
      </c>
      <c r="C38" s="393">
        <f>SUM(C29:C37)</f>
        <v>0</v>
      </c>
      <c r="D38" s="393">
        <f>SUM(D29:D37)</f>
        <v>0</v>
      </c>
      <c r="E38" s="393">
        <f>'Sources and Uses Budget'!S38</f>
        <v>148575807</v>
      </c>
      <c r="F38" s="399">
        <f>SUM(F29:F37)</f>
        <v>0</v>
      </c>
      <c r="G38" s="399">
        <f>SUM(G29:G37)</f>
        <v>0</v>
      </c>
      <c r="H38" s="393">
        <f>'Sources and Uses Budget'!T38</f>
        <v>0</v>
      </c>
      <c r="I38" s="399">
        <f>SUM(I29:I37)</f>
        <v>0</v>
      </c>
      <c r="J38" s="399">
        <f>SUM(J29:J37)</f>
        <v>0</v>
      </c>
      <c r="K38" s="391"/>
    </row>
    <row r="39" spans="1:11" s="392" customFormat="1">
      <c r="A39" s="389" t="s">
        <v>145</v>
      </c>
      <c r="B39" s="390"/>
      <c r="C39" s="390"/>
      <c r="D39" s="390"/>
      <c r="E39" s="390"/>
      <c r="F39" s="390"/>
      <c r="G39" s="390"/>
      <c r="H39" s="390"/>
      <c r="I39" s="390"/>
      <c r="J39" s="390"/>
      <c r="K39" s="391"/>
    </row>
    <row r="40" spans="1:11" s="392" customFormat="1">
      <c r="A40" s="396" t="s">
        <v>146</v>
      </c>
      <c r="B40" s="393">
        <f>'Sources and Uses Budget'!C40</f>
        <v>3769108</v>
      </c>
      <c r="C40" s="394"/>
      <c r="D40" s="394"/>
      <c r="E40" s="393">
        <f>'Sources and Uses Budget'!S40</f>
        <v>3769108</v>
      </c>
      <c r="F40" s="394"/>
      <c r="G40" s="394"/>
      <c r="H40" s="393">
        <f>'Sources and Uses Budget'!T40</f>
        <v>0</v>
      </c>
      <c r="I40" s="394"/>
      <c r="J40" s="394"/>
      <c r="K40" s="391"/>
    </row>
    <row r="41" spans="1:11" s="392" customFormat="1">
      <c r="A41" s="396" t="s">
        <v>147</v>
      </c>
      <c r="B41" s="393">
        <f>'Sources and Uses Budget'!C41</f>
        <v>0</v>
      </c>
      <c r="C41" s="394"/>
      <c r="D41" s="394"/>
      <c r="E41" s="393">
        <f>'Sources and Uses Budget'!S41</f>
        <v>0</v>
      </c>
      <c r="F41" s="394"/>
      <c r="G41" s="394"/>
      <c r="H41" s="393">
        <f>'Sources and Uses Budget'!T41</f>
        <v>0</v>
      </c>
      <c r="I41" s="394"/>
      <c r="J41" s="394"/>
      <c r="K41" s="391"/>
    </row>
    <row r="42" spans="1:11" s="392" customFormat="1">
      <c r="A42" s="397" t="s">
        <v>148</v>
      </c>
      <c r="B42" s="393">
        <f>'Sources and Uses Budget'!C42</f>
        <v>3769108</v>
      </c>
      <c r="C42" s="393">
        <f>SUM(C39:C41)</f>
        <v>0</v>
      </c>
      <c r="D42" s="393">
        <f>SUM(D39:D41)</f>
        <v>0</v>
      </c>
      <c r="E42" s="393">
        <f>'Sources and Uses Budget'!S42</f>
        <v>3769108</v>
      </c>
      <c r="F42" s="399">
        <f>SUM(F40:F41)</f>
        <v>0</v>
      </c>
      <c r="G42" s="399">
        <f>SUM(G40:G41)</f>
        <v>0</v>
      </c>
      <c r="H42" s="393">
        <f>'Sources and Uses Budget'!T42</f>
        <v>0</v>
      </c>
      <c r="I42" s="399">
        <f>SUM(I40:I41)</f>
        <v>0</v>
      </c>
      <c r="J42" s="399">
        <f>SUM(J40:J41)</f>
        <v>0</v>
      </c>
      <c r="K42" s="391"/>
    </row>
    <row r="43" spans="1:11" s="392" customFormat="1">
      <c r="A43" s="397" t="s">
        <v>149</v>
      </c>
      <c r="B43" s="393">
        <f>'Sources and Uses Budget'!C43</f>
        <v>1159725</v>
      </c>
      <c r="C43" s="394"/>
      <c r="D43" s="394"/>
      <c r="E43" s="393">
        <f>'Sources and Uses Budget'!S43</f>
        <v>1159725</v>
      </c>
      <c r="F43" s="394"/>
      <c r="G43" s="394"/>
      <c r="H43" s="393">
        <f>'Sources and Uses Budget'!T43</f>
        <v>0</v>
      </c>
      <c r="I43" s="394"/>
      <c r="J43" s="394"/>
      <c r="K43" s="391"/>
    </row>
    <row r="44" spans="1:11" s="392" customFormat="1">
      <c r="A44" s="389" t="s">
        <v>150</v>
      </c>
      <c r="B44" s="390"/>
      <c r="C44" s="390"/>
      <c r="D44" s="390"/>
      <c r="E44" s="390"/>
      <c r="F44" s="390"/>
      <c r="G44" s="390"/>
      <c r="H44" s="390"/>
      <c r="I44" s="390"/>
      <c r="J44" s="390"/>
      <c r="K44" s="391"/>
    </row>
    <row r="45" spans="1:11" s="392" customFormat="1">
      <c r="A45" s="396" t="s">
        <v>151</v>
      </c>
      <c r="B45" s="393">
        <f>'Sources and Uses Budget'!C45</f>
        <v>11065258</v>
      </c>
      <c r="C45" s="394"/>
      <c r="D45" s="394"/>
      <c r="E45" s="393">
        <f>'Sources and Uses Budget'!S45</f>
        <v>5142571</v>
      </c>
      <c r="F45" s="394"/>
      <c r="G45" s="394"/>
      <c r="H45" s="393">
        <f>'Sources and Uses Budget'!T45</f>
        <v>0</v>
      </c>
      <c r="I45" s="394"/>
      <c r="J45" s="394"/>
      <c r="K45" s="391"/>
    </row>
    <row r="46" spans="1:11" s="392" customFormat="1">
      <c r="A46" s="396" t="s">
        <v>152</v>
      </c>
      <c r="B46" s="393">
        <f>'Sources and Uses Budget'!C46</f>
        <v>828959</v>
      </c>
      <c r="C46" s="394"/>
      <c r="D46" s="394"/>
      <c r="E46" s="393">
        <f>'Sources and Uses Budget'!S46</f>
        <v>385845</v>
      </c>
      <c r="F46" s="394"/>
      <c r="G46" s="394"/>
      <c r="H46" s="393">
        <f>'Sources and Uses Budget'!T46</f>
        <v>0</v>
      </c>
      <c r="I46" s="394"/>
      <c r="J46" s="394"/>
      <c r="K46" s="391"/>
    </row>
    <row r="47" spans="1:11" s="392" customFormat="1" ht="12" customHeight="1">
      <c r="A47" s="396" t="s">
        <v>153</v>
      </c>
      <c r="B47" s="393">
        <f>'Sources and Uses Budget'!C47</f>
        <v>0</v>
      </c>
      <c r="C47" s="394"/>
      <c r="D47" s="394"/>
      <c r="E47" s="393">
        <f>'Sources and Uses Budget'!S47</f>
        <v>0</v>
      </c>
      <c r="F47" s="394"/>
      <c r="G47" s="394"/>
      <c r="H47" s="393">
        <f>'Sources and Uses Budget'!T47</f>
        <v>0</v>
      </c>
      <c r="I47" s="394"/>
      <c r="J47" s="394"/>
      <c r="K47" s="391"/>
    </row>
    <row r="48" spans="1:11" s="392" customFormat="1">
      <c r="A48" s="396" t="s">
        <v>154</v>
      </c>
      <c r="B48" s="393">
        <f>'Sources and Uses Budget'!C48</f>
        <v>0</v>
      </c>
      <c r="C48" s="394"/>
      <c r="D48" s="394"/>
      <c r="E48" s="393">
        <f>'Sources and Uses Budget'!S48</f>
        <v>0</v>
      </c>
      <c r="F48" s="394"/>
      <c r="G48" s="394"/>
      <c r="H48" s="393">
        <f>'Sources and Uses Budget'!T48</f>
        <v>0</v>
      </c>
      <c r="I48" s="394"/>
      <c r="J48" s="394"/>
      <c r="K48" s="391"/>
    </row>
    <row r="49" spans="1:11" s="392" customFormat="1">
      <c r="A49" s="304" t="s">
        <v>57</v>
      </c>
      <c r="B49" s="393">
        <f>'Sources and Uses Budget'!C49</f>
        <v>811140</v>
      </c>
      <c r="C49" s="394"/>
      <c r="D49" s="394"/>
      <c r="E49" s="393">
        <f>'Sources and Uses Budget'!S49</f>
        <v>0</v>
      </c>
      <c r="F49" s="394"/>
      <c r="G49" s="394"/>
      <c r="H49" s="393">
        <f>'Sources and Uses Budget'!T49</f>
        <v>0</v>
      </c>
      <c r="I49" s="394"/>
      <c r="J49" s="394"/>
      <c r="K49" s="391"/>
    </row>
    <row r="50" spans="1:11" s="392" customFormat="1">
      <c r="A50" s="396" t="s">
        <v>157</v>
      </c>
      <c r="B50" s="393">
        <f>'Sources and Uses Budget'!C50</f>
        <v>96644</v>
      </c>
      <c r="C50" s="394"/>
      <c r="D50" s="394"/>
      <c r="E50" s="393">
        <f>'Sources and Uses Budget'!S50</f>
        <v>96644</v>
      </c>
      <c r="F50" s="394"/>
      <c r="G50" s="394"/>
      <c r="H50" s="393">
        <f>'Sources and Uses Budget'!T50</f>
        <v>0</v>
      </c>
      <c r="I50" s="394"/>
      <c r="J50" s="394"/>
      <c r="K50" s="391"/>
    </row>
    <row r="51" spans="1:11" s="392" customFormat="1">
      <c r="A51" s="396" t="s">
        <v>155</v>
      </c>
      <c r="B51" s="393">
        <f>'Sources and Uses Budget'!C51</f>
        <v>0</v>
      </c>
      <c r="C51" s="394"/>
      <c r="D51" s="394"/>
      <c r="E51" s="393">
        <f>'Sources and Uses Budget'!S51</f>
        <v>0</v>
      </c>
      <c r="F51" s="394"/>
      <c r="G51" s="394"/>
      <c r="H51" s="393">
        <f>'Sources and Uses Budget'!T51</f>
        <v>0</v>
      </c>
      <c r="I51" s="394"/>
      <c r="J51" s="394"/>
      <c r="K51" s="391"/>
    </row>
    <row r="52" spans="1:11" s="392" customFormat="1">
      <c r="A52" s="396" t="s">
        <v>156</v>
      </c>
      <c r="B52" s="393">
        <f>'Sources and Uses Budget'!C52</f>
        <v>1932876</v>
      </c>
      <c r="C52" s="394"/>
      <c r="D52" s="394"/>
      <c r="E52" s="393">
        <f>'Sources and Uses Budget'!S52</f>
        <v>1932876</v>
      </c>
      <c r="F52" s="394"/>
      <c r="G52" s="394"/>
      <c r="H52" s="393">
        <f>'Sources and Uses Budget'!T52</f>
        <v>0</v>
      </c>
      <c r="I52" s="394"/>
      <c r="J52" s="394"/>
      <c r="K52" s="391"/>
    </row>
    <row r="53" spans="1:11" s="392" customFormat="1">
      <c r="A53" s="396" t="str">
        <f>'Sources and Uses Budget'!$A53</f>
        <v>Other: (Specify)</v>
      </c>
      <c r="B53" s="393">
        <f>'Sources and Uses Budget'!C53</f>
        <v>0</v>
      </c>
      <c r="C53" s="394"/>
      <c r="D53" s="394"/>
      <c r="E53" s="393">
        <f>'Sources and Uses Budget'!S53</f>
        <v>0</v>
      </c>
      <c r="F53" s="394"/>
      <c r="G53" s="394"/>
      <c r="H53" s="393">
        <f>'Sources and Uses Budget'!T53</f>
        <v>0</v>
      </c>
      <c r="I53" s="394"/>
      <c r="J53" s="394"/>
      <c r="K53" s="391"/>
    </row>
    <row r="54" spans="1:11" s="401" customFormat="1">
      <c r="A54" s="397" t="s">
        <v>158</v>
      </c>
      <c r="B54" s="393">
        <f>'Sources and Uses Budget'!C54</f>
        <v>14734877</v>
      </c>
      <c r="C54" s="399">
        <f>SUM(C45:C53)</f>
        <v>0</v>
      </c>
      <c r="D54" s="399">
        <f>SUM(D45:D53)</f>
        <v>0</v>
      </c>
      <c r="E54" s="393">
        <f>'Sources and Uses Budget'!S54</f>
        <v>7557936</v>
      </c>
      <c r="F54" s="399">
        <f>SUM(F45:F53)</f>
        <v>0</v>
      </c>
      <c r="G54" s="399">
        <f>SUM(G45:G53)</f>
        <v>0</v>
      </c>
      <c r="H54" s="393">
        <f>'Sources and Uses Budget'!T54</f>
        <v>0</v>
      </c>
      <c r="I54" s="399">
        <f>SUM(I45:I53)</f>
        <v>0</v>
      </c>
      <c r="J54" s="399">
        <f>SUM(J45:J53)</f>
        <v>0</v>
      </c>
      <c r="K54" s="400"/>
    </row>
    <row r="55" spans="1:11" s="392" customFormat="1">
      <c r="A55" s="389" t="s">
        <v>420</v>
      </c>
      <c r="B55" s="390"/>
      <c r="C55" s="390"/>
      <c r="D55" s="390"/>
      <c r="E55" s="390"/>
      <c r="F55" s="390"/>
      <c r="G55" s="390"/>
      <c r="H55" s="390"/>
      <c r="I55" s="390"/>
      <c r="J55" s="390"/>
      <c r="K55" s="391"/>
    </row>
    <row r="56" spans="1:11" s="392" customFormat="1">
      <c r="A56" s="396" t="s">
        <v>159</v>
      </c>
      <c r="B56" s="393">
        <f>'Sources and Uses Budget'!C56</f>
        <v>27447</v>
      </c>
      <c r="C56" s="394"/>
      <c r="D56" s="394"/>
      <c r="E56" s="395"/>
      <c r="F56" s="395"/>
      <c r="G56" s="395"/>
      <c r="H56" s="395"/>
      <c r="I56" s="395"/>
      <c r="J56" s="395"/>
      <c r="K56" s="391"/>
    </row>
    <row r="57" spans="1:11" s="392" customFormat="1" ht="12" customHeight="1">
      <c r="A57" s="396" t="s">
        <v>153</v>
      </c>
      <c r="B57" s="393">
        <f>'Sources and Uses Budget'!C57</f>
        <v>0</v>
      </c>
      <c r="C57" s="394"/>
      <c r="D57" s="394"/>
      <c r="E57" s="395"/>
      <c r="F57" s="395"/>
      <c r="G57" s="395"/>
      <c r="H57" s="395"/>
      <c r="I57" s="395"/>
      <c r="J57" s="395"/>
      <c r="K57" s="391"/>
    </row>
    <row r="58" spans="1:11" s="392" customFormat="1">
      <c r="A58" s="396" t="s">
        <v>157</v>
      </c>
      <c r="B58" s="393">
        <f>'Sources and Uses Budget'!C58</f>
        <v>19329</v>
      </c>
      <c r="C58" s="394"/>
      <c r="D58" s="394"/>
      <c r="E58" s="395"/>
      <c r="F58" s="395"/>
      <c r="G58" s="395"/>
      <c r="H58" s="395"/>
      <c r="I58" s="395"/>
      <c r="J58" s="395"/>
      <c r="K58" s="391"/>
    </row>
    <row r="59" spans="1:11" s="392" customFormat="1">
      <c r="A59" s="396" t="s">
        <v>155</v>
      </c>
      <c r="B59" s="393">
        <f>'Sources and Uses Budget'!C59</f>
        <v>0</v>
      </c>
      <c r="C59" s="394"/>
      <c r="D59" s="394"/>
      <c r="E59" s="395"/>
      <c r="F59" s="395"/>
      <c r="G59" s="395"/>
      <c r="H59" s="395"/>
      <c r="I59" s="395"/>
      <c r="J59" s="395"/>
      <c r="K59" s="391"/>
    </row>
    <row r="60" spans="1:11" s="392" customFormat="1">
      <c r="A60" s="396" t="s">
        <v>156</v>
      </c>
      <c r="B60" s="393">
        <f>'Sources and Uses Budget'!C60</f>
        <v>0</v>
      </c>
      <c r="C60" s="394"/>
      <c r="D60" s="394"/>
      <c r="E60" s="395"/>
      <c r="F60" s="395"/>
      <c r="G60" s="395"/>
      <c r="H60" s="395"/>
      <c r="I60" s="395"/>
      <c r="J60" s="395"/>
      <c r="K60" s="391"/>
    </row>
    <row r="61" spans="1:11" s="392" customFormat="1">
      <c r="A61" s="396" t="str">
        <f>'Sources and Uses Budget'!$A61</f>
        <v>Other: Perm Legal</v>
      </c>
      <c r="B61" s="393">
        <f>'Sources and Uses Budget'!C61</f>
        <v>14497</v>
      </c>
      <c r="C61" s="394"/>
      <c r="D61" s="394"/>
      <c r="E61" s="395"/>
      <c r="F61" s="395"/>
      <c r="G61" s="395"/>
      <c r="H61" s="395"/>
      <c r="I61" s="395"/>
      <c r="J61" s="395"/>
      <c r="K61" s="391"/>
    </row>
    <row r="62" spans="1:11" s="392" customFormat="1" ht="13.7" customHeight="1">
      <c r="A62" s="397" t="s">
        <v>303</v>
      </c>
      <c r="B62" s="393">
        <f>'Sources and Uses Budget'!C62</f>
        <v>61273</v>
      </c>
      <c r="C62" s="393">
        <f>SUM(C56:C61)</f>
        <v>0</v>
      </c>
      <c r="D62" s="393">
        <f>SUM(D56:D61)</f>
        <v>0</v>
      </c>
      <c r="E62" s="395"/>
      <c r="F62" s="395"/>
      <c r="G62" s="395"/>
      <c r="H62" s="395"/>
      <c r="I62" s="395"/>
      <c r="J62" s="395"/>
      <c r="K62" s="391"/>
    </row>
    <row r="63" spans="1:11" s="392" customFormat="1">
      <c r="A63" s="402" t="s">
        <v>304</v>
      </c>
      <c r="B63" s="393">
        <f>'Sources and Uses Budget'!C63</f>
        <v>168300790</v>
      </c>
      <c r="C63" s="393">
        <f>SUM(C8+C11+C13+C14+C15+C26+C27+C38+C42+C43+C54+C62)</f>
        <v>0</v>
      </c>
      <c r="D63" s="393">
        <f>SUM(D8+D11+D13+D14+D15+D26+D27+D38+D42+D43+D54+D62)</f>
        <v>0</v>
      </c>
      <c r="E63" s="393">
        <f>'Sources and Uses Budget'!S63</f>
        <v>161062576</v>
      </c>
      <c r="F63" s="393">
        <f>SUM(F10+F13+F14+F15+F26+F27+F38+F42+F43+F54)</f>
        <v>0</v>
      </c>
      <c r="G63" s="393">
        <f>SUM(G10+G13+G14+G15+G26+G27+G38+G42+G43+G54)</f>
        <v>0</v>
      </c>
      <c r="H63" s="393">
        <f>'Sources and Uses Budget'!T63</f>
        <v>0</v>
      </c>
      <c r="I63" s="393">
        <f>SUM(I11+I13+I14+I15+I26+I27+I38+I42+I43+I54)</f>
        <v>0</v>
      </c>
      <c r="J63" s="393">
        <f>SUM(J11+J13+J14+J15+J26+J27+J38+J42+J43+J54)</f>
        <v>0</v>
      </c>
      <c r="K63" s="391"/>
    </row>
    <row r="64" spans="1:11" s="392" customFormat="1" ht="24">
      <c r="A64" s="141" t="s">
        <v>1823</v>
      </c>
      <c r="B64" s="390"/>
      <c r="C64" s="390"/>
      <c r="D64" s="390"/>
      <c r="E64" s="390"/>
      <c r="F64" s="390"/>
      <c r="G64" s="390"/>
      <c r="H64" s="390"/>
      <c r="I64" s="390"/>
      <c r="J64" s="390"/>
      <c r="K64" s="391"/>
    </row>
    <row r="65" spans="1:11" s="392" customFormat="1">
      <c r="A65" s="145" t="s">
        <v>172</v>
      </c>
      <c r="B65" s="393">
        <f>'Sources and Uses Budget'!C65</f>
        <v>72483</v>
      </c>
      <c r="C65" s="394"/>
      <c r="D65" s="394"/>
      <c r="E65" s="393">
        <f>'Sources and Uses Budget'!S65</f>
        <v>33738</v>
      </c>
      <c r="F65" s="394"/>
      <c r="G65" s="394"/>
      <c r="H65" s="393">
        <f>'Sources and Uses Budget'!T65</f>
        <v>0</v>
      </c>
      <c r="I65" s="394"/>
      <c r="J65" s="394"/>
      <c r="K65" s="391"/>
    </row>
    <row r="66" spans="1:11" s="392" customFormat="1" ht="24">
      <c r="A66" s="304" t="s">
        <v>1820</v>
      </c>
      <c r="B66" s="393">
        <f>'Sources and Uses Budget'!C66</f>
        <v>0</v>
      </c>
      <c r="C66" s="394"/>
      <c r="D66" s="394"/>
      <c r="E66" s="393">
        <f>'Sources and Uses Budget'!S66</f>
        <v>0</v>
      </c>
      <c r="F66" s="394"/>
      <c r="G66" s="394"/>
      <c r="H66" s="393">
        <f>'Sources and Uses Budget'!T66</f>
        <v>0</v>
      </c>
      <c r="I66" s="394"/>
      <c r="J66" s="394"/>
      <c r="K66" s="391"/>
    </row>
    <row r="67" spans="1:11" s="392" customFormat="1" ht="24">
      <c r="A67" s="304" t="s">
        <v>1821</v>
      </c>
      <c r="B67" s="393">
        <f>'Sources and Uses Budget'!C67</f>
        <v>0</v>
      </c>
      <c r="C67" s="394"/>
      <c r="D67" s="394"/>
      <c r="E67" s="393">
        <f>'Sources and Uses Budget'!S67</f>
        <v>0</v>
      </c>
      <c r="F67" s="394"/>
      <c r="G67" s="394"/>
      <c r="H67" s="393">
        <f>'Sources and Uses Budget'!T67</f>
        <v>0</v>
      </c>
      <c r="I67" s="394"/>
      <c r="J67" s="394"/>
      <c r="K67" s="391"/>
    </row>
    <row r="68" spans="1:11" s="392" customFormat="1">
      <c r="A68" s="304" t="s">
        <v>1827</v>
      </c>
      <c r="B68" s="393">
        <f>'Sources and Uses Budget'!C68</f>
        <v>0</v>
      </c>
      <c r="C68" s="394"/>
      <c r="D68" s="394"/>
      <c r="E68" s="393">
        <f>'Sources and Uses Budget'!S68</f>
        <v>0</v>
      </c>
      <c r="F68" s="394"/>
      <c r="G68" s="394"/>
      <c r="H68" s="393">
        <f>'Sources and Uses Budget'!T68</f>
        <v>0</v>
      </c>
      <c r="I68" s="394"/>
      <c r="J68" s="394"/>
      <c r="K68" s="391"/>
    </row>
    <row r="69" spans="1:11" s="392" customFormat="1">
      <c r="A69" s="396" t="str">
        <f>'Sources and Uses Budget'!$A69</f>
        <v>Other: Owner Legal</v>
      </c>
      <c r="B69" s="393">
        <f>'Sources and Uses Budget'!C69</f>
        <v>38658</v>
      </c>
      <c r="C69" s="394"/>
      <c r="D69" s="394"/>
      <c r="E69" s="393">
        <f>'Sources and Uses Budget'!S69</f>
        <v>28993</v>
      </c>
      <c r="F69" s="394"/>
      <c r="G69" s="394"/>
      <c r="H69" s="393">
        <f>'Sources and Uses Budget'!T69</f>
        <v>0</v>
      </c>
      <c r="I69" s="394"/>
      <c r="J69" s="394"/>
      <c r="K69" s="391"/>
    </row>
    <row r="70" spans="1:11" s="392" customFormat="1">
      <c r="A70" s="397" t="s">
        <v>610</v>
      </c>
      <c r="B70" s="393">
        <f>'Sources and Uses Budget'!C70</f>
        <v>111141</v>
      </c>
      <c r="C70" s="393">
        <f>SUM(C64:C69)</f>
        <v>0</v>
      </c>
      <c r="D70" s="393">
        <f>SUM(D64:D69)</f>
        <v>0</v>
      </c>
      <c r="E70" s="393">
        <f>'Sources and Uses Budget'!S70</f>
        <v>62731</v>
      </c>
      <c r="F70" s="399">
        <f>SUM(F65:F69)</f>
        <v>0</v>
      </c>
      <c r="G70" s="399">
        <f>SUM(G65:G69)</f>
        <v>0</v>
      </c>
      <c r="H70" s="393">
        <f>'Sources and Uses Budget'!T70</f>
        <v>0</v>
      </c>
      <c r="I70" s="399">
        <f>SUM(I65:I69)</f>
        <v>0</v>
      </c>
      <c r="J70" s="399">
        <f>SUM(J65:J69)</f>
        <v>0</v>
      </c>
      <c r="K70" s="391"/>
    </row>
    <row r="71" spans="1:11" s="392" customFormat="1">
      <c r="A71" s="389" t="s">
        <v>611</v>
      </c>
      <c r="B71" s="390"/>
      <c r="C71" s="390"/>
      <c r="D71" s="390"/>
      <c r="E71" s="390"/>
      <c r="F71" s="390"/>
      <c r="G71" s="390"/>
      <c r="H71" s="390"/>
      <c r="I71" s="390"/>
      <c r="J71" s="390"/>
      <c r="K71" s="391"/>
    </row>
    <row r="72" spans="1:11" s="392" customFormat="1">
      <c r="A72" s="396" t="s">
        <v>612</v>
      </c>
      <c r="B72" s="393">
        <f>'Sources and Uses Budget'!C72</f>
        <v>0</v>
      </c>
      <c r="C72" s="394"/>
      <c r="D72" s="394"/>
      <c r="E72" s="395"/>
      <c r="F72" s="395"/>
      <c r="G72" s="395"/>
      <c r="H72" s="395"/>
      <c r="I72" s="395"/>
      <c r="J72" s="395"/>
      <c r="K72" s="391"/>
    </row>
    <row r="73" spans="1:11" s="392" customFormat="1">
      <c r="A73" s="396" t="s">
        <v>613</v>
      </c>
      <c r="B73" s="393">
        <f>'Sources and Uses Budget'!C73</f>
        <v>0</v>
      </c>
      <c r="C73" s="394"/>
      <c r="D73" s="394"/>
      <c r="E73" s="395"/>
      <c r="F73" s="395"/>
      <c r="G73" s="395"/>
      <c r="H73" s="395"/>
      <c r="I73" s="395"/>
      <c r="J73" s="395"/>
      <c r="K73" s="391"/>
    </row>
    <row r="74" spans="1:11" s="392" customFormat="1">
      <c r="A74" s="398" t="s">
        <v>1039</v>
      </c>
      <c r="B74" s="393">
        <f>'Sources and Uses Budget'!C74</f>
        <v>0</v>
      </c>
      <c r="C74" s="394"/>
      <c r="D74" s="394"/>
      <c r="E74" s="395"/>
      <c r="F74" s="395"/>
      <c r="G74" s="395"/>
      <c r="H74" s="395"/>
      <c r="I74" s="395"/>
      <c r="J74" s="395"/>
      <c r="K74" s="391"/>
    </row>
    <row r="75" spans="1:11" s="392" customFormat="1">
      <c r="A75" s="396" t="s">
        <v>614</v>
      </c>
      <c r="B75" s="393">
        <f>'Sources and Uses Budget'!C75</f>
        <v>867152</v>
      </c>
      <c r="C75" s="394"/>
      <c r="D75" s="394"/>
      <c r="E75" s="395"/>
      <c r="F75" s="395"/>
      <c r="G75" s="395"/>
      <c r="H75" s="395"/>
      <c r="I75" s="395"/>
      <c r="J75" s="395"/>
      <c r="K75" s="391"/>
    </row>
    <row r="76" spans="1:11" s="392" customFormat="1">
      <c r="A76" s="396" t="str">
        <f>'Sources and Uses Budget'!$A76</f>
        <v>Other: (Specify)</v>
      </c>
      <c r="B76" s="393">
        <f>'Sources and Uses Budget'!C76</f>
        <v>0</v>
      </c>
      <c r="C76" s="394"/>
      <c r="D76" s="394"/>
      <c r="E76" s="395"/>
      <c r="F76" s="395"/>
      <c r="G76" s="395"/>
      <c r="H76" s="395"/>
      <c r="I76" s="395"/>
      <c r="J76" s="395"/>
      <c r="K76" s="391"/>
    </row>
    <row r="77" spans="1:11" s="392" customFormat="1">
      <c r="A77" s="397" t="s">
        <v>615</v>
      </c>
      <c r="B77" s="393">
        <f>'Sources and Uses Budget'!C77</f>
        <v>867152</v>
      </c>
      <c r="C77" s="393">
        <f>SUM(C72:C76)</f>
        <v>0</v>
      </c>
      <c r="D77" s="393">
        <f>SUM(D72:D76)</f>
        <v>0</v>
      </c>
      <c r="E77" s="395"/>
      <c r="F77" s="395"/>
      <c r="G77" s="395"/>
      <c r="H77" s="395"/>
      <c r="I77" s="395"/>
      <c r="J77" s="395"/>
      <c r="K77" s="391"/>
    </row>
    <row r="78" spans="1:11" s="392" customFormat="1">
      <c r="A78" s="389" t="s">
        <v>1352</v>
      </c>
      <c r="B78" s="390"/>
      <c r="C78" s="390"/>
      <c r="D78" s="390"/>
      <c r="E78" s="390"/>
      <c r="F78" s="390"/>
      <c r="G78" s="390"/>
      <c r="H78" s="390"/>
      <c r="I78" s="390"/>
      <c r="J78" s="390"/>
      <c r="K78" s="391"/>
    </row>
    <row r="79" spans="1:11" s="392" customFormat="1">
      <c r="A79" s="396" t="s">
        <v>1354</v>
      </c>
      <c r="B79" s="393">
        <f>'Sources and Uses Budget'!C79</f>
        <v>7065209</v>
      </c>
      <c r="C79" s="394"/>
      <c r="D79" s="394"/>
      <c r="E79" s="393">
        <f>'Sources and Uses Budget'!S79</f>
        <v>7065209</v>
      </c>
      <c r="F79" s="394"/>
      <c r="G79" s="394"/>
      <c r="H79" s="393">
        <f>'Sources and Uses Budget'!T79</f>
        <v>0</v>
      </c>
      <c r="I79" s="394"/>
      <c r="J79" s="394"/>
      <c r="K79" s="391"/>
    </row>
    <row r="80" spans="1:11" s="392" customFormat="1">
      <c r="A80" s="396" t="s">
        <v>58</v>
      </c>
      <c r="B80" s="393">
        <f>'Sources and Uses Budget'!C80</f>
        <v>1060960</v>
      </c>
      <c r="C80" s="394"/>
      <c r="D80" s="394"/>
      <c r="E80" s="393">
        <f>'Sources and Uses Budget'!S80</f>
        <v>1060960</v>
      </c>
      <c r="F80" s="394"/>
      <c r="G80" s="394"/>
      <c r="H80" s="393">
        <f>'Sources and Uses Budget'!T80</f>
        <v>0</v>
      </c>
      <c r="I80" s="394"/>
      <c r="J80" s="394"/>
      <c r="K80" s="391"/>
    </row>
    <row r="81" spans="1:11" s="392" customFormat="1">
      <c r="A81" s="397" t="s">
        <v>1351</v>
      </c>
      <c r="B81" s="393">
        <f>'Sources and Uses Budget'!C81</f>
        <v>8126169</v>
      </c>
      <c r="C81" s="393">
        <f>SUM(C79:C80)</f>
        <v>0</v>
      </c>
      <c r="D81" s="393">
        <f>SUM(D79:D80)</f>
        <v>0</v>
      </c>
      <c r="E81" s="393">
        <f>'Sources and Uses Budget'!S81</f>
        <v>8126169</v>
      </c>
      <c r="F81" s="393">
        <f>SUM(F79:F80)</f>
        <v>0</v>
      </c>
      <c r="G81" s="393">
        <f>SUM(G79:G80)</f>
        <v>0</v>
      </c>
      <c r="H81" s="393">
        <f>'Sources and Uses Budget'!T81</f>
        <v>0</v>
      </c>
      <c r="I81" s="393">
        <f>SUM(I79:I80)</f>
        <v>0</v>
      </c>
      <c r="J81" s="393">
        <f>SUM(J79:J80)</f>
        <v>0</v>
      </c>
      <c r="K81" s="391"/>
    </row>
    <row r="82" spans="1:11" s="392" customFormat="1">
      <c r="A82" s="389" t="s">
        <v>789</v>
      </c>
      <c r="B82" s="390"/>
      <c r="C82" s="390"/>
      <c r="D82" s="390"/>
      <c r="E82" s="390"/>
      <c r="F82" s="390"/>
      <c r="G82" s="390"/>
      <c r="H82" s="390"/>
      <c r="I82" s="390"/>
      <c r="J82" s="390"/>
      <c r="K82" s="391"/>
    </row>
    <row r="83" spans="1:11" s="392" customFormat="1" ht="13.7" customHeight="1">
      <c r="A83" s="145" t="s">
        <v>2511</v>
      </c>
      <c r="B83" s="393">
        <f>'Sources and Uses Budget'!C83</f>
        <v>167077</v>
      </c>
      <c r="C83" s="394"/>
      <c r="D83" s="394"/>
      <c r="E83" s="395"/>
      <c r="F83" s="395"/>
      <c r="G83" s="395"/>
      <c r="H83" s="395"/>
      <c r="I83" s="395"/>
      <c r="J83" s="395"/>
      <c r="K83" s="391"/>
    </row>
    <row r="84" spans="1:11" s="392" customFormat="1">
      <c r="A84" s="145" t="s">
        <v>791</v>
      </c>
      <c r="B84" s="393">
        <f>'Sources and Uses Budget'!C84</f>
        <v>96644</v>
      </c>
      <c r="C84" s="394"/>
      <c r="D84" s="394"/>
      <c r="E84" s="393">
        <f>'Sources and Uses Budget'!S84</f>
        <v>96644</v>
      </c>
      <c r="F84" s="394"/>
      <c r="G84" s="394"/>
      <c r="H84" s="393">
        <f>'Sources and Uses Budget'!T84</f>
        <v>0</v>
      </c>
      <c r="I84" s="394"/>
      <c r="J84" s="394"/>
      <c r="K84" s="391"/>
    </row>
    <row r="85" spans="1:11" s="392" customFormat="1">
      <c r="A85" s="145" t="s">
        <v>792</v>
      </c>
      <c r="B85" s="393">
        <f>'Sources and Uses Budget'!C85</f>
        <v>485380</v>
      </c>
      <c r="C85" s="394"/>
      <c r="D85" s="394"/>
      <c r="E85" s="393">
        <f>'Sources and Uses Budget'!S85</f>
        <v>485380</v>
      </c>
      <c r="F85" s="394"/>
      <c r="G85" s="394"/>
      <c r="H85" s="393">
        <f>'Sources and Uses Budget'!T85</f>
        <v>0</v>
      </c>
      <c r="I85" s="394"/>
      <c r="J85" s="394"/>
      <c r="K85" s="391"/>
    </row>
    <row r="86" spans="1:11" s="392" customFormat="1">
      <c r="A86" s="145" t="s">
        <v>793</v>
      </c>
      <c r="B86" s="393">
        <f>'Sources and Uses Budget'!C86</f>
        <v>678211</v>
      </c>
      <c r="C86" s="394"/>
      <c r="D86" s="394"/>
      <c r="E86" s="393">
        <f>'Sources and Uses Budget'!S86</f>
        <v>678211</v>
      </c>
      <c r="F86" s="394"/>
      <c r="G86" s="394"/>
      <c r="H86" s="393">
        <f>'Sources and Uses Budget'!T86</f>
        <v>0</v>
      </c>
      <c r="I86" s="394"/>
      <c r="J86" s="394"/>
      <c r="K86" s="391"/>
    </row>
    <row r="87" spans="1:11" s="392" customFormat="1">
      <c r="A87" s="145" t="s">
        <v>794</v>
      </c>
      <c r="B87" s="393">
        <f>'Sources and Uses Budget'!C87</f>
        <v>0</v>
      </c>
      <c r="C87" s="394"/>
      <c r="D87" s="394"/>
      <c r="E87" s="393">
        <f>'Sources and Uses Budget'!S87</f>
        <v>0</v>
      </c>
      <c r="F87" s="394"/>
      <c r="G87" s="394"/>
      <c r="H87" s="393">
        <f>'Sources and Uses Budget'!T87</f>
        <v>0</v>
      </c>
      <c r="I87" s="394"/>
      <c r="J87" s="394"/>
      <c r="K87" s="391"/>
    </row>
    <row r="88" spans="1:11" s="392" customFormat="1">
      <c r="A88" s="145" t="s">
        <v>795</v>
      </c>
      <c r="B88" s="393">
        <f>'Sources and Uses Budget'!C88</f>
        <v>540171</v>
      </c>
      <c r="C88" s="394"/>
      <c r="D88" s="394"/>
      <c r="E88" s="395"/>
      <c r="F88" s="395"/>
      <c r="G88" s="395"/>
      <c r="H88" s="395"/>
      <c r="I88" s="395"/>
      <c r="J88" s="395"/>
      <c r="K88" s="391"/>
    </row>
    <row r="89" spans="1:11" s="392" customFormat="1">
      <c r="A89" s="145" t="s">
        <v>796</v>
      </c>
      <c r="B89" s="393">
        <f>'Sources and Uses Budget'!C89</f>
        <v>639000</v>
      </c>
      <c r="C89" s="394"/>
      <c r="D89" s="394"/>
      <c r="E89" s="393">
        <f>'Sources and Uses Budget'!S89</f>
        <v>639000</v>
      </c>
      <c r="F89" s="394"/>
      <c r="G89" s="394"/>
      <c r="H89" s="393">
        <f>'Sources and Uses Budget'!T89</f>
        <v>0</v>
      </c>
      <c r="I89" s="394"/>
      <c r="J89" s="394"/>
      <c r="K89" s="391"/>
    </row>
    <row r="90" spans="1:11" s="392" customFormat="1">
      <c r="A90" s="145" t="s">
        <v>797</v>
      </c>
      <c r="B90" s="393">
        <f>'Sources and Uses Budget'!C90</f>
        <v>25000</v>
      </c>
      <c r="C90" s="394"/>
      <c r="D90" s="394"/>
      <c r="E90" s="393">
        <f>'Sources and Uses Budget'!S90</f>
        <v>0</v>
      </c>
      <c r="F90" s="394"/>
      <c r="G90" s="394"/>
      <c r="H90" s="393">
        <f>'Sources and Uses Budget'!T90</f>
        <v>0</v>
      </c>
      <c r="I90" s="394"/>
      <c r="J90" s="394"/>
      <c r="K90" s="391"/>
    </row>
    <row r="91" spans="1:11" s="392" customFormat="1">
      <c r="A91" s="155" t="s">
        <v>374</v>
      </c>
      <c r="B91" s="393">
        <f>'Sources and Uses Budget'!C91</f>
        <v>0</v>
      </c>
      <c r="C91" s="394"/>
      <c r="D91" s="394"/>
      <c r="E91" s="393">
        <f>'Sources and Uses Budget'!S91</f>
        <v>0</v>
      </c>
      <c r="F91" s="394"/>
      <c r="G91" s="394"/>
      <c r="H91" s="393">
        <f>'Sources and Uses Budget'!T91</f>
        <v>0</v>
      </c>
      <c r="I91" s="394"/>
      <c r="J91" s="394"/>
      <c r="K91" s="391"/>
    </row>
    <row r="92" spans="1:11" s="392" customFormat="1">
      <c r="A92" s="543" t="s">
        <v>1353</v>
      </c>
      <c r="B92" s="393">
        <f>'Sources and Uses Budget'!C92</f>
        <v>14497</v>
      </c>
      <c r="C92" s="394"/>
      <c r="D92" s="394"/>
      <c r="E92" s="393">
        <f>'Sources and Uses Budget'!S92</f>
        <v>14497</v>
      </c>
      <c r="F92" s="394"/>
      <c r="G92" s="394"/>
      <c r="H92" s="393">
        <f>'Sources and Uses Budget'!T92</f>
        <v>0</v>
      </c>
      <c r="I92" s="394"/>
      <c r="J92" s="394"/>
      <c r="K92" s="391"/>
    </row>
    <row r="93" spans="1:11" s="392" customFormat="1">
      <c r="A93" s="396" t="str">
        <f>'Sources and Uses Budget'!$A93</f>
        <v>Other: Security During Construction</v>
      </c>
      <c r="B93" s="393">
        <f>'Sources and Uses Budget'!C93</f>
        <v>96644</v>
      </c>
      <c r="C93" s="394"/>
      <c r="D93" s="394"/>
      <c r="E93" s="393">
        <f>'Sources and Uses Budget'!S93</f>
        <v>96644</v>
      </c>
      <c r="F93" s="394"/>
      <c r="G93" s="394"/>
      <c r="H93" s="393">
        <f>'Sources and Uses Budget'!T93</f>
        <v>0</v>
      </c>
      <c r="I93" s="394"/>
      <c r="J93" s="394"/>
      <c r="K93" s="391"/>
    </row>
    <row r="94" spans="1:11" s="392" customFormat="1">
      <c r="A94" s="396" t="str">
        <f>'Sources and Uses Budget'!$A94</f>
        <v>Other: (Specify)</v>
      </c>
      <c r="B94" s="393">
        <f>'Sources and Uses Budget'!C94</f>
        <v>0</v>
      </c>
      <c r="C94" s="394"/>
      <c r="D94" s="394"/>
      <c r="E94" s="393">
        <f>'Sources and Uses Budget'!S94</f>
        <v>0</v>
      </c>
      <c r="F94" s="394"/>
      <c r="G94" s="394"/>
      <c r="H94" s="393">
        <f>'Sources and Uses Budget'!T94</f>
        <v>0</v>
      </c>
      <c r="I94" s="394"/>
      <c r="J94" s="394"/>
      <c r="K94" s="391"/>
    </row>
    <row r="95" spans="1:11" s="392" customFormat="1">
      <c r="A95" s="396" t="str">
        <f>'Sources and Uses Budget'!$A95</f>
        <v>Other: (Specify)</v>
      </c>
      <c r="B95" s="393">
        <f>'Sources and Uses Budget'!C95</f>
        <v>0</v>
      </c>
      <c r="C95" s="394"/>
      <c r="D95" s="394"/>
      <c r="E95" s="393">
        <f>'Sources and Uses Budget'!S95</f>
        <v>0</v>
      </c>
      <c r="F95" s="394"/>
      <c r="G95" s="394"/>
      <c r="H95" s="393">
        <f>'Sources and Uses Budget'!T95</f>
        <v>0</v>
      </c>
      <c r="I95" s="394"/>
      <c r="J95" s="394"/>
      <c r="K95" s="391"/>
    </row>
    <row r="96" spans="1:11" s="392" customFormat="1">
      <c r="A96" s="397" t="s">
        <v>798</v>
      </c>
      <c r="B96" s="393">
        <f>'Sources and Uses Budget'!C96</f>
        <v>2742624</v>
      </c>
      <c r="C96" s="393">
        <f>SUM(C83:C95)</f>
        <v>0</v>
      </c>
      <c r="D96" s="393">
        <f>SUM(D83:D95)</f>
        <v>0</v>
      </c>
      <c r="E96" s="393">
        <f>'Sources and Uses Budget'!S96</f>
        <v>2010376</v>
      </c>
      <c r="F96" s="399">
        <f>SUM(F84:F87,F89:F95)</f>
        <v>0</v>
      </c>
      <c r="G96" s="399">
        <f>SUM(G84:G87,G89:G95)</f>
        <v>0</v>
      </c>
      <c r="H96" s="393">
        <f>'Sources and Uses Budget'!T96</f>
        <v>0</v>
      </c>
      <c r="I96" s="393">
        <f>SUM(I84:I87,I89:I95)</f>
        <v>0</v>
      </c>
      <c r="J96" s="393">
        <f>SUM(J84:J87,J89:J95)</f>
        <v>0</v>
      </c>
      <c r="K96" s="391"/>
    </row>
    <row r="97" spans="1:11" s="392" customFormat="1">
      <c r="A97" s="397" t="s">
        <v>1089</v>
      </c>
      <c r="B97" s="393">
        <f>'Sources and Uses Budget'!C97</f>
        <v>180147876</v>
      </c>
      <c r="C97" s="393">
        <f>SUM(C63+C70+C77+C81+C96)</f>
        <v>0</v>
      </c>
      <c r="D97" s="393">
        <f>SUM(D63+D70+D77+D81+D96)</f>
        <v>0</v>
      </c>
      <c r="E97" s="393">
        <f>'Sources and Uses Budget'!S97</f>
        <v>171261852</v>
      </c>
      <c r="F97" s="399">
        <f>SUM(+F63+F70+F81+F96)</f>
        <v>0</v>
      </c>
      <c r="G97" s="399">
        <f>SUM(+G63+G70+G81+G96)</f>
        <v>0</v>
      </c>
      <c r="H97" s="393">
        <f>'Sources and Uses Budget'!T97</f>
        <v>0</v>
      </c>
      <c r="I97" s="399">
        <f>SUM(I63+I70+I81+I96)</f>
        <v>0</v>
      </c>
      <c r="J97" s="399">
        <f>SUM(J63+J70+J81+J96)</f>
        <v>0</v>
      </c>
      <c r="K97" s="391"/>
    </row>
    <row r="98" spans="1:11" s="392" customFormat="1">
      <c r="A98" s="389" t="s">
        <v>800</v>
      </c>
      <c r="B98" s="390"/>
      <c r="C98" s="390"/>
      <c r="D98" s="390"/>
      <c r="E98" s="390"/>
      <c r="F98" s="390"/>
      <c r="G98" s="390"/>
      <c r="H98" s="390"/>
      <c r="I98" s="390"/>
      <c r="J98" s="390"/>
      <c r="K98" s="391"/>
    </row>
    <row r="99" spans="1:11" s="392" customFormat="1">
      <c r="A99" s="145" t="s">
        <v>801</v>
      </c>
      <c r="B99" s="393">
        <f>'Sources and Uses Budget'!C99</f>
        <v>3040000</v>
      </c>
      <c r="C99" s="394"/>
      <c r="D99" s="394"/>
      <c r="E99" s="393">
        <f>'Sources and Uses Budget'!S99</f>
        <v>3040000</v>
      </c>
      <c r="F99" s="394"/>
      <c r="G99" s="394"/>
      <c r="H99" s="393">
        <f>'Sources and Uses Budget'!T99</f>
        <v>0</v>
      </c>
      <c r="I99" s="394"/>
      <c r="J99" s="394"/>
      <c r="K99" s="391"/>
    </row>
    <row r="100" spans="1:11" s="392" customFormat="1">
      <c r="A100" s="304" t="s">
        <v>1825</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c r="A101" s="145" t="s">
        <v>802</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1826</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803</v>
      </c>
      <c r="B104" s="393">
        <f>'Sources and Uses Budget'!C104</f>
        <v>3040000</v>
      </c>
      <c r="C104" s="393">
        <f>SUM(C99:C103)</f>
        <v>0</v>
      </c>
      <c r="D104" s="393">
        <f>SUM(D99:D103)</f>
        <v>0</v>
      </c>
      <c r="E104" s="393">
        <f>'Sources and Uses Budget'!S104</f>
        <v>3040000</v>
      </c>
      <c r="F104" s="399">
        <f>SUM(F99:F103)</f>
        <v>0</v>
      </c>
      <c r="G104" s="399">
        <f>SUM(G99:G103)</f>
        <v>0</v>
      </c>
      <c r="H104" s="393">
        <f>'Sources and Uses Budget'!T104</f>
        <v>0</v>
      </c>
      <c r="I104" s="399">
        <f>SUM(I99:I103)</f>
        <v>0</v>
      </c>
      <c r="J104" s="399">
        <f>SUM(J99:J103)</f>
        <v>0</v>
      </c>
      <c r="K104" s="391"/>
    </row>
    <row r="105" spans="1:11" s="392" customFormat="1">
      <c r="A105" s="397" t="s">
        <v>1090</v>
      </c>
      <c r="B105" s="393">
        <f>'Sources and Uses Budget'!C105</f>
        <v>183187876</v>
      </c>
      <c r="C105" s="399">
        <f>SUM(C97+C104)</f>
        <v>0</v>
      </c>
      <c r="D105" s="399">
        <f>SUM(D97+D104)</f>
        <v>0</v>
      </c>
      <c r="E105" s="393">
        <f>'Sources and Uses Budget'!S105</f>
        <v>174301852</v>
      </c>
      <c r="F105" s="399">
        <f>F97+F104</f>
        <v>0</v>
      </c>
      <c r="G105" s="399">
        <f>G97+G104</f>
        <v>0</v>
      </c>
      <c r="H105" s="393">
        <f>'Sources and Uses Budget'!T105</f>
        <v>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377</v>
      </c>
      <c r="E107" s="393">
        <f>'Sources and Uses Budget'!S107</f>
        <v>174301852</v>
      </c>
      <c r="F107" s="399">
        <f>F105+F106</f>
        <v>0</v>
      </c>
      <c r="G107" s="399">
        <f>G105+G106</f>
        <v>0</v>
      </c>
      <c r="H107" s="393">
        <f>'Sources and Uses Budget'!T107</f>
        <v>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2.75">
      <c r="A111" s="409"/>
      <c r="B111" s="407"/>
      <c r="C111" s="407"/>
      <c r="D111" s="407"/>
      <c r="J111" s="408"/>
      <c r="K111" s="391"/>
    </row>
    <row r="112" spans="1:11" s="392" customFormat="1" ht="12.75">
      <c r="A112" s="409"/>
      <c r="B112" s="407"/>
      <c r="C112" s="407"/>
      <c r="D112" s="407"/>
      <c r="J112" s="408"/>
      <c r="K112" s="391"/>
    </row>
    <row r="113" spans="1:11" s="392" customFormat="1" ht="14.25">
      <c r="A113" s="410"/>
      <c r="B113" s="407"/>
      <c r="C113" s="407"/>
      <c r="D113" s="407"/>
      <c r="J113" s="408"/>
      <c r="K113" s="391"/>
    </row>
    <row r="114" spans="1:11" s="392" customFormat="1" ht="12.75">
      <c r="A114" s="409"/>
      <c r="J114" s="408"/>
      <c r="K114" s="391"/>
    </row>
    <row r="115" spans="1:11" s="392" customFormat="1" ht="14.25">
      <c r="A115" s="410"/>
      <c r="J115" s="408"/>
      <c r="K115" s="391"/>
    </row>
    <row r="116" spans="1:11" s="392" customFormat="1" ht="14.2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4.25">
      <c r="A121" s="410"/>
      <c r="J121" s="408"/>
      <c r="K121" s="391"/>
    </row>
    <row r="122" spans="1:11" s="412" customFormat="1" ht="15.75">
      <c r="A122" s="411"/>
      <c r="J122" s="413"/>
      <c r="K122" s="414"/>
    </row>
    <row r="123" spans="1:11" s="392" customFormat="1">
      <c r="A123" s="415"/>
      <c r="J123" s="408"/>
      <c r="K123" s="391"/>
    </row>
    <row r="124" spans="1:11" s="392" customFormat="1">
      <c r="B124" s="416"/>
      <c r="D124" s="2122"/>
      <c r="E124" s="1340"/>
      <c r="F124" s="1340"/>
      <c r="G124" s="1340"/>
      <c r="H124" s="1340"/>
      <c r="I124" s="1340"/>
      <c r="J124" s="408"/>
      <c r="K124" s="391"/>
    </row>
    <row r="125" spans="1:11" s="392" customFormat="1" ht="12.75">
      <c r="A125" s="417"/>
      <c r="B125" s="416"/>
      <c r="C125" s="417"/>
      <c r="D125" s="1340"/>
      <c r="E125" s="1340"/>
      <c r="F125" s="1340"/>
      <c r="G125" s="1340"/>
      <c r="H125" s="1340"/>
      <c r="I125" s="1340"/>
      <c r="J125" s="408"/>
      <c r="K125" s="391"/>
    </row>
    <row r="126" spans="1:11" s="392" customFormat="1" ht="12.75">
      <c r="A126" s="417"/>
      <c r="B126" s="416"/>
      <c r="C126" s="417"/>
      <c r="D126" s="1340"/>
      <c r="E126" s="1340"/>
      <c r="F126" s="1340"/>
      <c r="G126" s="1340"/>
      <c r="H126" s="1340"/>
      <c r="I126" s="1340"/>
      <c r="J126" s="408"/>
      <c r="K126" s="391"/>
    </row>
    <row r="127" spans="1:11" s="392" customFormat="1" ht="12.75">
      <c r="A127" s="417"/>
      <c r="B127" s="416"/>
      <c r="C127" s="417"/>
      <c r="D127" s="418"/>
      <c r="E127" s="417"/>
      <c r="F127" s="417"/>
      <c r="G127" s="417"/>
      <c r="J127" s="408"/>
      <c r="K127" s="391"/>
    </row>
    <row r="128" spans="1:11" s="392" customFormat="1" ht="12.75">
      <c r="A128" s="417"/>
      <c r="B128" s="416"/>
      <c r="C128" s="417"/>
      <c r="D128" s="418"/>
      <c r="E128" s="417"/>
      <c r="F128" s="417"/>
      <c r="G128" s="417"/>
      <c r="J128" s="408"/>
      <c r="K128" s="391"/>
    </row>
    <row r="129" spans="1:11" s="392" customFormat="1" ht="12.75">
      <c r="A129" s="417"/>
      <c r="B129" s="416"/>
      <c r="C129" s="417"/>
      <c r="D129" s="417"/>
      <c r="E129" s="417"/>
      <c r="F129" s="417"/>
      <c r="G129" s="417"/>
      <c r="J129" s="408"/>
      <c r="K129" s="391"/>
    </row>
    <row r="130" spans="1:11" s="392" customFormat="1" ht="12.75">
      <c r="A130" s="417"/>
      <c r="B130" s="416"/>
      <c r="C130" s="417"/>
      <c r="D130" s="417"/>
      <c r="E130" s="417"/>
      <c r="F130" s="417"/>
      <c r="G130" s="417"/>
      <c r="J130" s="408"/>
      <c r="K130" s="391"/>
    </row>
    <row r="131" spans="1:11" s="392" customFormat="1" ht="12.75">
      <c r="A131" s="417"/>
      <c r="B131" s="419"/>
      <c r="C131" s="417"/>
      <c r="D131" s="417"/>
      <c r="E131" s="417"/>
      <c r="F131" s="417"/>
      <c r="G131" s="417"/>
      <c r="J131" s="408"/>
      <c r="K131" s="391"/>
    </row>
    <row r="132" spans="1:11" s="392" customFormat="1" ht="12.75">
      <c r="A132" s="420"/>
      <c r="B132" s="421"/>
      <c r="C132" s="417"/>
      <c r="D132" s="422"/>
      <c r="E132" s="417"/>
      <c r="F132" s="417"/>
      <c r="G132" s="417"/>
      <c r="J132" s="408"/>
      <c r="K132" s="391"/>
    </row>
    <row r="133" spans="1:11" s="392" customFormat="1" ht="12.75">
      <c r="A133" s="423"/>
      <c r="B133" s="417"/>
      <c r="C133" s="417"/>
      <c r="D133" s="417"/>
      <c r="E133" s="417"/>
      <c r="F133" s="417"/>
      <c r="G133" s="417"/>
      <c r="J133" s="408"/>
      <c r="K133" s="391"/>
    </row>
    <row r="134" spans="1:11" s="392" customFormat="1" ht="12.75">
      <c r="A134" s="423"/>
      <c r="B134" s="417"/>
      <c r="C134" s="417"/>
      <c r="D134" s="417"/>
      <c r="E134" s="417"/>
      <c r="F134" s="417"/>
      <c r="G134" s="417"/>
      <c r="J134" s="408"/>
      <c r="K134" s="391"/>
    </row>
    <row r="135" spans="1:11" s="392" customFormat="1" ht="12.75">
      <c r="A135" s="424"/>
      <c r="B135" s="417"/>
      <c r="C135" s="417"/>
      <c r="D135" s="417"/>
      <c r="E135" s="417"/>
      <c r="F135" s="417"/>
      <c r="G135" s="417"/>
      <c r="J135" s="408"/>
      <c r="K135" s="391"/>
    </row>
    <row r="136" spans="1:11" s="392" customFormat="1" ht="12.75">
      <c r="A136" s="409"/>
      <c r="B136" s="417"/>
      <c r="C136" s="417"/>
      <c r="D136" s="417"/>
      <c r="E136" s="417"/>
      <c r="F136" s="417"/>
      <c r="G136" s="417"/>
      <c r="J136" s="408"/>
      <c r="K136" s="391"/>
    </row>
    <row r="137" spans="1:11" ht="12.75">
      <c r="A137" s="423"/>
      <c r="B137" s="417"/>
      <c r="C137" s="417"/>
      <c r="D137" s="417"/>
      <c r="E137" s="417"/>
      <c r="F137" s="417"/>
      <c r="G137" s="417"/>
    </row>
    <row r="138" spans="1:11" ht="12" customHeight="1">
      <c r="A138" s="423"/>
      <c r="B138" s="417"/>
      <c r="C138" s="417"/>
      <c r="D138" s="417"/>
      <c r="E138" s="417"/>
      <c r="F138" s="417"/>
      <c r="G138" s="417"/>
    </row>
    <row r="139" spans="1:11" ht="12" customHeight="1">
      <c r="A139" s="2123"/>
      <c r="B139" s="1340"/>
      <c r="C139" s="1340"/>
      <c r="D139" s="388"/>
      <c r="E139" s="417"/>
      <c r="F139" s="417"/>
      <c r="G139" s="417"/>
    </row>
    <row r="140" spans="1:11" ht="12" customHeight="1">
      <c r="A140" s="1278"/>
      <c r="B140" s="1278"/>
      <c r="C140" s="1278"/>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36FbjLVCMfLgGjZGMskbpjvzi9vIf1Ybxl5RVgVgrjRicdZrIVrY1OzeJGmu6ZXB50acXioZD/3eyEzn+Lo04A==" saltValue="yLH3YQnwUccuw6XmP0IN+A==" spinCount="100000" sheet="1" objects="1" scenarios="1"/>
  <mergeCells count="4">
    <mergeCell ref="D124:I126"/>
    <mergeCell ref="A139:C139"/>
    <mergeCell ref="A140:C140"/>
    <mergeCell ref="A1:J1"/>
  </mergeCells>
  <conditionalFormatting sqref="B3:B105">
    <cfRule type="cellIs" dxfId="7" priority="5" stopIfTrue="1" operator="notEqual">
      <formula>$C3+$D3</formula>
    </cfRule>
  </conditionalFormatting>
  <conditionalFormatting sqref="E3:E107">
    <cfRule type="cellIs" dxfId="6" priority="2" stopIfTrue="1" operator="notEqual">
      <formula>$F3+$G3</formula>
    </cfRule>
  </conditionalFormatting>
  <conditionalFormatting sqref="H3:H107">
    <cfRule type="cellIs" dxfId="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C94" zoomScale="85" zoomScaleNormal="85" workbookViewId="0">
      <selection activeCell="A89" sqref="A89:XFD89"/>
    </sheetView>
  </sheetViews>
  <sheetFormatPr defaultColWidth="9.140625" defaultRowHeight="14.25"/>
  <cols>
    <col min="1" max="1" width="2.42578125" style="1088" customWidth="1"/>
    <col min="2" max="9" width="14.5703125" style="1088" customWidth="1"/>
    <col min="10" max="10" width="2.42578125" style="1088" customWidth="1"/>
    <col min="11" max="11" width="11.85546875" style="1089" customWidth="1"/>
    <col min="12" max="12" width="10.5703125" style="1088" customWidth="1"/>
    <col min="13" max="13" width="10.42578125" style="1088" customWidth="1"/>
    <col min="14" max="14" width="10.85546875" style="1088" customWidth="1"/>
    <col min="15" max="16384" width="9.140625" style="1088"/>
  </cols>
  <sheetData>
    <row r="1" spans="1:13" ht="30" customHeight="1">
      <c r="A1" s="2136" t="s">
        <v>1761</v>
      </c>
      <c r="B1" s="2136"/>
      <c r="C1" s="2136"/>
      <c r="D1" s="2136"/>
      <c r="E1" s="2136"/>
      <c r="F1" s="2136"/>
      <c r="G1" s="2136"/>
      <c r="H1" s="2136"/>
      <c r="I1" s="2136"/>
      <c r="J1" s="2136"/>
    </row>
    <row r="2" spans="1:13" ht="15" customHeight="1" thickBot="1">
      <c r="A2" s="1090"/>
      <c r="B2" s="1090"/>
      <c r="I2" s="1091"/>
      <c r="K2" s="1092"/>
    </row>
    <row r="3" spans="1:13" s="1095" customFormat="1" ht="20.25" customHeight="1">
      <c r="A3" s="1149"/>
      <c r="B3" s="1150"/>
      <c r="C3" s="1151"/>
      <c r="D3" s="1156"/>
      <c r="E3" s="1151"/>
      <c r="F3" s="1152" t="s">
        <v>2380</v>
      </c>
      <c r="G3" s="1151"/>
      <c r="H3" s="1153">
        <f>E16</f>
        <v>67893710</v>
      </c>
      <c r="I3" s="1154"/>
    </row>
    <row r="4" spans="1:13" s="1095" customFormat="1" ht="20.25" customHeight="1">
      <c r="B4" s="1143"/>
      <c r="D4" s="1157"/>
      <c r="F4" s="1141" t="s">
        <v>2382</v>
      </c>
      <c r="G4" s="1140" t="s">
        <v>2381</v>
      </c>
      <c r="H4" s="1142">
        <f>I16</f>
        <v>48912033.386846408</v>
      </c>
      <c r="I4" s="1144"/>
      <c r="K4" s="1099"/>
    </row>
    <row r="5" spans="1:13" s="1095" customFormat="1" ht="20.25" customHeight="1" thickBot="1">
      <c r="B5" s="1145"/>
      <c r="C5" s="1146"/>
      <c r="D5" s="1158"/>
      <c r="E5" s="1147"/>
      <c r="F5" s="1158" t="s">
        <v>2322</v>
      </c>
      <c r="G5" s="1159"/>
      <c r="H5" s="1155">
        <f>H3/H4</f>
        <v>1.3880778470816593</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37" t="s">
        <v>2320</v>
      </c>
      <c r="C8" s="2138"/>
      <c r="D8" s="2138"/>
      <c r="E8" s="2139"/>
      <c r="G8" s="2140" t="s">
        <v>2321</v>
      </c>
      <c r="H8" s="2141"/>
      <c r="I8" s="2142"/>
      <c r="K8" s="1101"/>
    </row>
    <row r="9" spans="1:13" ht="15" customHeight="1">
      <c r="A9" s="1090"/>
      <c r="B9" s="2131" t="s">
        <v>2359</v>
      </c>
      <c r="C9" s="2131"/>
      <c r="D9" s="2131"/>
      <c r="E9" s="1103">
        <f>G31</f>
        <v>10602500</v>
      </c>
      <c r="G9" s="2134" t="s">
        <v>2357</v>
      </c>
      <c r="H9" s="2134"/>
      <c r="I9" s="1104">
        <f>Application!AM550</f>
        <v>95866019</v>
      </c>
      <c r="K9" s="1105"/>
      <c r="M9" s="1106"/>
    </row>
    <row r="10" spans="1:13" ht="15" customHeight="1" thickBot="1">
      <c r="A10" s="1090"/>
      <c r="B10" s="2131" t="s">
        <v>2360</v>
      </c>
      <c r="C10" s="2131"/>
      <c r="D10" s="2131"/>
      <c r="E10" s="1104">
        <f>G40</f>
        <v>42087960</v>
      </c>
      <c r="G10" s="2134" t="s">
        <v>2323</v>
      </c>
      <c r="H10" s="2134"/>
      <c r="I10" s="1191">
        <f>'Basis &amp; Credits'!AB77</f>
        <v>0</v>
      </c>
      <c r="M10" s="1106"/>
    </row>
    <row r="11" spans="1:13" ht="15" customHeight="1">
      <c r="A11" s="1107"/>
      <c r="B11" s="2131" t="s">
        <v>2361</v>
      </c>
      <c r="C11" s="2131"/>
      <c r="D11" s="2131"/>
      <c r="E11" s="1104">
        <f>G49</f>
        <v>400000</v>
      </c>
      <c r="G11" s="2134" t="s">
        <v>2372</v>
      </c>
      <c r="H11" s="2134"/>
      <c r="I11" s="1190">
        <f>I9+I10</f>
        <v>95866019</v>
      </c>
      <c r="M11" s="1106"/>
    </row>
    <row r="12" spans="1:13" ht="15" customHeight="1">
      <c r="A12" s="1093"/>
      <c r="B12" s="2131" t="s">
        <v>2362</v>
      </c>
      <c r="C12" s="2131"/>
      <c r="D12" s="2131"/>
      <c r="E12" s="1104">
        <f>G58</f>
        <v>1020000</v>
      </c>
      <c r="G12" s="1192" t="s">
        <v>2397</v>
      </c>
      <c r="H12" s="1193"/>
      <c r="M12" s="1106"/>
    </row>
    <row r="13" spans="1:13" ht="15" customHeight="1">
      <c r="A13" s="1090"/>
      <c r="B13" s="2131" t="s">
        <v>2363</v>
      </c>
      <c r="C13" s="2131"/>
      <c r="D13" s="2131"/>
      <c r="E13" s="1109">
        <f>G83</f>
        <v>13783250</v>
      </c>
      <c r="G13" s="2135" t="s">
        <v>140</v>
      </c>
      <c r="H13" s="2135"/>
      <c r="I13" s="1108">
        <f>15%*(Application!AJ963&gt;0)</f>
        <v>0.15</v>
      </c>
      <c r="M13" s="1106"/>
    </row>
    <row r="14" spans="1:13" ht="15" customHeight="1">
      <c r="A14" s="1090"/>
      <c r="B14" s="2131" t="s">
        <v>2364</v>
      </c>
      <c r="C14" s="2131"/>
      <c r="D14" s="2131"/>
      <c r="E14" s="1104">
        <f>IF(G96&gt;G106,G96,0)</f>
        <v>0</v>
      </c>
      <c r="G14" s="1188" t="s">
        <v>2373</v>
      </c>
      <c r="H14" s="1188"/>
      <c r="I14" s="1108">
        <f>IF(Application!AJ997&gt;0,10%,IF(Application!AJ1001&gt;0,5%,0))</f>
        <v>0.1</v>
      </c>
      <c r="M14" s="1106"/>
    </row>
    <row r="15" spans="1:13" ht="15" customHeight="1" thickBot="1">
      <c r="A15" s="1090"/>
      <c r="B15" s="2132" t="s">
        <v>2383</v>
      </c>
      <c r="C15" s="2132"/>
      <c r="D15" s="2132"/>
      <c r="E15" s="1160">
        <f>IF(E14&gt;0,0,G106)</f>
        <v>0</v>
      </c>
      <c r="G15" s="2129" t="s">
        <v>2374</v>
      </c>
      <c r="H15" s="2130"/>
      <c r="I15" s="1162">
        <f>G114</f>
        <v>0.23978758169934641</v>
      </c>
      <c r="M15" s="1106"/>
    </row>
    <row r="16" spans="1:13" ht="15" customHeight="1">
      <c r="A16" s="1090"/>
      <c r="B16" s="2133" t="s">
        <v>2319</v>
      </c>
      <c r="C16" s="2133"/>
      <c r="D16" s="2133"/>
      <c r="E16" s="1161">
        <f>SUM(E9:E15)</f>
        <v>67893710</v>
      </c>
      <c r="G16" s="1189" t="s">
        <v>2358</v>
      </c>
      <c r="H16" s="1189"/>
      <c r="I16" s="1163">
        <f>I11-((I11*I13)+(I11*I14)+(I11*I15))</f>
        <v>48912033.386846408</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182</v>
      </c>
      <c r="O18" s="1133" t="s">
        <v>591</v>
      </c>
      <c r="P18" s="1088">
        <f>MATCH(Application!T189,Application!BP656:BP713,0)</f>
        <v>38</v>
      </c>
      <c r="S18" s="1110">
        <f>SUM(Cdlac[Population])</f>
        <v>40</v>
      </c>
    </row>
    <row r="19" spans="1:20" ht="15" customHeight="1">
      <c r="A19" s="1090"/>
      <c r="B19" s="1090"/>
      <c r="I19" s="1116"/>
      <c r="L19" s="1088" t="s">
        <v>2315</v>
      </c>
      <c r="M19" s="1088" t="s">
        <v>2314</v>
      </c>
      <c r="N19" s="1088" t="s">
        <v>2328</v>
      </c>
      <c r="O19" s="1088" t="s">
        <v>2329</v>
      </c>
      <c r="P19" s="1088" t="s">
        <v>2316</v>
      </c>
      <c r="Q19" s="1088" t="s">
        <v>2317</v>
      </c>
      <c r="R19" s="1088" t="s">
        <v>2330</v>
      </c>
      <c r="S19" s="1088" t="s">
        <v>2336</v>
      </c>
      <c r="T19" s="1088" t="s">
        <v>387</v>
      </c>
    </row>
    <row r="20" spans="1:20" ht="15" customHeight="1">
      <c r="A20" s="1093"/>
      <c r="C20" s="2127" t="s">
        <v>2376</v>
      </c>
      <c r="D20" s="2127" t="s">
        <v>2377</v>
      </c>
      <c r="E20" s="2127" t="s">
        <v>2378</v>
      </c>
      <c r="F20" s="2127" t="s">
        <v>2379</v>
      </c>
      <c r="G20" s="2127" t="s">
        <v>2375</v>
      </c>
      <c r="H20" s="1117"/>
      <c r="I20" s="1116"/>
      <c r="L20" s="1088">
        <f>IFERROR(MIN(4,MATCH(Application!B714,UnitSizes,0)-1),"")</f>
        <v>1</v>
      </c>
      <c r="M20" s="1110">
        <f>Application!G714</f>
        <v>6</v>
      </c>
      <c r="N20" s="1118">
        <f>Application!AC714</f>
        <v>0.2</v>
      </c>
      <c r="O20" s="1118">
        <f>IF(Cdlac[[#This Row],[Quantity]]&gt;0,IF(Cdlac[[#This Row],[Federal]],30%,IF($G$36,40%,Cdlac[[#This Row],[iAMI]])),"")</f>
        <v>0.2</v>
      </c>
      <c r="P20" s="1110" cm="1">
        <f t="array" ref="P20">IF(Cdlac[[#This Row],[Quantity]]&gt;0,INDEX(TcacRents,$P$18,Cdlac[[#This Row],[Bedrooms]]+1)*Cdlac[[#This Row],[AMI]],"")</f>
        <v>696.80000000000007</v>
      </c>
      <c r="Q20" s="1110" cm="1">
        <f t="array" ref="Q20">IF(Cdlac[[#This Row],[Quantity]]&gt;0,INDEX(HudFmrs,$P$18,Cdlac[[#This Row],[Bedrooms]]+1),"")</f>
        <v>2665</v>
      </c>
      <c r="R20" s="1110">
        <f>IF(Cdlac[[#This Row],[Quantity]]&gt;0,MAX(0,Cdlac[[#This Row],[Fair Market Rent]]-Cdlac[[#This Row],[Restricted Rent]]),"")</f>
        <v>1968.1999999999998</v>
      </c>
      <c r="S20" s="1088">
        <f>IF(Cdlac[[#This Row],[Quantity]]&gt;0,AND(Application!AK714&lt;&gt;"N/A",Application!AK714&lt;&gt;"")*Cdlac[[#This Row],[Quantity]],"")</f>
        <v>6</v>
      </c>
      <c r="T20" s="1088" t="b">
        <f>AND('Subsidy Contract Calculation'!F4&gt;0,'Subsidy Contract Calculation'!C4="Federal",Cdlac[[#This Row],[Quantity]]&gt;0)</f>
        <v>0</v>
      </c>
    </row>
    <row r="21" spans="1:20" ht="15" customHeight="1">
      <c r="A21" s="1093"/>
      <c r="C21" s="2128"/>
      <c r="D21" s="2128"/>
      <c r="E21" s="2128"/>
      <c r="F21" s="2128"/>
      <c r="G21" s="2128"/>
      <c r="H21" s="1117"/>
      <c r="I21" s="1116"/>
      <c r="L21" s="1088">
        <f>IFERROR(MIN(4,MATCH(Application!B715,UnitSizes,0)-1),"")</f>
        <v>2</v>
      </c>
      <c r="M21" s="1110">
        <f>Application!G715</f>
        <v>18</v>
      </c>
      <c r="N21" s="1118">
        <f>Application!AC715</f>
        <v>0.2</v>
      </c>
      <c r="O21" s="1118">
        <f>IF(Cdlac[[#This Row],[Quantity]]&gt;0,IF(Cdlac[[#This Row],[Federal]],30%,IF($G$36,40%,Cdlac[[#This Row],[iAMI]])),"")</f>
        <v>0.2</v>
      </c>
      <c r="P21" s="1110" cm="1">
        <f t="array" ref="P21">IF(Cdlac[[#This Row],[Quantity]]&gt;0,INDEX(TcacRents,$P$18,Cdlac[[#This Row],[Bedrooms]]+1)*Cdlac[[#This Row],[AMI]],"")</f>
        <v>836.40000000000009</v>
      </c>
      <c r="Q21" s="1110" cm="1">
        <f t="array" ref="Q21">IF(Cdlac[[#This Row],[Quantity]]&gt;0,INDEX(HudFmrs,$P$18,Cdlac[[#This Row],[Bedrooms]]+1),"")</f>
        <v>3188</v>
      </c>
      <c r="R21" s="1110">
        <f>IF(Cdlac[[#This Row],[Quantity]]&gt;0,MAX(0,Cdlac[[#This Row],[Fair Market Rent]]-Cdlac[[#This Row],[Restricted Rent]]),"")</f>
        <v>2351.6</v>
      </c>
      <c r="S21" s="1088">
        <f>IF(Cdlac[[#This Row],[Quantity]]&gt;0,AND(Application!AK715&lt;&gt;"N/A",Application!AK715&lt;&gt;"")*Cdlac[[#This Row],[Quantity]],"")</f>
        <v>18</v>
      </c>
      <c r="T21" s="1088" t="b">
        <f>AND('Subsidy Contract Calculation'!F5&gt;0,'Subsidy Contract Calculation'!C5="Federal",Cdlac[[#This Row],[Quantity]]&gt;0)</f>
        <v>0</v>
      </c>
    </row>
    <row r="22" spans="1:20" ht="15" customHeight="1">
      <c r="C22" s="1119">
        <v>0</v>
      </c>
      <c r="D22" s="1120">
        <v>0.9</v>
      </c>
      <c r="E22" s="1119">
        <f>SUMIFS(Cdlac[Quantity],Cdlac[Bedrooms],C22)</f>
        <v>17</v>
      </c>
      <c r="F22" s="1119">
        <f>E22</f>
        <v>17</v>
      </c>
      <c r="G22" s="1119">
        <f>D22*F22</f>
        <v>15.3</v>
      </c>
      <c r="L22" s="1088">
        <f>IFERROR(MIN(4,MATCH(Application!B716,UnitSizes,0)-1),"")</f>
        <v>3</v>
      </c>
      <c r="M22" s="1110">
        <f>Application!G716</f>
        <v>8</v>
      </c>
      <c r="N22" s="1118">
        <f>Application!AC716</f>
        <v>0.2</v>
      </c>
      <c r="O22" s="1118">
        <f>IF(Cdlac[[#This Row],[Quantity]]&gt;0,IF(Cdlac[[#This Row],[Federal]],30%,IF($G$36,40%,Cdlac[[#This Row],[iAMI]])),"")</f>
        <v>0.2</v>
      </c>
      <c r="P22" s="1110" cm="1">
        <f t="array" ref="P22">IF(Cdlac[[#This Row],[Quantity]]&gt;0,INDEX(TcacRents,$P$18,Cdlac[[#This Row],[Bedrooms]]+1)*Cdlac[[#This Row],[AMI]],"")</f>
        <v>966</v>
      </c>
      <c r="Q22" s="1110" cm="1">
        <f t="array" ref="Q22">IF(Cdlac[[#This Row],[Quantity]]&gt;0,INDEX(HudFmrs,$P$18,Cdlac[[#This Row],[Bedrooms]]+1),"")</f>
        <v>3912</v>
      </c>
      <c r="R22" s="1110">
        <f>IF(Cdlac[[#This Row],[Quantity]]&gt;0,MAX(0,Cdlac[[#This Row],[Fair Market Rent]]-Cdlac[[#This Row],[Restricted Rent]]),"")</f>
        <v>2946</v>
      </c>
      <c r="S22" s="1088">
        <f>IF(Cdlac[[#This Row],[Quantity]]&gt;0,AND(Application!AK716&lt;&gt;"N/A",Application!AK716&lt;&gt;"")*Cdlac[[#This Row],[Quantity]],"")</f>
        <v>8</v>
      </c>
      <c r="T22" s="1088" t="b">
        <f>AND('Subsidy Contract Calculation'!F6&gt;0,'Subsidy Contract Calculation'!C6="Federal",Cdlac[[#This Row],[Quantity]]&gt;0)</f>
        <v>0</v>
      </c>
    </row>
    <row r="23" spans="1:20" ht="15" customHeight="1">
      <c r="C23" s="1119">
        <v>1</v>
      </c>
      <c r="D23" s="1120">
        <v>1</v>
      </c>
      <c r="E23" s="1119">
        <f>SUMIFS(Cdlac[Quantity],Cdlac[Bedrooms],C23)</f>
        <v>75</v>
      </c>
      <c r="F23" s="1119">
        <f>E23</f>
        <v>75</v>
      </c>
      <c r="G23" s="1119">
        <f>D23*F23</f>
        <v>75</v>
      </c>
      <c r="L23" s="1088">
        <f>IFERROR(MIN(4,MATCH(Application!B717,UnitSizes,0)-1),"")</f>
        <v>1</v>
      </c>
      <c r="M23" s="1110">
        <f>Application!G717</f>
        <v>2</v>
      </c>
      <c r="N23" s="1118">
        <f>Application!AC717</f>
        <v>0.3</v>
      </c>
      <c r="O23" s="1118">
        <f>IF(Cdlac[[#This Row],[Quantity]]&gt;0,IF(Cdlac[[#This Row],[Federal]],30%,IF($G$36,40%,Cdlac[[#This Row],[iAMI]])),"")</f>
        <v>0.3</v>
      </c>
      <c r="P23" s="1110" cm="1">
        <f t="array" ref="P23">IF(Cdlac[[#This Row],[Quantity]]&gt;0,INDEX(TcacRents,$P$18,Cdlac[[#This Row],[Bedrooms]]+1)*Cdlac[[#This Row],[AMI]],"")</f>
        <v>1045.2</v>
      </c>
      <c r="Q23" s="1110" cm="1">
        <f t="array" ref="Q23">IF(Cdlac[[#This Row],[Quantity]]&gt;0,INDEX(HudFmrs,$P$18,Cdlac[[#This Row],[Bedrooms]]+1),"")</f>
        <v>2665</v>
      </c>
      <c r="R23" s="1110">
        <f>IF(Cdlac[[#This Row],[Quantity]]&gt;0,MAX(0,Cdlac[[#This Row],[Fair Market Rent]]-Cdlac[[#This Row],[Restricted Rent]]),"")</f>
        <v>1619.8</v>
      </c>
      <c r="S23" s="1088">
        <f>IF(Cdlac[[#This Row],[Quantity]]&gt;0,AND(Application!AK717&lt;&gt;"N/A",Application!AK717&lt;&gt;"")*Cdlac[[#This Row],[Quantity]],"")</f>
        <v>2</v>
      </c>
      <c r="T23" s="1088" t="b">
        <f>AND('Subsidy Contract Calculation'!F7&gt;0,'Subsidy Contract Calculation'!C7="Federal",Cdlac[[#This Row],[Quantity]]&gt;0)</f>
        <v>0</v>
      </c>
    </row>
    <row r="24" spans="1:20" ht="15" customHeight="1">
      <c r="A24" s="1121"/>
      <c r="C24" s="1122">
        <v>2</v>
      </c>
      <c r="D24" s="1120">
        <v>1.25</v>
      </c>
      <c r="E24" s="1119">
        <f>SUMIFS(Cdlac[Quantity],Cdlac[Bedrooms],C24)</f>
        <v>53</v>
      </c>
      <c r="F24" s="1122">
        <f>SUM(E24:E26)-SUM(F25:F26)</f>
        <v>53</v>
      </c>
      <c r="G24" s="1119">
        <f>D24*F24</f>
        <v>66.25</v>
      </c>
      <c r="H24" s="1121"/>
      <c r="I24" s="1121"/>
      <c r="L24" s="1088">
        <f>IFERROR(MIN(4,MATCH(Application!B718,UnitSizes,0)-1),"")</f>
        <v>2</v>
      </c>
      <c r="M24" s="1110">
        <f>Application!G718</f>
        <v>4</v>
      </c>
      <c r="N24" s="1118">
        <f>Application!AC718</f>
        <v>0.3</v>
      </c>
      <c r="O24" s="1118">
        <f>IF(Cdlac[[#This Row],[Quantity]]&gt;0,IF(Cdlac[[#This Row],[Federal]],30%,IF($G$36,40%,Cdlac[[#This Row],[iAMI]])),"")</f>
        <v>0.3</v>
      </c>
      <c r="P24" s="1110" cm="1">
        <f t="array" ref="P24">IF(Cdlac[[#This Row],[Quantity]]&gt;0,INDEX(TcacRents,$P$18,Cdlac[[#This Row],[Bedrooms]]+1)*Cdlac[[#This Row],[AMI]],"")</f>
        <v>1254.5999999999999</v>
      </c>
      <c r="Q24" s="1110" cm="1">
        <f t="array" ref="Q24">IF(Cdlac[[#This Row],[Quantity]]&gt;0,INDEX(HudFmrs,$P$18,Cdlac[[#This Row],[Bedrooms]]+1),"")</f>
        <v>3188</v>
      </c>
      <c r="R24" s="1110">
        <f>IF(Cdlac[[#This Row],[Quantity]]&gt;0,MAX(0,Cdlac[[#This Row],[Fair Market Rent]]-Cdlac[[#This Row],[Restricted Rent]]),"")</f>
        <v>1933.4</v>
      </c>
      <c r="S24" s="1088">
        <f>IF(Cdlac[[#This Row],[Quantity]]&gt;0,AND(Application!AK718&lt;&gt;"N/A",Application!AK718&lt;&gt;"")*Cdlac[[#This Row],[Quantity]],"")</f>
        <v>4</v>
      </c>
      <c r="T24" s="1088" t="b">
        <f>AND('Subsidy Contract Calculation'!F8&gt;0,'Subsidy Contract Calculation'!C8="Federal",Cdlac[[#This Row],[Quantity]]&gt;0)</f>
        <v>0</v>
      </c>
    </row>
    <row r="25" spans="1:20" ht="15" customHeight="1">
      <c r="A25" s="1121"/>
      <c r="C25" s="1122">
        <v>3</v>
      </c>
      <c r="D25" s="1120">
        <f>1.5+0.25*0</f>
        <v>1.5</v>
      </c>
      <c r="E25" s="1119">
        <f>SUMIFS(Cdlac[Quantity],Cdlac[Bedrooms],C25)</f>
        <v>37</v>
      </c>
      <c r="F25" s="1122">
        <f>MIN(E25,ROUNDDOWN(E27*30%,0))</f>
        <v>37</v>
      </c>
      <c r="G25" s="1119">
        <f>D25*F25</f>
        <v>55.5</v>
      </c>
      <c r="H25" s="1121"/>
      <c r="I25" s="1121"/>
      <c r="L25" s="1088">
        <f>IFERROR(MIN(4,MATCH(Application!B719,UnitSizes,0)-1),"")</f>
        <v>3</v>
      </c>
      <c r="M25" s="1110">
        <f>Application!G719</f>
        <v>2</v>
      </c>
      <c r="N25" s="1118">
        <f>Application!AC719</f>
        <v>0.3</v>
      </c>
      <c r="O25" s="1118">
        <f>IF(Cdlac[[#This Row],[Quantity]]&gt;0,IF(Cdlac[[#This Row],[Federal]],30%,IF($G$36,40%,Cdlac[[#This Row],[iAMI]])),"")</f>
        <v>0.3</v>
      </c>
      <c r="P25" s="1110" cm="1">
        <f t="array" ref="P25">IF(Cdlac[[#This Row],[Quantity]]&gt;0,INDEX(TcacRents,$P$18,Cdlac[[#This Row],[Bedrooms]]+1)*Cdlac[[#This Row],[AMI]],"")</f>
        <v>1449</v>
      </c>
      <c r="Q25" s="1110" cm="1">
        <f t="array" ref="Q25">IF(Cdlac[[#This Row],[Quantity]]&gt;0,INDEX(HudFmrs,$P$18,Cdlac[[#This Row],[Bedrooms]]+1),"")</f>
        <v>3912</v>
      </c>
      <c r="R25" s="1110">
        <f>IF(Cdlac[[#This Row],[Quantity]]&gt;0,MAX(0,Cdlac[[#This Row],[Fair Market Rent]]-Cdlac[[#This Row],[Restricted Rent]]),"")</f>
        <v>2463</v>
      </c>
      <c r="S25" s="1088">
        <f>IF(Cdlac[[#This Row],[Quantity]]&gt;0,AND(Application!AK719&lt;&gt;"N/A",Application!AK719&lt;&gt;"")*Cdlac[[#This Row],[Quantity]],"")</f>
        <v>2</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f>IFERROR(MIN(4,MATCH(Application!B720,UnitSizes,0)-1),"")</f>
        <v>0</v>
      </c>
      <c r="M26" s="1110">
        <f>Application!G720</f>
        <v>2</v>
      </c>
      <c r="N26" s="1118">
        <f>Application!AC720</f>
        <v>0.3</v>
      </c>
      <c r="O26" s="1118">
        <f>IF(Cdlac[[#This Row],[Quantity]]&gt;0,IF(Cdlac[[#This Row],[Federal]],30%,IF($G$36,40%,Cdlac[[#This Row],[iAMI]])),"")</f>
        <v>0.3</v>
      </c>
      <c r="P26" s="1110" cm="1">
        <f t="array" ref="P26">IF(Cdlac[[#This Row],[Quantity]]&gt;0,INDEX(TcacRents,$P$18,Cdlac[[#This Row],[Bedrooms]]+1)*Cdlac[[#This Row],[AMI]],"")</f>
        <v>975.59999999999991</v>
      </c>
      <c r="Q26" s="1110" cm="1">
        <f t="array" ref="Q26">IF(Cdlac[[#This Row],[Quantity]]&gt;0,INDEX(HudFmrs,$P$18,Cdlac[[#This Row],[Bedrooms]]+1),"")</f>
        <v>2156</v>
      </c>
      <c r="R26" s="1110">
        <f>IF(Cdlac[[#This Row],[Quantity]]&gt;0,MAX(0,Cdlac[[#This Row],[Fair Market Rent]]-Cdlac[[#This Row],[Restricted Rent]]),"")</f>
        <v>1180.4000000000001</v>
      </c>
      <c r="S26" s="1088">
        <f>IF(Cdlac[[#This Row],[Quantity]]&gt;0,AND(Application!AK720&lt;&gt;"N/A",Application!AK720&lt;&gt;"")*Cdlac[[#This Row],[Quantity]],"")</f>
        <v>0</v>
      </c>
      <c r="T26" s="1088" t="b">
        <f>AND('Subsidy Contract Calculation'!F10&gt;0,'Subsidy Contract Calculation'!C10="Federal",Cdlac[[#This Row],[Quantity]]&gt;0)</f>
        <v>0</v>
      </c>
    </row>
    <row r="27" spans="1:20" ht="15" customHeight="1">
      <c r="A27" s="1121"/>
      <c r="C27" s="2143" t="s">
        <v>1762</v>
      </c>
      <c r="D27" s="2144"/>
      <c r="E27" s="1138">
        <f>SUM(E22:E26)</f>
        <v>182</v>
      </c>
      <c r="F27" s="1138">
        <f>SUM(F22:F26)</f>
        <v>182</v>
      </c>
      <c r="G27" s="1139">
        <f>SUMPRODUCT(D22:D26,F22:F26)</f>
        <v>212.05</v>
      </c>
      <c r="H27" s="1121"/>
      <c r="I27" s="1121"/>
      <c r="L27" s="1088">
        <f>IFERROR(MIN(4,MATCH(Application!B721,UnitSizes,0)-1),"")</f>
        <v>1</v>
      </c>
      <c r="M27" s="1110">
        <f>Application!G721</f>
        <v>5</v>
      </c>
      <c r="N27" s="1118">
        <f>Application!AC721</f>
        <v>0.3</v>
      </c>
      <c r="O27" s="1118">
        <f>IF(Cdlac[[#This Row],[Quantity]]&gt;0,IF(Cdlac[[#This Row],[Federal]],30%,IF($G$36,40%,Cdlac[[#This Row],[iAMI]])),"")</f>
        <v>0.3</v>
      </c>
      <c r="P27" s="1110" cm="1">
        <f t="array" ref="P27">IF(Cdlac[[#This Row],[Quantity]]&gt;0,INDEX(TcacRents,$P$18,Cdlac[[#This Row],[Bedrooms]]+1)*Cdlac[[#This Row],[AMI]],"")</f>
        <v>1045.2</v>
      </c>
      <c r="Q27" s="1110" cm="1">
        <f t="array" ref="Q27">IF(Cdlac[[#This Row],[Quantity]]&gt;0,INDEX(HudFmrs,$P$18,Cdlac[[#This Row],[Bedrooms]]+1),"")</f>
        <v>2665</v>
      </c>
      <c r="R27" s="1110">
        <f>IF(Cdlac[[#This Row],[Quantity]]&gt;0,MAX(0,Cdlac[[#This Row],[Fair Market Rent]]-Cdlac[[#This Row],[Restricted Rent]]),"")</f>
        <v>1619.8</v>
      </c>
      <c r="S27" s="1088">
        <f>IF(Cdlac[[#This Row],[Quantity]]&gt;0,AND(Application!AK721&lt;&gt;"N/A",Application!AK721&lt;&gt;"")*Cdlac[[#This Row],[Quantity]],"")</f>
        <v>0</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f>IFERROR(MIN(4,MATCH(Application!B722,UnitSizes,0)-1),"")</f>
        <v>2</v>
      </c>
      <c r="M28" s="1110">
        <f>Application!G722</f>
        <v>2</v>
      </c>
      <c r="N28" s="1118">
        <f>Application!AC722</f>
        <v>0.3</v>
      </c>
      <c r="O28" s="1118">
        <f>IF(Cdlac[[#This Row],[Quantity]]&gt;0,IF(Cdlac[[#This Row],[Federal]],30%,IF($G$36,40%,Cdlac[[#This Row],[iAMI]])),"")</f>
        <v>0.3</v>
      </c>
      <c r="P28" s="1110" cm="1">
        <f t="array" ref="P28">IF(Cdlac[[#This Row],[Quantity]]&gt;0,INDEX(TcacRents,$P$18,Cdlac[[#This Row],[Bedrooms]]+1)*Cdlac[[#This Row],[AMI]],"")</f>
        <v>1254.5999999999999</v>
      </c>
      <c r="Q28" s="1110" cm="1">
        <f t="array" ref="Q28">IF(Cdlac[[#This Row],[Quantity]]&gt;0,INDEX(HudFmrs,$P$18,Cdlac[[#This Row],[Bedrooms]]+1),"")</f>
        <v>3188</v>
      </c>
      <c r="R28" s="1110">
        <f>IF(Cdlac[[#This Row],[Quantity]]&gt;0,MAX(0,Cdlac[[#This Row],[Fair Market Rent]]-Cdlac[[#This Row],[Restricted Rent]]),"")</f>
        <v>1933.4</v>
      </c>
      <c r="S28" s="1088">
        <f>IF(Cdlac[[#This Row],[Quantity]]&gt;0,AND(Application!AK722&lt;&gt;"N/A",Application!AK722&lt;&gt;"")*Cdlac[[#This Row],[Quantity]],"")</f>
        <v>0</v>
      </c>
      <c r="T28" s="1088" t="b">
        <f>AND('Subsidy Contract Calculation'!F12&gt;0,'Subsidy Contract Calculation'!C12="Federal",Cdlac[[#This Row],[Quantity]]&gt;0)</f>
        <v>0</v>
      </c>
    </row>
    <row r="29" spans="1:20" ht="15" customHeight="1">
      <c r="A29" s="1121"/>
      <c r="E29" s="1168" t="s">
        <v>2375</v>
      </c>
      <c r="G29" s="1165">
        <f>G27</f>
        <v>212.05</v>
      </c>
      <c r="H29" s="1121"/>
      <c r="I29" s="1121"/>
      <c r="L29" s="1088">
        <f>IFERROR(MIN(4,MATCH(Application!B723,UnitSizes,0)-1),"")</f>
        <v>3</v>
      </c>
      <c r="M29" s="1110">
        <f>Application!G723</f>
        <v>2</v>
      </c>
      <c r="N29" s="1118">
        <f>Application!AC723</f>
        <v>0.3</v>
      </c>
      <c r="O29" s="1118">
        <f>IF(Cdlac[[#This Row],[Quantity]]&gt;0,IF(Cdlac[[#This Row],[Federal]],30%,IF($G$36,40%,Cdlac[[#This Row],[iAMI]])),"")</f>
        <v>0.3</v>
      </c>
      <c r="P29" s="1110" cm="1">
        <f t="array" ref="P29">IF(Cdlac[[#This Row],[Quantity]]&gt;0,INDEX(TcacRents,$P$18,Cdlac[[#This Row],[Bedrooms]]+1)*Cdlac[[#This Row],[AMI]],"")</f>
        <v>1449</v>
      </c>
      <c r="Q29" s="1110" cm="1">
        <f t="array" ref="Q29">IF(Cdlac[[#This Row],[Quantity]]&gt;0,INDEX(HudFmrs,$P$18,Cdlac[[#This Row],[Bedrooms]]+1),"")</f>
        <v>3912</v>
      </c>
      <c r="R29" s="1110">
        <f>IF(Cdlac[[#This Row],[Quantity]]&gt;0,MAX(0,Cdlac[[#This Row],[Fair Market Rent]]-Cdlac[[#This Row],[Restricted Rent]]),"")</f>
        <v>2463</v>
      </c>
      <c r="S29" s="1088">
        <f>IF(Cdlac[[#This Row],[Quantity]]&gt;0,AND(Application!AK723&lt;&gt;"N/A",Application!AK723&lt;&gt;"")*Cdlac[[#This Row],[Quantity]],"")</f>
        <v>0</v>
      </c>
      <c r="T29" s="1088" t="b">
        <f>AND('Subsidy Contract Calculation'!F13&gt;0,'Subsidy Contract Calculation'!C13="Federal",Cdlac[[#This Row],[Quantity]]&gt;0)</f>
        <v>0</v>
      </c>
    </row>
    <row r="30" spans="1:20" ht="15" customHeight="1">
      <c r="A30" s="1121"/>
      <c r="E30" s="1168" t="s">
        <v>2327</v>
      </c>
      <c r="F30" s="1164" t="s">
        <v>2384</v>
      </c>
      <c r="G30" s="1166">
        <v>50000</v>
      </c>
      <c r="H30" s="1121"/>
      <c r="I30" s="1121"/>
      <c r="L30" s="1088">
        <f>IFERROR(MIN(4,MATCH(Application!B724,UnitSizes,0)-1),"")</f>
        <v>0</v>
      </c>
      <c r="M30" s="1110">
        <f>Application!G724</f>
        <v>15</v>
      </c>
      <c r="N30" s="1118">
        <f>Application!AC724</f>
        <v>0.5</v>
      </c>
      <c r="O30" s="1118">
        <f>IF(Cdlac[[#This Row],[Quantity]]&gt;0,IF(Cdlac[[#This Row],[Federal]],30%,IF($G$36,40%,Cdlac[[#This Row],[iAMI]])),"")</f>
        <v>0.5</v>
      </c>
      <c r="P30" s="1110" cm="1">
        <f t="array" ref="P30">IF(Cdlac[[#This Row],[Quantity]]&gt;0,INDEX(TcacRents,$P$18,Cdlac[[#This Row],[Bedrooms]]+1)*Cdlac[[#This Row],[AMI]],"")</f>
        <v>1626</v>
      </c>
      <c r="Q30" s="1110" cm="1">
        <f t="array" ref="Q30">IF(Cdlac[[#This Row],[Quantity]]&gt;0,INDEX(HudFmrs,$P$18,Cdlac[[#This Row],[Bedrooms]]+1),"")</f>
        <v>2156</v>
      </c>
      <c r="R30" s="1110">
        <f>IF(Cdlac[[#This Row],[Quantity]]&gt;0,MAX(0,Cdlac[[#This Row],[Fair Market Rent]]-Cdlac[[#This Row],[Restricted Rent]]),"")</f>
        <v>530</v>
      </c>
      <c r="S30" s="1088">
        <f>IF(Cdlac[[#This Row],[Quantity]]&gt;0,AND(Application!AK724&lt;&gt;"N/A",Application!AK724&lt;&gt;"")*Cdlac[[#This Row],[Quantity]],"")</f>
        <v>0</v>
      </c>
      <c r="T30" s="1088" t="b">
        <f>AND('Subsidy Contract Calculation'!F14&gt;0,'Subsidy Contract Calculation'!C14="Federal",Cdlac[[#This Row],[Quantity]]&gt;0)</f>
        <v>0</v>
      </c>
    </row>
    <row r="31" spans="1:20" ht="15" customHeight="1">
      <c r="A31" s="1121"/>
      <c r="E31" s="1169" t="s">
        <v>2368</v>
      </c>
      <c r="F31" s="1090"/>
      <c r="G31" s="1170">
        <f>G30*G29</f>
        <v>10602500</v>
      </c>
      <c r="H31" s="1121"/>
      <c r="I31" s="1121"/>
      <c r="L31" s="1088">
        <f>IFERROR(MIN(4,MATCH(Application!B725,UnitSizes,0)-1),"")</f>
        <v>1</v>
      </c>
      <c r="M31" s="1110">
        <f>Application!G725</f>
        <v>39</v>
      </c>
      <c r="N31" s="1118">
        <f>Application!AC725</f>
        <v>0.5</v>
      </c>
      <c r="O31" s="1118">
        <f>IF(Cdlac[[#This Row],[Quantity]]&gt;0,IF(Cdlac[[#This Row],[Federal]],30%,IF($G$36,40%,Cdlac[[#This Row],[iAMI]])),"")</f>
        <v>0.5</v>
      </c>
      <c r="P31" s="1110" cm="1">
        <f t="array" ref="P31">IF(Cdlac[[#This Row],[Quantity]]&gt;0,INDEX(TcacRents,$P$18,Cdlac[[#This Row],[Bedrooms]]+1)*Cdlac[[#This Row],[AMI]],"")</f>
        <v>1742</v>
      </c>
      <c r="Q31" s="1110" cm="1">
        <f t="array" ref="Q31">IF(Cdlac[[#This Row],[Quantity]]&gt;0,INDEX(HudFmrs,$P$18,Cdlac[[#This Row],[Bedrooms]]+1),"")</f>
        <v>2665</v>
      </c>
      <c r="R31" s="1110">
        <f>IF(Cdlac[[#This Row],[Quantity]]&gt;0,MAX(0,Cdlac[[#This Row],[Fair Market Rent]]-Cdlac[[#This Row],[Restricted Rent]]),"")</f>
        <v>923</v>
      </c>
      <c r="S31" s="1088">
        <f>IF(Cdlac[[#This Row],[Quantity]]&gt;0,AND(Application!AK725&lt;&gt;"N/A",Application!AK725&lt;&gt;"")*Cdlac[[#This Row],[Quantity]],"")</f>
        <v>0</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f>IFERROR(MIN(4,MATCH(Application!B726,UnitSizes,0)-1),"")</f>
        <v>2</v>
      </c>
      <c r="M32" s="1110">
        <f>Application!G726</f>
        <v>16</v>
      </c>
      <c r="N32" s="1118">
        <f>Application!AC726</f>
        <v>0.5</v>
      </c>
      <c r="O32" s="1118">
        <f>IF(Cdlac[[#This Row],[Quantity]]&gt;0,IF(Cdlac[[#This Row],[Federal]],30%,IF($G$36,40%,Cdlac[[#This Row],[iAMI]])),"")</f>
        <v>0.5</v>
      </c>
      <c r="P32" s="1110" cm="1">
        <f t="array" ref="P32">IF(Cdlac[[#This Row],[Quantity]]&gt;0,INDEX(TcacRents,$P$18,Cdlac[[#This Row],[Bedrooms]]+1)*Cdlac[[#This Row],[AMI]],"")</f>
        <v>2091</v>
      </c>
      <c r="Q32" s="1110" cm="1">
        <f t="array" ref="Q32">IF(Cdlac[[#This Row],[Quantity]]&gt;0,INDEX(HudFmrs,$P$18,Cdlac[[#This Row],[Bedrooms]]+1),"")</f>
        <v>3188</v>
      </c>
      <c r="R32" s="1110">
        <f>IF(Cdlac[[#This Row],[Quantity]]&gt;0,MAX(0,Cdlac[[#This Row],[Fair Market Rent]]-Cdlac[[#This Row],[Restricted Rent]]),"")</f>
        <v>1097</v>
      </c>
      <c r="S32" s="1088">
        <f>IF(Cdlac[[#This Row],[Quantity]]&gt;0,AND(Application!AK726&lt;&gt;"N/A",Application!AK726&lt;&gt;"")*Cdlac[[#This Row],[Quantity]],"")</f>
        <v>0</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f>IFERROR(MIN(4,MATCH(Application!B727,UnitSizes,0)-1),"")</f>
        <v>3</v>
      </c>
      <c r="M33" s="1110">
        <f>Application!G727</f>
        <v>25</v>
      </c>
      <c r="N33" s="1118">
        <f>Application!AC727</f>
        <v>0.5</v>
      </c>
      <c r="O33" s="1118">
        <f>IF(Cdlac[[#This Row],[Quantity]]&gt;0,IF(Cdlac[[#This Row],[Federal]],30%,IF($G$36,40%,Cdlac[[#This Row],[iAMI]])),"")</f>
        <v>0.5</v>
      </c>
      <c r="P33" s="1110" cm="1">
        <f t="array" ref="P33">IF(Cdlac[[#This Row],[Quantity]]&gt;0,INDEX(TcacRents,$P$18,Cdlac[[#This Row],[Bedrooms]]+1)*Cdlac[[#This Row],[AMI]],"")</f>
        <v>2415</v>
      </c>
      <c r="Q33" s="1110" cm="1">
        <f t="array" ref="Q33">IF(Cdlac[[#This Row],[Quantity]]&gt;0,INDEX(HudFmrs,$P$18,Cdlac[[#This Row],[Bedrooms]]+1),"")</f>
        <v>3912</v>
      </c>
      <c r="R33" s="1110">
        <f>IF(Cdlac[[#This Row],[Quantity]]&gt;0,MAX(0,Cdlac[[#This Row],[Fair Market Rent]]-Cdlac[[#This Row],[Restricted Rent]]),"")</f>
        <v>1497</v>
      </c>
      <c r="S33" s="1088">
        <f>IF(Cdlac[[#This Row],[Quantity]]&gt;0,AND(Application!AK727&lt;&gt;"N/A",Application!AK727&lt;&gt;"")*Cdlac[[#This Row],[Quantity]],"")</f>
        <v>0</v>
      </c>
      <c r="T33" s="1088" t="b">
        <f>AND('Subsidy Contract Calculation'!F17&gt;0,'Subsidy Contract Calculation'!C17="Federal",Cdlac[[#This Row],[Quantity]]&gt;0)</f>
        <v>0</v>
      </c>
    </row>
    <row r="34" spans="2:20" ht="15" customHeight="1">
      <c r="L34" s="1088">
        <f>IFERROR(MIN(4,MATCH(Application!B728,UnitSizes,0)-1),"")</f>
        <v>1</v>
      </c>
      <c r="M34" s="1110">
        <f>Application!G728</f>
        <v>23</v>
      </c>
      <c r="N34" s="1118">
        <f>Application!AC728</f>
        <v>0.6</v>
      </c>
      <c r="O34" s="1118">
        <f>IF(Cdlac[[#This Row],[Quantity]]&gt;0,IF(Cdlac[[#This Row],[Federal]],30%,IF($G$36,40%,Cdlac[[#This Row],[iAMI]])),"")</f>
        <v>0.6</v>
      </c>
      <c r="P34" s="1110" cm="1">
        <f t="array" ref="P34">IF(Cdlac[[#This Row],[Quantity]]&gt;0,INDEX(TcacRents,$P$18,Cdlac[[#This Row],[Bedrooms]]+1)*Cdlac[[#This Row],[AMI]],"")</f>
        <v>2090.4</v>
      </c>
      <c r="Q34" s="1110" cm="1">
        <f t="array" ref="Q34">IF(Cdlac[[#This Row],[Quantity]]&gt;0,INDEX(HudFmrs,$P$18,Cdlac[[#This Row],[Bedrooms]]+1),"")</f>
        <v>2665</v>
      </c>
      <c r="R34" s="1110">
        <f>IF(Cdlac[[#This Row],[Quantity]]&gt;0,MAX(0,Cdlac[[#This Row],[Fair Market Rent]]-Cdlac[[#This Row],[Restricted Rent]]),"")</f>
        <v>574.59999999999991</v>
      </c>
      <c r="S34" s="1088">
        <f>IF(Cdlac[[#This Row],[Quantity]]&gt;0,AND(Application!AK728&lt;&gt;"N/A",Application!AK728&lt;&gt;"")*Cdlac[[#This Row],[Quantity]],"")</f>
        <v>0</v>
      </c>
      <c r="T34" s="1088" t="b">
        <f>AND('Subsidy Contract Calculation'!F18&gt;0,'Subsidy Contract Calculation'!C18="Federal",Cdlac[[#This Row],[Quantity]]&gt;0)</f>
        <v>0</v>
      </c>
    </row>
    <row r="35" spans="2:20" ht="15" customHeight="1">
      <c r="E35" s="1133" t="s">
        <v>2395</v>
      </c>
      <c r="G35" s="1171" cm="1">
        <f t="array" ref="G35">SUMPRODUCT(Cdlac[Quantity],Cdlac[iAMI],IF(Cdlac[Federal],0,1))/SUMIFS(Cdlac[Quantity],Cdlac[Federal],FALSE)</f>
        <v>0.44615384615384607</v>
      </c>
      <c r="L35" s="1088">
        <f>IFERROR(MIN(4,MATCH(Application!B729,UnitSizes,0)-1),"")</f>
        <v>2</v>
      </c>
      <c r="M35" s="1110">
        <f>Application!G729</f>
        <v>13</v>
      </c>
      <c r="N35" s="1118">
        <f>Application!AC729</f>
        <v>0.6</v>
      </c>
      <c r="O35" s="1118">
        <f>IF(Cdlac[[#This Row],[Quantity]]&gt;0,IF(Cdlac[[#This Row],[Federal]],30%,IF($G$36,40%,Cdlac[[#This Row],[iAMI]])),"")</f>
        <v>0.6</v>
      </c>
      <c r="P35" s="1110" cm="1">
        <f t="array" ref="P35">IF(Cdlac[[#This Row],[Quantity]]&gt;0,INDEX(TcacRents,$P$18,Cdlac[[#This Row],[Bedrooms]]+1)*Cdlac[[#This Row],[AMI]],"")</f>
        <v>2509.1999999999998</v>
      </c>
      <c r="Q35" s="1110" cm="1">
        <f t="array" ref="Q35">IF(Cdlac[[#This Row],[Quantity]]&gt;0,INDEX(HudFmrs,$P$18,Cdlac[[#This Row],[Bedrooms]]+1),"")</f>
        <v>3188</v>
      </c>
      <c r="R35" s="1110">
        <f>IF(Cdlac[[#This Row],[Quantity]]&gt;0,MAX(0,Cdlac[[#This Row],[Fair Market Rent]]-Cdlac[[#This Row],[Restricted Rent]]),"")</f>
        <v>678.80000000000018</v>
      </c>
      <c r="S35" s="1088">
        <f>IF(Cdlac[[#This Row],[Quantity]]&gt;0,AND(Application!AK729&lt;&gt;"N/A",Application!AK729&lt;&gt;"")*Cdlac[[#This Row],[Quantity]],"")</f>
        <v>0</v>
      </c>
      <c r="T35" s="1088" t="b">
        <f>AND('Subsidy Contract Calculation'!F19&gt;0,'Subsidy Contract Calculation'!C19="Federal",Cdlac[[#This Row],[Quantity]]&gt;0)</f>
        <v>0</v>
      </c>
    </row>
    <row r="36" spans="2:20" ht="15" customHeight="1">
      <c r="E36" s="1133" t="s">
        <v>2390</v>
      </c>
      <c r="G36" s="1128" t="b">
        <f>G35&lt;40%</f>
        <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2331</v>
      </c>
      <c r="G38" s="1125">
        <f>SUMPRODUCT(Cdlac[Quantity],Cdlac[Delta])</f>
        <v>233822</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2396</v>
      </c>
      <c r="F39" s="1164" t="s">
        <v>2384</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2324</v>
      </c>
      <c r="F40" s="1090"/>
      <c r="G40" s="1174">
        <f>G38*G39</f>
        <v>42087960</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2385</v>
      </c>
      <c r="G44" s="1176">
        <f>S18</f>
        <v>40</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2386</v>
      </c>
      <c r="G45" s="1176">
        <f>ROUNDDOWN(E27*50%,0)</f>
        <v>91</v>
      </c>
    </row>
    <row r="46" spans="2:20" ht="15" customHeight="1">
      <c r="E46" s="1168"/>
      <c r="G46" s="1176"/>
    </row>
    <row r="47" spans="2:20" ht="15" customHeight="1">
      <c r="E47" s="1168" t="s">
        <v>2337</v>
      </c>
      <c r="G47" s="1165">
        <f>MIN(G44:G45)</f>
        <v>40</v>
      </c>
    </row>
    <row r="48" spans="2:20" ht="15" customHeight="1">
      <c r="E48" s="1168" t="s">
        <v>2327</v>
      </c>
      <c r="F48" s="1164" t="s">
        <v>2384</v>
      </c>
      <c r="G48" s="1175">
        <v>10000</v>
      </c>
    </row>
    <row r="49" spans="2:14" ht="15" customHeight="1">
      <c r="E49" s="1169" t="s">
        <v>2367</v>
      </c>
      <c r="F49" s="1090"/>
      <c r="G49" s="1174">
        <f>G47*G48</f>
        <v>400000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2387</v>
      </c>
      <c r="G53" s="1126">
        <f>SUMIFS(Cdlac[Quantity],Cdlac[iAMI],"&lt;=30%")</f>
        <v>51</v>
      </c>
    </row>
    <row r="54" spans="2:14" ht="15" customHeight="1">
      <c r="E54" s="1168" t="s">
        <v>2386</v>
      </c>
      <c r="G54" s="1126">
        <f>ROUNDDOWN(E27*50%,0)</f>
        <v>91</v>
      </c>
    </row>
    <row r="55" spans="2:14" ht="15" customHeight="1">
      <c r="E55" s="1168"/>
      <c r="G55" s="1126"/>
    </row>
    <row r="56" spans="2:14" ht="15" customHeight="1">
      <c r="E56" s="1168" t="s">
        <v>2337</v>
      </c>
      <c r="G56" s="1165">
        <f>MIN(G53:G54)</f>
        <v>51</v>
      </c>
    </row>
    <row r="57" spans="2:14" ht="15" customHeight="1">
      <c r="E57" s="1168" t="s">
        <v>2327</v>
      </c>
      <c r="F57" s="1164" t="s">
        <v>2384</v>
      </c>
      <c r="G57" s="1175">
        <v>20000</v>
      </c>
    </row>
    <row r="58" spans="2:14" ht="15" customHeight="1">
      <c r="E58" s="1169" t="s">
        <v>2366</v>
      </c>
      <c r="F58" s="1090"/>
      <c r="G58" s="1174">
        <f>G56*G57</f>
        <v>1020000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2340</v>
      </c>
      <c r="G62" s="1165">
        <f>VLOOKUP('Points System'!$H$595,'Points System'!$AO$575:$AP$580,2,FALSE)</f>
        <v>7</v>
      </c>
      <c r="L62" s="1178" t="str">
        <f>'Points System'!H627</f>
        <v>(i)</v>
      </c>
      <c r="M62" s="2145" t="s">
        <v>1576</v>
      </c>
      <c r="N62" s="2146"/>
    </row>
    <row r="63" spans="2:14" ht="15" customHeight="1">
      <c r="E63" s="1133" t="s">
        <v>2327</v>
      </c>
      <c r="F63" s="1164" t="s">
        <v>2384</v>
      </c>
      <c r="G63" s="1123">
        <v>4000</v>
      </c>
      <c r="L63" s="1179" t="str">
        <f>'Points System'!H639</f>
        <v>N/A</v>
      </c>
      <c r="M63" s="2147" t="s">
        <v>2341</v>
      </c>
      <c r="N63" s="2148"/>
    </row>
    <row r="64" spans="2:14" ht="15" customHeight="1">
      <c r="E64" s="1133" t="s">
        <v>2388</v>
      </c>
      <c r="F64" s="1164" t="s">
        <v>2384</v>
      </c>
      <c r="G64" s="1177">
        <f>G27</f>
        <v>212.05</v>
      </c>
      <c r="L64" s="1179" t="str">
        <f>'Points System'!H674</f>
        <v>(iv)</v>
      </c>
      <c r="M64" s="2147" t="s">
        <v>2342</v>
      </c>
      <c r="N64" s="2148"/>
    </row>
    <row r="65" spans="2:14" ht="15" customHeight="1">
      <c r="E65" s="1169" t="s">
        <v>2346</v>
      </c>
      <c r="F65" s="1090"/>
      <c r="G65" s="1174">
        <f>G62*G63*G64</f>
        <v>5937400</v>
      </c>
      <c r="L65" s="1179" t="str">
        <f>'Points System'!H694</f>
        <v>N/A</v>
      </c>
      <c r="M65" s="2147" t="s">
        <v>2343</v>
      </c>
      <c r="N65" s="2148"/>
    </row>
    <row r="66" spans="2:14" ht="15" customHeight="1">
      <c r="C66" s="1124"/>
      <c r="G66" s="1165"/>
      <c r="L66" s="1180" t="str">
        <f>'Points System'!H708</f>
        <v>N/A</v>
      </c>
      <c r="M66" s="2147" t="s">
        <v>1602</v>
      </c>
      <c r="N66" s="2148"/>
    </row>
    <row r="67" spans="2:14" ht="15" customHeight="1">
      <c r="E67" s="1133" t="s">
        <v>2389</v>
      </c>
      <c r="G67" s="1177">
        <f>COUNTIFS(L62:L69,"(i)")</f>
        <v>3</v>
      </c>
      <c r="L67" s="1179" t="str">
        <f>'Points System'!H720</f>
        <v>N/A</v>
      </c>
      <c r="M67" s="2147" t="s">
        <v>2344</v>
      </c>
      <c r="N67" s="2148"/>
    </row>
    <row r="68" spans="2:14" ht="15" customHeight="1">
      <c r="E68" s="1133" t="s">
        <v>2327</v>
      </c>
      <c r="F68" s="1164" t="s">
        <v>2384</v>
      </c>
      <c r="G68" s="1175">
        <v>4000</v>
      </c>
      <c r="L68" s="1179" t="str">
        <f>'Points System'!H736</f>
        <v>(i)</v>
      </c>
      <c r="M68" s="2147" t="s">
        <v>2345</v>
      </c>
      <c r="N68" s="2148"/>
    </row>
    <row r="69" spans="2:14" ht="15" customHeight="1" thickBot="1">
      <c r="E69" s="1169" t="s">
        <v>2347</v>
      </c>
      <c r="F69" s="1090"/>
      <c r="G69" s="1174">
        <f>G64*G67*G68</f>
        <v>2544600.0000000005</v>
      </c>
      <c r="L69" s="1181" t="str">
        <f>'Points System'!H748</f>
        <v>(i)</v>
      </c>
      <c r="M69" s="2153" t="s">
        <v>1605</v>
      </c>
      <c r="N69" s="2154"/>
    </row>
    <row r="70" spans="2:14" ht="15" customHeight="1"/>
    <row r="71" spans="2:14" ht="15" customHeight="1">
      <c r="C71" s="1127" t="s">
        <v>2349</v>
      </c>
    </row>
    <row r="72" spans="2:14" ht="15" customHeight="1">
      <c r="C72" s="1124" t="s">
        <v>2350</v>
      </c>
      <c r="G72" s="1087"/>
    </row>
    <row r="73" spans="2:14" ht="15" customHeight="1">
      <c r="C73" s="1124" t="s">
        <v>2351</v>
      </c>
      <c r="G73" s="1087" t="s">
        <v>554</v>
      </c>
    </row>
    <row r="74" spans="2:14" ht="15" customHeight="1">
      <c r="C74" s="1124" t="s">
        <v>2608</v>
      </c>
      <c r="G74" s="1087" t="s">
        <v>554</v>
      </c>
    </row>
    <row r="75" spans="2:14" ht="15" customHeight="1">
      <c r="C75" s="1124" t="s">
        <v>2609</v>
      </c>
      <c r="G75" s="1087"/>
    </row>
    <row r="76" spans="2:14" ht="15" customHeight="1"/>
    <row r="77" spans="2:14" ht="15" customHeight="1">
      <c r="B77" s="1125"/>
      <c r="C77" s="1124"/>
      <c r="E77" s="1133" t="s">
        <v>2391</v>
      </c>
      <c r="G77" s="1126" t="b">
        <f>COUNTIFS(G72:G75,"Yes")&gt;=1</f>
        <v>1</v>
      </c>
    </row>
    <row r="78" spans="2:14" ht="15" customHeight="1">
      <c r="E78" s="1124"/>
    </row>
    <row r="79" spans="2:14" ht="15" customHeight="1">
      <c r="E79" s="1133" t="s">
        <v>2388</v>
      </c>
      <c r="F79" s="1164" t="s">
        <v>2384</v>
      </c>
      <c r="G79" s="1165">
        <f>G27</f>
        <v>212.05</v>
      </c>
    </row>
    <row r="80" spans="2:14" ht="15" customHeight="1">
      <c r="E80" s="1133" t="s">
        <v>2327</v>
      </c>
      <c r="F80" s="1164" t="s">
        <v>2384</v>
      </c>
      <c r="G80" s="1175">
        <v>25000</v>
      </c>
    </row>
    <row r="81" spans="2:14" ht="15" customHeight="1">
      <c r="E81" s="1169" t="s">
        <v>2348</v>
      </c>
      <c r="F81" s="1090"/>
      <c r="G81" s="1174">
        <f>G77*G80*G64</f>
        <v>5301250</v>
      </c>
    </row>
    <row r="82" spans="2:14" ht="15" customHeight="1">
      <c r="C82" s="1124"/>
      <c r="E82" s="1124"/>
    </row>
    <row r="83" spans="2:14" ht="15" customHeight="1">
      <c r="E83" s="1169" t="s">
        <v>2325</v>
      </c>
      <c r="G83" s="1174">
        <f>G81+G69+G65</f>
        <v>13783250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2370</v>
      </c>
      <c r="G87" s="1087" t="s">
        <v>554</v>
      </c>
      <c r="L87" s="2155" t="s">
        <v>2354</v>
      </c>
      <c r="M87" s="2156"/>
      <c r="N87" s="1182">
        <v>30000</v>
      </c>
    </row>
    <row r="88" spans="2:14" ht="15" customHeight="1">
      <c r="C88" s="1124" t="s">
        <v>2371</v>
      </c>
      <c r="G88" s="1128" t="str">
        <f>IF(Application!D210="Large Family","Yes","No")</f>
        <v>No</v>
      </c>
      <c r="L88" s="2149" t="s">
        <v>2318</v>
      </c>
      <c r="M88" s="2150"/>
      <c r="N88" s="1183">
        <v>20000</v>
      </c>
    </row>
    <row r="89" spans="2:14" ht="15" customHeight="1" thickBot="1">
      <c r="C89" s="1124" t="s">
        <v>2352</v>
      </c>
      <c r="G89" s="1087"/>
      <c r="L89" s="2151" t="s">
        <v>2355</v>
      </c>
      <c r="M89" s="2152"/>
      <c r="N89" s="1184">
        <v>10000</v>
      </c>
    </row>
    <row r="90" spans="2:14" ht="15" customHeight="1">
      <c r="C90" s="1124" t="s">
        <v>2353</v>
      </c>
      <c r="G90" s="1088" t="str">
        <f>Application!T193</f>
        <v>Moderate Resource</v>
      </c>
    </row>
    <row r="91" spans="2:14" ht="15" customHeight="1">
      <c r="C91" s="1124"/>
    </row>
    <row r="92" spans="2:14" ht="15" customHeight="1">
      <c r="E92" s="1133" t="s">
        <v>2391</v>
      </c>
      <c r="G92" s="1126" t="b">
        <f>AND(COUNTIFS(G88:G89,"Yes")&gt;=1,G87="Yes")</f>
        <v>0</v>
      </c>
    </row>
    <row r="93" spans="2:14" ht="15" customHeight="1">
      <c r="E93" s="1133"/>
      <c r="G93" s="1126"/>
    </row>
    <row r="94" spans="2:14" ht="15" customHeight="1">
      <c r="E94" s="1133" t="s">
        <v>2327</v>
      </c>
      <c r="G94" s="1125">
        <f>IFERROR(INDEX(N87:N89,MATCH(LEFT(G90,17),L87:L89,0)),0)</f>
        <v>10000</v>
      </c>
    </row>
    <row r="95" spans="2:14" ht="15" customHeight="1">
      <c r="E95" s="1133" t="str">
        <f>E64</f>
        <v>Bedroom-Adjusted Low-Income Units</v>
      </c>
      <c r="F95" s="1164" t="s">
        <v>2384</v>
      </c>
      <c r="G95" s="1165">
        <f>G27</f>
        <v>212.05</v>
      </c>
    </row>
    <row r="96" spans="2:14" ht="15" customHeight="1">
      <c r="D96" s="1090"/>
      <c r="E96" s="1169" t="s">
        <v>2326</v>
      </c>
      <c r="F96" s="1090"/>
      <c r="G96" s="1174">
        <f>G95*G94*G92</f>
        <v>0</v>
      </c>
    </row>
    <row r="97" spans="2:9" ht="15" customHeight="1"/>
    <row r="98" spans="2:9" ht="15" customHeight="1">
      <c r="B98" s="1113" t="s">
        <v>2339</v>
      </c>
      <c r="C98" s="1114"/>
      <c r="D98" s="1114"/>
      <c r="E98" s="1114"/>
      <c r="F98" s="1114"/>
      <c r="G98" s="1114"/>
      <c r="H98" s="1114"/>
      <c r="I98" s="1115"/>
    </row>
    <row r="99" spans="2:9" ht="15" customHeight="1"/>
    <row r="100" spans="2:9" ht="15" customHeight="1">
      <c r="F100" s="1167" t="s">
        <v>2365</v>
      </c>
      <c r="G100" s="1087" t="s">
        <v>678</v>
      </c>
    </row>
    <row r="101" spans="2:9" ht="15" customHeight="1">
      <c r="F101" s="1167"/>
    </row>
    <row r="102" spans="2:9" ht="15" customHeight="1">
      <c r="E102" s="1133" t="s">
        <v>2391</v>
      </c>
      <c r="G102" s="1126" t="b">
        <f>G100="Yes"</f>
        <v>0</v>
      </c>
    </row>
    <row r="103" spans="2:9" ht="15" customHeight="1"/>
    <row r="104" spans="2:9" ht="15" customHeight="1">
      <c r="E104" s="1133" t="str">
        <f>E64</f>
        <v>Bedroom-Adjusted Low-Income Units</v>
      </c>
      <c r="G104" s="1165">
        <f>G27</f>
        <v>212.05</v>
      </c>
    </row>
    <row r="105" spans="2:9" ht="15" customHeight="1">
      <c r="E105" s="1133" t="s">
        <v>2327</v>
      </c>
      <c r="F105" s="1164" t="s">
        <v>2384</v>
      </c>
      <c r="G105" s="1094">
        <v>20000</v>
      </c>
    </row>
    <row r="106" spans="2:9" ht="15" customHeight="1">
      <c r="E106" s="1169" t="s">
        <v>2356</v>
      </c>
      <c r="F106" s="1090"/>
      <c r="G106" s="1174">
        <f>G102*G105*G104</f>
        <v>0</v>
      </c>
    </row>
    <row r="107" spans="2:9" ht="15" customHeight="1"/>
    <row r="108" spans="2:9" ht="15" customHeight="1">
      <c r="B108" s="1113" t="s">
        <v>2393</v>
      </c>
      <c r="C108" s="1114"/>
      <c r="D108" s="1114"/>
      <c r="E108" s="1114"/>
      <c r="F108" s="1114"/>
      <c r="G108" s="1114"/>
      <c r="H108" s="1114"/>
      <c r="I108" s="1115"/>
    </row>
    <row r="109" spans="2:9" ht="15" customHeight="1"/>
    <row r="110" spans="2:9" ht="15" customHeight="1">
      <c r="E110" s="1133" t="s">
        <v>591</v>
      </c>
      <c r="G110" s="1088" t="str">
        <f>IF(Application!T189="","",Application!T189)</f>
        <v>San Francisco</v>
      </c>
    </row>
    <row r="111" spans="2:9" ht="15" customHeight="1">
      <c r="E111" s="1133"/>
      <c r="G111" s="1125"/>
    </row>
    <row r="112" spans="2:9" ht="15" customHeight="1">
      <c r="E112" s="1133" t="str">
        <f>"2-Bedroom "&amp;G110&amp;" County Basis Limit"</f>
        <v>2-Bedroom San Francisco County Basis Limit</v>
      </c>
      <c r="G112" s="1125">
        <f>Application!R957</f>
        <v>959200</v>
      </c>
    </row>
    <row r="113" spans="4:9" ht="15" customHeight="1">
      <c r="E113" s="1133" t="s">
        <v>2392</v>
      </c>
      <c r="G113" s="1125">
        <f>MEDIAN((Application!BR795:BR852))</f>
        <v>489600</v>
      </c>
    </row>
    <row r="114" spans="4:9" ht="15" customHeight="1">
      <c r="D114" s="1090"/>
      <c r="E114" s="1169" t="s">
        <v>2394</v>
      </c>
      <c r="F114" s="1185"/>
      <c r="G114" s="1186">
        <f>((G112-G113)/G113)*0.25</f>
        <v>0.23978758169934641</v>
      </c>
      <c r="H114" s="1086"/>
      <c r="I114" s="1086"/>
    </row>
    <row r="115" spans="4:9" ht="15" customHeight="1">
      <c r="D115" s="1089"/>
      <c r="E115" s="1089"/>
    </row>
  </sheetData>
  <sheetProtection algorithmName="SHA-512" hashValue="DWMl44kQVJqLZYCXptnZ5uGIxap14xsM4/nLtsAYyAagzpEbqZEYZGOUJTwNAUvhyYiLPi45yB5uJQ5KigXcVg==" saltValue="d9jmH6+0xSPrMs/lphbvP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5ebaabba-4a57-48b0-85b2-b83b7f4de49e" xsi:nil="true"/>
    <IconOverlay xmlns="http://schemas.microsoft.com/sharepoint/v4" xsi:nil="true"/>
    <lcf76f155ced4ddcb4097134ff3c332f xmlns="36fc743b-267c-480e-9bd5-38a213356c55">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A6D2B77A0B2DD4A8C5DC84B6390788D" ma:contentTypeVersion="15" ma:contentTypeDescription="Create a new document." ma:contentTypeScope="" ma:versionID="c2a664fe73147e04d66e826f15e76060">
  <xsd:schema xmlns:xsd="http://www.w3.org/2001/XMLSchema" xmlns:xs="http://www.w3.org/2001/XMLSchema" xmlns:p="http://schemas.microsoft.com/office/2006/metadata/properties" xmlns:ns2="36fc743b-267c-480e-9bd5-38a213356c55" xmlns:ns3="5ebaabba-4a57-48b0-85b2-b83b7f4de49e" xmlns:ns4="http://schemas.microsoft.com/sharepoint/v4" targetNamespace="http://schemas.microsoft.com/office/2006/metadata/properties" ma:root="true" ma:fieldsID="f0a08437b4a27fcccc3febe3cdf1bd5d" ns2:_="" ns3:_="" ns4:_="">
    <xsd:import namespace="36fc743b-267c-480e-9bd5-38a213356c55"/>
    <xsd:import namespace="5ebaabba-4a57-48b0-85b2-b83b7f4de49e"/>
    <xsd:import namespace="http://schemas.microsoft.com/sharepoint/v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Location" minOccurs="0"/>
                <xsd:element ref="ns4:IconOverlay"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6fc743b-267c-480e-9bd5-38a213356c5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afba76ba-d9d1-4b74-9302-69eaadaf0bdd"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ebaabba-4a57-48b0-85b2-b83b7f4de49e"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dd0a7616-e249-42ed-9a54-9b1aa151f6cb}" ma:internalName="TaxCatchAll" ma:showField="CatchAllData" ma:web="5ebaabba-4a57-48b0-85b2-b83b7f4de49e">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21"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E4CE80D-070E-46E6-AD01-C0FDB3405BEC}">
  <ds:schemaRefs>
    <ds:schemaRef ds:uri="http://schemas.microsoft.com/office/2006/metadata/properties"/>
    <ds:schemaRef ds:uri="http://schemas.microsoft.com/office/2006/documentManagement/types"/>
    <ds:schemaRef ds:uri="http://purl.org/dc/elements/1.1/"/>
    <ds:schemaRef ds:uri="5ebaabba-4a57-48b0-85b2-b83b7f4de49e"/>
    <ds:schemaRef ds:uri="36fc743b-267c-480e-9bd5-38a213356c55"/>
    <ds:schemaRef ds:uri="http://schemas.microsoft.com/office/infopath/2007/PartnerControls"/>
    <ds:schemaRef ds:uri="http://schemas.microsoft.com/sharepoint/v4"/>
    <ds:schemaRef ds:uri="http://www.w3.org/XML/1998/namespace"/>
    <ds:schemaRef ds:uri="http://schemas.openxmlformats.org/package/2006/metadata/core-properties"/>
    <ds:schemaRef ds:uri="http://purl.org/dc/dcmitype/"/>
    <ds:schemaRef ds:uri="http://purl.org/dc/terms/"/>
  </ds:schemaRefs>
</ds:datastoreItem>
</file>

<file path=customXml/itemProps2.xml><?xml version="1.0" encoding="utf-8"?>
<ds:datastoreItem xmlns:ds="http://schemas.openxmlformats.org/officeDocument/2006/customXml" ds:itemID="{58E002F5-1DCB-4761-8AD4-5DFFD5FA8C5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6fc743b-267c-480e-9bd5-38a213356c55"/>
    <ds:schemaRef ds:uri="5ebaabba-4a57-48b0-85b2-b83b7f4de49e"/>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9B08194-D843-4646-9D46-3E463764E27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Points System</vt:lpstr>
      <vt:lpstr>Sources and Basis Breakdown</vt:lpstr>
      <vt:lpstr>Tie Breaker</vt:lpstr>
      <vt:lpstr>CalHFA Addendum</vt:lpstr>
      <vt:lpstr>Basis &amp; Credits</vt:lpstr>
      <vt:lpstr>15 Year Pro Forma</vt:lpstr>
      <vt:lpstr>Post-award Instructions</vt:lpstr>
      <vt:lpstr>Post-award Project Cost Changes</vt:lpstr>
      <vt:lpstr>Subsidy Contract Calculation</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Sean Wils</cp:lastModifiedBy>
  <cp:lastPrinted>2022-06-02T00:41:49Z</cp:lastPrinted>
  <dcterms:created xsi:type="dcterms:W3CDTF">2007-12-27T18:26:28Z</dcterms:created>
  <dcterms:modified xsi:type="dcterms:W3CDTF">2023-09-06T18:23:15Z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0x0101009A6D2B77A0B2DD4A8C5DC84B6390788D</vt:lpwstr>
  </property>
  <property fmtid="{D5CDD505-2E9C-101B-9397-08002B2CF9AE}" pid="3" name="MediaServiceImageTags">
    <vt:lpwstr/>
  </property>
</Properties>
</file>