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showInkAnnotation="0" codeName="ThisWorkbook" defaultThemeVersion="124226"/>
  <mc:AlternateContent xmlns:mc="http://schemas.openxmlformats.org/markup-compatibility/2006">
    <mc:Choice Requires="x15">
      <x15ac:absPath xmlns:x15ac="http://schemas.microsoft.com/office/spreadsheetml/2010/11/ac" url="S:\Villa Plumosa -Yorba Linda - National CORE\3.3 CDLAC\"/>
    </mc:Choice>
  </mc:AlternateContent>
  <xr:revisionPtr revIDLastSave="0" documentId="13_ncr:1_{CB75F434-BAB8-4E2C-BCCA-452037A05D93}" xr6:coauthVersionLast="47" xr6:coauthVersionMax="47" xr10:uidLastSave="{00000000-0000-0000-0000-000000000000}"/>
  <bookViews>
    <workbookView xWindow="30510" yWindow="345" windowWidth="21600" windowHeight="11385"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919" i="3" l="1"/>
  <c r="I919" i="3"/>
  <c r="I918" i="3"/>
  <c r="AC384" i="3" l="1"/>
  <c r="AC385" i="3"/>
  <c r="AC386" i="3"/>
  <c r="AG442" i="3"/>
  <c r="AH493" i="3"/>
  <c r="M242" i="3"/>
  <c r="Z651" i="3"/>
  <c r="Z650" i="3"/>
  <c r="Z649" i="3"/>
  <c r="Z648" i="3"/>
  <c r="Z643" i="3"/>
  <c r="Z642" i="3"/>
  <c r="Z641" i="3"/>
  <c r="Z640" i="3"/>
  <c r="G643" i="3"/>
  <c r="AA578" i="3"/>
  <c r="Z577" i="3"/>
  <c r="Z576" i="3"/>
  <c r="Z575" i="3"/>
  <c r="Z574" i="3"/>
  <c r="Z568" i="3"/>
  <c r="M246" i="3"/>
  <c r="AD189" i="20" l="1"/>
  <c r="B189" i="20"/>
  <c r="B188" i="20"/>
  <c r="W855" i="3"/>
  <c r="O719" i="3"/>
  <c r="O721" i="3"/>
  <c r="O720" i="3"/>
  <c r="O718" i="3"/>
  <c r="O717" i="3"/>
  <c r="O716" i="3"/>
  <c r="O715" i="3"/>
  <c r="O714" i="3"/>
  <c r="F18" i="4"/>
  <c r="F9" i="4"/>
  <c r="F4" i="4"/>
  <c r="G9" i="4"/>
  <c r="H9" i="4"/>
  <c r="AM553" i="3"/>
  <c r="AM550" i="3"/>
  <c r="C99" i="4"/>
  <c r="T99" i="4"/>
  <c r="S99" i="4"/>
  <c r="S95" i="4"/>
  <c r="E73" i="4"/>
  <c r="E74" i="4"/>
  <c r="E76" i="4"/>
  <c r="E72" i="4"/>
  <c r="S94" i="4"/>
  <c r="S92" i="4"/>
  <c r="S93" i="4"/>
  <c r="S90" i="4"/>
  <c r="C83" i="4"/>
  <c r="S89" i="4"/>
  <c r="E84" i="4"/>
  <c r="E85" i="4"/>
  <c r="E86" i="4"/>
  <c r="E87" i="4"/>
  <c r="E89" i="4"/>
  <c r="E92" i="4"/>
  <c r="E79" i="4"/>
  <c r="S79" i="4"/>
  <c r="S27" i="4"/>
  <c r="E27" i="4"/>
  <c r="AM552" i="3"/>
  <c r="AM551" i="3"/>
  <c r="S68" i="4" l="1"/>
  <c r="S69" i="4"/>
  <c r="S66" i="4"/>
  <c r="E66" i="4"/>
  <c r="E68" i="4"/>
  <c r="E69" i="4"/>
  <c r="S52" i="4"/>
  <c r="C50" i="4"/>
  <c r="E57" i="4"/>
  <c r="E59" i="4"/>
  <c r="E61" i="4"/>
  <c r="S53" i="4"/>
  <c r="E47" i="4"/>
  <c r="E48" i="4"/>
  <c r="E49" i="4"/>
  <c r="E51" i="4"/>
  <c r="S19" i="4"/>
  <c r="S20" i="4"/>
  <c r="S21" i="4"/>
  <c r="S22" i="4"/>
  <c r="S23" i="4"/>
  <c r="S18" i="4"/>
  <c r="E19" i="4"/>
  <c r="E20" i="4"/>
  <c r="E21" i="4"/>
  <c r="E22" i="4"/>
  <c r="E23" i="4"/>
  <c r="E24" i="4"/>
  <c r="E25" i="4"/>
  <c r="E18" i="4"/>
  <c r="E4" i="4"/>
  <c r="C21" i="4"/>
  <c r="C20" i="4"/>
  <c r="T9" i="4"/>
  <c r="C9" i="4"/>
  <c r="AA901" i="3"/>
  <c r="W845" i="3"/>
  <c r="AC873" i="3"/>
  <c r="W836" i="3"/>
  <c r="AF623" i="3"/>
  <c r="T623" i="3"/>
  <c r="Q623" i="3"/>
  <c r="Q390" i="3"/>
  <c r="AG447" i="3"/>
  <c r="N369" i="3" l="1"/>
  <c r="H324" i="3"/>
  <c r="H322" i="3"/>
  <c r="H318" i="3"/>
  <c r="AA338" i="3" l="1"/>
  <c r="M245" i="3"/>
  <c r="M247" i="3"/>
  <c r="AC244" i="3"/>
  <c r="W244" i="3"/>
  <c r="M244" i="3"/>
  <c r="M243" i="3"/>
  <c r="T719" i="3" l="1"/>
  <c r="T720" i="3"/>
  <c r="T721" i="3"/>
  <c r="T716" i="3"/>
  <c r="T715" i="3"/>
  <c r="T717" i="3"/>
  <c r="T22" i="15" l="1"/>
  <c r="AK327" i="20" l="1"/>
  <c r="AP282" i="20"/>
  <c r="AP284" i="20" s="1"/>
  <c r="P19" i="26" l="1" a="1"/>
  <c r="P19" i="26" s="1"/>
  <c r="N157" i="26"/>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3" i="26"/>
  <c r="AT24" i="26"/>
  <c r="AT26" i="26" l="1"/>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G31" i="7" s="1"/>
  <c r="I31" i="7" s="1"/>
  <c r="K31" i="7" s="1"/>
  <c r="M31" i="7" s="1"/>
  <c r="O31" i="7" s="1"/>
  <c r="Q31" i="7" s="1"/>
  <c r="S31" i="7" s="1"/>
  <c r="U31" i="7" s="1"/>
  <c r="W31" i="7" s="1"/>
  <c r="Y31" i="7" s="1"/>
  <c r="AA31" i="7" s="1"/>
  <c r="AC31" i="7" s="1"/>
  <c r="AE31" i="7" s="1"/>
  <c r="AG31" i="7" s="1"/>
  <c r="E30" i="7"/>
  <c r="G30" i="7" s="1"/>
  <c r="I30" i="7" s="1"/>
  <c r="K30" i="7" s="1"/>
  <c r="M30" i="7" s="1"/>
  <c r="O30" i="7" s="1"/>
  <c r="Q30" i="7" s="1"/>
  <c r="S30" i="7" s="1"/>
  <c r="U30" i="7" s="1"/>
  <c r="W30" i="7" s="1"/>
  <c r="Y30" i="7" s="1"/>
  <c r="AA30" i="7" s="1"/>
  <c r="AC30" i="7" s="1"/>
  <c r="AE30" i="7" s="1"/>
  <c r="AG30" i="7" s="1"/>
  <c r="E29" i="7"/>
  <c r="E28" i="7"/>
  <c r="O28" i="7" s="1"/>
  <c r="E27" i="7"/>
  <c r="E26" i="7"/>
  <c r="W831" i="3"/>
  <c r="E15" i="7" s="1"/>
  <c r="G15" i="7" s="1"/>
  <c r="E16" i="7"/>
  <c r="G16" i="7" s="1"/>
  <c r="I16" i="7" s="1"/>
  <c r="K16" i="7" s="1"/>
  <c r="M16" i="7" s="1"/>
  <c r="O16" i="7" s="1"/>
  <c r="Q16" i="7" s="1"/>
  <c r="S16" i="7" s="1"/>
  <c r="U16" i="7" s="1"/>
  <c r="W16" i="7" s="1"/>
  <c r="Y16" i="7" s="1"/>
  <c r="AA16" i="7" s="1"/>
  <c r="AC16" i="7" s="1"/>
  <c r="AE16" i="7" s="1"/>
  <c r="AG16" i="7" s="1"/>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CH598" i="3"/>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8" i="4"/>
  <c r="A104" i="11"/>
  <c r="C101" i="11"/>
  <c r="C102" i="11"/>
  <c r="C103" i="11"/>
  <c r="C104" i="11"/>
  <c r="B101" i="11"/>
  <c r="B102" i="11"/>
  <c r="B103" i="11"/>
  <c r="B104" i="11"/>
  <c r="C85" i="11"/>
  <c r="C86" i="11"/>
  <c r="C87" i="11"/>
  <c r="C88" i="11"/>
  <c r="C89" i="11"/>
  <c r="C90" i="11"/>
  <c r="C91" i="11"/>
  <c r="C92" i="11"/>
  <c r="C93" i="11"/>
  <c r="C94" i="11"/>
  <c r="C95" i="11"/>
  <c r="D95" i="11" s="1"/>
  <c r="C96" i="11"/>
  <c r="B85" i="11"/>
  <c r="B86" i="11"/>
  <c r="B87" i="11"/>
  <c r="B88" i="11"/>
  <c r="B89" i="11"/>
  <c r="B90" i="11"/>
  <c r="D90" i="11" s="1"/>
  <c r="B91" i="11"/>
  <c r="D91" i="11" s="1"/>
  <c r="B92" i="11"/>
  <c r="D92" i="11" s="1"/>
  <c r="B93" i="11"/>
  <c r="B94" i="11"/>
  <c r="D94" i="11" s="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D24" i="11" s="1"/>
  <c r="C25" i="11"/>
  <c r="C26" i="11"/>
  <c r="B25" i="11"/>
  <c r="B26" i="11"/>
  <c r="D70" i="4"/>
  <c r="C70" i="4"/>
  <c r="B70" i="13" s="1"/>
  <c r="C54" i="11"/>
  <c r="D54" i="11" s="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8" i="13"/>
  <c r="E69" i="13"/>
  <c r="B66" i="13"/>
  <c r="B67" i="13"/>
  <c r="B68" i="13"/>
  <c r="B69" i="13"/>
  <c r="A53" i="13"/>
  <c r="H36" i="13"/>
  <c r="E36" i="13"/>
  <c r="B36" i="13"/>
  <c r="H24" i="13"/>
  <c r="E24" i="13"/>
  <c r="B24" i="13"/>
  <c r="C104" i="4"/>
  <c r="B104" i="4"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R10" i="4"/>
  <c r="R84" i="4"/>
  <c r="AI7" i="15"/>
  <c r="B59" i="4"/>
  <c r="C80" i="11"/>
  <c r="C81" i="11"/>
  <c r="D81" i="11" s="1"/>
  <c r="B80" i="11"/>
  <c r="B81" i="11"/>
  <c r="I96" i="13"/>
  <c r="J96" i="13"/>
  <c r="J81" i="13"/>
  <c r="I81" i="13"/>
  <c r="G81" i="13"/>
  <c r="F81" i="13"/>
  <c r="D81" i="13"/>
  <c r="C81" i="13"/>
  <c r="H80" i="13"/>
  <c r="E80" i="13"/>
  <c r="B80" i="13"/>
  <c r="R79" i="4"/>
  <c r="D81" i="4"/>
  <c r="E81" i="4"/>
  <c r="F81" i="4"/>
  <c r="G81" i="4"/>
  <c r="H81" i="4"/>
  <c r="I81" i="4"/>
  <c r="J81" i="4"/>
  <c r="K81" i="4"/>
  <c r="L81" i="4"/>
  <c r="M81" i="4"/>
  <c r="N81" i="4"/>
  <c r="O81" i="4"/>
  <c r="P81" i="4"/>
  <c r="Q81" i="4"/>
  <c r="S81" i="4"/>
  <c r="E81" i="13" s="1"/>
  <c r="T81" i="4"/>
  <c r="H81" i="13"/>
  <c r="C81" i="4"/>
  <c r="B81" i="13" s="1"/>
  <c r="B81" i="4"/>
  <c r="B80" i="4"/>
  <c r="E80" i="4" s="1"/>
  <c r="R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0" i="13"/>
  <c r="E89" i="13"/>
  <c r="E87" i="13"/>
  <c r="E86" i="13"/>
  <c r="E85" i="13"/>
  <c r="E84" i="13"/>
  <c r="E79" i="13"/>
  <c r="E65" i="13"/>
  <c r="E53" i="13"/>
  <c r="E52" i="13"/>
  <c r="E51" i="13"/>
  <c r="E50" i="13"/>
  <c r="E49" i="13"/>
  <c r="E48" i="13"/>
  <c r="E47" i="13"/>
  <c r="E46" i="13"/>
  <c r="E45" i="13"/>
  <c r="E43" i="13"/>
  <c r="E41"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4" i="13"/>
  <c r="B73" i="13"/>
  <c r="B72" i="13"/>
  <c r="B65" i="13"/>
  <c r="B61" i="13"/>
  <c r="B60" i="13"/>
  <c r="B59" i="13"/>
  <c r="B58" i="13"/>
  <c r="B57" i="13"/>
  <c r="B56" i="13"/>
  <c r="B53" i="13"/>
  <c r="B52" i="13"/>
  <c r="B51" i="13"/>
  <c r="B50" i="13"/>
  <c r="B49" i="13"/>
  <c r="B48" i="13"/>
  <c r="B47" i="13"/>
  <c r="B46" i="13"/>
  <c r="B45" i="13"/>
  <c r="B43" i="13"/>
  <c r="C42" i="4"/>
  <c r="B42" i="4" s="1"/>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2" i="4"/>
  <c r="R89" i="4"/>
  <c r="R87" i="4"/>
  <c r="R86" i="4"/>
  <c r="R85" i="4"/>
  <c r="R83" i="4"/>
  <c r="R76" i="4"/>
  <c r="R72" i="4"/>
  <c r="R73" i="4"/>
  <c r="R74" i="4"/>
  <c r="R69" i="4"/>
  <c r="R61" i="4"/>
  <c r="R60" i="4"/>
  <c r="R59" i="4"/>
  <c r="R58" i="4"/>
  <c r="R57" i="4"/>
  <c r="R53" i="4"/>
  <c r="R51" i="4"/>
  <c r="R49" i="4"/>
  <c r="R48" i="4"/>
  <c r="R47" i="4"/>
  <c r="R43" i="4"/>
  <c r="R41" i="4"/>
  <c r="R37" i="4"/>
  <c r="R35" i="4"/>
  <c r="R34" i="4"/>
  <c r="R33" i="4"/>
  <c r="R32" i="4"/>
  <c r="R31" i="4"/>
  <c r="R30" i="4"/>
  <c r="R29" i="4"/>
  <c r="R27" i="4"/>
  <c r="R25" i="4"/>
  <c r="R23" i="4"/>
  <c r="R22" i="4"/>
  <c r="R21" i="4"/>
  <c r="R20" i="4"/>
  <c r="R19" i="4"/>
  <c r="R18" i="4"/>
  <c r="R17" i="4"/>
  <c r="R15" i="4"/>
  <c r="R14" i="4"/>
  <c r="R13" i="4"/>
  <c r="R9" i="4"/>
  <c r="R11" i="4" s="1"/>
  <c r="R7" i="4"/>
  <c r="R6" i="4"/>
  <c r="R5" i="4"/>
  <c r="R4" i="4"/>
  <c r="R8" i="4" s="1"/>
  <c r="B5" i="11"/>
  <c r="C5" i="11"/>
  <c r="B6" i="11"/>
  <c r="C6" i="11"/>
  <c r="B7" i="11"/>
  <c r="C7" i="11"/>
  <c r="C8" i="11"/>
  <c r="B8" i="11"/>
  <c r="B10" i="11"/>
  <c r="B12" i="11" s="1"/>
  <c r="B11" i="11"/>
  <c r="C10" i="11"/>
  <c r="C12" i="11" s="1"/>
  <c r="C11" i="11"/>
  <c r="B14" i="11"/>
  <c r="C14" i="11"/>
  <c r="B15" i="11"/>
  <c r="C15" i="11"/>
  <c r="B16" i="11"/>
  <c r="C16" i="11"/>
  <c r="B18" i="11"/>
  <c r="C18" i="11"/>
  <c r="B19" i="11"/>
  <c r="C19" i="11"/>
  <c r="B20" i="11"/>
  <c r="C20" i="11"/>
  <c r="B21" i="11"/>
  <c r="C21" i="11"/>
  <c r="B22" i="11"/>
  <c r="C22" i="11"/>
  <c r="B23" i="11"/>
  <c r="C23" i="11"/>
  <c r="B24" i="11"/>
  <c r="B28" i="11"/>
  <c r="C28" i="11"/>
  <c r="D28" i="11" s="1"/>
  <c r="B30" i="11"/>
  <c r="C30" i="11"/>
  <c r="D30" i="11"/>
  <c r="D33" i="11"/>
  <c r="D34" i="11"/>
  <c r="B41" i="11"/>
  <c r="B43" i="11" s="1"/>
  <c r="C41" i="11"/>
  <c r="C43" i="11" s="1"/>
  <c r="C42" i="11"/>
  <c r="B42" i="11"/>
  <c r="B44" i="11"/>
  <c r="C44" i="11"/>
  <c r="B46" i="11"/>
  <c r="C46" i="11"/>
  <c r="B47" i="11"/>
  <c r="C47" i="11"/>
  <c r="D47" i="11" s="1"/>
  <c r="B48" i="11"/>
  <c r="B49" i="11"/>
  <c r="B50" i="11"/>
  <c r="B51" i="11"/>
  <c r="B52" i="11"/>
  <c r="B53" i="11"/>
  <c r="C48" i="11"/>
  <c r="C49" i="11"/>
  <c r="C50" i="11"/>
  <c r="C51" i="11"/>
  <c r="D51" i="11" s="1"/>
  <c r="C52" i="11"/>
  <c r="C53" i="11"/>
  <c r="D53" i="11" s="1"/>
  <c r="B57" i="11"/>
  <c r="C57" i="11"/>
  <c r="B58" i="11"/>
  <c r="C58" i="11"/>
  <c r="B59" i="11"/>
  <c r="C59" i="11"/>
  <c r="B60" i="11"/>
  <c r="C60" i="11"/>
  <c r="B61" i="11"/>
  <c r="C61" i="11"/>
  <c r="B62" i="11"/>
  <c r="C62" i="11"/>
  <c r="B66" i="11"/>
  <c r="B71" i="11" s="1"/>
  <c r="C66" i="11"/>
  <c r="B73" i="11"/>
  <c r="C73" i="11"/>
  <c r="B74" i="11"/>
  <c r="C74" i="11"/>
  <c r="B75" i="11"/>
  <c r="C75" i="11"/>
  <c r="B77" i="11"/>
  <c r="C77" i="11"/>
  <c r="B84" i="11"/>
  <c r="C84" i="11"/>
  <c r="B100" i="11"/>
  <c r="B105" i="11" s="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DX596" i="3"/>
  <c r="DX599" i="3"/>
  <c r="DX600" i="3"/>
  <c r="DX601" i="3"/>
  <c r="DX602" i="3"/>
  <c r="DX603" i="3"/>
  <c r="DX604" i="3"/>
  <c r="DX605" i="3"/>
  <c r="DX607" i="3"/>
  <c r="DX608" i="3"/>
  <c r="DX611" i="3"/>
  <c r="DX612" i="3"/>
  <c r="DX613" i="3"/>
  <c r="DX615" i="3"/>
  <c r="DX616" i="3"/>
  <c r="DX617" i="3"/>
  <c r="DX618" i="3"/>
  <c r="DX619" i="3"/>
  <c r="DX620" i="3"/>
  <c r="EC596" i="3"/>
  <c r="EC597" i="3"/>
  <c r="EC598" i="3"/>
  <c r="EC601"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2" i="3"/>
  <c r="EM603" i="3"/>
  <c r="EM605" i="3"/>
  <c r="EM607" i="3"/>
  <c r="EM608" i="3"/>
  <c r="EM610" i="3"/>
  <c r="EM611" i="3"/>
  <c r="EM614" i="3"/>
  <c r="EM615" i="3"/>
  <c r="EM616" i="3"/>
  <c r="EM618" i="3"/>
  <c r="EM619" i="3"/>
  <c r="EW597" i="3"/>
  <c r="EW599" i="3"/>
  <c r="EW600" i="3"/>
  <c r="EW602" i="3"/>
  <c r="EW603" i="3"/>
  <c r="EW605" i="3"/>
  <c r="EW609" i="3"/>
  <c r="EW610" i="3"/>
  <c r="EW611" i="3"/>
  <c r="EW615" i="3"/>
  <c r="EW616" i="3"/>
  <c r="EW617" i="3"/>
  <c r="ER596" i="3"/>
  <c r="ER597" i="3"/>
  <c r="ER598" i="3"/>
  <c r="ER599" i="3"/>
  <c r="ER600" i="3"/>
  <c r="ER602" i="3"/>
  <c r="ER604" i="3"/>
  <c r="ER605" i="3"/>
  <c r="ER608" i="3"/>
  <c r="ER609" i="3"/>
  <c r="ER610" i="3"/>
  <c r="ER612" i="3"/>
  <c r="ER613" i="3"/>
  <c r="ER614" i="3"/>
  <c r="ER615" i="3"/>
  <c r="ER616" i="3"/>
  <c r="ER617" i="3"/>
  <c r="ER620" i="3"/>
  <c r="C11" i="4"/>
  <c r="C38" i="4"/>
  <c r="B38" i="13"/>
  <c r="C54" i="4"/>
  <c r="B54" i="4" s="1"/>
  <c r="C62" i="4"/>
  <c r="B62" i="13" s="1"/>
  <c r="C96" i="4"/>
  <c r="B96" i="13" s="1"/>
  <c r="B104" i="13"/>
  <c r="D8" i="4"/>
  <c r="D11" i="4"/>
  <c r="D26" i="4"/>
  <c r="D38" i="4"/>
  <c r="D42" i="4"/>
  <c r="D54" i="4"/>
  <c r="D62" i="4"/>
  <c r="D77" i="4"/>
  <c r="D96" i="4"/>
  <c r="D104" i="4"/>
  <c r="S38" i="4"/>
  <c r="E38" i="13"/>
  <c r="S54" i="4"/>
  <c r="E54" i="13" s="1"/>
  <c r="S104" i="4"/>
  <c r="E104" i="13"/>
  <c r="F2" i="4"/>
  <c r="G2" i="4"/>
  <c r="H2" i="4"/>
  <c r="I2" i="4"/>
  <c r="J2" i="4"/>
  <c r="K2" i="4"/>
  <c r="L2" i="4"/>
  <c r="M2" i="4"/>
  <c r="N2" i="4"/>
  <c r="O2" i="4"/>
  <c r="P2" i="4"/>
  <c r="Q2" i="4"/>
  <c r="B4" i="4"/>
  <c r="B5" i="4"/>
  <c r="B6" i="4"/>
  <c r="B7" i="4"/>
  <c r="E8" i="4"/>
  <c r="F8" i="4"/>
  <c r="G8" i="4"/>
  <c r="G11" i="4"/>
  <c r="H8" i="4"/>
  <c r="H11" i="4"/>
  <c r="H63" i="4" s="1"/>
  <c r="H97" i="4" s="1"/>
  <c r="H105" i="4" s="1"/>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G42" i="4"/>
  <c r="H42" i="4"/>
  <c r="K42" i="4"/>
  <c r="L42" i="4"/>
  <c r="O42" i="4"/>
  <c r="Q42" i="4"/>
  <c r="B43" i="4"/>
  <c r="B45" i="4"/>
  <c r="E45" i="4" s="1"/>
  <c r="B46" i="4"/>
  <c r="E46" i="4" s="1"/>
  <c r="R46" i="4" s="1"/>
  <c r="B47" i="4"/>
  <c r="B48" i="4"/>
  <c r="B49" i="4"/>
  <c r="B50" i="4"/>
  <c r="E50" i="4" s="1"/>
  <c r="R50" i="4" s="1"/>
  <c r="B51" i="4"/>
  <c r="B52" i="4"/>
  <c r="E52" i="4" s="1"/>
  <c r="R52" i="4" s="1"/>
  <c r="B53" i="4"/>
  <c r="E53" i="4" s="1"/>
  <c r="G54" i="4"/>
  <c r="H54" i="4"/>
  <c r="K54" i="4"/>
  <c r="L54" i="4"/>
  <c r="O54" i="4"/>
  <c r="Q54" i="4"/>
  <c r="B56" i="4"/>
  <c r="E56" i="4" s="1"/>
  <c r="R56" i="4" s="1"/>
  <c r="R62" i="4" s="1"/>
  <c r="B57" i="4"/>
  <c r="B58" i="4"/>
  <c r="E58" i="4" s="1"/>
  <c r="B60" i="4"/>
  <c r="E60" i="4" s="1"/>
  <c r="B61" i="4"/>
  <c r="G62" i="4"/>
  <c r="H62" i="4"/>
  <c r="K62" i="4"/>
  <c r="L62" i="4"/>
  <c r="O62" i="4"/>
  <c r="O70" i="4"/>
  <c r="O77" i="4"/>
  <c r="O96" i="4"/>
  <c r="O104" i="4"/>
  <c r="Q62" i="4"/>
  <c r="B65" i="4"/>
  <c r="E65" i="4" s="1"/>
  <c r="F70" i="4"/>
  <c r="G70" i="4"/>
  <c r="H70" i="4"/>
  <c r="I70" i="4"/>
  <c r="K70" i="4"/>
  <c r="L70" i="4"/>
  <c r="Q70" i="4"/>
  <c r="B72" i="4"/>
  <c r="B73" i="4"/>
  <c r="B74" i="4"/>
  <c r="B76" i="4"/>
  <c r="F77" i="4"/>
  <c r="G77" i="4"/>
  <c r="H77" i="4"/>
  <c r="I77" i="4"/>
  <c r="K77" i="4"/>
  <c r="L77" i="4"/>
  <c r="Q77" i="4"/>
  <c r="B79" i="4"/>
  <c r="B83" i="4"/>
  <c r="E83" i="4" s="1"/>
  <c r="B84" i="4"/>
  <c r="B85" i="4"/>
  <c r="B86" i="4"/>
  <c r="B87" i="4"/>
  <c r="B88" i="4"/>
  <c r="E88" i="4" s="1"/>
  <c r="R88" i="4" s="1"/>
  <c r="B89" i="4"/>
  <c r="B90" i="4"/>
  <c r="E90" i="4" s="1"/>
  <c r="R90" i="4" s="1"/>
  <c r="B91" i="4"/>
  <c r="B92" i="4"/>
  <c r="B93" i="4"/>
  <c r="E93" i="4" s="1"/>
  <c r="R93" i="4" s="1"/>
  <c r="B94" i="4"/>
  <c r="E94" i="4" s="1"/>
  <c r="R94" i="4" s="1"/>
  <c r="B95" i="4"/>
  <c r="E95" i="4" s="1"/>
  <c r="R95" i="4" s="1"/>
  <c r="F96" i="4"/>
  <c r="G96" i="4"/>
  <c r="H96" i="4"/>
  <c r="I96" i="4"/>
  <c r="K96" i="4"/>
  <c r="L96" i="4"/>
  <c r="Q96" i="4"/>
  <c r="B101" i="4"/>
  <c r="B102" i="4"/>
  <c r="B103" i="4"/>
  <c r="F104" i="4"/>
  <c r="G104" i="4"/>
  <c r="H104" i="4"/>
  <c r="K104" i="4"/>
  <c r="L104" i="4"/>
  <c r="Q104" i="4"/>
  <c r="E108" i="4"/>
  <c r="F108" i="4"/>
  <c r="G108" i="4"/>
  <c r="H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AH716" i="3" s="1"/>
  <c r="X717" i="3"/>
  <c r="AH717" i="3" s="1"/>
  <c r="X718" i="3"/>
  <c r="X719" i="3"/>
  <c r="AH719" i="3" s="1"/>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D49" i="11"/>
  <c r="D50" i="11"/>
  <c r="AH720" i="3"/>
  <c r="I63" i="13"/>
  <c r="I97" i="13"/>
  <c r="I105" i="13"/>
  <c r="I107" i="13"/>
  <c r="J63" i="13"/>
  <c r="J97" i="13"/>
  <c r="J105" i="13"/>
  <c r="J107" i="13"/>
  <c r="L12" i="4"/>
  <c r="D48" i="11"/>
  <c r="AH718" i="3"/>
  <c r="D93" i="11"/>
  <c r="D5" i="11"/>
  <c r="D70" i="11"/>
  <c r="D80" i="11"/>
  <c r="D52" i="11"/>
  <c r="I12" i="4"/>
  <c r="G12" i="4"/>
  <c r="D6" i="11"/>
  <c r="L63" i="4"/>
  <c r="L97" i="4"/>
  <c r="L105" i="4"/>
  <c r="Q12" i="4"/>
  <c r="B11" i="4"/>
  <c r="O63" i="4"/>
  <c r="O97" i="4"/>
  <c r="O105" i="4"/>
  <c r="D18" i="11"/>
  <c r="B8" i="4"/>
  <c r="N158" i="26" s="1"/>
  <c r="N164" i="26" s="1"/>
  <c r="D10" i="11"/>
  <c r="D36" i="11"/>
  <c r="G63" i="13"/>
  <c r="G97" i="13"/>
  <c r="G105" i="13"/>
  <c r="G107" i="13"/>
  <c r="D61" i="11"/>
  <c r="D20" i="11"/>
  <c r="D8" i="11"/>
  <c r="D85" i="11"/>
  <c r="D102" i="11"/>
  <c r="K12" i="4"/>
  <c r="C12" i="13"/>
  <c r="D63" i="4"/>
  <c r="D97" i="4"/>
  <c r="D105" i="4"/>
  <c r="D7" i="11"/>
  <c r="J12" i="4"/>
  <c r="D22" i="11"/>
  <c r="O12" i="4"/>
  <c r="I63" i="4"/>
  <c r="I97" i="4"/>
  <c r="D25" i="11"/>
  <c r="B82" i="11"/>
  <c r="B11" i="13"/>
  <c r="D12" i="4"/>
  <c r="H12" i="4"/>
  <c r="B9" i="11"/>
  <c r="C39" i="11"/>
  <c r="D23" i="11"/>
  <c r="D19" i="11"/>
  <c r="D73" i="11"/>
  <c r="D44" i="11"/>
  <c r="D35" i="11"/>
  <c r="D31" i="11"/>
  <c r="D32" i="11"/>
  <c r="D15" i="11"/>
  <c r="D63" i="13"/>
  <c r="D97" i="13"/>
  <c r="D105" i="13"/>
  <c r="D14" i="11"/>
  <c r="Q63" i="4"/>
  <c r="Q97" i="4"/>
  <c r="Q105" i="4"/>
  <c r="C105" i="11"/>
  <c r="D87" i="11"/>
  <c r="N63" i="4"/>
  <c r="N97" i="4"/>
  <c r="N105" i="4"/>
  <c r="N12" i="4"/>
  <c r="D60" i="11"/>
  <c r="M12" i="4"/>
  <c r="D84" i="11"/>
  <c r="D74" i="11"/>
  <c r="D59" i="11"/>
  <c r="D38" i="11"/>
  <c r="P63" i="4"/>
  <c r="P97" i="4"/>
  <c r="P105" i="4"/>
  <c r="B38" i="4"/>
  <c r="C9" i="11"/>
  <c r="D12" i="13"/>
  <c r="D58" i="11"/>
  <c r="D62" i="11"/>
  <c r="D101" i="11"/>
  <c r="D66" i="11"/>
  <c r="R38" i="4"/>
  <c r="C63" i="13"/>
  <c r="C97" i="13"/>
  <c r="C105" i="13"/>
  <c r="D75" i="11"/>
  <c r="B39" i="11"/>
  <c r="D103" i="11"/>
  <c r="D88" i="11"/>
  <c r="D42" i="11"/>
  <c r="D21" i="11"/>
  <c r="D16" i="11"/>
  <c r="R26" i="4"/>
  <c r="D86" i="11"/>
  <c r="F63" i="13"/>
  <c r="F97" i="13"/>
  <c r="F105" i="13"/>
  <c r="F107" i="13"/>
  <c r="AD199" i="20"/>
  <c r="D77" i="11"/>
  <c r="M63" i="4"/>
  <c r="M97" i="4"/>
  <c r="M105" i="4"/>
  <c r="G63" i="4"/>
  <c r="G97" i="4" s="1"/>
  <c r="G105" i="4" s="1"/>
  <c r="J63" i="4"/>
  <c r="J97" i="4"/>
  <c r="J105" i="4"/>
  <c r="K63" i="4"/>
  <c r="K97" i="4"/>
  <c r="K105" i="4"/>
  <c r="AD7" i="15"/>
  <c r="Q28" i="7"/>
  <c r="U28" i="7"/>
  <c r="D104" i="11"/>
  <c r="T63" i="4"/>
  <c r="H63" i="13" s="1"/>
  <c r="T97" i="4"/>
  <c r="D11" i="11"/>
  <c r="C12" i="4"/>
  <c r="B12" i="13"/>
  <c r="B12" i="4"/>
  <c r="D9" i="11"/>
  <c r="D39" i="11"/>
  <c r="D30" i="8"/>
  <c r="H97" i="13"/>
  <c r="D96" i="11"/>
  <c r="AB223" i="20"/>
  <c r="AB239" i="20" s="1"/>
  <c r="AB241" i="20" s="1"/>
  <c r="AB243" i="20" s="1"/>
  <c r="AB249" i="20" s="1"/>
  <c r="AD198" i="20" s="1"/>
  <c r="AD200" i="20" s="1"/>
  <c r="AH721" i="3" l="1"/>
  <c r="AH714" i="3"/>
  <c r="AH715" i="3"/>
  <c r="F12" i="4"/>
  <c r="F63" i="4"/>
  <c r="F97" i="4" s="1"/>
  <c r="F105" i="4" s="1"/>
  <c r="E12" i="4"/>
  <c r="D100" i="11"/>
  <c r="D105" i="11"/>
  <c r="T105" i="4"/>
  <c r="E91" i="4"/>
  <c r="R91" i="4" s="1"/>
  <c r="S91" i="4"/>
  <c r="B96" i="4"/>
  <c r="B97" i="11"/>
  <c r="C97" i="11"/>
  <c r="R96" i="4"/>
  <c r="D89" i="11"/>
  <c r="E96" i="4"/>
  <c r="D97" i="11"/>
  <c r="R81" i="4"/>
  <c r="C82" i="11"/>
  <c r="D82" i="11" s="1"/>
  <c r="D57" i="11"/>
  <c r="B54" i="13"/>
  <c r="S67" i="4"/>
  <c r="E67" i="4"/>
  <c r="R67" i="4" s="1"/>
  <c r="C71" i="11"/>
  <c r="D71" i="11" s="1"/>
  <c r="R65" i="4"/>
  <c r="R70" i="4" s="1"/>
  <c r="B70" i="4"/>
  <c r="E62" i="4"/>
  <c r="B63" i="11"/>
  <c r="E54" i="4"/>
  <c r="R45" i="4"/>
  <c r="R54" i="4" s="1"/>
  <c r="D46" i="11"/>
  <c r="C63" i="11"/>
  <c r="D63" i="11" s="1"/>
  <c r="B62" i="4"/>
  <c r="C55" i="11"/>
  <c r="C64" i="11" s="1"/>
  <c r="B42" i="13"/>
  <c r="S40" i="4"/>
  <c r="E40" i="4"/>
  <c r="D41" i="11"/>
  <c r="D43" i="11"/>
  <c r="B55" i="11"/>
  <c r="C63" i="4"/>
  <c r="E26" i="13"/>
  <c r="R12" i="4"/>
  <c r="B26" i="4"/>
  <c r="B26" i="13"/>
  <c r="C27" i="11"/>
  <c r="H105" i="13"/>
  <c r="T107" i="4"/>
  <c r="B13" i="11"/>
  <c r="D12" i="11"/>
  <c r="C13" i="11"/>
  <c r="D13" i="11" s="1"/>
  <c r="AC28" i="7"/>
  <c r="Y28" i="7"/>
  <c r="S28" i="7"/>
  <c r="AE28" i="7"/>
  <c r="G28" i="7"/>
  <c r="AA28" i="7"/>
  <c r="M28" i="7"/>
  <c r="AG28" i="7"/>
  <c r="W28" i="7"/>
  <c r="I28" i="7"/>
  <c r="K28" i="7"/>
  <c r="G40" i="7"/>
  <c r="G43" i="7" s="1"/>
  <c r="AG40" i="7"/>
  <c r="AG43" i="7" s="1"/>
  <c r="O30" i="21"/>
  <c r="R44" i="21"/>
  <c r="AZ835" i="3"/>
  <c r="BA973" i="3"/>
  <c r="I1013" i="3" s="1"/>
  <c r="AK172" i="20"/>
  <c r="AP355" i="20"/>
  <c r="AQ355" i="20" s="1"/>
  <c r="AS349"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P30" i="21" a="1"/>
  <c r="P30" i="21" s="1"/>
  <c r="DR621"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E26" i="21"/>
  <c r="E23" i="21"/>
  <c r="F23" i="21" s="1"/>
  <c r="G23" i="21" s="1"/>
  <c r="E91" i="13" l="1"/>
  <c r="S96" i="4"/>
  <c r="E96" i="13" s="1"/>
  <c r="B63" i="4"/>
  <c r="B64" i="11"/>
  <c r="E67" i="13"/>
  <c r="S70" i="4"/>
  <c r="E70" i="13" s="1"/>
  <c r="E70" i="4"/>
  <c r="D55" i="11"/>
  <c r="B63" i="13"/>
  <c r="E42" i="4"/>
  <c r="E63" i="4" s="1"/>
  <c r="R40" i="4"/>
  <c r="R42" i="4" s="1"/>
  <c r="R63" i="4" s="1"/>
  <c r="E40" i="13"/>
  <c r="S42" i="4"/>
  <c r="H107" i="13"/>
  <c r="AC869" i="3"/>
  <c r="AS351" i="20"/>
  <c r="AS347" i="20" s="1"/>
  <c r="AK458" i="20" s="1"/>
  <c r="T802" i="20" s="1"/>
  <c r="AF802" i="20" s="1"/>
  <c r="EC628" i="3"/>
  <c r="T800" i="20"/>
  <c r="AF800" i="20" s="1"/>
  <c r="Y27" i="15"/>
  <c r="AI27" i="15"/>
  <c r="T789" i="20"/>
  <c r="AF789" i="20" s="1"/>
  <c r="AK78" i="20"/>
  <c r="E35" i="7"/>
  <c r="AC870" i="3" s="1"/>
  <c r="C75" i="4" s="1"/>
  <c r="T27" i="15"/>
  <c r="BH702" i="3"/>
  <c r="BI702" i="3" s="1"/>
  <c r="Y784" i="3"/>
  <c r="D64"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7" i="21" s="1"/>
  <c r="P27" i="21" s="1" a="1"/>
  <c r="P27" i="21" s="1"/>
  <c r="R27"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B75" i="4" l="1"/>
  <c r="E75" i="4" s="1"/>
  <c r="B76" i="11"/>
  <c r="B78" i="11" s="1"/>
  <c r="B98" i="11" s="1"/>
  <c r="B106" i="11" s="1"/>
  <c r="C77" i="4"/>
  <c r="B75" i="13"/>
  <c r="C76" i="11"/>
  <c r="E42" i="13"/>
  <c r="S63" i="4"/>
  <c r="AD11" i="15"/>
  <c r="AD23" i="15" s="1"/>
  <c r="AD26" i="15" s="1"/>
  <c r="AD28" i="15" s="1"/>
  <c r="AI11" i="15"/>
  <c r="AI23" i="15" s="1"/>
  <c r="AI26" i="15" s="1"/>
  <c r="AI28" i="15" s="1"/>
  <c r="O24" i="21"/>
  <c r="P24" i="21" s="1" a="1"/>
  <c r="P24" i="21" s="1"/>
  <c r="R24" i="21" s="1"/>
  <c r="O26" i="21"/>
  <c r="P26" i="21" s="1" a="1"/>
  <c r="P26" i="21" s="1"/>
  <c r="R26" i="21" s="1"/>
  <c r="O25" i="21"/>
  <c r="P25" i="21" s="1" a="1"/>
  <c r="P25" i="21" s="1"/>
  <c r="R25" i="21" s="1"/>
  <c r="O22" i="21"/>
  <c r="P22" i="21" s="1" a="1"/>
  <c r="P22" i="21" s="1"/>
  <c r="R22" i="21" s="1"/>
  <c r="O23" i="21"/>
  <c r="P23" i="21" s="1" a="1"/>
  <c r="P23" i="21" s="1"/>
  <c r="R23" i="21" s="1"/>
  <c r="O20" i="21"/>
  <c r="P20" i="21" s="1" a="1"/>
  <c r="P20" i="21" s="1"/>
  <c r="R20" i="21" s="1"/>
  <c r="O21" i="21"/>
  <c r="P21" i="21" s="1" a="1"/>
  <c r="P21" i="21" s="1"/>
  <c r="R21" i="21" s="1"/>
  <c r="AW116" i="20"/>
  <c r="AK180" i="20"/>
  <c r="T796" i="20" s="1"/>
  <c r="AF796" i="20" s="1"/>
  <c r="T790" i="20"/>
  <c r="AF790" i="20" s="1"/>
  <c r="K8" i="7"/>
  <c r="M8" i="7"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C78" i="11" l="1"/>
  <c r="D76" i="11"/>
  <c r="B77" i="4"/>
  <c r="B77" i="13"/>
  <c r="C97" i="4"/>
  <c r="E77" i="4"/>
  <c r="E97" i="4" s="1"/>
  <c r="R75" i="4"/>
  <c r="R77" i="4" s="1"/>
  <c r="R97" i="4" s="1"/>
  <c r="S97" i="4"/>
  <c r="E63" i="13"/>
  <c r="G38" i="21"/>
  <c r="G40" i="21" s="1"/>
  <c r="E10" i="21" s="1"/>
  <c r="I4" i="7"/>
  <c r="I5" i="7" s="1"/>
  <c r="K9" i="7"/>
  <c r="E11" i="7"/>
  <c r="E37" i="7" s="1"/>
  <c r="E49" i="7" s="1"/>
  <c r="AJ961" i="3"/>
  <c r="AJ1006" i="3" s="1"/>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C105" i="4" l="1"/>
  <c r="B97" i="4"/>
  <c r="B97" i="13"/>
  <c r="D78" i="11"/>
  <c r="C98" i="11"/>
  <c r="E97" i="13"/>
  <c r="S105" i="4"/>
  <c r="B1025" i="3"/>
  <c r="AJ1014" i="3"/>
  <c r="AP542" i="20" s="1"/>
  <c r="AJ1010" i="3"/>
  <c r="AP541" i="20" s="1"/>
  <c r="K4" i="7"/>
  <c r="M4" i="7" s="1"/>
  <c r="E45" i="7"/>
  <c r="E48" i="7" s="1"/>
  <c r="AJ1018" i="3"/>
  <c r="AP539" i="20"/>
  <c r="G45" i="7"/>
  <c r="G49" i="7"/>
  <c r="K6" i="7"/>
  <c r="I7" i="7"/>
  <c r="I11" i="7" s="1"/>
  <c r="I37" i="7" s="1"/>
  <c r="G24" i="21"/>
  <c r="F27" i="21"/>
  <c r="G27" i="21"/>
  <c r="O22" i="7"/>
  <c r="O35" i="7" s="1"/>
  <c r="Q15" i="7"/>
  <c r="O9" i="7"/>
  <c r="Q8" i="7"/>
  <c r="D98" i="11" l="1"/>
  <c r="C106" i="11"/>
  <c r="D106" i="11" s="1"/>
  <c r="AC454" i="3"/>
  <c r="AG258" i="20"/>
  <c r="B105" i="4"/>
  <c r="B105" i="13"/>
  <c r="S107" i="4"/>
  <c r="E105" i="13"/>
  <c r="AP543" i="20"/>
  <c r="K5" i="7"/>
  <c r="E47" i="7"/>
  <c r="E60" i="7"/>
  <c r="E62" i="7" s="1"/>
  <c r="T24" i="15"/>
  <c r="AP546" i="20"/>
  <c r="AP545" i="20" s="1"/>
  <c r="AP548" i="20" s="1"/>
  <c r="AF541" i="20" s="1"/>
  <c r="O4" i="7"/>
  <c r="M5" i="7"/>
  <c r="I45" i="7"/>
  <c r="I49" i="7"/>
  <c r="M6" i="7"/>
  <c r="K7" i="7"/>
  <c r="G60" i="7"/>
  <c r="G47" i="7"/>
  <c r="G48" i="7"/>
  <c r="Q22" i="7"/>
  <c r="Q35" i="7" s="1"/>
  <c r="S15" i="7"/>
  <c r="G95" i="21"/>
  <c r="G96" i="21" s="1"/>
  <c r="G29" i="21"/>
  <c r="G31" i="21" s="1"/>
  <c r="E9" i="21" s="1"/>
  <c r="G104" i="21"/>
  <c r="G106" i="21" s="1"/>
  <c r="G79" i="21"/>
  <c r="G64" i="21"/>
  <c r="Q9" i="7"/>
  <c r="S8" i="7"/>
  <c r="AM556" i="3" l="1"/>
  <c r="AM562" i="3" s="1"/>
  <c r="AO626" i="3"/>
  <c r="AC453" i="3"/>
  <c r="F456" i="3" s="1"/>
  <c r="AB255" i="20"/>
  <c r="AG257" i="20" s="1"/>
  <c r="AG259" i="20" s="1"/>
  <c r="AK262" i="20" s="1"/>
  <c r="T797" i="20" s="1"/>
  <c r="AF797" i="20" s="1"/>
  <c r="AB47" i="15"/>
  <c r="N154" i="26"/>
  <c r="E107" i="13"/>
  <c r="AF540" i="20"/>
  <c r="AF542" i="20" s="1"/>
  <c r="AK548" i="20" s="1"/>
  <c r="T803" i="20" s="1"/>
  <c r="AF803" i="20" s="1"/>
  <c r="AC455" i="3"/>
  <c r="AE695" i="3"/>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AO635" i="3" l="1"/>
  <c r="I108" i="4"/>
  <c r="I99" i="4" s="1"/>
  <c r="AF806" i="20"/>
  <c r="N155" i="26"/>
  <c r="N165" i="26"/>
  <c r="T11" i="15"/>
  <c r="T23" i="15" s="1"/>
  <c r="Y11" i="15"/>
  <c r="Y23" i="15" s="1"/>
  <c r="Y26" i="15" s="1"/>
  <c r="Y28" i="15" s="1"/>
  <c r="Y64" i="15" s="1"/>
  <c r="Y68" i="15" s="1"/>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48" i="15" l="1"/>
  <c r="AB49" i="15" s="1"/>
  <c r="AO637" i="3"/>
  <c r="E99" i="4"/>
  <c r="I104" i="4"/>
  <c r="I105" i="4" s="1"/>
  <c r="T26" i="15"/>
  <c r="T28" i="15" s="1"/>
  <c r="T29" i="15" s="1"/>
  <c r="AD38" i="15"/>
  <c r="AD40" i="15" s="1"/>
  <c r="U4" i="7"/>
  <c r="S5" i="7"/>
  <c r="M48" i="7"/>
  <c r="M47" i="7"/>
  <c r="M60" i="7"/>
  <c r="O45" i="7"/>
  <c r="O49" i="7"/>
  <c r="K66" i="7"/>
  <c r="K67" i="7"/>
  <c r="K62" i="7"/>
  <c r="Q7" i="7"/>
  <c r="Q11" i="7" s="1"/>
  <c r="Q37" i="7" s="1"/>
  <c r="S6" i="7"/>
  <c r="I70" i="7"/>
  <c r="I72" i="7" s="1"/>
  <c r="W22" i="7"/>
  <c r="W35" i="7" s="1"/>
  <c r="Y15" i="7"/>
  <c r="W9" i="7"/>
  <c r="Y8" i="7"/>
  <c r="R99" i="4" l="1"/>
  <c r="R104" i="4" s="1"/>
  <c r="R105" i="4" s="1"/>
  <c r="E104" i="4"/>
  <c r="E105" i="4" s="1"/>
  <c r="Y38" i="15"/>
  <c r="Y40" i="15" s="1"/>
  <c r="Y41" i="15" s="1"/>
  <c r="AB50" i="15" s="1"/>
  <c r="AB54" i="15" s="1"/>
  <c r="AB55" i="15" s="1"/>
  <c r="U5" i="7"/>
  <c r="W4" i="7"/>
  <c r="Q49" i="7"/>
  <c r="Q45" i="7"/>
  <c r="M62" i="7"/>
  <c r="M67" i="7"/>
  <c r="M66" i="7"/>
  <c r="O47" i="7"/>
  <c r="O48" i="7"/>
  <c r="O60" i="7"/>
  <c r="K70" i="7"/>
  <c r="K72" i="7" s="1"/>
  <c r="S7" i="7"/>
  <c r="S11" i="7" s="1"/>
  <c r="S37" i="7" s="1"/>
  <c r="U6" i="7"/>
  <c r="Y22" i="7"/>
  <c r="Y35" i="7" s="1"/>
  <c r="AA15" i="7"/>
  <c r="Y9" i="7"/>
  <c r="AA8" i="7"/>
  <c r="AB56" i="15" l="1"/>
  <c r="M26" i="3" s="1"/>
  <c r="P203" i="3" s="1"/>
  <c r="M70" i="7"/>
  <c r="M72" i="7" s="1"/>
  <c r="W5" i="7"/>
  <c r="Y4" i="7"/>
  <c r="U7" i="7"/>
  <c r="U11" i="7" s="1"/>
  <c r="U37" i="7" s="1"/>
  <c r="W6" i="7"/>
  <c r="O67" i="7"/>
  <c r="O66" i="7"/>
  <c r="O62" i="7"/>
  <c r="Q60" i="7"/>
  <c r="Q48" i="7"/>
  <c r="Q47" i="7"/>
  <c r="S49" i="7"/>
  <c r="S45" i="7"/>
  <c r="AC15" i="7"/>
  <c r="AA22" i="7"/>
  <c r="AA35" i="7" s="1"/>
  <c r="AC8" i="7"/>
  <c r="AA9" i="7"/>
  <c r="AB57" i="15" l="1"/>
  <c r="AB59" i="15" s="1"/>
  <c r="AB76" i="15" s="1"/>
  <c r="AB77" i="15" s="1"/>
  <c r="AB78" i="15" s="1"/>
  <c r="AA4" i="7"/>
  <c r="Y5" i="7"/>
  <c r="Y6" i="7"/>
  <c r="W7" i="7"/>
  <c r="W11" i="7" s="1"/>
  <c r="W37" i="7" s="1"/>
  <c r="U45" i="7"/>
  <c r="U49" i="7"/>
  <c r="Q66" i="7"/>
  <c r="Q67" i="7"/>
  <c r="Q62" i="7"/>
  <c r="S48" i="7"/>
  <c r="S47" i="7"/>
  <c r="S60" i="7"/>
  <c r="O70" i="7"/>
  <c r="O72" i="7" s="1"/>
  <c r="AE15" i="7"/>
  <c r="AC22" i="7"/>
  <c r="AC35" i="7" s="1"/>
  <c r="AC9" i="7"/>
  <c r="AE8" i="7"/>
  <c r="M27" i="3" l="1"/>
  <c r="P204" i="3" s="1"/>
  <c r="I10" i="21"/>
  <c r="I11" i="21" s="1"/>
  <c r="I16" i="21" s="1"/>
  <c r="H4" i="21" s="1"/>
  <c r="H5" i="21" s="1"/>
  <c r="AB80" i="15"/>
  <c r="J81" i="15" s="1"/>
  <c r="AA5" i="7"/>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<sst xmlns="http://schemas.openxmlformats.org/spreadsheetml/2006/main" count="5191" uniqueCount="2769">
  <si>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</si>
  <si>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</si>
  <si>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</si>
  <si>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</si>
  <si>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</si>
  <si>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</si>
  <si>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</si>
  <si>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</si>
  <si>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</si>
  <si>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</si>
  <si>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</si>
  <si>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</si>
  <si>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</si>
  <si>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</si>
  <si>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</si>
  <si>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</si>
  <si>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</si>
  <si>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</si>
  <si>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</si>
  <si>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</si>
  <si>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</si>
  <si>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</si>
  <si>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</si>
  <si>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</si>
  <si>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</si>
  <si>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</si>
  <si>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</si>
  <si>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</si>
  <si>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</si>
  <si>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</si>
  <si>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</si>
  <si>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</si>
  <si>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</si>
  <si>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</si>
  <si>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</si>
  <si>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</si>
  <si>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</si>
  <si>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</si>
  <si>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</si>
  <si>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</si>
  <si>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</si>
  <si>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</si>
  <si>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</si>
  <si>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</si>
  <si>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</si>
  <si>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</si>
  <si>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</si>
  <si>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</si>
  <si>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</si>
  <si>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</si>
  <si>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</si>
  <si>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</si>
  <si>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</si>
  <si>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</si>
  <si>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</si>
  <si>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</si>
  <si>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</si>
  <si>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</si>
  <si>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</si>
  <si>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</si>
  <si>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</si>
  <si>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</si>
  <si>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</si>
  <si>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</si>
  <si>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</si>
  <si>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</si>
  <si>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</si>
  <si>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</si>
  <si>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</si>
  <si>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</si>
  <si>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</si>
  <si>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</si>
  <si>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</si>
  <si>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</si>
  <si>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</si>
  <si>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</si>
  <si>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</si>
  <si>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</si>
  <si>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</si>
  <si>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</si>
  <si>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</si>
  <si>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</si>
  <si>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</si>
  <si>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</si>
  <si>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</si>
  <si>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</si>
  <si>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</si>
  <si>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</si>
  <si>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</si>
  <si>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</si>
  <si>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</si>
  <si>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</si>
  <si>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</si>
  <si>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</si>
  <si>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</si>
  <si>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</si>
  <si>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</si>
  <si>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</si>
  <si>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</si>
  <si>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</si>
  <si>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</si>
  <si>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</si>
  <si>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</si>
  <si>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</si>
  <si>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</si>
  <si>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</si>
  <si>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</si>
  <si>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</si>
  <si>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</si>
  <si>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</si>
  <si>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</si>
  <si>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</si>
  <si>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</si>
  <si>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</si>
  <si>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</si>
  <si>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</si>
  <si>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</si>
  <si>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</si>
  <si>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</si>
  <si>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</si>
  <si>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</si>
  <si>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</si>
  <si>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</si>
  <si>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</si>
  <si>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</si>
  <si>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</si>
  <si>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</si>
  <si>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</si>
  <si>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</si>
  <si>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</si>
  <si>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</si>
  <si>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</si>
  <si>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</si>
  <si>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</si>
  <si>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</si>
  <si>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</si>
  <si>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</si>
  <si>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</si>
  <si>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</si>
  <si>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</si>
  <si>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</si>
  <si>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</si>
  <si>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</si>
  <si>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</si>
  <si>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</si>
  <si>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</si>
  <si>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</si>
  <si>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</si>
  <si>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</si>
  <si>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</si>
  <si>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</si>
  <si>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</si>
  <si>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</si>
  <si>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</si>
  <si>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</si>
  <si>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</si>
  <si>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</si>
  <si>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</si>
  <si>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</si>
  <si>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</si>
  <si>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</si>
  <si>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</si>
  <si>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</si>
  <si>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</si>
  <si>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</si>
  <si>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</si>
  <si>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</si>
  <si>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</si>
  <si>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</si>
  <si>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</si>
  <si>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</si>
  <si>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</si>
  <si>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</si>
  <si>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</si>
  <si>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</si>
  <si>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</si>
  <si>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</si>
  <si>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</si>
  <si>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</si>
  <si>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</si>
  <si>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</si>
  <si>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</si>
  <si>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</si>
  <si>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</si>
  <si>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</si>
  <si>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</si>
  <si>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</si>
  <si>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</si>
  <si>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</si>
  <si>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</si>
  <si>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</si>
  <si>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</si>
  <si>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</si>
  <si>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</si>
  <si>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</si>
  <si>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</si>
  <si>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</si>
  <si>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</si>
  <si>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</si>
  <si>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</si>
  <si>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</si>
  <si>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</si>
  <si>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</si>
  <si>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</si>
  <si>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</si>
  <si>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</si>
  <si>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</si>
  <si>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</si>
  <si>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</si>
  <si>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</si>
  <si>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</si>
  <si>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</si>
  <si>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</si>
  <si>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</si>
  <si>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</si>
  <si>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</si>
  <si>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</si>
  <si>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</si>
  <si>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</si>
  <si>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</si>
  <si>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</si>
  <si>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</si>
  <si>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</si>
  <si>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</si>
  <si>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</si>
  <si>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</si>
  <si>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</si>
  <si>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</si>
  <si>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</si>
  <si>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</si>
  <si>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</si>
  <si>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</si>
  <si>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</si>
  <si>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</si>
  <si>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</si>
  <si>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</si>
  <si>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</si>
  <si>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</si>
  <si>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</si>
  <si>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</si>
  <si>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</si>
  <si>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</si>
  <si>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</si>
  <si>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</si>
  <si>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</si>
  <si>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</si>
  <si>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</si>
  <si>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</si>
  <si>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</si>
  <si>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</si>
  <si>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</si>
  <si>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</si>
  <si>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</si>
  <si>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</si>
  <si>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</si>
  <si>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</si>
  <si>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</si>
  <si>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</si>
  <si>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</si>
  <si>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</si>
  <si>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</si>
  <si>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</si>
  <si>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</si>
  <si>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</si>
  <si>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</si>
  <si>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</si>
  <si>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</si>
  <si>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</si>
  <si>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</si>
  <si>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</si>
  <si>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</si>
  <si>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</si>
  <si>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</si>
  <si>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</si>
  <si>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</si>
  <si>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</si>
  <si>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</si>
  <si>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</si>
  <si>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</si>
  <si>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</si>
  <si>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</si>
  <si>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</si>
  <si>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</si>
  <si>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</si>
  <si>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</si>
  <si>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</si>
  <si>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</si>
  <si>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</si>
  <si>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</si>
  <si>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</si>
  <si>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</si>
  <si>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</si>
  <si>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</si>
  <si>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</si>
  <si>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</si>
  <si>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</si>
  <si>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</si>
  <si>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</si>
  <si>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</si>
  <si>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</si>
  <si>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</si>
  <si>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</si>
  <si>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</si>
  <si>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</si>
  <si>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</si>
  <si>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</si>
  <si>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</si>
  <si>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</si>
  <si>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</si>
  <si>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</si>
  <si>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</si>
  <si>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</si>
  <si>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</si>
  <si>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</si>
  <si>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</si>
  <si>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</si>
  <si>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</si>
  <si>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</si>
  <si>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</si>
  <si>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</si>
  <si>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</si>
  <si>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</si>
  <si>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</si>
  <si>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</si>
  <si>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</si>
  <si>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</si>
  <si>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</si>
  <si>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</si>
  <si>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</si>
  <si>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</si>
  <si>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</si>
  <si>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</si>
  <si>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</si>
  <si>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</si>
  <si>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</si>
  <si>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</si>
  <si>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</si>
  <si>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</si>
  <si>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</si>
  <si>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</si>
  <si>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</si>
  <si>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</si>
  <si>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</si>
  <si>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</si>
  <si>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</si>
  <si>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</si>
  <si>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</si>
  <si>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</si>
  <si>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</si>
  <si>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</si>
  <si>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</si>
  <si>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</si>
  <si>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</si>
  <si>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</si>
  <si>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</si>
  <si>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</si>
  <si>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</si>
  <si>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</si>
  <si>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</si>
  <si>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</si>
  <si>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</si>
  <si>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</si>
  <si>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</si>
  <si>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</si>
  <si>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</si>
  <si>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</si>
  <si>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</si>
  <si>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</si>
  <si>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</si>
  <si>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</si>
  <si>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</si>
  <si>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</si>
  <si>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</si>
  <si>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</si>
  <si>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</si>
  <si>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</si>
  <si>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</si>
  <si>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</si>
  <si>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</si>
  <si>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</si>
  <si>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</si>
  <si>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</si>
  <si>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</si>
  <si>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</si>
  <si>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</si>
  <si>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</si>
  <si>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</si>
  <si>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</si>
  <si>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</si>
  <si>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</si>
  <si>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</si>
  <si>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</si>
  <si>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</si>
  <si>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</si>
  <si>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</si>
  <si>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</si>
  <si>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</si>
  <si>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</si>
  <si>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</si>
  <si>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</si>
  <si>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</si>
  <si>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</si>
  <si>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</si>
  <si>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</si>
  <si>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</si>
  <si>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</si>
  <si>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</si>
  <si>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</si>
  <si>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</si>
  <si>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</si>
  <si>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</si>
  <si>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</si>
  <si>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</si>
  <si>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</si>
  <si>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</si>
  <si>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</si>
  <si>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</si>
  <si>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</si>
  <si>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</si>
  <si>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</si>
  <si>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</si>
  <si>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</si>
  <si>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</si>
  <si>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</si>
  <si>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</si>
  <si>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</si>
  <si>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</si>
  <si>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</si>
  <si>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</si>
  <si>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</si>
  <si>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</si>
  <si>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</si>
  <si>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</si>
  <si>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</si>
  <si>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</si>
  <si>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</si>
  <si>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</si>
  <si>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</si>
  <si>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</si>
  <si>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</si>
  <si>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</si>
  <si>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</si>
  <si>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</si>
  <si>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</si>
  <si>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</si>
  <si>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</si>
  <si>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</si>
  <si>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</si>
  <si>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</si>
  <si>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</si>
  <si>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</si>
  <si>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</si>
  <si>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</si>
  <si>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</si>
  <si>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</si>
  <si>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</si>
  <si>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</si>
  <si>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</si>
  <si>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</si>
  <si>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</si>
  <si>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</si>
  <si>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</si>
  <si>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</si>
  <si>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</si>
  <si>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</si>
  <si>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</si>
  <si>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</si>
  <si>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</si>
  <si>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</si>
  <si>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</si>
  <si>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</si>
  <si>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</si>
  <si>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</si>
  <si>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</si>
  <si>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</si>
  <si>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</si>
  <si>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</si>
  <si>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</si>
  <si>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</si>
  <si>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</si>
  <si>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</si>
  <si>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</si>
  <si>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</si>
  <si>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</si>
  <si>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</si>
  <si>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</si>
  <si>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</si>
  <si>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</si>
  <si>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</si>
  <si>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</si>
  <si>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</si>
  <si>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</si>
  <si>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</si>
  <si>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</si>
  <si>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</si>
  <si>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</si>
  <si>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</si>
  <si>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</si>
  <si>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</si>
  <si>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</si>
  <si>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</si>
  <si>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</si>
  <si>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</si>
  <si>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</si>
  <si>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</si>
  <si>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</si>
  <si>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</si>
  <si>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</si>
  <si>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</si>
  <si>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</si>
  <si>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</si>
  <si>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</si>
  <si>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</si>
  <si>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</si>
  <si>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</si>
  <si>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</si>
  <si>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</si>
  <si>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</si>
  <si>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</si>
  <si>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</si>
  <si>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</si>
  <si>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</si>
  <si>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</si>
  <si>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</si>
  <si>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</si>
  <si>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</si>
  <si>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</si>
  <si>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</si>
  <si>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</si>
  <si>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</si>
  <si>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</si>
  <si>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</si>
  <si>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</si>
  <si>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</si>
  <si>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</si>
  <si>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</si>
  <si>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</si>
  <si>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</si>
  <si>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</si>
  <si>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</si>
  <si>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</si>
  <si>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</si>
  <si>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</si>
  <si>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</si>
  <si>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</si>
  <si>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</si>
  <si>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</si>
  <si>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</si>
  <si>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</si>
  <si>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</si>
  <si>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</si>
  <si>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</si>
  <si>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</si>
  <si>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</si>
  <si>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</si>
  <si>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</si>
  <si>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</si>
  <si>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</si>
  <si>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</si>
  <si>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</si>
  <si>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</si>
  <si>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</si>
  <si>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</si>
  <si>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</si>
  <si>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</si>
  <si>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</si>
  <si>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</si>
  <si>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</si>
  <si>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</si>
  <si>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</si>
  <si>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</si>
  <si>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</si>
  <si>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</si>
  <si>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</si>
  <si>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</si>
  <si>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</si>
  <si>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</si>
  <si>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</si>
  <si>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</si>
  <si>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</si>
  <si>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</si>
  <si>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</si>
  <si>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</si>
  <si>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</si>
  <si>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</si>
  <si>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</si>
  <si>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</si>
  <si>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</si>
  <si>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</si>
  <si>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</si>
  <si>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</si>
  <si>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</si>
  <si>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</si>
  <si>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</si>
  <si>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</si>
  <si>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</si>
  <si>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</si>
  <si>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</si>
  <si>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</si>
  <si>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</si>
  <si>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</si>
  <si>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</si>
  <si>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</si>
  <si>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</si>
  <si>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</si>
  <si>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</si>
  <si>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</si>
  <si>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</si>
  <si>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</si>
  <si>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</si>
  <si>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</si>
  <si>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</si>
  <si>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</si>
  <si>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</si>
  <si>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</si>
  <si>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</si>
  <si>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</si>
  <si>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</si>
  <si>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</si>
  <si>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</si>
  <si>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</si>
  <si>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</si>
  <si>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</si>
  <si>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</si>
  <si>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</si>
  <si>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</si>
  <si>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</si>
  <si>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</si>
  <si>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</si>
  <si>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</si>
  <si>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</si>
  <si>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</si>
  <si>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</si>
  <si>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</si>
  <si>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</si>
  <si>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</si>
  <si>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</si>
  <si>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</si>
  <si>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</si>
  <si>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</si>
  <si>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</si>
  <si>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</si>
  <si>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</si>
  <si>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</si>
  <si>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</si>
  <si>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</si>
  <si>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</si>
  <si>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</si>
  <si>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</si>
  <si>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</si>
  <si>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</si>
  <si>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</si>
  <si>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</si>
  <si>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</si>
  <si>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</si>
  <si>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</si>
  <si>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</si>
  <si>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</si>
  <si>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</si>
  <si>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</si>
  <si>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</si>
  <si>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</si>
  <si>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</si>
  <si>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</si>
  <si>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</si>
  <si>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</si>
  <si>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</si>
  <si>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</si>
  <si>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</si>
  <si>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</si>
  <si>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</si>
  <si>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</si>
  <si>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</si>
  <si>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</si>
  <si>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</si>
  <si>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</si>
  <si>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</si>
  <si>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</si>
  <si>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</si>
  <si>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</si>
  <si>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</si>
  <si>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</si>
  <si>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</si>
  <si>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</si>
  <si>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</si>
  <si>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</si>
  <si>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</si>
  <si>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</si>
  <si>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</si>
  <si>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</si>
  <si>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</si>
  <si>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</si>
  <si>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</si>
  <si>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</si>
  <si>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</si>
  <si>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</si>
  <si>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</si>
  <si>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</si>
  <si>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</si>
  <si>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</si>
  <si>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</si>
  <si>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</si>
  <si>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</si>
  <si>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</si>
  <si>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</si>
  <si>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</si>
  <si>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</si>
  <si>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</si>
  <si>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</si>
  <si>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</si>
  <si>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</si>
  <si>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</si>
  <si>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</si>
  <si>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</si>
  <si>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</si>
  <si>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</si>
  <si>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</si>
  <si>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</si>
  <si>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</si>
  <si>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</si>
  <si>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</si>
  <si>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</si>
  <si>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</si>
  <si>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</si>
  <si>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</si>
  <si>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</si>
  <si>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</si>
  <si>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</si>
  <si>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</si>
  <si>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</si>
  <si>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</si>
  <si>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</si>
  <si>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</si>
  <si>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</si>
  <si>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</si>
  <si>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</si>
  <si>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</si>
  <si>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</si>
  <si>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</si>
  <si>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</si>
  <si>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</si>
  <si>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</si>
  <si>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</si>
  <si>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</si>
  <si>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</si>
  <si>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</si>
  <si>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</si>
  <si>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</si>
  <si>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</si>
  <si>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</si>
  <si>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</si>
  <si>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</si>
  <si>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</si>
  <si>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</si>
  <si>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</si>
  <si>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</si>
  <si>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</si>
  <si>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</si>
  <si>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</si>
  <si>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</si>
  <si>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</si>
  <si>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</si>
  <si>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</si>
  <si>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</si>
  <si>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</si>
  <si>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</si>
  <si>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</si>
  <si>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</si>
  <si>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</si>
  <si>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</si>
  <si>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</si>
  <si>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</si>
  <si>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</si>
  <si>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</si>
  <si>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</si>
  <si>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</si>
  <si>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</si>
  <si>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</si>
  <si>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</si>
  <si>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</si>
  <si>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</si>
  <si>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</si>
  <si>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</si>
  <si>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</si>
  <si>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</si>
  <si>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</si>
  <si>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</si>
  <si>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</si>
  <si>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</si>
  <si>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</si>
  <si>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</si>
  <si>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</si>
  <si>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</si>
  <si>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</si>
  <si>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</si>
  <si>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</si>
  <si>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</si>
  <si>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</si>
  <si>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</si>
  <si>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</si>
  <si>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</si>
  <si>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</si>
  <si>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</si>
  <si>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</si>
  <si>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</si>
  <si>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</si>
  <si>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</si>
  <si>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</si>
  <si>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</si>
  <si>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</si>
  <si>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</si>
  <si>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</si>
  <si>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</si>
  <si>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</si>
  <si>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</si>
  <si>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</si>
  <si>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</si>
  <si>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</si>
  <si>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</si>
  <si>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</si>
  <si>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</si>
  <si>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</si>
  <si>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</si>
  <si>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</si>
  <si>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</si>
  <si>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</si>
  <si>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</si>
  <si>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</si>
  <si>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</si>
  <si>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</si>
  <si>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</si>
  <si>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</si>
  <si>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</si>
  <si>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</si>
  <si>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</si>
  <si>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</si>
  <si>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</si>
  <si>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</si>
  <si>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</si>
  <si>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</si>
  <si>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</si>
  <si>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</si>
  <si>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</si>
  <si>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</si>
  <si>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</si>
  <si>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</si>
  <si>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</si>
  <si>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</si>
  <si>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</si>
  <si>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</si>
  <si>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</si>
  <si>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</si>
  <si>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</si>
  <si>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</si>
  <si>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</si>
  <si>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</si>
  <si>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</si>
  <si>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</si>
  <si>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</si>
  <si>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</si>
  <si>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</si>
  <si>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</si>
  <si>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</si>
  <si>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</si>
  <si>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</si>
  <si>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</si>
  <si>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</si>
  <si>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</si>
  <si>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</si>
  <si>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</si>
  <si>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</si>
  <si>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</si>
  <si>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</si>
  <si>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</si>
  <si>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</si>
  <si>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</si>
  <si>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</si>
  <si>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</si>
  <si>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</si>
  <si>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</si>
  <si>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</si>
  <si>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</si>
  <si>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</si>
  <si>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</si>
  <si>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</si>
  <si>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</si>
  <si>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</si>
  <si>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</si>
  <si>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</si>
  <si>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</si>
  <si>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</si>
  <si>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</si>
  <si>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</si>
  <si>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</si>
  <si>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</si>
  <si>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</si>
  <si>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</si>
  <si>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</si>
  <si>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</si>
  <si>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</si>
  <si>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</si>
  <si>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</si>
  <si>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</si>
  <si>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</si>
  <si>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</si>
  <si>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</si>
  <si>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</si>
  <si>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</si>
  <si>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</si>
  <si>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</si>
  <si>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</si>
  <si>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</si>
  <si>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</si>
  <si>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</si>
  <si>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</si>
  <si>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</si>
  <si>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</si>
  <si>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</si>
  <si>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</si>
  <si>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</si>
  <si>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</si>
  <si>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</si>
  <si>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</si>
  <si>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</si>
  <si>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</si>
  <si>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</si>
  <si>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</si>
  <si>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</si>
  <si>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</si>
  <si>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</si>
  <si>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</si>
  <si>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</si>
  <si>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</si>
  <si>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</si>
  <si>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</si>
  <si>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</si>
  <si>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</si>
  <si>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</si>
  <si>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</si>
  <si>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</si>
  <si>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</si>
  <si>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</si>
  <si>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</si>
  <si>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</si>
  <si>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</si>
  <si>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</si>
  <si>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</si>
  <si>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</si>
  <si>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</si>
  <si>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</si>
  <si>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</si>
  <si>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</si>
  <si>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</si>
  <si>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</si>
  <si>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</si>
  <si>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</si>
  <si>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</si>
  <si>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</si>
  <si>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</si>
  <si>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</si>
  <si>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</si>
  <si>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</si>
  <si>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</si>
  <si>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</si>
  <si>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</si>
  <si>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</si>
  <si>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</si>
  <si>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</si>
  <si>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</si>
  <si>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</si>
  <si>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</si>
  <si>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</si>
  <si>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</si>
  <si>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</si>
  <si>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</si>
  <si>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</si>
  <si>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</si>
  <si>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</si>
  <si>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</si>
  <si>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</si>
  <si>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</si>
  <si>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</si>
  <si>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</si>
  <si>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</si>
  <si>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</si>
  <si>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</si>
  <si>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</si>
  <si>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</si>
  <si>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</si>
  <si>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</si>
  <si>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</si>
  <si>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</si>
  <si>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</si>
  <si>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</si>
  <si>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</si>
  <si>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</si>
  <si>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</si>
  <si>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</si>
  <si>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</si>
  <si>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</si>
  <si>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</si>
  <si>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</si>
  <si>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</si>
  <si>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</si>
  <si>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</si>
  <si>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</si>
  <si>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</si>
  <si>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</si>
  <si>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</si>
  <si>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</si>
  <si>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</si>
  <si>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</si>
  <si>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</si>
  <si>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</si>
  <si>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</si>
  <si>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</si>
  <si>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</si>
  <si>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</si>
  <si>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</si>
  <si>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</si>
  <si>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</si>
  <si>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</si>
  <si>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</si>
  <si>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</si>
  <si>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</si>
  <si>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</si>
  <si>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</si>
  <si>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</si>
  <si>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</si>
  <si>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</si>
  <si>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</si>
  <si>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</si>
  <si>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</si>
  <si>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</si>
  <si>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</si>
  <si>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</si>
  <si>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</si>
  <si>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</si>
  <si>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</si>
  <si>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</si>
  <si>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</si>
  <si>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</si>
  <si>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</si>
  <si>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</si>
  <si>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</si>
  <si>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</si>
  <si>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</si>
  <si>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</si>
  <si>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</si>
  <si>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</si>
  <si>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</si>
  <si>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</si>
  <si>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</si>
  <si>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</si>
  <si>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</si>
  <si>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</si>
  <si>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</si>
  <si>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</si>
  <si>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</si>
  <si>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</si>
  <si>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</si>
  <si>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</si>
  <si>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</si>
  <si>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</si>
  <si>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</si>
  <si>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</si>
  <si>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</si>
  <si>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</si>
  <si>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</si>
  <si>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</si>
  <si>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</si>
  <si>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</si>
  <si>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</si>
  <si>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</si>
  <si>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</si>
  <si>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</si>
  <si>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</si>
  <si>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</si>
  <si>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</si>
  <si>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</si>
  <si>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</si>
  <si>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</si>
  <si>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</si>
  <si>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</si>
  <si>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</si>
  <si>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</si>
  <si>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</si>
  <si>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</si>
  <si>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</si>
  <si>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</si>
  <si>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</si>
  <si>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</si>
  <si>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</si>
  <si>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</si>
  <si>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</si>
  <si>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</si>
  <si>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</si>
  <si>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</si>
  <si>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</si>
  <si>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</si>
  <si>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</si>
  <si>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</si>
  <si>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</si>
  <si>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</si>
  <si>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</si>
  <si>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</si>
  <si>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</si>
  <si>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</si>
  <si>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</si>
  <si>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</si>
  <si>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</si>
  <si>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</si>
  <si>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</si>
  <si>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</si>
  <si>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</si>
  <si>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</si>
  <si>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</si>
  <si>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</si>
  <si>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</si>
  <si>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</si>
  <si>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</si>
  <si>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</si>
  <si>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</si>
  <si>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</si>
  <si>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</si>
  <si>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</si>
  <si>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</si>
  <si>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</si>
  <si>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</si>
  <si>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</si>
  <si>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</si>
  <si>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</si>
  <si>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</si>
  <si>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</si>
  <si>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</si>
  <si>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</si>
  <si>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</si>
  <si>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</si>
  <si>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</si>
  <si>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</si>
  <si>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</si>
  <si>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</si>
  <si>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</si>
  <si>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</si>
  <si>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</si>
  <si>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</si>
  <si>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</si>
  <si>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</si>
  <si>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</si>
  <si>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</si>
  <si>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</si>
  <si>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</si>
  <si>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</si>
  <si>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</si>
  <si>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</si>
  <si>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</si>
  <si>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</si>
  <si>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</si>
  <si>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</si>
  <si>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</si>
  <si>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</si>
  <si>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</si>
  <si>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</si>
  <si>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</si>
  <si>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</si>
  <si>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</si>
  <si>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</si>
  <si>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</si>
  <si>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</si>
  <si>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</si>
  <si>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</si>
  <si>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</si>
  <si>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</si>
  <si>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</si>
  <si>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</si>
  <si>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</si>
  <si>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</si>
  <si>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</si>
  <si>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</si>
  <si>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</si>
  <si>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</si>
  <si>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</si>
  <si>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</si>
  <si>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</si>
  <si>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</si>
  <si>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</si>
  <si>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</si>
  <si>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</si>
  <si>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</si>
  <si>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</si>
  <si>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</si>
  <si>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</si>
  <si>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</si>
  <si>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</si>
  <si>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</si>
  <si>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</si>
  <si>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</si>
  <si>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</si>
  <si>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</si>
  <si>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</si>
  <si>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</si>
  <si>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</si>
  <si>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</si>
  <si>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</si>
  <si>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</si>
  <si>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</si>
  <si>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</si>
  <si>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</si>
  <si>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</si>
  <si>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</si>
  <si>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</si>
  <si>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</si>
  <si>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</si>
  <si>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</si>
  <si>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</si>
  <si>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</si>
  <si>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</si>
  <si>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</si>
  <si>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</si>
  <si>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</si>
  <si>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</si>
  <si>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</si>
  <si>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</si>
  <si>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</si>
  <si>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</si>
  <si>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</si>
  <si>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</si>
  <si>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</si>
  <si>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</si>
  <si>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</si>
  <si>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</si>
  <si>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</si>
  <si>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</si>
  <si>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</si>
  <si>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</si>
  <si>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</si>
  <si>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</si>
  <si>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</si>
  <si>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</si>
  <si>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</si>
  <si>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</si>
  <si>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</si>
  <si>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</si>
  <si>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</si>
  <si>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</si>
  <si>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</si>
  <si>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</si>
  <si>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</si>
  <si>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</si>
  <si>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</si>
  <si>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</si>
  <si>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</si>
  <si>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</si>
  <si>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</si>
  <si>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</si>
  <si>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</si>
  <si>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</si>
  <si>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</si>
  <si>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</si>
  <si>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</si>
  <si>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</si>
  <si>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</si>
  <si>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</si>
  <si>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</si>
  <si>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</si>
  <si>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</si>
  <si>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</si>
  <si>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</si>
  <si>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</si>
  <si>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</si>
  <si>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</si>
  <si>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</si>
  <si>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</si>
  <si>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</si>
  <si>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</si>
  <si>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</si>
  <si>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</si>
  <si>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</si>
  <si>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</si>
  <si>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</si>
  <si>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</si>
  <si>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</si>
  <si>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</si>
  <si>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</si>
  <si>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</si>
  <si>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</si>
  <si>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</si>
  <si>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</si>
  <si>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</si>
  <si>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</si>
  <si>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</si>
  <si>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</si>
  <si>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</si>
  <si>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</si>
  <si>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</si>
  <si>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</si>
  <si>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</si>
  <si>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</si>
  <si>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</si>
  <si>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</si>
  <si>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</si>
  <si>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</si>
  <si>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</si>
  <si>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</si>
  <si>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</si>
  <si>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</si>
  <si>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</si>
  <si>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</si>
  <si>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</si>
  <si>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</si>
  <si>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</si>
  <si>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</si>
  <si>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</si>
  <si>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</si>
  <si>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</si>
  <si>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</si>
  <si>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</si>
  <si>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</si>
  <si>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</si>
  <si>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</si>
  <si>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</si>
  <si>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</si>
  <si>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</si>
  <si>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</si>
  <si>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</si>
  <si>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</si>
  <si>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</si>
  <si>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</si>
  <si>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</si>
  <si>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</si>
  <si>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</si>
  <si>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</si>
  <si>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</si>
  <si>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</si>
  <si>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</si>
  <si>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</si>
  <si>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</si>
  <si>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</si>
  <si>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</si>
  <si>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</si>
  <si>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</si>
  <si>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</si>
  <si>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</si>
  <si>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</si>
  <si>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</si>
  <si>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</si>
  <si>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</si>
  <si>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</si>
  <si>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</si>
  <si>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</si>
  <si>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</si>
  <si>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</si>
  <si>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</si>
  <si>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</si>
  <si>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</si>
  <si>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</si>
  <si>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</si>
  <si>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</si>
  <si>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</si>
  <si>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</si>
  <si>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</si>
  <si>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</si>
  <si>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</si>
  <si>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</si>
  <si>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</si>
  <si>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</si>
  <si>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</si>
  <si>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</si>
  <si>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</si>
  <si>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</si>
  <si>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</si>
  <si>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</si>
  <si>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</si>
  <si>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</si>
  <si>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</si>
  <si>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</si>
  <si>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</si>
  <si>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</si>
  <si>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</si>
  <si>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</si>
  <si>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</si>
  <si>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</si>
  <si>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</si>
  <si>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</si>
  <si>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</si>
  <si>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</si>
  <si>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</si>
  <si>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</si>
  <si>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</si>
  <si>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</si>
  <si>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</si>
  <si>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</si>
  <si>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</si>
  <si>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</si>
  <si>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</si>
  <si>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</si>
  <si>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</si>
  <si>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</si>
  <si>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</si>
  <si>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</si>
  <si>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</si>
  <si>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</si>
  <si>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</si>
  <si>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</si>
  <si>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</si>
  <si>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</si>
  <si>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</si>
  <si>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</si>
  <si>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</si>
  <si>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</si>
  <si>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</si>
  <si>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</si>
  <si>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</si>
  <si>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</si>
  <si>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</si>
  <si>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</si>
  <si>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</si>
  <si>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</si>
  <si>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</si>
  <si>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</si>
  <si>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</si>
  <si>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</si>
  <si>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</si>
  <si>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</si>
  <si>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</si>
  <si>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</si>
  <si>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</si>
  <si>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</si>
  <si>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</si>
  <si>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</si>
  <si>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</si>
  <si>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</si>
  <si>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</si>
  <si>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</si>
  <si>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</si>
  <si>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</si>
  <si>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</si>
  <si>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</si>
  <si>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</si>
  <si>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</si>
  <si>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</si>
  <si>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</si>
  <si>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</si>
  <si>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</si>
  <si>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</si>
  <si>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</si>
  <si>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</si>
  <si>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</si>
  <si>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</si>
  <si>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</si>
  <si>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</si>
  <si>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</si>
  <si>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</si>
  <si>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</si>
  <si>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</si>
  <si>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</si>
  <si>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</si>
  <si>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</si>
  <si>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</si>
  <si>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</si>
  <si>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</si>
  <si>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</si>
  <si>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</si>
  <si>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</si>
  <si>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</si>
  <si>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</si>
  <si>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</si>
  <si>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</si>
  <si>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</si>
  <si>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</si>
  <si>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</si>
  <si>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</si>
  <si>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</si>
  <si>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</si>
  <si>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</si>
  <si>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</si>
  <si>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</si>
  <si>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</si>
  <si>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</si>
  <si>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</si>
  <si>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</si>
  <si>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</si>
  <si>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</si>
  <si>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</si>
  <si>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</si>
  <si>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</si>
  <si>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</si>
  <si>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</si>
  <si>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</si>
  <si>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</si>
  <si>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</si>
  <si>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</si>
  <si>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</si>
  <si>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</si>
  <si>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</si>
  <si>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</si>
  <si>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</si>
  <si>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</si>
  <si>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</si>
  <si>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</si>
  <si>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</si>
  <si>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</si>
  <si>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</si>
  <si>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</si>
  <si>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</si>
  <si>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</si>
  <si>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</si>
  <si>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</si>
  <si>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</si>
  <si>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</si>
  <si>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</si>
  <si>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</si>
  <si>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</si>
  <si>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</si>
  <si>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</si>
  <si>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</si>
  <si>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</si>
  <si>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</si>
  <si>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</si>
  <si>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</si>
  <si>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</si>
  <si>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</si>
  <si>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</si>
  <si>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</si>
  <si>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</si>
  <si>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</si>
  <si>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</si>
  <si>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</si>
  <si>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</si>
  <si>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</si>
  <si>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</si>
  <si>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</si>
  <si>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</si>
  <si>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</si>
  <si>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</si>
  <si>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</si>
  <si>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</si>
  <si>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</si>
  <si>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</si>
  <si>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</si>
  <si>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</si>
  <si>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</si>
  <si>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</si>
  <si>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</si>
  <si>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</si>
  <si>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</si>
  <si>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</si>
  <si>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</si>
  <si>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</si>
  <si>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</si>
  <si>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</si>
  <si>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</si>
  <si>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</si>
  <si>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</si>
  <si>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</si>
  <si>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</si>
  <si>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</si>
  <si>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</si>
  <si>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</si>
  <si>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</si>
  <si>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</si>
  <si>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</si>
  <si>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</si>
  <si>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</si>
  <si>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</si>
  <si>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</si>
  <si>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</si>
  <si>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</si>
  <si>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</si>
  <si>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</si>
  <si>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</si>
  <si>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</si>
  <si>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</si>
  <si>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</si>
  <si>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</si>
  <si>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</si>
  <si>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</si>
  <si>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</si>
  <si>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</si>
  <si>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</si>
  <si>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</si>
  <si>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</si>
  <si>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</si>
  <si>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</si>
  <si>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</si>
  <si>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</si>
  <si>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</si>
  <si>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</si>
  <si>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</si>
  <si>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</si>
  <si>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</si>
  <si>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</si>
  <si>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</si>
  <si>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</si>
  <si>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</si>
  <si>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</si>
  <si>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</si>
  <si>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</si>
  <si>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</si>
  <si>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</si>
  <si>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</si>
  <si>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</si>
  <si>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</si>
  <si>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</si>
  <si>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</si>
  <si>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</si>
  <si>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</si>
  <si>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</si>
  <si>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</si>
  <si>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</si>
  <si>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</si>
  <si>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</si>
  <si>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</si>
  <si>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</si>
  <si>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</si>
  <si>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</si>
  <si>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</si>
  <si>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</si>
  <si>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</si>
  <si>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</si>
  <si>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</si>
  <si>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</si>
  <si>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</si>
  <si>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</si>
  <si>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</si>
  <si>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</si>
  <si>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</si>
  <si>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</si>
  <si>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</si>
  <si>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</si>
  <si>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</si>
  <si>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</si>
  <si>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</si>
  <si>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</si>
  <si>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</si>
  <si>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</si>
  <si>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</si>
  <si>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</si>
  <si>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</si>
  <si>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</si>
  <si>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</si>
  <si>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</si>
  <si>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</si>
  <si>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</si>
  <si>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</si>
  <si>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</si>
  <si>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</si>
  <si>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</si>
  <si>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</si>
  <si>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</si>
  <si>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</si>
  <si>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</si>
  <si>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</si>
  <si>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</si>
  <si>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</si>
  <si>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</si>
  <si>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</si>
  <si>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</si>
  <si>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</si>
  <si>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</si>
  <si>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</si>
  <si>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</si>
  <si>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</si>
  <si>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</si>
  <si>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</si>
  <si>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</si>
  <si>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</si>
  <si>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</si>
  <si>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</si>
  <si>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</si>
  <si>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</si>
  <si>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</si>
  <si>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</si>
  <si>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</si>
  <si>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</si>
  <si>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</si>
  <si>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</si>
  <si>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</si>
  <si>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</si>
  <si>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</si>
  <si>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</si>
  <si>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</si>
  <si>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</si>
  <si>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</si>
  <si>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</si>
  <si>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</si>
  <si>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</si>
  <si>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</si>
  <si>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</si>
  <si>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</si>
  <si>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</si>
  <si>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</si>
  <si>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</si>
  <si>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</si>
  <si>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</si>
  <si>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</si>
  <si>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</si>
  <si>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</si>
  <si>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</si>
  <si>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</si>
  <si>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</si>
  <si>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</si>
  <si>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</si>
  <si>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</si>
  <si>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</si>
  <si>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</si>
  <si>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</si>
  <si>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</si>
  <si>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</si>
  <si>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</si>
  <si>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</si>
  <si>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</si>
  <si>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</si>
  <si>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</si>
  <si>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</si>
  <si>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</si>
  <si>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</si>
  <si>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</si>
  <si>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</si>
  <si>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</si>
  <si>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</si>
  <si>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</si>
  <si>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</si>
  <si>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</si>
  <si>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</si>
  <si>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</si>
  <si>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</si>
  <si>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</si>
  <si>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</si>
  <si>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</si>
  <si>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</si>
  <si>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</si>
  <si>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</si>
  <si>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</si>
  <si>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</si>
  <si>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</si>
  <si>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</si>
  <si>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</si>
  <si>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</si>
  <si>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</si>
  <si>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</si>
  <si>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</si>
  <si>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</si>
  <si>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</si>
  <si>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</si>
  <si>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</si>
  <si>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</si>
  <si>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</si>
  <si>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</si>
  <si>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</si>
  <si>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</si>
  <si>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</si>
  <si>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</si>
  <si>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</si>
  <si>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</si>
  <si>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</si>
  <si>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</si>
  <si>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</si>
  <si>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</si>
  <si>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</si>
  <si>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</si>
  <si>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</si>
  <si>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</si>
  <si>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</si>
  <si>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</si>
  <si>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</si>
  <si>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</si>
  <si>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</si>
  <si>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</si>
  <si>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</si>
  <si>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</si>
  <si>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</si>
  <si>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</si>
  <si>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</si>
  <si>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</si>
  <si>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</si>
  <si>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</si>
  <si>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</si>
  <si>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</si>
  <si>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</si>
  <si>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</si>
  <si>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</si>
  <si>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</si>
  <si>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</si>
  <si>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</si>
  <si>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</si>
  <si>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</si>
  <si>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</si>
  <si>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</si>
  <si>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</si>
  <si>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</si>
  <si>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</si>
  <si>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</si>
  <si>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</si>
  <si>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</si>
  <si>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</si>
  <si>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</si>
  <si>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</si>
  <si>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</si>
  <si>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</si>
  <si>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</si>
  <si>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</si>
  <si>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</si>
  <si>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</si>
  <si>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</si>
  <si>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</si>
  <si>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</si>
  <si>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</si>
  <si>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</si>
  <si>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</si>
  <si>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</si>
  <si>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</si>
  <si>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</si>
  <si>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</si>
  <si>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</si>
  <si>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</si>
  <si>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</si>
  <si>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</si>
  <si>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</si>
  <si>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</si>
  <si>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</si>
  <si>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</si>
  <si>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</si>
  <si>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</si>
  <si>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</si>
  <si>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</si>
  <si>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</si>
  <si>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</si>
  <si>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</si>
  <si>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</si>
  <si>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</si>
  <si>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</si>
  <si>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</si>
  <si>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</si>
  <si>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</si>
  <si>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</si>
  <si>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</si>
  <si>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</si>
  <si>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</si>
  <si>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</si>
  <si>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</si>
  <si>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</si>
  <si>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</si>
  <si>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</si>
  <si>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</si>
  <si>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</si>
  <si>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</si>
  <si>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</si>
  <si>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</si>
  <si>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</si>
  <si>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</si>
  <si>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</si>
  <si>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</si>
  <si>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</si>
  <si>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</si>
  <si>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</si>
  <si>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</si>
  <si>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</si>
  <si>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</si>
  <si>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</si>
  <si>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</si>
  <si>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</si>
  <si>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</si>
  <si>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</si>
  <si>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</si>
  <si>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</si>
  <si>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</si>
  <si>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</si>
  <si>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</si>
  <si>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</si>
  <si>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</si>
  <si>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</si>
  <si>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</si>
  <si>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</si>
  <si>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</si>
  <si>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</si>
  <si>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</si>
  <si>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</si>
  <si>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</si>
  <si>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</si>
  <si>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</si>
  <si>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</si>
  <si>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</si>
  <si>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</si>
  <si>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</si>
  <si>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</si>
  <si>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</si>
  <si>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</si>
  <si>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</si>
  <si>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</si>
  <si>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</si>
  <si>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</si>
  <si>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</si>
  <si>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</si>
  <si>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</si>
  <si>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</si>
  <si>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</si>
  <si>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</si>
  <si>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</si>
  <si>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</si>
  <si>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</si>
  <si>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</si>
  <si>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</si>
  <si>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</si>
  <si>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</si>
  <si>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</si>
  <si>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</si>
  <si>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</si>
  <si>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</si>
  <si>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</si>
  <si>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</si>
  <si>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</si>
  <si>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</si>
  <si>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</si>
  <si>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</si>
  <si>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</si>
  <si>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</si>
  <si>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</si>
  <si>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</si>
  <si>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</si>
  <si>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</si>
  <si>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</si>
  <si>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</si>
  <si>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</si>
  <si>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</si>
  <si>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</si>
  <si>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</si>
  <si>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</si>
  <si>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</si>
  <si>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</si>
  <si>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</si>
  <si>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</si>
  <si>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</si>
  <si>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</si>
  <si>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</si>
  <si>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</si>
  <si>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</si>
  <si>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</si>
  <si>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</si>
  <si>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</si>
  <si>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</si>
  <si>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</si>
  <si>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</si>
  <si>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</si>
  <si>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</si>
  <si>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</si>
  <si>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</si>
  <si>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</si>
  <si>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</si>
  <si>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</si>
  <si>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</si>
  <si>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</si>
  <si>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</si>
  <si>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</si>
  <si>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</si>
  <si>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</si>
  <si>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</si>
  <si>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</si>
  <si>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</si>
  <si>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</si>
  <si>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</si>
  <si>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</si>
  <si>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</si>
  <si>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</si>
  <si>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</si>
  <si>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</si>
  <si>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</si>
  <si>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</si>
  <si>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</si>
  <si>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</si>
  <si>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</si>
  <si>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</si>
  <si>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</si>
  <si>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</si>
  <si>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</si>
  <si>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</si>
  <si>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</si>
  <si>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</si>
  <si>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</si>
  <si>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</si>
  <si>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</si>
  <si>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</si>
  <si>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</si>
  <si>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</si>
  <si>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</si>
  <si>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</si>
  <si>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</si>
  <si>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</si>
  <si>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</si>
  <si>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</si>
  <si>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</si>
  <si>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</si>
  <si>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</si>
  <si>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</si>
  <si>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</si>
  <si>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</si>
  <si>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</si>
  <si>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</si>
  <si>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</si>
  <si>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</si>
  <si>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</si>
  <si>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</si>
  <si>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</si>
  <si>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</si>
  <si>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</si>
  <si>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</si>
  <si>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</si>
  <si>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</si>
  <si>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</si>
  <si>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</si>
  <si>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</si>
  <si>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</si>
  <si>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</si>
  <si>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</si>
  <si>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</si>
  <si>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</si>
  <si>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</si>
  <si>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</si>
  <si>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</si>
  <si>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</si>
  <si>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</si>
  <si>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</si>
  <si>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</si>
  <si>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</si>
  <si>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</si>
  <si>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</si>
  <si>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</si>
  <si>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</si>
  <si>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</si>
  <si>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</si>
  <si>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</si>
  <si>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</si>
  <si>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</si>
  <si>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</si>
  <si>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</si>
  <si>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</si>
  <si>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</si>
  <si>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</si>
  <si>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</si>
  <si>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</si>
  <si>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</si>
  <si>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</si>
  <si>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</si>
  <si>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</si>
  <si>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</si>
  <si>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</si>
  <si>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</si>
  <si>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</si>
  <si>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</si>
  <si>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</si>
  <si>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</si>
  <si>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</si>
  <si>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</si>
  <si>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</si>
  <si>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</si>
  <si>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</si>
  <si>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</si>
  <si>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</si>
  <si>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</si>
  <si>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</si>
  <si>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</si>
  <si>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</si>
  <si>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</si>
  <si>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</si>
  <si>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</si>
  <si>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</si>
  <si>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</si>
  <si>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</si>
  <si>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</si>
  <si>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</si>
  <si>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</si>
  <si>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</si>
  <si>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</si>
  <si>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</si>
  <si>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</si>
  <si>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</si>
  <si>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</si>
  <si>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</si>
  <si>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</si>
  <si>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</si>
  <si>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</si>
  <si>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</si>
  <si>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</si>
  <si>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</si>
  <si>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</si>
  <si>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</si>
  <si>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</si>
  <si>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</si>
  <si>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</si>
  <si>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</si>
  <si>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</si>
  <si>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</si>
  <si>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</si>
  <si>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</si>
  <si>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</si>
  <si>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</si>
  <si>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</si>
  <si>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</si>
  <si>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</si>
  <si>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</si>
  <si>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</si>
  <si>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</si>
  <si>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</si>
  <si>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</si>
  <si>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</si>
  <si>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</si>
  <si>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</si>
  <si>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</si>
  <si>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</si>
  <si>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</si>
  <si>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</si>
  <si>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</si>
  <si>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</si>
  <si>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</si>
  <si>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</si>
  <si>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</si>
  <si>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</si>
  <si>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</si>
  <si>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</si>
  <si>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</si>
  <si>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</si>
  <si>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</si>
  <si>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</si>
  <si>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</si>
  <si>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</si>
  <si>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</si>
  <si>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</si>
  <si>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</si>
  <si>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</si>
  <si>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</si>
  <si>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</si>
  <si>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</si>
  <si>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</si>
  <si>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</si>
  <si>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</si>
  <si>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</si>
  <si>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</si>
  <si>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</si>
  <si>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</si>
  <si>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</si>
  <si>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</si>
  <si>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</si>
  <si>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</si>
  <si>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</si>
  <si>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</si>
  <si>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</si>
  <si>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</si>
  <si>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</si>
  <si>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</si>
  <si>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</si>
  <si>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</si>
  <si>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</si>
  <si>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</si>
  <si>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</si>
  <si>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</si>
  <si>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</si>
  <si>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</si>
  <si>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</si>
  <si>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</si>
  <si>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</si>
  <si>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</si>
  <si>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</si>
  <si>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</si>
  <si>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</si>
  <si>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</si>
  <si>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</si>
  <si>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</si>
  <si>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</si>
  <si>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</si>
  <si>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</si>
  <si>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</si>
  <si>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</si>
  <si>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</si>
  <si>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</si>
  <si>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</si>
  <si>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</si>
  <si>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</si>
  <si>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</si>
  <si>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</si>
  <si>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</si>
  <si>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</si>
  <si>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</si>
  <si>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</si>
  <si>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</si>
  <si>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</si>
  <si>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</si>
  <si>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</si>
  <si>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</si>
  <si>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</si>
  <si>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</si>
  <si>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</si>
  <si>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</si>
  <si>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</si>
  <si>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</si>
  <si>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</si>
  <si>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</si>
  <si>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</si>
  <si>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</si>
  <si>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</si>
  <si>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</si>
  <si>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</si>
  <si>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</si>
  <si>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</si>
  <si>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</si>
  <si>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</si>
  <si>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</si>
  <si>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</si>
  <si>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</si>
  <si>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</si>
  <si>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</si>
  <si>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</si>
  <si>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</si>
  <si>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</si>
  <si>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</si>
  <si>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</si>
  <si>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</si>
  <si>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</si>
  <si>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</si>
  <si>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</si>
  <si>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</si>
  <si>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</si>
  <si>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</si>
  <si>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</si>
  <si>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</si>
  <si>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</si>
  <si>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</si>
  <si>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</si>
  <si>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</si>
  <si>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</si>
  <si>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</si>
  <si>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</si>
  <si>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</si>
  <si>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</si>
  <si>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</si>
  <si>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</si>
  <si>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</si>
  <si>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</si>
  <si>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</si>
  <si>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</si>
  <si>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</si>
  <si>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</si>
  <si>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</si>
  <si>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</si>
  <si>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</si>
  <si>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</si>
  <si>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</si>
  <si>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</si>
  <si>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</si>
  <si>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</si>
  <si>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</si>
  <si>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</si>
  <si>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</si>
  <si>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</si>
  <si>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</si>
  <si>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</si>
  <si>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</si>
  <si>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</si>
  <si>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</si>
  <si>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</si>
  <si>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</si>
  <si>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</si>
  <si>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</si>
  <si>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</si>
  <si>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</si>
  <si>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</si>
  <si>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</si>
  <si>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</si>
  <si>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</si>
  <si>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</si>
  <si>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</si>
  <si>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</si>
  <si>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</si>
  <si>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</si>
  <si>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</si>
  <si>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</si>
  <si>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</si>
  <si>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</si>
  <si>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</si>
  <si>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</si>
  <si>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</si>
  <si>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</si>
  <si>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</si>
  <si>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</si>
  <si>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</si>
  <si>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</si>
  <si>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</si>
  <si>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</si>
  <si>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</si>
  <si>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</si>
  <si>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</si>
  <si>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</si>
  <si>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</si>
  <si>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</si>
  <si>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</si>
  <si>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</si>
  <si>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</si>
  <si>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</si>
  <si>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</si>
  <si>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</si>
  <si>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</si>
  <si>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</si>
  <si>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</si>
  <si>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</si>
  <si>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</si>
  <si>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</si>
  <si>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</si>
  <si>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</si>
  <si>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</si>
  <si>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</si>
  <si>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</si>
  <si>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</si>
  <si>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</si>
  <si>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</si>
  <si>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</si>
  <si>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</si>
  <si>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</si>
  <si>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</si>
  <si>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</si>
  <si>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</si>
  <si>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</si>
  <si>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</si>
  <si>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</si>
  <si>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</si>
  <si>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</si>
  <si>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</si>
  <si>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</si>
  <si>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</si>
  <si>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</si>
  <si>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</si>
  <si>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</si>
  <si>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</si>
  <si>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</si>
  <si>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</si>
  <si>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</si>
  <si>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</si>
  <si>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</si>
  <si>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</si>
  <si>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</si>
  <si>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</si>
  <si>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</si>
  <si>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</si>
  <si>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</si>
  <si>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</si>
  <si>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</si>
  <si>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</si>
  <si>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</si>
  <si>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</si>
  <si>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</si>
  <si>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</si>
  <si>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</si>
  <si>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</si>
  <si>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</si>
  <si>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</si>
  <si>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</si>
  <si>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</si>
  <si>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</si>
  <si>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</si>
  <si>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</si>
  <si>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</si>
  <si>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</si>
  <si>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</si>
  <si>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</si>
  <si>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</si>
  <si>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</si>
  <si>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</si>
  <si>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</si>
  <si>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</si>
  <si>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</si>
  <si>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</si>
  <si>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</si>
  <si>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</si>
  <si>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</si>
  <si>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</si>
  <si>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</si>
  <si>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</si>
  <si>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</si>
  <si>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</si>
  <si>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</si>
  <si>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</si>
  <si>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</si>
  <si>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</si>
  <si>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</si>
  <si>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</si>
  <si>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</si>
  <si>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</si>
  <si>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</si>
  <si>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</si>
  <si>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</si>
  <si>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</si>
  <si>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</si>
  <si>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</si>
  <si>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</si>
  <si>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</si>
  <si>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</si>
  <si>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</si>
  <si>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</si>
  <si>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</si>
  <si>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</si>
  <si>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</si>
  <si>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</si>
  <si>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</si>
  <si>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</si>
  <si>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</si>
  <si>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</si>
  <si>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</si>
  <si>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</si>
  <si>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</si>
  <si>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</si>
  <si>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</si>
  <si>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</si>
  <si>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</si>
  <si>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</si>
  <si>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</si>
  <si>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</si>
  <si>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</si>
  <si>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</si>
  <si>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</si>
  <si>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</si>
  <si>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</si>
  <si>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</si>
  <si>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</si>
  <si>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</si>
  <si>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</si>
  <si>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</si>
  <si>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</si>
  <si>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</si>
  <si>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</si>
  <si>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</si>
  <si>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</si>
  <si>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</si>
  <si>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</si>
  <si>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</si>
  <si>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</si>
  <si>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</si>
  <si>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</si>
  <si>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</si>
  <si>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</si>
  <si>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</si>
  <si>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</si>
  <si>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</si>
  <si>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</si>
  <si>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</si>
  <si>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</si>
  <si>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</si>
  <si>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</si>
  <si>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</si>
  <si>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</si>
  <si>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</si>
  <si>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</si>
  <si>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</si>
  <si>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</si>
  <si>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</si>
  <si>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</si>
  <si>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</si>
  <si>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</si>
  <si>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</si>
  <si>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</si>
  <si>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</si>
  <si>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</si>
  <si>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</si>
  <si>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</si>
  <si>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</si>
  <si>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</si>
  <si>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</si>
  <si>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</si>
  <si>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</si>
  <si>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</si>
  <si>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</si>
  <si>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</si>
  <si>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</si>
  <si>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</si>
  <si>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</si>
  <si>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</si>
  <si>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</si>
  <si>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</si>
  <si>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</si>
  <si>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</si>
  <si>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</si>
  <si>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</si>
  <si>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</si>
  <si>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</si>
  <si>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</si>
  <si>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</si>
  <si>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</si>
  <si>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</si>
  <si>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</si>
  <si>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</si>
  <si>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</si>
  <si>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</si>
  <si>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</si>
  <si>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</si>
  <si>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</si>
  <si>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</si>
  <si>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</si>
  <si>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</si>
  <si>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</si>
  <si>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</si>
  <si>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</si>
  <si>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</si>
  <si>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</si>
  <si>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</si>
  <si>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</si>
  <si>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</si>
  <si>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</si>
  <si>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</si>
  <si>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</si>
  <si>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</si>
  <si>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</si>
  <si>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</si>
  <si>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</si>
  <si>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</si>
  <si>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</si>
  <si>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</si>
  <si>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</si>
  <si>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</si>
  <si>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</si>
  <si>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</si>
  <si>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</si>
  <si>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</si>
  <si>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</si>
  <si>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</si>
  <si>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</si>
  <si>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</si>
  <si>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</si>
  <si>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</si>
  <si>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</si>
  <si>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</si>
  <si>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</si>
  <si>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</si>
  <si>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</si>
  <si>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</si>
  <si>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</si>
  <si>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</si>
  <si>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</si>
  <si>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</si>
  <si>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</si>
  <si>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</si>
  <si>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</si>
  <si>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</si>
  <si>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</si>
  <si>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</si>
  <si>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</si>
  <si>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</si>
  <si>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</si>
  <si>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</si>
  <si>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</si>
  <si>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</si>
  <si>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</si>
  <si>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</si>
  <si>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</si>
  <si>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</si>
  <si>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</si>
  <si>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</si>
  <si>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</si>
  <si>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</si>
  <si>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</si>
  <si>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</si>
  <si>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</si>
  <si>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</si>
  <si>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</si>
  <si>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</si>
  <si>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</si>
  <si>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</si>
  <si>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</si>
  <si>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</si>
  <si>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</si>
  <si>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</si>
  <si>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</si>
  <si>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</si>
  <si>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</si>
  <si>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</si>
  <si>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</si>
  <si>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</si>
  <si>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</si>
  <si>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</si>
  <si>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</si>
  <si>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</si>
  <si>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</si>
  <si>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</si>
  <si>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</si>
  <si>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</si>
  <si>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</si>
  <si>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</si>
  <si>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</si>
  <si>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</si>
  <si>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</si>
  <si>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</si>
  <si>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</si>
  <si>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</si>
  <si>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</si>
  <si>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</si>
  <si>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</si>
  <si>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</si>
  <si>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</si>
  <si>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</si>
  <si>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</si>
  <si>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</si>
  <si>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</si>
  <si>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</si>
  <si>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</si>
  <si>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</si>
  <si>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</si>
  <si>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</si>
  <si>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</si>
  <si>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</si>
  <si>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</si>
  <si>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</si>
  <si>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</si>
  <si>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</si>
  <si>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</si>
  <si>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</si>
  <si>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</si>
  <si>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</si>
  <si>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</si>
  <si>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</si>
  <si>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</si>
  <si>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</si>
  <si>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</si>
  <si>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</si>
  <si>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</si>
  <si>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</si>
  <si>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</si>
  <si>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</si>
  <si>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</si>
  <si>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Not Applicable</t>
  </si>
  <si>
    <t>Karen Roper</t>
  </si>
  <si>
    <t>Director</t>
  </si>
  <si>
    <t>1770 N Broadway</t>
  </si>
  <si>
    <t>Santa Ana</t>
  </si>
  <si>
    <t>714-480-2805</t>
  </si>
  <si>
    <t>714-480-2978</t>
  </si>
  <si>
    <t xml:space="preserve"> karen.roper@occr.ocgov.com</t>
  </si>
  <si>
    <t>Orange County Community Services Department</t>
  </si>
  <si>
    <t>4672 Plumosa Drive</t>
  </si>
  <si>
    <t>Yorba Linda</t>
  </si>
  <si>
    <t>40%/60%</t>
  </si>
  <si>
    <t>323-311-02</t>
  </si>
  <si>
    <t>NA</t>
  </si>
  <si>
    <t>One or Two Story Garden</t>
  </si>
  <si>
    <t>Orange County Housing Authority</t>
  </si>
  <si>
    <t xml:space="preserve">Villa Plumosa </t>
  </si>
  <si>
    <t>Third party debt encumbering the seller's property</t>
  </si>
  <si>
    <t>Kingdom Development, Inc</t>
  </si>
  <si>
    <t>6451 Box Springs Blvd</t>
  </si>
  <si>
    <t>CA</t>
  </si>
  <si>
    <t>William Leach</t>
  </si>
  <si>
    <t>951-538-6244</t>
  </si>
  <si>
    <t>William@kingdomdevelopment.net</t>
  </si>
  <si>
    <t>National Community Renaissance of California (NCRC)</t>
  </si>
  <si>
    <t>9421 Haven Ave</t>
  </si>
  <si>
    <t>Rancho Cucomonga</t>
  </si>
  <si>
    <t>Ca</t>
  </si>
  <si>
    <t>Managing GP</t>
  </si>
  <si>
    <t>Michael Finn</t>
  </si>
  <si>
    <t>mfinn@nationalcore.org</t>
  </si>
  <si>
    <t>Partner Engineering and Science, Inc.</t>
  </si>
  <si>
    <t xml:space="preserve">25632 Serena Drive, </t>
  </si>
  <si>
    <t>Drew McCreery</t>
  </si>
  <si>
    <t>310-774-3165</t>
  </si>
  <si>
    <t>dmccreery@partneresi.com</t>
  </si>
  <si>
    <t>Valencia, CA  91355</t>
  </si>
  <si>
    <t>Onyx Architects</t>
  </si>
  <si>
    <t>2540 East Colorado Blvd</t>
  </si>
  <si>
    <t>Pasadena Ca 91107</t>
  </si>
  <si>
    <t>Steve Kuchenski, AIA/Principal</t>
  </si>
  <si>
    <t>626-644-5824</t>
  </si>
  <si>
    <t>skuchenski@ONYXarchitects.com</t>
  </si>
  <si>
    <t>Law Office of Edward Hopson</t>
  </si>
  <si>
    <t xml:space="preserve">655 N Mountain Ave. Ste A </t>
  </si>
  <si>
    <t>Upland, Ca 91786</t>
  </si>
  <si>
    <t>Ted Hopson</t>
  </si>
  <si>
    <t>909-920-6464</t>
  </si>
  <si>
    <t>ehopson@uia.net</t>
  </si>
  <si>
    <t>Partner Energy</t>
  </si>
  <si>
    <t xml:space="preserve">Dennis Rowan, PE  </t>
  </si>
  <si>
    <t>714-244-3015</t>
  </si>
  <si>
    <t>drowan@ptrenergy.com</t>
  </si>
  <si>
    <t xml:space="preserve">680 Knox St., Suite 150 </t>
  </si>
  <si>
    <t>Los Angeles, CA 90502</t>
  </si>
  <si>
    <t>Rancho Cucamonga</t>
  </si>
  <si>
    <t>Rancho Cucamonga, CA 91730</t>
  </si>
  <si>
    <t>Chris Killian</t>
  </si>
  <si>
    <t>909-204-3448</t>
  </si>
  <si>
    <t>ckillian@nationalcore.org</t>
  </si>
  <si>
    <t>Novogradac &amp; Company</t>
  </si>
  <si>
    <t>1300 114th Ave SE, STE 240</t>
  </si>
  <si>
    <t>Bellevue, WA 98004</t>
  </si>
  <si>
    <t>Thomas Stagg</t>
  </si>
  <si>
    <t>425-453-5783</t>
  </si>
  <si>
    <t>thomas.stagg@novoco.com</t>
  </si>
  <si>
    <t xml:space="preserve">KVG </t>
  </si>
  <si>
    <t>11060 Oak Street STE 6</t>
  </si>
  <si>
    <t>Omaha, NE 68144</t>
  </si>
  <si>
    <t>Jay Wortmann</t>
  </si>
  <si>
    <t>818-914-1892</t>
  </si>
  <si>
    <t>jay@kvgteam.com</t>
  </si>
  <si>
    <t>National Community Renaissance of California</t>
  </si>
  <si>
    <t>Daniel Lorraine</t>
  </si>
  <si>
    <t>dlorraine@nationalcore.org</t>
  </si>
  <si>
    <t>The California Statewide Communities Development Authority (CSCDA)</t>
  </si>
  <si>
    <t>jpenkower@cscda.org</t>
  </si>
  <si>
    <t>(925) 476-5887</t>
  </si>
  <si>
    <t>Jon Penkower</t>
  </si>
  <si>
    <t>1700 North Broadway, Suite 405</t>
  </si>
  <si>
    <t>Walnut Creek, CA 94596</t>
  </si>
  <si>
    <t>Riverside Ca 92507</t>
  </si>
  <si>
    <t>Consultant</t>
  </si>
  <si>
    <t>Yorba Linda Housing Partners, LP</t>
  </si>
  <si>
    <t>RM - Residential Multiple</t>
  </si>
  <si>
    <t>Michael M Ruane</t>
  </si>
  <si>
    <t xml:space="preserve">President </t>
  </si>
  <si>
    <t>August</t>
  </si>
  <si>
    <t>, 2023 at</t>
  </si>
  <si>
    <t>Perm Bond Proceeds</t>
  </si>
  <si>
    <t>AHP</t>
  </si>
  <si>
    <t>Tax Credit Equity</t>
  </si>
  <si>
    <t xml:space="preserve">Deferred Fees and Cost </t>
  </si>
  <si>
    <t xml:space="preserve">City of Yorba Linda </t>
  </si>
  <si>
    <t>Office Supplies</t>
  </si>
  <si>
    <t>Maintenance Supplies</t>
  </si>
  <si>
    <t>Benefits</t>
  </si>
  <si>
    <t>Construction Inspections</t>
  </si>
  <si>
    <t>Const Loan + 2-3 Below</t>
  </si>
  <si>
    <t xml:space="preserve">City of Yorba Linda, Exempt </t>
  </si>
  <si>
    <t>Capital Needs Assessment</t>
  </si>
  <si>
    <t>Energy report</t>
  </si>
  <si>
    <t xml:space="preserve">Bond Issuance Cost </t>
  </si>
  <si>
    <t>Business License</t>
  </si>
  <si>
    <t>City of Yorba Linda</t>
  </si>
  <si>
    <t xml:space="preserve">Air Conditioning </t>
  </si>
  <si>
    <t>Bobbie Barnett</t>
  </si>
  <si>
    <t>909-204-3502</t>
  </si>
  <si>
    <t>bbarnett@nationalcore.org</t>
  </si>
  <si>
    <t>909-483-2444</t>
  </si>
  <si>
    <t>Construction</t>
  </si>
  <si>
    <t>Perm</t>
  </si>
  <si>
    <t>Equity</t>
  </si>
  <si>
    <t>858-284-5812</t>
  </si>
  <si>
    <t>Blake Davis</t>
  </si>
  <si>
    <t>949-623-8563</t>
  </si>
  <si>
    <t>4845 Casa Loma Ave</t>
  </si>
  <si>
    <t>Pamela Stoker</t>
  </si>
  <si>
    <t>714-961-7105</t>
  </si>
  <si>
    <t>Soft</t>
  </si>
  <si>
    <t xml:space="preserve">Deferred </t>
  </si>
  <si>
    <t>MEP &amp; other permits for rehab improvements</t>
  </si>
  <si>
    <t>Hudson Housing Capital</t>
  </si>
  <si>
    <t>7545 Irvine Center Drive, Suite 200, Irvine</t>
  </si>
  <si>
    <t>Irvine, CA 92618</t>
  </si>
  <si>
    <t>949-339-9585</t>
  </si>
  <si>
    <t>Blake.Davis@hudsonhousing.com</t>
  </si>
  <si>
    <t>PSA</t>
  </si>
  <si>
    <t>4250 Executive square suite 825</t>
  </si>
  <si>
    <t>La Jolla</t>
  </si>
  <si>
    <t>Rosalinda Ross</t>
  </si>
  <si>
    <t>7545 Irvine Centr Drive Suite 200</t>
  </si>
  <si>
    <t>Irvine</t>
  </si>
  <si>
    <t>1 South Clinton Ave FL 7</t>
  </si>
  <si>
    <t>Rochester</t>
  </si>
  <si>
    <t>Laurie A. Perez</t>
  </si>
  <si>
    <t>585-797-2807</t>
  </si>
  <si>
    <t xml:space="preserve">the project is a mulit-family apartments </t>
  </si>
  <si>
    <t>Micheal Finn</t>
  </si>
  <si>
    <t>CFO</t>
  </si>
  <si>
    <t>9692 Haven Ave Suite 100 Rancho</t>
  </si>
  <si>
    <t>Cucamonga Ca 91730</t>
  </si>
  <si>
    <t>Fixed</t>
  </si>
  <si>
    <t>Perm Bond Proceeds - Chase</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</si>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</sst>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17164">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6"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4"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3"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8">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1" fontId="22" fillId="0" borderId="0" xfId="0" applyNumberFormat="1" applyFont="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62" xfId="4495" applyFont="1"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5"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4"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4"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5"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4"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43" fontId="20" fillId="0" borderId="0" xfId="4504" applyFont="1" applyProtection="1"/>
    <xf numFmtId="0" fontId="20" fillId="0" borderId="0" xfId="569" applyFont="1" applyAlignment="1">
      <alignment vertical="center"/>
    </xf>
    <xf numFmtId="49" fontId="20" fillId="0" borderId="0" xfId="569" applyNumberFormat="1" applyFont="1"/>
    <xf numFmtId="4" fontId="20" fillId="0" borderId="0" xfId="569" applyNumberFormat="1" applyFont="1"/>
    <xf numFmtId="0" fontId="20" fillId="0" borderId="0" xfId="1192" applyFont="1" applyAlignment="1">
      <alignment horizontal="left" vertical="top" wrapText="1"/>
    </xf>
    <xf numFmtId="0" fontId="20" fillId="0" borderId="0" xfId="569" quotePrefix="1" applyFont="1"/>
    <xf numFmtId="0" fontId="13" fillId="0" borderId="16" xfId="569" applyBorder="1"/>
    <xf numFmtId="0" fontId="20" fillId="0" borderId="16" xfId="569" applyFont="1" applyBorder="1"/>
    <xf numFmtId="0" fontId="13" fillId="0" borderId="4" xfId="569" applyBorder="1"/>
    <xf numFmtId="0" fontId="20" fillId="0" borderId="4" xfId="569" applyFont="1" applyBorder="1"/>
    <xf numFmtId="49" fontId="13" fillId="0" borderId="4" xfId="569" applyNumberFormat="1" applyBorder="1"/>
    <xf numFmtId="49" fontId="20" fillId="0" borderId="4" xfId="569" applyNumberFormat="1" applyFont="1" applyBorder="1"/>
    <xf numFmtId="0" fontId="160"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2" xfId="4496" applyFont="1" applyBorder="1" applyAlignment="1">
      <alignment horizontal="center" vertical="top" wrapText="1"/>
    </xf>
    <xf numFmtId="0" fontId="134" fillId="0" borderId="72" xfId="4496" applyFont="1" applyBorder="1" applyAlignment="1">
      <alignment horizontal="center"/>
    </xf>
    <xf numFmtId="0" fontId="165"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7" xfId="4496" applyFont="1" applyBorder="1" applyAlignment="1">
      <alignment vertical="center"/>
    </xf>
    <xf numFmtId="0" fontId="95" fillId="0" borderId="41" xfId="4496" applyFont="1" applyBorder="1" applyAlignment="1">
      <alignment vertical="center"/>
    </xf>
    <xf numFmtId="182" fontId="95" fillId="0" borderId="87"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6"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2" xfId="8722" applyNumberFormat="1" applyFont="1" applyBorder="1" applyProtection="1"/>
    <xf numFmtId="9" fontId="95" fillId="0" borderId="15" xfId="4494" applyFont="1" applyFill="1" applyBorder="1" applyAlignment="1" applyProtection="1">
      <alignment horizontal="right"/>
    </xf>
    <xf numFmtId="182" fontId="134" fillId="0" borderId="72" xfId="4496" applyNumberFormat="1" applyFont="1" applyBorder="1"/>
    <xf numFmtId="0" fontId="165"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1" xfId="4496" applyFont="1" applyBorder="1" applyAlignment="1">
      <alignment horizontal="right" indent="1"/>
    </xf>
    <xf numFmtId="0" fontId="95" fillId="0" borderId="81" xfId="4496" applyFont="1" applyBorder="1" applyAlignment="1">
      <alignment horizontal="right" indent="1"/>
    </xf>
    <xf numFmtId="0" fontId="95" fillId="0" borderId="81" xfId="4496" quotePrefix="1" applyFont="1" applyBorder="1" applyAlignment="1">
      <alignment horizontal="right" indent="1"/>
    </xf>
    <xf numFmtId="0" fontId="95" fillId="0" borderId="73" xfId="4496" applyFont="1" applyBorder="1" applyAlignment="1">
      <alignment horizontal="right" indent="1"/>
    </xf>
    <xf numFmtId="182" fontId="95" fillId="0" borderId="75" xfId="4496" applyNumberFormat="1" applyFont="1" applyBorder="1"/>
    <xf numFmtId="182" fontId="95" fillId="0" borderId="92" xfId="4496" applyNumberFormat="1" applyFont="1" applyBorder="1"/>
    <xf numFmtId="182" fontId="95" fillId="0" borderId="94"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2"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4"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7" fillId="0" borderId="0" xfId="0" applyFont="1"/>
    <xf numFmtId="0" fontId="18"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2" fillId="0" borderId="0" xfId="8723"/>
    <xf numFmtId="0" fontId="100" fillId="0" borderId="0" xfId="8723" applyFont="1"/>
    <xf numFmtId="0" fontId="2" fillId="48" borderId="67" xfId="8723" applyFill="1" applyBorder="1"/>
    <xf numFmtId="0" fontId="2" fillId="48" borderId="0" xfId="8723" applyFill="1"/>
    <xf numFmtId="0" fontId="99" fillId="48" borderId="41" xfId="8723" applyFont="1" applyFill="1" applyBorder="1" applyAlignment="1">
      <alignment horizontal="center"/>
    </xf>
    <xf numFmtId="0" fontId="99" fillId="48" borderId="0" xfId="8723" applyFont="1" applyFill="1"/>
    <xf numFmtId="182" fontId="163" fillId="48" borderId="0" xfId="8724" applyNumberFormat="1" applyFont="1" applyFill="1" applyBorder="1" applyAlignment="1"/>
    <xf numFmtId="182" fontId="100" fillId="48" borderId="0" xfId="8724" applyNumberFormat="1" applyFont="1" applyFill="1" applyBorder="1" applyAlignment="1"/>
    <xf numFmtId="182" fontId="145" fillId="48" borderId="0" xfId="8724" applyNumberFormat="1" applyFont="1" applyFill="1" applyBorder="1" applyAlignment="1"/>
    <xf numFmtId="0" fontId="2" fillId="48" borderId="41" xfId="8723" applyFill="1" applyBorder="1"/>
    <xf numFmtId="0" fontId="100" fillId="48" borderId="0" xfId="8723" applyFont="1" applyFill="1"/>
    <xf numFmtId="0" fontId="149" fillId="48" borderId="0" xfId="8723" applyFont="1" applyFill="1"/>
    <xf numFmtId="0" fontId="99" fillId="48" borderId="41" xfId="8723" applyFont="1" applyFill="1" applyBorder="1"/>
    <xf numFmtId="0" fontId="99" fillId="0" borderId="0" xfId="8723" applyFont="1"/>
    <xf numFmtId="0" fontId="99" fillId="50" borderId="102" xfId="8723" applyFont="1" applyFill="1" applyBorder="1"/>
    <xf numFmtId="0" fontId="2" fillId="51" borderId="103" xfId="8723" applyFill="1" applyBorder="1"/>
    <xf numFmtId="0" fontId="2" fillId="52" borderId="103" xfId="8723" applyFill="1" applyBorder="1"/>
    <xf numFmtId="0" fontId="99" fillId="44" borderId="0" xfId="8723" applyFont="1" applyFill="1"/>
    <xf numFmtId="0" fontId="2" fillId="44" borderId="0" xfId="8723" applyFill="1"/>
    <xf numFmtId="0" fontId="151" fillId="48" borderId="0" xfId="8723" applyFont="1" applyFill="1"/>
    <xf numFmtId="0" fontId="2" fillId="48" borderId="0" xfId="8723" applyFill="1" applyAlignment="1">
      <alignment horizontal="left"/>
    </xf>
    <xf numFmtId="0" fontId="161" fillId="47" borderId="11" xfId="8723" applyFont="1" applyFill="1" applyBorder="1"/>
    <xf numFmtId="0" fontId="161" fillId="47" borderId="92" xfId="8723" applyFont="1" applyFill="1" applyBorder="1"/>
    <xf numFmtId="0" fontId="147" fillId="45" borderId="76" xfId="8723" applyFont="1" applyFill="1" applyBorder="1" applyAlignment="1">
      <alignment horizontal="left"/>
    </xf>
    <xf numFmtId="0" fontId="147" fillId="45" borderId="77" xfId="8723" applyFont="1" applyFill="1" applyBorder="1" applyAlignment="1">
      <alignment horizontal="center"/>
    </xf>
    <xf numFmtId="0" fontId="147" fillId="45" borderId="90" xfId="8723" applyFont="1" applyFill="1" applyBorder="1" applyAlignment="1">
      <alignment horizontal="center"/>
    </xf>
    <xf numFmtId="168" fontId="157" fillId="49" borderId="91" xfId="8724" applyNumberFormat="1" applyFont="1" applyFill="1" applyBorder="1" applyAlignment="1" applyProtection="1">
      <alignment horizontal="left"/>
      <protection locked="0"/>
    </xf>
    <xf numFmtId="168" fontId="157" fillId="49" borderId="77" xfId="8724" applyNumberFormat="1" applyFont="1" applyFill="1" applyBorder="1" applyAlignment="1" applyProtection="1">
      <alignment horizontal="left"/>
      <protection locked="0"/>
    </xf>
    <xf numFmtId="168" fontId="157" fillId="49" borderId="78" xfId="8724" applyNumberFormat="1" applyFont="1" applyFill="1" applyBorder="1" applyAlignment="1" applyProtection="1">
      <alignment horizontal="left"/>
      <protection locked="0"/>
    </xf>
    <xf numFmtId="0" fontId="147" fillId="45" borderId="93" xfId="8723" applyFont="1" applyFill="1" applyBorder="1" applyAlignment="1">
      <alignment horizontal="left"/>
    </xf>
    <xf numFmtId="0" fontId="147" fillId="45" borderId="4" xfId="8723" applyFont="1" applyFill="1" applyBorder="1" applyAlignment="1">
      <alignment horizontal="center"/>
    </xf>
    <xf numFmtId="0" fontId="147" fillId="45" borderId="5" xfId="8723" applyFont="1" applyFill="1" applyBorder="1" applyAlignment="1">
      <alignment horizontal="center"/>
    </xf>
    <xf numFmtId="168" fontId="157" fillId="49" borderId="3" xfId="8724" applyNumberFormat="1" applyFont="1" applyFill="1" applyBorder="1" applyAlignment="1" applyProtection="1">
      <alignment horizontal="left"/>
      <protection locked="0"/>
    </xf>
    <xf numFmtId="168" fontId="157" fillId="49" borderId="4" xfId="8724" applyNumberFormat="1" applyFont="1" applyFill="1" applyBorder="1" applyAlignment="1" applyProtection="1">
      <alignment horizontal="left"/>
      <protection locked="0"/>
    </xf>
    <xf numFmtId="168" fontId="157" fillId="49" borderId="80" xfId="8724" applyNumberFormat="1" applyFont="1" applyFill="1" applyBorder="1" applyAlignment="1" applyProtection="1">
      <alignment horizontal="left"/>
      <protection locked="0"/>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47" fillId="47" borderId="93" xfId="8723" applyFont="1" applyFill="1" applyBorder="1" applyAlignment="1">
      <alignment horizontal="center"/>
    </xf>
    <xf numFmtId="0" fontId="147" fillId="47" borderId="4" xfId="8723" applyFont="1" applyFill="1" applyBorder="1" applyAlignment="1">
      <alignment horizontal="center"/>
    </xf>
    <xf numFmtId="0" fontId="147" fillId="47" borderId="5" xfId="8723" applyFont="1" applyFill="1" applyBorder="1" applyAlignment="1">
      <alignment horizontal="center"/>
    </xf>
    <xf numFmtId="168" fontId="146" fillId="47" borderId="3" xfId="8724" applyNumberFormat="1" applyFont="1" applyFill="1" applyBorder="1" applyAlignment="1">
      <alignment horizontal="left"/>
    </xf>
    <xf numFmtId="168" fontId="146" fillId="47" borderId="4" xfId="8724" applyNumberFormat="1" applyFont="1" applyFill="1" applyBorder="1" applyAlignment="1">
      <alignment horizontal="left"/>
    </xf>
    <xf numFmtId="168" fontId="146" fillId="47" borderId="80" xfId="8724" applyNumberFormat="1" applyFont="1" applyFill="1" applyBorder="1" applyAlignment="1">
      <alignment horizontal="left"/>
    </xf>
    <xf numFmtId="0" fontId="162" fillId="48" borderId="0" xfId="8723" applyFont="1" applyFill="1"/>
    <xf numFmtId="0" fontId="99" fillId="48" borderId="67" xfId="8723" applyFont="1" applyFill="1" applyBorder="1"/>
    <xf numFmtId="49" fontId="99" fillId="48" borderId="67" xfId="8723" applyNumberFormat="1" applyFont="1" applyFill="1" applyBorder="1" applyAlignment="1">
      <alignment horizontal="right" vertical="top"/>
    </xf>
    <xf numFmtId="0" fontId="2" fillId="48" borderId="87" xfId="8723" applyFill="1" applyBorder="1"/>
    <xf numFmtId="0" fontId="2" fillId="48" borderId="42" xfId="8723" applyFill="1" applyBorder="1"/>
    <xf numFmtId="0" fontId="2" fillId="48" borderId="44" xfId="8723" applyFill="1" applyBorder="1"/>
    <xf numFmtId="0" fontId="2" fillId="44" borderId="67" xfId="8723" applyFill="1" applyBorder="1"/>
    <xf numFmtId="0" fontId="2" fillId="44" borderId="41" xfId="8723" applyFill="1" applyBorder="1"/>
    <xf numFmtId="0" fontId="2" fillId="44" borderId="0" xfId="8723" applyFill="1" applyAlignment="1">
      <alignment horizontal="left"/>
    </xf>
    <xf numFmtId="0" fontId="2" fillId="44" borderId="87" xfId="8723" applyFill="1" applyBorder="1"/>
    <xf numFmtId="0" fontId="2" fillId="44" borderId="42" xfId="8723" applyFill="1" applyBorder="1"/>
    <xf numFmtId="0" fontId="2" fillId="44" borderId="44" xfId="8723" applyFill="1" applyBorder="1"/>
    <xf numFmtId="0" fontId="153" fillId="0" borderId="0" xfId="8723" applyFont="1"/>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4" fontId="31" fillId="0" borderId="0" xfId="0" applyNumberFormat="1" applyFont="1" applyAlignment="1">
      <alignment horizontal="left" vertical="top" wrapText="1"/>
    </xf>
    <xf numFmtId="0" fontId="20" fillId="0" borderId="0" xfId="0" applyFont="1" applyAlignment="1">
      <alignment horizontal="left" vertical="top"/>
    </xf>
    <xf numFmtId="0" fontId="13" fillId="0" borderId="0" xfId="569" applyAlignment="1">
      <alignment horizontal="center"/>
    </xf>
    <xf numFmtId="0" fontId="31" fillId="0" borderId="0" xfId="569" applyFont="1" applyAlignment="1">
      <alignment horizontal="left" wrapText="1"/>
    </xf>
    <xf numFmtId="0" fontId="13" fillId="0" borderId="0" xfId="569" applyAlignment="1">
      <alignment horizontal="left" vertical="center" wrapText="1"/>
    </xf>
    <xf numFmtId="0" fontId="14" fillId="0" borderId="0" xfId="244" applyNumberFormat="1" applyFill="1" applyAlignment="1" applyProtection="1">
      <alignment horizontal="left"/>
    </xf>
    <xf numFmtId="0" fontId="20" fillId="0" borderId="16" xfId="569" applyFont="1" applyBorder="1" applyAlignment="1">
      <alignment horizontal="left"/>
    </xf>
    <xf numFmtId="0" fontId="13" fillId="0" borderId="0" xfId="569" applyAlignment="1">
      <alignmen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2" fillId="5" borderId="11" xfId="0" applyFont="1" applyFill="1" applyBorder="1" applyAlignment="1" applyProtection="1">
      <alignment horizontal="center"/>
      <protection locked="0"/>
    </xf>
    <xf numFmtId="3" fontId="22" fillId="5" borderId="11" xfId="0" applyNumberFormat="1" applyFont="1" applyFill="1" applyBorder="1" applyAlignment="1" applyProtection="1">
      <alignment horizontal="center"/>
      <protection locked="0"/>
    </xf>
    <xf numFmtId="10" fontId="22" fillId="0" borderId="11" xfId="0" applyNumberFormat="1" applyFont="1" applyBorder="1" applyAlignment="1">
      <alignment horizontal="center"/>
    </xf>
    <xf numFmtId="168" fontId="22" fillId="0" borderId="11" xfId="0" applyNumberFormat="1" applyFont="1" applyBorder="1" applyAlignment="1">
      <alignment horizontal="center"/>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0" fillId="0" borderId="12" xfId="0" applyBorder="1" applyAlignment="1">
      <alignment horizontal="center"/>
    </xf>
    <xf numFmtId="165" fontId="13"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3" fillId="5" borderId="4"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2"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5" borderId="3" xfId="0" applyFont="1" applyFill="1" applyBorder="1" applyAlignment="1" applyProtection="1">
      <alignment horizontal="left"/>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4" xfId="0" applyFont="1" applyBorder="1" applyAlignment="1">
      <alignment horizontal="center"/>
    </xf>
    <xf numFmtId="0" fontId="20" fillId="0" borderId="5" xfId="0" applyFont="1" applyBorder="1" applyAlignment="1">
      <alignment horizontal="center"/>
    </xf>
    <xf numFmtId="0" fontId="13" fillId="0" borderId="3" xfId="0" applyFont="1" applyBorder="1" applyAlignment="1">
      <alignment horizontal="center"/>
    </xf>
    <xf numFmtId="0" fontId="13" fillId="0" borderId="5" xfId="0" applyFont="1" applyBorder="1" applyAlignment="1">
      <alignment horizontal="center"/>
    </xf>
    <xf numFmtId="0" fontId="20"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166" fontId="22" fillId="5" borderId="4" xfId="0" applyNumberFormat="1" applyFont="1" applyFill="1" applyBorder="1" applyAlignment="1" applyProtection="1">
      <alignment horizontal="left"/>
      <protection locked="0"/>
    </xf>
    <xf numFmtId="0" fontId="13" fillId="5" borderId="0" xfId="0" applyFont="1" applyFill="1" applyAlignment="1" applyProtection="1">
      <alignment horizontal="left" vertical="top" wrapText="1"/>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9" fillId="3" borderId="2" xfId="0" applyFont="1" applyFill="1" applyBorder="1" applyAlignment="1">
      <alignment horizontal="center" vertical="center"/>
    </xf>
    <xf numFmtId="0" fontId="19"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2" fillId="5" borderId="4" xfId="0" applyNumberFormat="1" applyFon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9" xfId="0" applyFont="1" applyBorder="1" applyAlignment="1">
      <alignment horizontal="center"/>
    </xf>
    <xf numFmtId="0" fontId="20" fillId="0" borderId="6" xfId="0" applyFont="1" applyBorder="1" applyAlignment="1">
      <alignment horizontal="center"/>
    </xf>
    <xf numFmtId="0" fontId="20"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1" fillId="43" borderId="6" xfId="0" applyFont="1" applyFill="1" applyBorder="1" applyAlignment="1" applyProtection="1">
      <alignment horizontal="left"/>
      <protection locked="0"/>
    </xf>
    <xf numFmtId="168" fontId="13" fillId="0" borderId="3" xfId="0" applyNumberFormat="1" applyFont="1" applyBorder="1" applyAlignment="1">
      <alignment horizontal="left" vertical="top"/>
    </xf>
    <xf numFmtId="0" fontId="13" fillId="5" borderId="4" xfId="0" applyFont="1" applyFill="1" applyBorder="1" applyAlignment="1" applyProtection="1">
      <alignment horizontal="center"/>
      <protection locked="0"/>
    </xf>
    <xf numFmtId="0" fontId="167" fillId="0" borderId="0" xfId="0" applyFont="1" applyAlignment="1" applyProtection="1">
      <alignment horizontal="left" vertical="top" wrapText="1"/>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3" fontId="22" fillId="0" borderId="11" xfId="0" applyNumberFormat="1" applyFont="1" applyBorder="1" applyAlignment="1">
      <alignment horizontal="center"/>
    </xf>
    <xf numFmtId="0" fontId="22" fillId="5" borderId="4" xfId="0" applyFont="1" applyFill="1" applyBorder="1" applyAlignment="1" applyProtection="1">
      <alignment horizontal="left"/>
      <protection locked="0"/>
    </xf>
    <xf numFmtId="0" fontId="13"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14"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0" fontId="13" fillId="5" borderId="6" xfId="569" applyFill="1" applyBorder="1" applyAlignment="1" applyProtection="1">
      <alignment horizontal="left"/>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0" borderId="4" xfId="0" applyFont="1" applyBorder="1" applyAlignment="1">
      <alignment horizontal="center"/>
    </xf>
    <xf numFmtId="0" fontId="13" fillId="5" borderId="6" xfId="0" applyFont="1" applyFill="1" applyBorder="1" applyAlignment="1" applyProtection="1">
      <alignment horizontal="left"/>
      <protection locked="0"/>
    </xf>
    <xf numFmtId="0" fontId="13" fillId="0" borderId="11" xfId="543" applyBorder="1" applyAlignment="1">
      <alignment horizontal="center"/>
    </xf>
    <xf numFmtId="0" fontId="0" fillId="0" borderId="6" xfId="0" applyBorder="1" applyAlignment="1">
      <alignment horizontal="left"/>
    </xf>
    <xf numFmtId="166" fontId="13" fillId="5" borderId="4" xfId="0" applyNumberFormat="1" applyFont="1" applyFill="1" applyBorder="1" applyAlignment="1" applyProtection="1">
      <alignment horizontal="left"/>
      <protection locked="0"/>
    </xf>
    <xf numFmtId="0" fontId="20" fillId="0" borderId="11" xfId="0" applyFont="1" applyBorder="1" applyAlignment="1">
      <alignment horizontal="center" vertical="center" wrapText="1"/>
    </xf>
    <xf numFmtId="0" fontId="13" fillId="5" borderId="3" xfId="0" applyFont="1" applyFill="1" applyBorder="1" applyAlignment="1" applyProtection="1">
      <alignment vertical="center" wrapText="1"/>
      <protection locked="0"/>
    </xf>
    <xf numFmtId="0" fontId="13" fillId="5" borderId="4" xfId="0" applyFont="1" applyFill="1" applyBorder="1" applyAlignment="1" applyProtection="1">
      <alignment vertical="center" wrapText="1"/>
      <protection locked="0"/>
    </xf>
    <xf numFmtId="0" fontId="13" fillId="5" borderId="5" xfId="0" applyFont="1" applyFill="1" applyBorder="1" applyAlignment="1" applyProtection="1">
      <alignment vertical="center" wrapText="1"/>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6" xfId="0" applyFont="1" applyBorder="1" applyAlignment="1">
      <alignment horizontal="right"/>
    </xf>
    <xf numFmtId="0" fontId="20" fillId="0" borderId="5" xfId="0" applyFont="1" applyBorder="1" applyAlignment="1">
      <alignment horizontal="right"/>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32" fillId="5" borderId="6" xfId="0" applyFont="1" applyFill="1" applyBorder="1" applyAlignment="1" applyProtection="1">
      <alignment horizontal="left"/>
      <protection locked="0"/>
    </xf>
    <xf numFmtId="168" fontId="170"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166" fontId="22" fillId="5" borderId="6" xfId="0" applyNumberFormat="1"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0" fontId="13" fillId="43" borderId="4" xfId="0" applyFont="1" applyFill="1" applyBorder="1" applyAlignment="1" applyProtection="1">
      <alignment horizontal="left" wrapText="1"/>
      <protection locked="0"/>
    </xf>
    <xf numFmtId="166" fontId="22" fillId="5" borderId="6" xfId="271" applyNumberForma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22" fillId="0" borderId="6" xfId="0" applyFont="1" applyBorder="1" applyAlignment="1">
      <alignment horizontal="left"/>
    </xf>
    <xf numFmtId="0" fontId="13" fillId="5" borderId="0" xfId="244" applyFont="1" applyFill="1" applyBorder="1" applyAlignment="1" applyProtection="1">
      <alignment horizontal="left"/>
      <protection locked="0"/>
    </xf>
    <xf numFmtId="0" fontId="13" fillId="0" borderId="6" xfId="0" applyFont="1" applyBorder="1" applyAlignment="1" applyProtection="1">
      <alignment horizontal="center"/>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0" fontId="28"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0" borderId="0" xfId="0" applyFont="1" applyAlignment="1">
      <alignment horizontal="center"/>
    </xf>
    <xf numFmtId="0" fontId="22" fillId="0" borderId="0" xfId="0" applyFont="1" applyAlignment="1">
      <alignment horizontal="center"/>
    </xf>
    <xf numFmtId="168" fontId="22" fillId="0" borderId="6" xfId="0" applyNumberFormat="1" applyFont="1" applyBorder="1" applyAlignment="1">
      <alignment horizontal="center"/>
    </xf>
    <xf numFmtId="0" fontId="21" fillId="0" borderId="0" xfId="0" applyFont="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0" fillId="5" borderId="4" xfId="0" applyFill="1" applyBorder="1" applyAlignment="1" applyProtection="1">
      <alignment horizontal="left" wrapText="1"/>
      <protection locked="0"/>
    </xf>
    <xf numFmtId="0" fontId="13" fillId="5" borderId="4" xfId="569" applyFill="1" applyBorder="1" applyAlignment="1" applyProtection="1">
      <alignment horizontal="left"/>
      <protection locked="0"/>
    </xf>
    <xf numFmtId="166" fontId="13" fillId="5" borderId="6" xfId="569"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2" fillId="5" borderId="6" xfId="271" applyFill="1" applyBorder="1" applyProtection="1">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3" fillId="0" borderId="1" xfId="0" applyFont="1" applyBorder="1" applyAlignment="1">
      <alignment horizontal="center" vertical="top" wrapText="1"/>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0" fillId="0" borderId="9" xfId="0" applyFont="1" applyBorder="1" applyAlignment="1">
      <alignment horizontal="right"/>
    </xf>
    <xf numFmtId="0" fontId="20"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9" xfId="0" applyBorder="1" applyAlignment="1">
      <alignment horizontal="left"/>
    </xf>
    <xf numFmtId="168"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2"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160" fillId="44" borderId="8" xfId="0" applyFont="1" applyFill="1" applyBorder="1" applyAlignment="1">
      <alignment horizontal="center" vertical="top" wrapText="1"/>
    </xf>
    <xf numFmtId="0" fontId="160" fillId="44" borderId="0" xfId="0" applyFont="1" applyFill="1" applyAlignment="1">
      <alignment horizontal="center" vertical="top" wrapText="1"/>
    </xf>
    <xf numFmtId="9" fontId="160" fillId="44" borderId="8" xfId="0" applyNumberFormat="1" applyFont="1" applyFill="1" applyBorder="1" applyAlignment="1">
      <alignment horizontal="center"/>
    </xf>
    <xf numFmtId="9" fontId="160" fillId="44" borderId="0" xfId="0" applyNumberFormat="1" applyFont="1" applyFill="1" applyAlignment="1">
      <alignment horizontal="center"/>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3" fillId="0" borderId="0" xfId="543" applyNumberFormat="1" applyAlignment="1">
      <alignment horizontal="right"/>
    </xf>
    <xf numFmtId="2" fontId="13" fillId="0" borderId="0" xfId="543" applyNumberFormat="1" applyAlignment="1">
      <alignment horizontal="center"/>
    </xf>
    <xf numFmtId="0" fontId="13"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2" fillId="0" borderId="3" xfId="0" applyFont="1"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171" fontId="13" fillId="0" borderId="0" xfId="543" applyNumberFormat="1" applyAlignment="1">
      <alignment horizontal="center"/>
    </xf>
    <xf numFmtId="168" fontId="0" fillId="0" borderId="11" xfId="0" applyNumberFormat="1" applyBorder="1" applyAlignment="1">
      <alignment horizontal="right"/>
    </xf>
    <xf numFmtId="9" fontId="13"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3"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20" fillId="0" borderId="2" xfId="0" applyFont="1" applyBorder="1" applyAlignment="1">
      <alignment horizontal="right"/>
    </xf>
    <xf numFmtId="0" fontId="20"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20" fillId="0" borderId="17" xfId="0" applyFont="1" applyBorder="1"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2" fillId="0" borderId="11" xfId="0" applyFont="1" applyBorder="1" applyAlignment="1">
      <alignment horizontal="center" vertical="top" wrapText="1"/>
    </xf>
    <xf numFmtId="0" fontId="13" fillId="0" borderId="11" xfId="0" applyFont="1" applyBorder="1" applyAlignment="1">
      <alignment horizontal="center"/>
    </xf>
    <xf numFmtId="0" fontId="13" fillId="43" borderId="11" xfId="0" applyFont="1" applyFill="1" applyBorder="1" applyAlignment="1" applyProtection="1">
      <alignment horizontal="center"/>
      <protection locked="0"/>
    </xf>
    <xf numFmtId="168" fontId="13" fillId="0" borderId="11" xfId="543" applyNumberForma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2"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2" fillId="5" borderId="4" xfId="0" applyNumberFormat="1" applyFont="1" applyFill="1" applyBorder="1" applyAlignment="1" applyProtection="1">
      <alignment horizontal="right"/>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22" fillId="5" borderId="5" xfId="0" applyFont="1" applyFill="1" applyBorder="1" applyAlignment="1" applyProtection="1">
      <alignment wrapText="1"/>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72" fontId="0" fillId="5" borderId="6" xfId="0" applyNumberFormat="1" applyFill="1" applyBorder="1" applyAlignment="1" applyProtection="1">
      <alignment horizontal="center"/>
      <protection locked="0"/>
    </xf>
    <xf numFmtId="0" fontId="22" fillId="2" borderId="11" xfId="0" applyFont="1" applyFill="1" applyBorder="1" applyAlignment="1">
      <alignment horizontal="center"/>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3" fontId="41"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6"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4" fontId="13" fillId="5" borderId="4" xfId="0" applyNumberFormat="1"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2"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20" fillId="0" borderId="1"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19" fillId="3" borderId="0" xfId="0" applyFont="1" applyFill="1" applyAlignment="1">
      <alignment horizontal="center" vertical="center"/>
    </xf>
    <xf numFmtId="9" fontId="13" fillId="5" borderId="3" xfId="0" applyNumberFormat="1" applyFont="1" applyFill="1" applyBorder="1" applyAlignment="1" applyProtection="1">
      <alignment horizontal="right"/>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0" fontId="13" fillId="0" borderId="4" xfId="0"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0" fontId="20" fillId="0" borderId="11" xfId="0" applyFont="1" applyBorder="1" applyAlignment="1">
      <alignment horizontal="center" vertical="center"/>
    </xf>
    <xf numFmtId="0" fontId="13" fillId="5" borderId="4" xfId="569" applyFill="1" applyBorder="1" applyAlignment="1" applyProtection="1">
      <alignment horizontal="center"/>
      <protection locked="0"/>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0" fillId="0" borderId="0" xfId="0"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3" xfId="4495" applyFill="1" applyBorder="1" applyAlignment="1">
      <alignment horizontal="center"/>
    </xf>
    <xf numFmtId="0" fontId="117" fillId="5" borderId="64"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3" xfId="4495" applyFill="1" applyBorder="1" applyAlignment="1" applyProtection="1">
      <alignment horizontal="center"/>
      <protection locked="0"/>
    </xf>
    <xf numFmtId="0" fontId="117" fillId="5" borderId="64"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5" xfId="4499" applyNumberFormat="1" applyFont="1" applyFill="1" applyBorder="1" applyAlignment="1" applyProtection="1">
      <alignment horizontal="left" vertical="center" indent="1"/>
    </xf>
    <xf numFmtId="168" fontId="95" fillId="0" borderId="84"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2"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1" xfId="4496" applyFont="1" applyBorder="1" applyAlignment="1">
      <alignment horizontal="center" vertical="top" wrapText="1"/>
    </xf>
    <xf numFmtId="0" fontId="134" fillId="0" borderId="90" xfId="4496" applyFont="1" applyBorder="1" applyAlignment="1">
      <alignment horizontal="center" vertical="top" wrapText="1"/>
    </xf>
    <xf numFmtId="0" fontId="95" fillId="0" borderId="72" xfId="4496" applyFont="1" applyBorder="1"/>
    <xf numFmtId="0" fontId="95" fillId="0" borderId="75" xfId="4496" applyFont="1" applyBorder="1"/>
    <xf numFmtId="0" fontId="95" fillId="0" borderId="11" xfId="4496" applyFont="1" applyBorder="1"/>
    <xf numFmtId="0" fontId="95" fillId="0" borderId="92" xfId="4496" applyFont="1" applyBorder="1"/>
    <xf numFmtId="0" fontId="95" fillId="0" borderId="81" xfId="4496" applyFont="1" applyBorder="1" applyAlignment="1">
      <alignment horizontal="right"/>
    </xf>
    <xf numFmtId="0" fontId="95" fillId="0" borderId="11" xfId="4496" applyFont="1" applyBorder="1" applyAlignment="1">
      <alignment horizontal="right"/>
    </xf>
    <xf numFmtId="0" fontId="95" fillId="0" borderId="73" xfId="4496" applyFont="1" applyBorder="1" applyAlignment="1">
      <alignment horizontal="right"/>
    </xf>
    <xf numFmtId="0" fontId="95" fillId="0" borderId="74" xfId="4496" applyFont="1" applyBorder="1" applyAlignment="1">
      <alignment horizontal="right"/>
    </xf>
    <xf numFmtId="0" fontId="95" fillId="0" borderId="74" xfId="4496" applyFont="1" applyBorder="1"/>
    <xf numFmtId="0" fontId="95" fillId="0" borderId="94" xfId="4496" applyFont="1" applyBorder="1"/>
    <xf numFmtId="0" fontId="95" fillId="0" borderId="71" xfId="4496" applyFont="1" applyBorder="1" applyAlignment="1">
      <alignment horizontal="right"/>
    </xf>
    <xf numFmtId="0" fontId="95" fillId="0" borderId="72" xfId="4496" applyFont="1" applyBorder="1" applyAlignment="1">
      <alignment horizontal="right"/>
    </xf>
    <xf numFmtId="0" fontId="146" fillId="44" borderId="68" xfId="8723" applyFont="1" applyFill="1" applyBorder="1" applyAlignment="1">
      <alignment horizontal="left"/>
    </xf>
    <xf numFmtId="0" fontId="146" fillId="44" borderId="69" xfId="8723" applyFont="1" applyFill="1" applyBorder="1" applyAlignment="1">
      <alignment horizontal="left"/>
    </xf>
    <xf numFmtId="0" fontId="146" fillId="44" borderId="70" xfId="8723" applyFont="1" applyFill="1" applyBorder="1" applyAlignment="1">
      <alignment horizontal="left"/>
    </xf>
    <xf numFmtId="0" fontId="144" fillId="45" borderId="11" xfId="8723" applyFont="1" applyFill="1" applyBorder="1" applyAlignment="1">
      <alignment horizontal="right"/>
    </xf>
    <xf numFmtId="1" fontId="146" fillId="49" borderId="11" xfId="8723" applyNumberFormat="1" applyFont="1" applyFill="1" applyBorder="1" applyAlignment="1" applyProtection="1">
      <alignment horizontal="center"/>
      <protection locked="0"/>
    </xf>
    <xf numFmtId="0" fontId="2" fillId="44" borderId="68" xfId="8723" applyFill="1" applyBorder="1" applyAlignment="1">
      <alignment horizontal="center"/>
    </xf>
    <xf numFmtId="0" fontId="2" fillId="44" borderId="69" xfId="8723" applyFill="1" applyBorder="1" applyAlignment="1">
      <alignment horizontal="center"/>
    </xf>
    <xf numFmtId="0" fontId="2" fillId="44" borderId="70" xfId="8723" applyFill="1" applyBorder="1" applyAlignment="1">
      <alignment horizontal="center"/>
    </xf>
    <xf numFmtId="0" fontId="142" fillId="47" borderId="66" xfId="8723" applyFont="1" applyFill="1" applyBorder="1" applyAlignment="1">
      <alignment horizontal="center"/>
    </xf>
    <xf numFmtId="0" fontId="142" fillId="47" borderId="29" xfId="8723" applyFont="1" applyFill="1" applyBorder="1" applyAlignment="1">
      <alignment horizontal="center"/>
    </xf>
    <xf numFmtId="0" fontId="142" fillId="47" borderId="31" xfId="8723" applyFont="1" applyFill="1" applyBorder="1" applyAlignment="1">
      <alignment horizontal="center"/>
    </xf>
    <xf numFmtId="0" fontId="143" fillId="49" borderId="67" xfId="8723" applyFont="1" applyFill="1" applyBorder="1" applyAlignment="1">
      <alignment horizontal="center"/>
    </xf>
    <xf numFmtId="0" fontId="143" fillId="49" borderId="0" xfId="8723" applyFont="1" applyFill="1" applyAlignment="1">
      <alignment horizontal="center"/>
    </xf>
    <xf numFmtId="0" fontId="143" fillId="49" borderId="41" xfId="8723" applyFont="1" applyFill="1" applyBorder="1" applyAlignment="1">
      <alignment horizontal="center"/>
    </xf>
    <xf numFmtId="0" fontId="159" fillId="45" borderId="11" xfId="8723" applyFont="1" applyFill="1" applyBorder="1" applyAlignment="1">
      <alignment horizontal="right"/>
    </xf>
    <xf numFmtId="14" fontId="146" fillId="49" borderId="11" xfId="8723" applyNumberFormat="1" applyFont="1" applyFill="1" applyBorder="1" applyAlignment="1" applyProtection="1">
      <alignment horizontal="center"/>
      <protection locked="0"/>
    </xf>
    <xf numFmtId="0" fontId="146" fillId="49" borderId="11" xfId="8723" applyFont="1" applyFill="1" applyBorder="1" applyAlignment="1" applyProtection="1">
      <alignment horizontal="center"/>
      <protection locked="0"/>
    </xf>
    <xf numFmtId="0" fontId="147" fillId="45" borderId="11" xfId="8723" applyFont="1" applyFill="1" applyBorder="1" applyAlignment="1">
      <alignment horizontal="right"/>
    </xf>
    <xf numFmtId="14" fontId="146" fillId="49" borderId="11" xfId="8723" applyNumberFormat="1" applyFont="1" applyFill="1" applyBorder="1" applyAlignment="1" applyProtection="1">
      <alignment horizontal="center" vertical="center"/>
      <protection locked="0"/>
    </xf>
    <xf numFmtId="0" fontId="146" fillId="49" borderId="11" xfId="8723" applyFont="1" applyFill="1" applyBorder="1" applyAlignment="1" applyProtection="1">
      <alignment horizontal="center" vertical="center"/>
      <protection locked="0"/>
    </xf>
    <xf numFmtId="0" fontId="99" fillId="45" borderId="68" xfId="8723" applyFont="1" applyFill="1" applyBorder="1" applyAlignment="1">
      <alignment horizontal="center"/>
    </xf>
    <xf numFmtId="0" fontId="99" fillId="45" borderId="69" xfId="8723" applyFont="1" applyFill="1" applyBorder="1" applyAlignment="1">
      <alignment horizontal="center"/>
    </xf>
    <xf numFmtId="0" fontId="99" fillId="45" borderId="70" xfId="8723" applyFont="1" applyFill="1" applyBorder="1" applyAlignment="1">
      <alignment horizontal="center"/>
    </xf>
    <xf numFmtId="0" fontId="146" fillId="49" borderId="68" xfId="8723" applyFont="1" applyFill="1" applyBorder="1" applyAlignment="1" applyProtection="1">
      <alignment horizontal="center"/>
      <protection locked="0"/>
    </xf>
    <xf numFmtId="0" fontId="146" fillId="49" borderId="69" xfId="8723" applyFont="1" applyFill="1" applyBorder="1" applyAlignment="1" applyProtection="1">
      <alignment horizontal="center"/>
      <protection locked="0"/>
    </xf>
    <xf numFmtId="0" fontId="146" fillId="49" borderId="70" xfId="8723" applyFont="1" applyFill="1" applyBorder="1" applyAlignment="1" applyProtection="1">
      <alignment horizontal="center"/>
      <protection locked="0"/>
    </xf>
    <xf numFmtId="0" fontId="99" fillId="45" borderId="68" xfId="8723" applyFont="1" applyFill="1" applyBorder="1" applyAlignment="1">
      <alignment horizontal="right"/>
    </xf>
    <xf numFmtId="0" fontId="99" fillId="45" borderId="69" xfId="8723" applyFont="1" applyFill="1" applyBorder="1" applyAlignment="1">
      <alignment horizontal="right"/>
    </xf>
    <xf numFmtId="0" fontId="99" fillId="45" borderId="101" xfId="8723" applyFont="1" applyFill="1" applyBorder="1" applyAlignment="1">
      <alignment horizontal="right"/>
    </xf>
    <xf numFmtId="0" fontId="2" fillId="44" borderId="98" xfId="8723" applyFill="1" applyBorder="1" applyAlignment="1">
      <alignment horizontal="center"/>
    </xf>
    <xf numFmtId="0" fontId="2" fillId="44" borderId="99" xfId="8723" applyFill="1" applyBorder="1" applyAlignment="1">
      <alignment horizontal="center"/>
    </xf>
    <xf numFmtId="168" fontId="163" fillId="44" borderId="11" xfId="8724" applyNumberFormat="1" applyFont="1" applyFill="1" applyBorder="1" applyAlignment="1" applyProtection="1">
      <alignment horizontal="left"/>
    </xf>
    <xf numFmtId="1" fontId="2" fillId="44" borderId="11" xfId="8723" applyNumberFormat="1" applyFill="1" applyBorder="1" applyAlignment="1">
      <alignment horizontal="center"/>
    </xf>
    <xf numFmtId="0" fontId="2" fillId="44" borderId="11" xfId="8723" applyFill="1" applyBorder="1" applyAlignment="1">
      <alignment horizontal="center"/>
    </xf>
    <xf numFmtId="0" fontId="144" fillId="45" borderId="11" xfId="8723" applyFont="1" applyFill="1" applyBorder="1" applyAlignment="1">
      <alignment horizontal="right" wrapText="1"/>
    </xf>
    <xf numFmtId="0" fontId="143" fillId="45" borderId="76" xfId="8723" applyFont="1" applyFill="1" applyBorder="1" applyAlignment="1">
      <alignment horizontal="center"/>
    </xf>
    <xf numFmtId="0" fontId="143" fillId="45" borderId="77" xfId="8723" applyFont="1" applyFill="1" applyBorder="1" applyAlignment="1">
      <alignment horizontal="center"/>
    </xf>
    <xf numFmtId="0" fontId="143" fillId="45" borderId="78" xfId="8723" applyFont="1" applyFill="1" applyBorder="1" applyAlignment="1">
      <alignment horizontal="center"/>
    </xf>
    <xf numFmtId="0" fontId="147" fillId="45" borderId="79" xfId="8723" applyFont="1" applyFill="1" applyBorder="1" applyAlignment="1">
      <alignment horizontal="center"/>
    </xf>
    <xf numFmtId="0" fontId="147" fillId="45" borderId="2" xfId="8723" applyFont="1" applyFill="1" applyBorder="1" applyAlignment="1">
      <alignment horizontal="center"/>
    </xf>
    <xf numFmtId="0" fontId="147" fillId="45" borderId="7" xfId="8723" applyFont="1" applyFill="1" applyBorder="1" applyAlignment="1">
      <alignment horizontal="center"/>
    </xf>
    <xf numFmtId="0" fontId="147" fillId="45" borderId="3" xfId="8723" applyFont="1" applyFill="1" applyBorder="1" applyAlignment="1">
      <alignment horizontal="center"/>
    </xf>
    <xf numFmtId="0" fontId="147" fillId="45" borderId="4" xfId="8723" applyFont="1" applyFill="1" applyBorder="1" applyAlignment="1">
      <alignment horizontal="center"/>
    </xf>
    <xf numFmtId="0" fontId="147" fillId="45" borderId="5" xfId="8723" applyFont="1" applyFill="1" applyBorder="1" applyAlignment="1">
      <alignment horizontal="center"/>
    </xf>
    <xf numFmtId="0" fontId="147" fillId="45" borderId="80" xfId="8723" applyFont="1" applyFill="1" applyBorder="1" applyAlignment="1">
      <alignment horizontal="center"/>
    </xf>
    <xf numFmtId="0" fontId="161" fillId="44" borderId="3" xfId="8723" applyFont="1" applyFill="1" applyBorder="1" applyAlignment="1">
      <alignment horizontal="center"/>
    </xf>
    <xf numFmtId="0" fontId="161" fillId="44" borderId="4" xfId="8723" applyFont="1" applyFill="1" applyBorder="1" applyAlignment="1">
      <alignment horizontal="center"/>
    </xf>
    <xf numFmtId="0" fontId="161" fillId="44" borderId="5" xfId="8723" applyFont="1" applyFill="1" applyBorder="1" applyAlignment="1">
      <alignment horizontal="center"/>
    </xf>
    <xf numFmtId="9" fontId="147" fillId="44" borderId="3" xfId="8723" applyNumberFormat="1" applyFont="1" applyFill="1" applyBorder="1" applyAlignment="1">
      <alignment horizontal="center"/>
    </xf>
    <xf numFmtId="9" fontId="147" fillId="44" borderId="4" xfId="8723" applyNumberFormat="1" applyFont="1" applyFill="1" applyBorder="1" applyAlignment="1">
      <alignment horizontal="center"/>
    </xf>
    <xf numFmtId="9" fontId="147" fillId="44" borderId="80" xfId="8723" applyNumberFormat="1" applyFont="1" applyFill="1" applyBorder="1" applyAlignment="1">
      <alignment horizontal="center"/>
    </xf>
    <xf numFmtId="9" fontId="161" fillId="49" borderId="93" xfId="8723" applyNumberFormat="1" applyFont="1" applyFill="1" applyBorder="1" applyAlignment="1">
      <alignment horizontal="center"/>
    </xf>
    <xf numFmtId="9" fontId="161" fillId="49" borderId="4" xfId="8723" applyNumberFormat="1" applyFont="1" applyFill="1" applyBorder="1" applyAlignment="1">
      <alignment horizontal="center"/>
    </xf>
    <xf numFmtId="9" fontId="161" fillId="49" borderId="5" xfId="8723" applyNumberFormat="1" applyFont="1" applyFill="1" applyBorder="1" applyAlignment="1">
      <alignment horizontal="center"/>
    </xf>
    <xf numFmtId="0" fontId="147" fillId="44" borderId="82" xfId="8723" applyFont="1" applyFill="1" applyBorder="1" applyAlignment="1">
      <alignment horizontal="center"/>
    </xf>
    <xf numFmtId="0" fontId="147" fillId="44" borderId="83" xfId="8723" applyFont="1" applyFill="1" applyBorder="1" applyAlignment="1">
      <alignment horizontal="center"/>
    </xf>
    <xf numFmtId="0" fontId="147" fillId="44" borderId="84" xfId="8723" applyFont="1" applyFill="1" applyBorder="1" applyAlignment="1">
      <alignment horizontal="center"/>
    </xf>
    <xf numFmtId="0" fontId="161" fillId="44" borderId="85" xfId="8723" applyFont="1" applyFill="1" applyBorder="1" applyAlignment="1">
      <alignment horizontal="center"/>
    </xf>
    <xf numFmtId="0" fontId="161" fillId="44" borderId="83" xfId="8723" applyFont="1" applyFill="1" applyBorder="1" applyAlignment="1">
      <alignment horizontal="center"/>
    </xf>
    <xf numFmtId="0" fontId="161" fillId="44" borderId="84" xfId="8723" applyFont="1" applyFill="1" applyBorder="1" applyAlignment="1">
      <alignment horizontal="center"/>
    </xf>
    <xf numFmtId="9" fontId="147" fillId="44" borderId="85" xfId="8723" applyNumberFormat="1" applyFont="1" applyFill="1" applyBorder="1" applyAlignment="1">
      <alignment horizontal="center"/>
    </xf>
    <xf numFmtId="9" fontId="147" fillId="44" borderId="83" xfId="8723" applyNumberFormat="1" applyFont="1" applyFill="1" applyBorder="1" applyAlignment="1">
      <alignment horizontal="center"/>
    </xf>
    <xf numFmtId="9" fontId="147" fillId="44" borderId="86" xfId="8723" applyNumberFormat="1" applyFont="1" applyFill="1" applyBorder="1" applyAlignment="1">
      <alignment horizontal="center"/>
    </xf>
    <xf numFmtId="9" fontId="147" fillId="49" borderId="11" xfId="8723" applyNumberFormat="1" applyFont="1" applyFill="1" applyBorder="1" applyAlignment="1" applyProtection="1">
      <alignment horizontal="center"/>
      <protection locked="0"/>
    </xf>
    <xf numFmtId="9" fontId="148" fillId="49" borderId="11" xfId="8723" applyNumberFormat="1" applyFont="1" applyFill="1" applyBorder="1" applyAlignment="1" applyProtection="1">
      <alignment horizontal="center"/>
      <protection locked="0"/>
    </xf>
    <xf numFmtId="0" fontId="148" fillId="44" borderId="11" xfId="8723" applyFont="1" applyFill="1" applyBorder="1" applyAlignment="1">
      <alignment horizontal="center"/>
    </xf>
    <xf numFmtId="0" fontId="148" fillId="44" borderId="92" xfId="8723" applyFont="1" applyFill="1" applyBorder="1" applyAlignment="1">
      <alignment horizontal="center"/>
    </xf>
    <xf numFmtId="0" fontId="147" fillId="44" borderId="89" xfId="8723" applyFont="1" applyFill="1" applyBorder="1" applyAlignment="1">
      <alignment horizontal="center"/>
    </xf>
    <xf numFmtId="0" fontId="147" fillId="44" borderId="42" xfId="8723" applyFont="1" applyFill="1" applyBorder="1" applyAlignment="1">
      <alignment horizontal="center"/>
    </xf>
    <xf numFmtId="0" fontId="147" fillId="44" borderId="88" xfId="8723" applyFont="1" applyFill="1" applyBorder="1" applyAlignment="1">
      <alignment horizontal="center"/>
    </xf>
    <xf numFmtId="9" fontId="147" fillId="44" borderId="89"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3" fillId="45" borderId="71" xfId="8723" applyFont="1" applyFill="1" applyBorder="1" applyAlignment="1">
      <alignment horizontal="center"/>
    </xf>
    <xf numFmtId="0" fontId="143" fillId="45" borderId="72" xfId="8723" applyFont="1" applyFill="1" applyBorder="1" applyAlignment="1">
      <alignment horizontal="center"/>
    </xf>
    <xf numFmtId="0" fontId="143" fillId="45" borderId="75" xfId="8723" applyFont="1" applyFill="1" applyBorder="1" applyAlignment="1">
      <alignment horizontal="center"/>
    </xf>
    <xf numFmtId="0" fontId="148" fillId="45" borderId="81" xfId="8723" applyFont="1" applyFill="1" applyBorder="1" applyAlignment="1">
      <alignment horizontal="center" vertical="center" wrapText="1"/>
    </xf>
    <xf numFmtId="0" fontId="148" fillId="45" borderId="11" xfId="8723" applyFont="1" applyFill="1" applyBorder="1" applyAlignment="1">
      <alignment horizontal="center" vertical="center"/>
    </xf>
    <xf numFmtId="0" fontId="148" fillId="45" borderId="81" xfId="8723" applyFont="1" applyFill="1" applyBorder="1" applyAlignment="1">
      <alignment horizontal="center" vertical="center"/>
    </xf>
    <xf numFmtId="0" fontId="147" fillId="45" borderId="1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8" fillId="45" borderId="11" xfId="8723" applyFont="1" applyFill="1" applyBorder="1" applyAlignment="1">
      <alignment horizontal="center"/>
    </xf>
    <xf numFmtId="0" fontId="148" fillId="45" borderId="92" xfId="8723" applyFont="1" applyFill="1" applyBorder="1" applyAlignment="1">
      <alignment horizontal="center"/>
    </xf>
    <xf numFmtId="0" fontId="148"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0" fontId="147" fillId="44" borderId="87" xfId="8723" applyFont="1" applyFill="1" applyBorder="1" applyAlignment="1">
      <alignment horizontal="center"/>
    </xf>
    <xf numFmtId="0" fontId="163" fillId="49" borderId="81" xfId="8723" applyFont="1" applyFill="1" applyBorder="1" applyAlignment="1" applyProtection="1">
      <alignment horizontal="right"/>
      <protection locked="0"/>
    </xf>
    <xf numFmtId="0" fontId="163" fillId="49" borderId="11" xfId="8723" applyFont="1" applyFill="1" applyBorder="1" applyAlignment="1" applyProtection="1">
      <alignment horizontal="right"/>
      <protection locked="0"/>
    </xf>
    <xf numFmtId="0" fontId="162" fillId="49" borderId="11" xfId="8723" applyFont="1" applyFill="1" applyBorder="1" applyAlignment="1" applyProtection="1">
      <alignment horizontal="center"/>
      <protection locked="0"/>
    </xf>
    <xf numFmtId="1" fontId="162" fillId="49" borderId="11" xfId="8723" applyNumberFormat="1" applyFont="1" applyFill="1" applyBorder="1" applyAlignment="1" applyProtection="1">
      <alignment horizontal="center"/>
      <protection locked="0"/>
    </xf>
    <xf numFmtId="1" fontId="148" fillId="44" borderId="11" xfId="8723" applyNumberFormat="1" applyFont="1" applyFill="1" applyBorder="1" applyAlignment="1">
      <alignment horizontal="center"/>
    </xf>
    <xf numFmtId="9" fontId="148" fillId="44" borderId="11" xfId="8725" applyFont="1" applyFill="1" applyBorder="1" applyAlignment="1">
      <alignment horizontal="center"/>
    </xf>
    <xf numFmtId="9" fontId="148" fillId="44" borderId="92" xfId="8725" applyFont="1" applyFill="1" applyBorder="1" applyAlignment="1">
      <alignment horizontal="center"/>
    </xf>
    <xf numFmtId="0" fontId="161" fillId="49" borderId="81" xfId="8723" applyFont="1" applyFill="1" applyBorder="1" applyAlignment="1" applyProtection="1">
      <alignment horizontal="right"/>
      <protection locked="0"/>
    </xf>
    <xf numFmtId="0" fontId="161" fillId="49" borderId="11" xfId="8723" applyFont="1" applyFill="1" applyBorder="1" applyAlignment="1" applyProtection="1">
      <alignment horizontal="right"/>
      <protection locked="0"/>
    </xf>
    <xf numFmtId="9" fontId="148" fillId="44" borderId="74" xfId="8725" applyFont="1" applyFill="1" applyBorder="1" applyAlignment="1">
      <alignment horizontal="center"/>
    </xf>
    <xf numFmtId="9" fontId="148" fillId="44" borderId="94" xfId="8725" applyFont="1" applyFill="1" applyBorder="1" applyAlignment="1">
      <alignment horizontal="center"/>
    </xf>
    <xf numFmtId="0" fontId="161" fillId="49" borderId="73" xfId="8723" applyFont="1" applyFill="1" applyBorder="1" applyAlignment="1" applyProtection="1">
      <alignment horizontal="right"/>
      <protection locked="0"/>
    </xf>
    <xf numFmtId="0" fontId="161" fillId="49" borderId="74" xfId="8723" applyFont="1" applyFill="1" applyBorder="1" applyAlignment="1" applyProtection="1">
      <alignment horizontal="right"/>
      <protection locked="0"/>
    </xf>
    <xf numFmtId="0" fontId="162" fillId="49" borderId="74" xfId="8723" applyFont="1" applyFill="1" applyBorder="1" applyAlignment="1" applyProtection="1">
      <alignment horizontal="center"/>
      <protection locked="0"/>
    </xf>
    <xf numFmtId="1" fontId="162" fillId="49" borderId="74" xfId="8723" applyNumberFormat="1" applyFont="1" applyFill="1" applyBorder="1" applyAlignment="1" applyProtection="1">
      <alignment horizontal="center"/>
      <protection locked="0"/>
    </xf>
    <xf numFmtId="0" fontId="147" fillId="45" borderId="81" xfId="8723" applyFont="1" applyFill="1" applyBorder="1" applyAlignment="1">
      <alignment horizontal="center"/>
    </xf>
    <xf numFmtId="0" fontId="147" fillId="45" borderId="11" xfId="8723" applyFont="1" applyFill="1" applyBorder="1" applyAlignment="1">
      <alignment horizontal="center"/>
    </xf>
    <xf numFmtId="0" fontId="148" fillId="45" borderId="92" xfId="8723" applyFont="1" applyFill="1" applyBorder="1" applyAlignment="1">
      <alignment horizontal="center" vertical="center" wrapText="1"/>
    </xf>
    <xf numFmtId="1" fontId="148" fillId="44" borderId="74" xfId="8723" applyNumberFormat="1" applyFont="1" applyFill="1" applyBorder="1" applyAlignment="1">
      <alignment horizontal="center"/>
    </xf>
    <xf numFmtId="0" fontId="161" fillId="49" borderId="11" xfId="8723" applyFont="1" applyFill="1" applyBorder="1" applyAlignment="1" applyProtection="1">
      <alignment horizontal="center"/>
      <protection locked="0"/>
    </xf>
    <xf numFmtId="168" fontId="161" fillId="49" borderId="11" xfId="8724" applyNumberFormat="1"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2" xfId="700" applyNumberFormat="1" applyFont="1" applyFill="1" applyBorder="1" applyAlignment="1" applyProtection="1">
      <alignment horizontal="left"/>
      <protection locked="0"/>
    </xf>
    <xf numFmtId="0" fontId="143" fillId="45" borderId="66" xfId="8723" applyFont="1" applyFill="1" applyBorder="1" applyAlignment="1">
      <alignment horizontal="center"/>
    </xf>
    <xf numFmtId="0" fontId="143" fillId="45" borderId="29" xfId="8723" applyFont="1" applyFill="1" applyBorder="1" applyAlignment="1">
      <alignment horizontal="center"/>
    </xf>
    <xf numFmtId="0" fontId="143" fillId="45" borderId="31" xfId="8723" applyFont="1" applyFill="1" applyBorder="1" applyAlignment="1">
      <alignment horizontal="center"/>
    </xf>
    <xf numFmtId="0" fontId="161" fillId="44" borderId="81" xfId="8723" applyFont="1" applyFill="1" applyBorder="1" applyAlignment="1" applyProtection="1">
      <alignment horizontal="right"/>
      <protection locked="0"/>
    </xf>
    <xf numFmtId="0" fontId="161" fillId="44" borderId="11" xfId="8723" applyFont="1" applyFill="1" applyBorder="1" applyAlignment="1" applyProtection="1">
      <alignment horizontal="right"/>
      <protection locked="0"/>
    </xf>
    <xf numFmtId="0" fontId="161" fillId="44" borderId="92" xfId="8723" applyFont="1" applyFill="1" applyBorder="1" applyAlignment="1" applyProtection="1">
      <alignment horizontal="right"/>
      <protection locked="0"/>
    </xf>
    <xf numFmtId="0" fontId="161" fillId="49" borderId="5" xfId="8723" applyFont="1" applyFill="1" applyBorder="1" applyAlignment="1" applyProtection="1">
      <alignment horizontal="left"/>
      <protection locked="0"/>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47" fillId="45" borderId="73" xfId="8723" applyFont="1" applyFill="1" applyBorder="1" applyAlignment="1">
      <alignment horizontal="center"/>
    </xf>
    <xf numFmtId="0" fontId="147" fillId="45" borderId="74" xfId="8723" applyFont="1" applyFill="1" applyBorder="1" applyAlignment="1">
      <alignment horizontal="center"/>
    </xf>
    <xf numFmtId="168" fontId="147" fillId="45" borderId="74" xfId="8724" applyNumberFormat="1" applyFont="1" applyFill="1" applyBorder="1" applyAlignment="1">
      <alignment horizontal="center"/>
    </xf>
    <xf numFmtId="1" fontId="147" fillId="45" borderId="74" xfId="8724" applyNumberFormat="1" applyFont="1" applyFill="1" applyBorder="1" applyAlignment="1">
      <alignment horizontal="center"/>
    </xf>
    <xf numFmtId="0" fontId="147" fillId="45" borderId="74" xfId="8724" applyNumberFormat="1" applyFont="1" applyFill="1" applyBorder="1" applyAlignment="1">
      <alignment horizontal="center"/>
    </xf>
    <xf numFmtId="0" fontId="147" fillId="45" borderId="94" xfId="8724" applyNumberFormat="1" applyFont="1" applyFill="1" applyBorder="1" applyAlignment="1">
      <alignment horizontal="center"/>
    </xf>
    <xf numFmtId="0" fontId="146" fillId="49" borderId="90" xfId="8723" applyFont="1" applyFill="1" applyBorder="1" applyAlignment="1" applyProtection="1">
      <alignment horizontal="left"/>
      <protection locked="0"/>
    </xf>
    <xf numFmtId="0" fontId="146" fillId="49" borderId="72" xfId="8723" applyFont="1" applyFill="1" applyBorder="1" applyAlignment="1" applyProtection="1">
      <alignment horizontal="left"/>
      <protection locked="0"/>
    </xf>
    <xf numFmtId="0" fontId="146" fillId="49" borderId="75" xfId="8723" applyFont="1" applyFill="1" applyBorder="1" applyAlignment="1" applyProtection="1">
      <alignment horizontal="left"/>
      <protection locked="0"/>
    </xf>
    <xf numFmtId="0" fontId="143" fillId="45" borderId="81" xfId="8723" applyFont="1" applyFill="1" applyBorder="1" applyAlignment="1">
      <alignment horizontal="center"/>
    </xf>
    <xf numFmtId="0" fontId="143" fillId="45" borderId="11" xfId="8723" applyFont="1" applyFill="1" applyBorder="1" applyAlignment="1">
      <alignment horizontal="center"/>
    </xf>
    <xf numFmtId="0" fontId="143" fillId="45" borderId="3" xfId="8723" applyFont="1" applyFill="1" applyBorder="1" applyAlignment="1">
      <alignment horizontal="center"/>
    </xf>
    <xf numFmtId="0" fontId="143" fillId="45" borderId="4" xfId="8723" applyFont="1" applyFill="1" applyBorder="1" applyAlignment="1">
      <alignment horizontal="center"/>
    </xf>
    <xf numFmtId="0" fontId="143" fillId="45" borderId="80" xfId="8723" applyFont="1" applyFill="1" applyBorder="1" applyAlignment="1">
      <alignment horizontal="center"/>
    </xf>
    <xf numFmtId="0" fontId="99" fillId="45" borderId="73" xfId="8723" applyFont="1" applyFill="1" applyBorder="1" applyAlignment="1">
      <alignment horizontal="center"/>
    </xf>
    <xf numFmtId="0" fontId="99" fillId="45" borderId="74" xfId="8723" applyFont="1" applyFill="1" applyBorder="1" applyAlignment="1">
      <alignment horizontal="center"/>
    </xf>
    <xf numFmtId="14" fontId="146" fillId="49" borderId="84" xfId="8723" applyNumberFormat="1" applyFont="1" applyFill="1" applyBorder="1" applyAlignment="1" applyProtection="1">
      <alignment horizontal="center"/>
      <protection locked="0"/>
    </xf>
    <xf numFmtId="0" fontId="146" fillId="49" borderId="74" xfId="8723" applyFont="1" applyFill="1" applyBorder="1" applyAlignment="1" applyProtection="1">
      <alignment horizontal="center"/>
      <protection locked="0"/>
    </xf>
    <xf numFmtId="0" fontId="146" fillId="49" borderId="94" xfId="8723" applyFont="1" applyFill="1" applyBorder="1" applyAlignment="1" applyProtection="1">
      <alignment horizontal="center"/>
      <protection locked="0"/>
    </xf>
    <xf numFmtId="0" fontId="161" fillId="44" borderId="73" xfId="8723" applyFont="1" applyFill="1" applyBorder="1" applyAlignment="1" applyProtection="1">
      <alignment horizontal="right"/>
      <protection locked="0"/>
    </xf>
    <xf numFmtId="0" fontId="161" fillId="44" borderId="74" xfId="8723" applyFont="1" applyFill="1" applyBorder="1" applyAlignment="1" applyProtection="1">
      <alignment horizontal="right"/>
      <protection locked="0"/>
    </xf>
    <xf numFmtId="0" fontId="161" fillId="44" borderId="94" xfId="8723" applyFont="1" applyFill="1" applyBorder="1" applyAlignment="1" applyProtection="1">
      <alignment horizontal="right"/>
      <protection locked="0"/>
    </xf>
    <xf numFmtId="0" fontId="161" fillId="49" borderId="84" xfId="8723" applyFont="1" applyFill="1" applyBorder="1" applyAlignment="1" applyProtection="1">
      <alignment horizontal="left"/>
      <protection locked="0"/>
    </xf>
    <xf numFmtId="0" fontId="161" fillId="49" borderId="74" xfId="8723" applyFont="1" applyFill="1" applyBorder="1" applyAlignment="1" applyProtection="1">
      <alignment horizontal="left"/>
      <protection locked="0"/>
    </xf>
    <xf numFmtId="0" fontId="161" fillId="49" borderId="94" xfId="8723" applyFont="1" applyFill="1" applyBorder="1" applyAlignment="1" applyProtection="1">
      <alignment horizontal="left"/>
      <protection locked="0"/>
    </xf>
    <xf numFmtId="168" fontId="163" fillId="49" borderId="11" xfId="700" applyNumberFormat="1" applyFont="1" applyFill="1" applyBorder="1" applyAlignment="1" applyProtection="1">
      <alignment horizontal="left"/>
      <protection locked="0"/>
    </xf>
    <xf numFmtId="168" fontId="163" fillId="49" borderId="92" xfId="700" applyNumberFormat="1" applyFont="1" applyFill="1" applyBorder="1" applyAlignment="1" applyProtection="1">
      <alignment horizontal="left"/>
      <protection locked="0"/>
    </xf>
    <xf numFmtId="0" fontId="161" fillId="49" borderId="72" xfId="8723" applyFont="1" applyFill="1" applyBorder="1" applyAlignment="1" applyProtection="1">
      <alignment horizontal="left"/>
      <protection locked="0"/>
    </xf>
    <xf numFmtId="0" fontId="161" fillId="49" borderId="75" xfId="8723" applyFont="1" applyFill="1" applyBorder="1" applyAlignment="1" applyProtection="1">
      <alignment horizontal="left"/>
      <protection locked="0"/>
    </xf>
    <xf numFmtId="0" fontId="143" fillId="45" borderId="73" xfId="8723" applyFont="1" applyFill="1" applyBorder="1" applyAlignment="1">
      <alignment horizontal="center"/>
    </xf>
    <xf numFmtId="0" fontId="143" fillId="45" borderId="74" xfId="8723" applyFont="1" applyFill="1" applyBorder="1" applyAlignment="1">
      <alignment horizontal="center"/>
    </xf>
    <xf numFmtId="0" fontId="99" fillId="45" borderId="71" xfId="8723" applyFont="1" applyFill="1" applyBorder="1" applyAlignment="1">
      <alignment horizontal="center"/>
    </xf>
    <xf numFmtId="0" fontId="99" fillId="45" borderId="72" xfId="8723" applyFont="1" applyFill="1" applyBorder="1" applyAlignment="1">
      <alignment horizontal="center"/>
    </xf>
    <xf numFmtId="0" fontId="143" fillId="45" borderId="96" xfId="8723" applyFont="1" applyFill="1" applyBorder="1" applyAlignment="1">
      <alignment horizontal="center"/>
    </xf>
    <xf numFmtId="0" fontId="143" fillId="45" borderId="13" xfId="8723" applyFont="1" applyFill="1" applyBorder="1" applyAlignment="1">
      <alignment horizontal="center"/>
    </xf>
    <xf numFmtId="0" fontId="161" fillId="49" borderId="81" xfId="8723" applyFont="1" applyFill="1" applyBorder="1" applyAlignment="1" applyProtection="1">
      <alignment horizontal="left" vertical="top"/>
      <protection locked="0"/>
    </xf>
    <xf numFmtId="0" fontId="161" fillId="49" borderId="11" xfId="8723" applyFont="1" applyFill="1" applyBorder="1" applyAlignment="1" applyProtection="1">
      <alignment horizontal="left" vertical="top"/>
      <protection locked="0"/>
    </xf>
    <xf numFmtId="0" fontId="161" fillId="49" borderId="92" xfId="8723" applyFont="1" applyFill="1" applyBorder="1" applyAlignment="1" applyProtection="1">
      <alignment horizontal="left" vertical="top"/>
      <protection locked="0"/>
    </xf>
    <xf numFmtId="0" fontId="161" fillId="49" borderId="73" xfId="8723" applyFont="1" applyFill="1" applyBorder="1" applyAlignment="1" applyProtection="1">
      <alignment horizontal="left" vertical="top"/>
      <protection locked="0"/>
    </xf>
    <xf numFmtId="0" fontId="161" fillId="49" borderId="74" xfId="8723" applyFont="1" applyFill="1" applyBorder="1" applyAlignment="1" applyProtection="1">
      <alignment horizontal="left" vertical="top"/>
      <protection locked="0"/>
    </xf>
    <xf numFmtId="0" fontId="161" fillId="49" borderId="94" xfId="8723" applyFont="1" applyFill="1" applyBorder="1" applyAlignment="1" applyProtection="1">
      <alignment horizontal="left" vertical="top"/>
      <protection locked="0"/>
    </xf>
    <xf numFmtId="0" fontId="161" fillId="49" borderId="81" xfId="8723" applyFont="1" applyFill="1" applyBorder="1" applyAlignment="1" applyProtection="1">
      <alignment horizontal="center"/>
      <protection locked="0"/>
    </xf>
    <xf numFmtId="0" fontId="143" fillId="45" borderId="95" xfId="8723" applyFont="1" applyFill="1" applyBorder="1" applyAlignment="1">
      <alignment horizontal="right"/>
    </xf>
    <xf numFmtId="0" fontId="143" fillId="45" borderId="43" xfId="8723" applyFont="1" applyFill="1" applyBorder="1" applyAlignment="1">
      <alignment horizontal="right"/>
    </xf>
    <xf numFmtId="168" fontId="143" fillId="45" borderId="43" xfId="8723" applyNumberFormat="1" applyFont="1" applyFill="1" applyBorder="1" applyAlignment="1">
      <alignment horizontal="left"/>
    </xf>
    <xf numFmtId="168" fontId="143" fillId="45" borderId="97" xfId="8723" applyNumberFormat="1" applyFont="1" applyFill="1" applyBorder="1" applyAlignment="1">
      <alignment horizontal="left"/>
    </xf>
    <xf numFmtId="0" fontId="99" fillId="45" borderId="71" xfId="8723" applyFont="1" applyFill="1" applyBorder="1" applyAlignment="1">
      <alignment horizontal="center" wrapText="1"/>
    </xf>
    <xf numFmtId="0" fontId="99" fillId="45" borderId="72" xfId="8723" applyFont="1" applyFill="1" applyBorder="1" applyAlignment="1">
      <alignment horizontal="center" wrapText="1"/>
    </xf>
    <xf numFmtId="0" fontId="99" fillId="45" borderId="75" xfId="8723" applyFont="1" applyFill="1" applyBorder="1" applyAlignment="1">
      <alignment horizontal="center" wrapText="1"/>
    </xf>
    <xf numFmtId="0" fontId="99" fillId="45" borderId="71" xfId="8723" applyFont="1" applyFill="1" applyBorder="1" applyAlignment="1">
      <alignment horizontal="left" wrapText="1"/>
    </xf>
    <xf numFmtId="0" fontId="99" fillId="45" borderId="72" xfId="8723" applyFont="1" applyFill="1" applyBorder="1" applyAlignment="1">
      <alignment horizontal="left" wrapText="1"/>
    </xf>
    <xf numFmtId="0" fontId="99" fillId="45" borderId="81" xfId="8723" applyFont="1" applyFill="1" applyBorder="1" applyAlignment="1">
      <alignment horizontal="left" wrapText="1"/>
    </xf>
    <xf numFmtId="0" fontId="99" fillId="45" borderId="11" xfId="8723" applyFont="1" applyFill="1" applyBorder="1" applyAlignment="1">
      <alignment horizontal="left" wrapText="1"/>
    </xf>
    <xf numFmtId="0" fontId="146" fillId="49" borderId="72" xfId="8723" applyFont="1" applyFill="1" applyBorder="1" applyAlignment="1" applyProtection="1">
      <alignment horizontal="left" wrapText="1"/>
      <protection locked="0"/>
    </xf>
    <xf numFmtId="0" fontId="146" fillId="49" borderId="75" xfId="8723" applyFont="1" applyFill="1" applyBorder="1" applyAlignment="1" applyProtection="1">
      <alignment horizontal="left" wrapText="1"/>
      <protection locked="0"/>
    </xf>
    <xf numFmtId="0" fontId="146" fillId="49" borderId="11" xfId="8723" applyFont="1" applyFill="1" applyBorder="1" applyAlignment="1" applyProtection="1">
      <alignment horizontal="left" wrapText="1"/>
      <protection locked="0"/>
    </xf>
    <xf numFmtId="0" fontId="146" fillId="49" borderId="92" xfId="8723" applyFont="1" applyFill="1" applyBorder="1" applyAlignment="1" applyProtection="1">
      <alignment horizontal="left" wrapText="1"/>
      <protection locked="0"/>
    </xf>
    <xf numFmtId="0" fontId="147" fillId="45" borderId="11" xfId="8723" applyFont="1" applyFill="1" applyBorder="1" applyAlignment="1">
      <alignment horizontal="center" wrapText="1"/>
    </xf>
    <xf numFmtId="0" fontId="2" fillId="49" borderId="11" xfId="8723" applyFill="1" applyBorder="1" applyAlignment="1" applyProtection="1">
      <alignment horizontal="center"/>
      <protection locked="0"/>
    </xf>
    <xf numFmtId="0" fontId="161" fillId="49" borderId="81" xfId="8723" applyFont="1" applyFill="1" applyBorder="1" applyAlignment="1">
      <alignment horizontal="left" vertical="top"/>
    </xf>
    <xf numFmtId="0" fontId="161" fillId="49" borderId="11" xfId="8723" applyFont="1" applyFill="1" applyBorder="1" applyAlignment="1">
      <alignment horizontal="left" vertical="top"/>
    </xf>
    <xf numFmtId="0" fontId="161" fillId="49" borderId="92" xfId="8723" applyFont="1" applyFill="1" applyBorder="1" applyAlignment="1">
      <alignment horizontal="left" vertical="top"/>
    </xf>
    <xf numFmtId="0" fontId="161" fillId="49" borderId="73" xfId="8723" applyFont="1" applyFill="1" applyBorder="1" applyAlignment="1">
      <alignment horizontal="left" vertical="top"/>
    </xf>
    <xf numFmtId="0" fontId="161" fillId="49" borderId="74" xfId="8723" applyFont="1" applyFill="1" applyBorder="1" applyAlignment="1">
      <alignment horizontal="left" vertical="top"/>
    </xf>
    <xf numFmtId="0" fontId="161" fillId="49" borderId="94" xfId="8723" applyFont="1" applyFill="1" applyBorder="1" applyAlignment="1">
      <alignment horizontal="left" vertical="top"/>
    </xf>
    <xf numFmtId="0" fontId="2" fillId="49" borderId="74" xfId="8723" applyFill="1" applyBorder="1" applyAlignment="1" applyProtection="1">
      <alignment horizontal="center"/>
      <protection locked="0"/>
    </xf>
    <xf numFmtId="0" fontId="2" fillId="49" borderId="94" xfId="8723" applyFill="1" applyBorder="1" applyAlignment="1" applyProtection="1">
      <alignment horizontal="center"/>
      <protection locked="0"/>
    </xf>
    <xf numFmtId="0" fontId="2" fillId="49" borderId="92" xfId="8723" applyFill="1" applyBorder="1" applyAlignment="1" applyProtection="1">
      <alignment horizontal="center"/>
      <protection locked="0"/>
    </xf>
    <xf numFmtId="0" fontId="99" fillId="45" borderId="75" xfId="8723" applyFont="1" applyFill="1" applyBorder="1" applyAlignment="1">
      <alignment horizontal="center"/>
    </xf>
    <xf numFmtId="0" fontId="2" fillId="47" borderId="74" xfId="8723" applyFill="1" applyBorder="1" applyAlignment="1" applyProtection="1">
      <alignment horizontal="center"/>
      <protection locked="0"/>
    </xf>
    <xf numFmtId="0" fontId="2" fillId="47" borderId="94" xfId="8723" applyFill="1" applyBorder="1" applyAlignment="1" applyProtection="1">
      <alignment horizontal="center"/>
      <protection locked="0"/>
    </xf>
    <xf numFmtId="0" fontId="99" fillId="45" borderId="81" xfId="8723" applyFont="1" applyFill="1" applyBorder="1" applyAlignment="1">
      <alignment horizontal="center"/>
    </xf>
    <xf numFmtId="0" fontId="99" fillId="45" borderId="11" xfId="8723" applyFont="1" applyFill="1" applyBorder="1" applyAlignment="1">
      <alignment horizontal="center"/>
    </xf>
    <xf numFmtId="0" fontId="148" fillId="45" borderId="11" xfId="8723" applyFont="1" applyFill="1" applyBorder="1" applyAlignment="1">
      <alignment horizontal="center" wrapText="1"/>
    </xf>
    <xf numFmtId="0" fontId="148" fillId="45" borderId="92" xfId="8723" applyFont="1" applyFill="1" applyBorder="1" applyAlignment="1">
      <alignment horizontal="center" wrapText="1"/>
    </xf>
    <xf numFmtId="0" fontId="99" fillId="45" borderId="75" xfId="8723" applyFont="1" applyFill="1" applyBorder="1" applyAlignment="1">
      <alignment horizontal="left" wrapText="1"/>
    </xf>
    <xf numFmtId="0" fontId="99" fillId="45" borderId="92" xfId="8723" applyFont="1" applyFill="1" applyBorder="1" applyAlignment="1">
      <alignment horizontal="left" wrapText="1"/>
    </xf>
    <xf numFmtId="0" fontId="99" fillId="45" borderId="66" xfId="8723" applyFont="1" applyFill="1" applyBorder="1" applyAlignment="1">
      <alignment horizontal="center"/>
    </xf>
    <xf numFmtId="0" fontId="99" fillId="45" borderId="29" xfId="8723" applyFont="1" applyFill="1" applyBorder="1" applyAlignment="1">
      <alignment horizontal="center"/>
    </xf>
    <xf numFmtId="0" fontId="99" fillId="45" borderId="31" xfId="8723" applyFont="1" applyFill="1" applyBorder="1" applyAlignment="1">
      <alignment horizontal="center"/>
    </xf>
    <xf numFmtId="0" fontId="158" fillId="45" borderId="11" xfId="8723" applyFont="1" applyFill="1" applyBorder="1" applyAlignment="1">
      <alignment horizontal="left"/>
    </xf>
    <xf numFmtId="0" fontId="158" fillId="45" borderId="92" xfId="8723" applyFont="1" applyFill="1" applyBorder="1" applyAlignment="1">
      <alignment horizontal="left"/>
    </xf>
    <xf numFmtId="0" fontId="159" fillId="45" borderId="81" xfId="8723" applyFont="1" applyFill="1" applyBorder="1" applyAlignment="1">
      <alignment horizontal="left"/>
    </xf>
    <xf numFmtId="0" fontId="159" fillId="45" borderId="11" xfId="8723" applyFont="1" applyFill="1" applyBorder="1" applyAlignment="1">
      <alignment horizontal="left"/>
    </xf>
    <xf numFmtId="0" fontId="159" fillId="45" borderId="73" xfId="8723" applyFont="1" applyFill="1" applyBorder="1" applyAlignment="1">
      <alignment horizontal="left"/>
    </xf>
    <xf numFmtId="0" fontId="159" fillId="45" borderId="74" xfId="8723" applyFont="1" applyFill="1" applyBorder="1" applyAlignment="1">
      <alignment horizontal="left"/>
    </xf>
    <xf numFmtId="0" fontId="143" fillId="45" borderId="71" xfId="8723" applyFont="1" applyFill="1" applyBorder="1" applyAlignment="1">
      <alignment horizontal="left"/>
    </xf>
    <xf numFmtId="0" fontId="143" fillId="45" borderId="72" xfId="8723" applyFont="1" applyFill="1" applyBorder="1" applyAlignment="1">
      <alignment horizontal="left"/>
    </xf>
    <xf numFmtId="0" fontId="152" fillId="45" borderId="81" xfId="8723" applyFont="1" applyFill="1" applyBorder="1" applyAlignment="1">
      <alignment horizontal="left"/>
    </xf>
    <xf numFmtId="0" fontId="152" fillId="45" borderId="11" xfId="8723" applyFont="1" applyFill="1" applyBorder="1" applyAlignment="1">
      <alignment horizontal="left"/>
    </xf>
    <xf numFmtId="0" fontId="162" fillId="49" borderId="11" xfId="8723" applyFont="1" applyFill="1" applyBorder="1" applyAlignment="1" applyProtection="1">
      <alignment horizontal="left"/>
      <protection locked="0"/>
    </xf>
    <xf numFmtId="0" fontId="162" fillId="49" borderId="92" xfId="8723" applyFont="1" applyFill="1" applyBorder="1" applyAlignment="1" applyProtection="1">
      <alignment horizontal="left"/>
      <protection locked="0"/>
    </xf>
    <xf numFmtId="0" fontId="163" fillId="49" borderId="81" xfId="8723" applyFont="1" applyFill="1" applyBorder="1" applyAlignment="1" applyProtection="1">
      <alignment horizontal="left" vertical="top"/>
      <protection locked="0"/>
    </xf>
    <xf numFmtId="0" fontId="163" fillId="49" borderId="11" xfId="8723" applyFont="1" applyFill="1" applyBorder="1" applyAlignment="1" applyProtection="1">
      <alignment horizontal="left" vertical="top"/>
      <protection locked="0"/>
    </xf>
    <xf numFmtId="0" fontId="163" fillId="49" borderId="92" xfId="8723" applyFont="1" applyFill="1" applyBorder="1" applyAlignment="1" applyProtection="1">
      <alignment horizontal="left" vertical="top"/>
      <protection locked="0"/>
    </xf>
    <xf numFmtId="0" fontId="163" fillId="49" borderId="73" xfId="8723" applyFont="1" applyFill="1" applyBorder="1" applyAlignment="1" applyProtection="1">
      <alignment horizontal="left" vertical="top"/>
      <protection locked="0"/>
    </xf>
    <xf numFmtId="0" fontId="163" fillId="49" borderId="74" xfId="8723" applyFont="1" applyFill="1" applyBorder="1" applyAlignment="1" applyProtection="1">
      <alignment horizontal="left" vertical="top"/>
      <protection locked="0"/>
    </xf>
    <xf numFmtId="0" fontId="163" fillId="49" borderId="94" xfId="8723" applyFont="1" applyFill="1" applyBorder="1" applyAlignment="1" applyProtection="1">
      <alignment horizontal="left" vertical="top"/>
      <protection locked="0"/>
    </xf>
    <xf numFmtId="0" fontId="171" fillId="45" borderId="81" xfId="8723" applyFont="1" applyFill="1" applyBorder="1" applyAlignment="1">
      <alignment horizontal="center"/>
    </xf>
    <xf numFmtId="0" fontId="171" fillId="45" borderId="11" xfId="8723" applyFont="1" applyFill="1" applyBorder="1" applyAlignment="1">
      <alignment horizontal="center"/>
    </xf>
    <xf numFmtId="0" fontId="163" fillId="49" borderId="11" xfId="8723" applyFont="1" applyFill="1" applyBorder="1" applyAlignment="1" applyProtection="1">
      <alignment horizontal="center"/>
      <protection locked="0"/>
    </xf>
    <xf numFmtId="14" fontId="161" fillId="49" borderId="11" xfId="8723" applyNumberFormat="1" applyFont="1" applyFill="1" applyBorder="1" applyAlignment="1" applyProtection="1">
      <alignment horizontal="center"/>
      <protection locked="0"/>
    </xf>
    <xf numFmtId="14" fontId="163" fillId="49" borderId="11" xfId="8723" applyNumberFormat="1" applyFont="1" applyFill="1" applyBorder="1" applyAlignment="1" applyProtection="1">
      <alignment horizontal="center"/>
      <protection locked="0"/>
    </xf>
    <xf numFmtId="0" fontId="99" fillId="45" borderId="92" xfId="8723" applyFont="1" applyFill="1" applyBorder="1" applyAlignment="1">
      <alignment horizontal="center"/>
    </xf>
    <xf numFmtId="168" fontId="163" fillId="49" borderId="11" xfId="8724" applyNumberFormat="1" applyFont="1" applyFill="1" applyBorder="1" applyAlignment="1" applyProtection="1">
      <alignment horizontal="center"/>
      <protection locked="0"/>
    </xf>
    <xf numFmtId="168" fontId="163" fillId="49" borderId="92" xfId="8724" applyNumberFormat="1" applyFont="1" applyFill="1" applyBorder="1" applyAlignment="1" applyProtection="1">
      <alignment horizontal="center"/>
      <protection locked="0"/>
    </xf>
    <xf numFmtId="0" fontId="157" fillId="49" borderId="11" xfId="8723" applyFont="1" applyFill="1" applyBorder="1" applyAlignment="1" applyProtection="1">
      <alignment horizontal="left"/>
      <protection locked="0"/>
    </xf>
    <xf numFmtId="0" fontId="171" fillId="45" borderId="73" xfId="8723" applyFont="1" applyFill="1" applyBorder="1" applyAlignment="1">
      <alignment horizontal="center"/>
    </xf>
    <xf numFmtId="0" fontId="171" fillId="45" borderId="74" xfId="8723" applyFont="1" applyFill="1" applyBorder="1" applyAlignment="1">
      <alignment horizontal="center"/>
    </xf>
    <xf numFmtId="0" fontId="157" fillId="49" borderId="74" xfId="8723" applyFont="1" applyFill="1" applyBorder="1" applyAlignment="1" applyProtection="1">
      <alignment horizontal="left"/>
      <protection locked="0"/>
    </xf>
    <xf numFmtId="0" fontId="163" fillId="49" borderId="74" xfId="8723" applyFont="1" applyFill="1" applyBorder="1" applyAlignment="1" applyProtection="1">
      <alignment horizontal="center"/>
      <protection locked="0"/>
    </xf>
    <xf numFmtId="14" fontId="163" fillId="49" borderId="74" xfId="8723" applyNumberFormat="1" applyFont="1" applyFill="1" applyBorder="1" applyAlignment="1" applyProtection="1">
      <alignment horizontal="center"/>
      <protection locked="0"/>
    </xf>
    <xf numFmtId="168" fontId="163" fillId="49" borderId="74" xfId="8724" applyNumberFormat="1" applyFont="1" applyFill="1" applyBorder="1" applyAlignment="1" applyProtection="1">
      <alignment horizontal="center"/>
      <protection locked="0"/>
    </xf>
    <xf numFmtId="168" fontId="163" fillId="49" borderId="94" xfId="8724" applyNumberFormat="1" applyFont="1" applyFill="1" applyBorder="1" applyAlignment="1" applyProtection="1">
      <alignment horizontal="center"/>
      <protection locked="0"/>
    </xf>
    <xf numFmtId="14" fontId="161" fillId="49" borderId="92" xfId="8723" applyNumberFormat="1" applyFont="1" applyFill="1" applyBorder="1" applyAlignment="1" applyProtection="1">
      <alignment horizontal="center"/>
      <protection locked="0"/>
    </xf>
    <xf numFmtId="0" fontId="143" fillId="45" borderId="75" xfId="8723" applyFont="1" applyFill="1" applyBorder="1" applyAlignment="1">
      <alignment horizontal="left"/>
    </xf>
    <xf numFmtId="0" fontId="161" fillId="45" borderId="81" xfId="8723" applyFont="1" applyFill="1" applyBorder="1" applyAlignment="1">
      <alignment horizontal="right"/>
    </xf>
    <xf numFmtId="0" fontId="161" fillId="45" borderId="11" xfId="8723" applyFont="1" applyFill="1" applyBorder="1" applyAlignment="1">
      <alignment horizontal="right"/>
    </xf>
    <xf numFmtId="168" fontId="163" fillId="44" borderId="11" xfId="700" applyNumberFormat="1" applyFont="1" applyFill="1" applyBorder="1" applyAlignment="1">
      <alignment horizontal="left"/>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63" fillId="45" borderId="81" xfId="8723" applyFont="1" applyFill="1" applyBorder="1" applyAlignment="1">
      <alignment horizontal="right"/>
    </xf>
    <xf numFmtId="0" fontId="163" fillId="45" borderId="11" xfId="8723" applyFont="1" applyFill="1" applyBorder="1" applyAlignment="1">
      <alignment horizontal="right"/>
    </xf>
    <xf numFmtId="0" fontId="161" fillId="49" borderId="73" xfId="8723" applyFont="1" applyFill="1" applyBorder="1" applyAlignment="1" applyProtection="1">
      <alignment horizontal="center"/>
      <protection locked="0"/>
    </xf>
    <xf numFmtId="0" fontId="161" fillId="49" borderId="74" xfId="8723" applyFont="1" applyFill="1" applyBorder="1" applyAlignment="1" applyProtection="1">
      <alignment horizontal="center"/>
      <protection locked="0"/>
    </xf>
    <xf numFmtId="14" fontId="161" fillId="49" borderId="74" xfId="8723" applyNumberFormat="1" applyFont="1" applyFill="1" applyBorder="1" applyAlignment="1" applyProtection="1">
      <alignment horizontal="center"/>
      <protection locked="0"/>
    </xf>
    <xf numFmtId="14" fontId="161" fillId="49" borderId="94" xfId="8723" applyNumberFormat="1" applyFont="1" applyFill="1" applyBorder="1" applyAlignment="1" applyProtection="1">
      <alignment horizontal="center"/>
      <protection locked="0"/>
    </xf>
    <xf numFmtId="0" fontId="99" fillId="0" borderId="0" xfId="8723" applyFont="1" applyAlignment="1">
      <alignment horizontal="left" wrapText="1"/>
    </xf>
    <xf numFmtId="0" fontId="148" fillId="45" borderId="82" xfId="8723" applyFont="1" applyFill="1" applyBorder="1" applyAlignment="1">
      <alignment horizontal="center"/>
    </xf>
    <xf numFmtId="0" fontId="148" fillId="45" borderId="83" xfId="8723" applyFont="1" applyFill="1" applyBorder="1" applyAlignment="1">
      <alignment horizontal="center"/>
    </xf>
    <xf numFmtId="168" fontId="157" fillId="44" borderId="74" xfId="8724" applyNumberFormat="1" applyFont="1" applyFill="1" applyBorder="1" applyAlignment="1">
      <alignment horizontal="left"/>
    </xf>
    <xf numFmtId="168" fontId="157" fillId="44" borderId="94" xfId="8724" applyNumberFormat="1" applyFont="1" applyFill="1" applyBorder="1" applyAlignment="1">
      <alignment horizontal="left"/>
    </xf>
    <xf numFmtId="168" fontId="161" fillId="44" borderId="11" xfId="700" applyNumberFormat="1" applyFont="1" applyFill="1" applyBorder="1" applyAlignment="1">
      <alignment horizontal="left"/>
    </xf>
    <xf numFmtId="0" fontId="147" fillId="45" borderId="66" xfId="8723" applyFont="1" applyFill="1" applyBorder="1" applyAlignment="1">
      <alignment horizontal="center"/>
    </xf>
    <xf numFmtId="0" fontId="147" fillId="45" borderId="29" xfId="8723" applyFont="1" applyFill="1" applyBorder="1" applyAlignment="1">
      <alignment horizontal="center"/>
    </xf>
    <xf numFmtId="0" fontId="147" fillId="45" borderId="28" xfId="8723" applyFont="1" applyFill="1" applyBorder="1" applyAlignment="1">
      <alignment horizontal="center"/>
    </xf>
    <xf numFmtId="0" fontId="147" fillId="45" borderId="104" xfId="8723" applyFont="1" applyFill="1" applyBorder="1" applyAlignment="1">
      <alignment horizontal="center"/>
    </xf>
    <xf numFmtId="0" fontId="147" fillId="45" borderId="6" xfId="8723" applyFont="1" applyFill="1" applyBorder="1" applyAlignment="1">
      <alignment horizontal="center"/>
    </xf>
    <xf numFmtId="0" fontId="147" fillId="45" borderId="10" xfId="8723" applyFont="1" applyFill="1" applyBorder="1" applyAlignment="1">
      <alignment horizontal="center"/>
    </xf>
    <xf numFmtId="164" fontId="148" fillId="45" borderId="100" xfId="8724" applyNumberFormat="1" applyFont="1" applyFill="1" applyBorder="1" applyAlignment="1" applyProtection="1">
      <alignment horizontal="center" wrapText="1"/>
      <protection locked="0"/>
    </xf>
    <xf numFmtId="164" fontId="148" fillId="45" borderId="29" xfId="8724" applyNumberFormat="1" applyFont="1" applyFill="1" applyBorder="1" applyAlignment="1" applyProtection="1">
      <alignment horizontal="center" wrapText="1"/>
      <protection locked="0"/>
    </xf>
    <xf numFmtId="164" fontId="148" fillId="45" borderId="28" xfId="8724" applyNumberFormat="1" applyFont="1" applyFill="1" applyBorder="1" applyAlignment="1" applyProtection="1">
      <alignment horizontal="center" wrapText="1"/>
      <protection locked="0"/>
    </xf>
    <xf numFmtId="164" fontId="148" fillId="45" borderId="9" xfId="8724" applyNumberFormat="1" applyFont="1" applyFill="1" applyBorder="1" applyAlignment="1" applyProtection="1">
      <alignment horizontal="center" wrapText="1"/>
      <protection locked="0"/>
    </xf>
    <xf numFmtId="164" fontId="148" fillId="45" borderId="6" xfId="8724" applyNumberFormat="1" applyFont="1" applyFill="1" applyBorder="1" applyAlignment="1" applyProtection="1">
      <alignment horizontal="center" wrapText="1"/>
      <protection locked="0"/>
    </xf>
    <xf numFmtId="164" fontId="148" fillId="45" borderId="10" xfId="8724" applyNumberFormat="1" applyFont="1" applyFill="1" applyBorder="1" applyAlignment="1" applyProtection="1">
      <alignment horizontal="center" wrapText="1"/>
      <protection locked="0"/>
    </xf>
    <xf numFmtId="164" fontId="148" fillId="45" borderId="31" xfId="8724" applyNumberFormat="1" applyFont="1" applyFill="1" applyBorder="1" applyAlignment="1" applyProtection="1">
      <alignment horizontal="center" wrapText="1"/>
      <protection locked="0"/>
    </xf>
    <xf numFmtId="164" fontId="148" fillId="45" borderId="105" xfId="8724" applyNumberFormat="1" applyFont="1" applyFill="1" applyBorder="1" applyAlignment="1" applyProtection="1">
      <alignment horizontal="center" wrapText="1"/>
      <protection locked="0"/>
    </xf>
    <xf numFmtId="168" fontId="161" fillId="49" borderId="11" xfId="700" applyNumberFormat="1" applyFont="1" applyFill="1" applyBorder="1" applyAlignment="1" applyProtection="1">
      <alignment horizontal="left"/>
    </xf>
    <xf numFmtId="0" fontId="171" fillId="49" borderId="81" xfId="8723" applyFont="1" applyFill="1" applyBorder="1" applyAlignment="1">
      <alignment horizontal="left"/>
    </xf>
    <xf numFmtId="0" fontId="171" fillId="49" borderId="11" xfId="8723" applyFont="1" applyFill="1" applyBorder="1" applyAlignment="1">
      <alignment horizontal="left"/>
    </xf>
    <xf numFmtId="168" fontId="157" fillId="49" borderId="11" xfId="700" applyNumberFormat="1" applyFont="1" applyFill="1" applyBorder="1" applyAlignment="1" applyProtection="1">
      <alignment horizontal="left"/>
      <protection locked="0"/>
    </xf>
    <xf numFmtId="168" fontId="157" fillId="49" borderId="92" xfId="700" applyNumberFormat="1" applyFont="1" applyFill="1" applyBorder="1" applyAlignment="1" applyProtection="1">
      <alignment horizontal="left"/>
      <protection locked="0"/>
    </xf>
    <xf numFmtId="0" fontId="163" fillId="49" borderId="11" xfId="8723" applyFont="1" applyFill="1" applyBorder="1" applyAlignment="1" applyProtection="1">
      <alignment horizontal="left"/>
      <protection locked="0"/>
    </xf>
    <xf numFmtId="0" fontId="163" fillId="49" borderId="81" xfId="8723" applyFont="1" applyFill="1" applyBorder="1" applyAlignment="1" applyProtection="1">
      <alignment horizontal="center"/>
      <protection locked="0"/>
    </xf>
    <xf numFmtId="0" fontId="163" fillId="45" borderId="71" xfId="8723" applyFont="1" applyFill="1" applyBorder="1" applyAlignment="1">
      <alignment horizontal="right"/>
    </xf>
    <xf numFmtId="0" fontId="163" fillId="45" borderId="72" xfId="8723" applyFont="1" applyFill="1" applyBorder="1" applyAlignment="1">
      <alignment horizontal="right"/>
    </xf>
    <xf numFmtId="168" fontId="146" fillId="44" borderId="72" xfId="700" applyNumberFormat="1" applyFont="1" applyFill="1" applyBorder="1" applyAlignment="1">
      <alignment horizontal="left"/>
    </xf>
    <xf numFmtId="168" fontId="146" fillId="44" borderId="75" xfId="700" applyNumberFormat="1" applyFont="1" applyFill="1" applyBorder="1" applyAlignment="1">
      <alignment horizontal="left"/>
    </xf>
    <xf numFmtId="0" fontId="161" fillId="49" borderId="82" xfId="8723" applyFont="1" applyFill="1" applyBorder="1" applyAlignment="1" applyProtection="1">
      <alignment horizontal="center"/>
      <protection locked="0"/>
    </xf>
    <xf numFmtId="0" fontId="161" fillId="49" borderId="83" xfId="8723" applyFont="1" applyFill="1" applyBorder="1" applyAlignment="1" applyProtection="1">
      <alignment horizontal="center"/>
      <protection locked="0"/>
    </xf>
    <xf numFmtId="0" fontId="163" fillId="49" borderId="74" xfId="8723" applyFont="1" applyFill="1" applyBorder="1" applyAlignment="1" applyProtection="1">
      <alignment horizontal="left"/>
      <protection locked="0"/>
    </xf>
    <xf numFmtId="0" fontId="163" fillId="49" borderId="94" xfId="8723" applyFont="1" applyFill="1" applyBorder="1" applyAlignment="1" applyProtection="1">
      <alignment horizontal="left"/>
      <protection locked="0"/>
    </xf>
    <xf numFmtId="168" fontId="161" fillId="49" borderId="83" xfId="700" applyNumberFormat="1" applyFont="1" applyFill="1" applyBorder="1" applyAlignment="1" applyProtection="1">
      <alignment horizontal="left"/>
      <protection locked="0"/>
    </xf>
    <xf numFmtId="168" fontId="161" fillId="49" borderId="86" xfId="700" applyNumberFormat="1" applyFont="1" applyFill="1" applyBorder="1" applyAlignment="1" applyProtection="1">
      <alignment horizontal="left"/>
      <protection locked="0"/>
    </xf>
    <xf numFmtId="0" fontId="161" fillId="49" borderId="82" xfId="8723" applyFont="1" applyFill="1" applyBorder="1" applyAlignment="1" applyProtection="1">
      <alignment horizontal="left"/>
      <protection locked="0"/>
    </xf>
    <xf numFmtId="0" fontId="161" fillId="49" borderId="83" xfId="8723" applyFont="1" applyFill="1" applyBorder="1" applyAlignment="1" applyProtection="1">
      <alignment horizontal="left"/>
      <protection locked="0"/>
    </xf>
    <xf numFmtId="0" fontId="161" fillId="49" borderId="86" xfId="8723" applyFont="1" applyFill="1" applyBorder="1" applyAlignment="1" applyProtection="1">
      <alignment horizontal="left"/>
      <protection locked="0"/>
    </xf>
    <xf numFmtId="0" fontId="172" fillId="48" borderId="66" xfId="8723" applyFont="1" applyFill="1" applyBorder="1" applyAlignment="1">
      <alignment horizontal="center"/>
    </xf>
    <xf numFmtId="0" fontId="172" fillId="48" borderId="29" xfId="8723" applyFont="1" applyFill="1" applyBorder="1" applyAlignment="1">
      <alignment horizontal="center"/>
    </xf>
    <xf numFmtId="0" fontId="172" fillId="48" borderId="31" xfId="8723" applyFont="1" applyFill="1" applyBorder="1" applyAlignment="1">
      <alignment horizontal="center"/>
    </xf>
    <xf numFmtId="0" fontId="2" fillId="48" borderId="67" xfId="8723" applyFill="1" applyBorder="1" applyAlignment="1">
      <alignment horizontal="center"/>
    </xf>
    <xf numFmtId="0" fontId="2" fillId="48" borderId="0" xfId="8723" applyFill="1" applyAlignment="1">
      <alignment horizontal="center"/>
    </xf>
    <xf numFmtId="0" fontId="2" fillId="48" borderId="41" xfId="8723" applyFill="1" applyBorder="1" applyAlignment="1">
      <alignment horizontal="center"/>
    </xf>
    <xf numFmtId="0" fontId="143" fillId="48" borderId="67" xfId="8723" applyFont="1" applyFill="1" applyBorder="1" applyAlignment="1">
      <alignment horizontal="center"/>
    </xf>
    <xf numFmtId="0" fontId="143" fillId="48" borderId="0" xfId="8723" applyFont="1" applyFill="1" applyAlignment="1">
      <alignment horizontal="center"/>
    </xf>
    <xf numFmtId="0" fontId="143" fillId="48" borderId="41" xfId="8723" applyFont="1" applyFill="1" applyBorder="1" applyAlignment="1">
      <alignment horizontal="center"/>
    </xf>
    <xf numFmtId="0" fontId="99" fillId="48" borderId="67" xfId="8723" applyFont="1" applyFill="1" applyBorder="1" applyAlignment="1">
      <alignment horizontal="center"/>
    </xf>
    <xf numFmtId="0" fontId="99" fillId="48" borderId="0" xfId="8723" applyFont="1" applyFill="1" applyAlignment="1">
      <alignment horizontal="center"/>
    </xf>
    <xf numFmtId="0" fontId="99" fillId="48" borderId="41" xfId="8723" applyFont="1" applyFill="1" applyBorder="1" applyAlignment="1">
      <alignment horizontal="center"/>
    </xf>
    <xf numFmtId="0" fontId="99" fillId="48" borderId="0" xfId="8723" applyFont="1" applyFill="1" applyAlignment="1">
      <alignment horizontal="left"/>
    </xf>
    <xf numFmtId="0" fontId="147" fillId="45" borderId="73" xfId="8723" applyFont="1" applyFill="1" applyBorder="1" applyAlignment="1">
      <alignment horizontal="right"/>
    </xf>
    <xf numFmtId="0" fontId="147" fillId="45" borderId="74" xfId="8723" applyFont="1" applyFill="1" applyBorder="1" applyAlignment="1">
      <alignment horizontal="right"/>
    </xf>
    <xf numFmtId="0" fontId="148" fillId="44" borderId="74" xfId="700" applyNumberFormat="1" applyFont="1" applyFill="1" applyBorder="1" applyAlignment="1">
      <alignment horizontal="left"/>
    </xf>
    <xf numFmtId="168" fontId="148" fillId="44" borderId="74" xfId="700" applyNumberFormat="1" applyFont="1" applyFill="1" applyBorder="1" applyAlignment="1">
      <alignment horizontal="left"/>
    </xf>
    <xf numFmtId="168" fontId="148" fillId="44" borderId="94" xfId="700" applyNumberFormat="1" applyFont="1" applyFill="1" applyBorder="1" applyAlignment="1">
      <alignment horizontal="left"/>
    </xf>
    <xf numFmtId="0" fontId="143" fillId="45" borderId="73" xfId="8723" applyFont="1" applyFill="1" applyBorder="1" applyAlignment="1">
      <alignment horizontal="right"/>
    </xf>
    <xf numFmtId="0" fontId="143" fillId="45" borderId="74" xfId="8723" applyFont="1" applyFill="1" applyBorder="1" applyAlignment="1">
      <alignment horizontal="right"/>
    </xf>
    <xf numFmtId="168" fontId="144" fillId="44" borderId="74" xfId="700" applyNumberFormat="1" applyFont="1" applyFill="1" applyBorder="1" applyAlignment="1" applyProtection="1">
      <alignment horizontal="left"/>
      <protection locked="0"/>
    </xf>
    <xf numFmtId="168" fontId="144" fillId="44" borderId="94" xfId="700" applyNumberFormat="1" applyFont="1" applyFill="1" applyBorder="1" applyAlignment="1" applyProtection="1">
      <alignment horizontal="left"/>
      <protection locked="0"/>
    </xf>
    <xf numFmtId="0" fontId="99" fillId="44" borderId="0" xfId="8723" applyFont="1" applyFill="1" applyAlignment="1">
      <alignment horizontal="left"/>
    </xf>
    <xf numFmtId="0" fontId="2" fillId="49" borderId="68" xfId="8723" applyFill="1" applyBorder="1" applyAlignment="1" applyProtection="1">
      <alignment horizontal="left"/>
      <protection locked="0"/>
    </xf>
    <xf numFmtId="0" fontId="2" fillId="49" borderId="69" xfId="8723" applyFill="1" applyBorder="1" applyAlignment="1" applyProtection="1">
      <alignment horizontal="left"/>
      <protection locked="0"/>
    </xf>
    <xf numFmtId="0" fontId="2" fillId="49" borderId="70" xfId="8723" applyFill="1" applyBorder="1" applyAlignment="1" applyProtection="1">
      <alignment horizontal="left"/>
      <protection locked="0"/>
    </xf>
    <xf numFmtId="0" fontId="148" fillId="44" borderId="0" xfId="8723" applyFont="1" applyFill="1" applyAlignment="1">
      <alignment horizontal="left" vertical="top"/>
    </xf>
    <xf numFmtId="0" fontId="99" fillId="44" borderId="0" xfId="4503" applyFont="1" applyFill="1" applyBorder="1" applyAlignment="1">
      <alignment horizontal="left" vertical="top"/>
    </xf>
    <xf numFmtId="14" fontId="2" fillId="49" borderId="68" xfId="8723" applyNumberFormat="1" applyFill="1" applyBorder="1" applyAlignment="1" applyProtection="1">
      <alignment horizontal="center"/>
      <protection locked="0"/>
    </xf>
    <xf numFmtId="0" fontId="2" fillId="49" borderId="69" xfId="8723" applyFill="1" applyBorder="1" applyAlignment="1" applyProtection="1">
      <alignment horizontal="center"/>
      <protection locked="0"/>
    </xf>
    <xf numFmtId="0" fontId="2" fillId="49" borderId="70" xfId="8723" applyFill="1" applyBorder="1" applyAlignment="1" applyProtection="1">
      <alignment horizontal="center"/>
      <protection locked="0"/>
    </xf>
    <xf numFmtId="0" fontId="143" fillId="48" borderId="0" xfId="8723" applyFont="1" applyFill="1" applyAlignment="1">
      <alignment horizontal="left" vertical="top" wrapText="1"/>
    </xf>
    <xf numFmtId="0" fontId="99" fillId="48" borderId="42" xfId="8723" applyFont="1" applyFill="1" applyBorder="1" applyAlignment="1">
      <alignment horizontal="center"/>
    </xf>
    <xf numFmtId="0" fontId="2" fillId="49" borderId="68" xfId="8723" applyFill="1" applyBorder="1" applyAlignment="1" applyProtection="1">
      <alignment horizontal="center"/>
      <protection locked="0"/>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17164">
    <cellStyle name="20% - Accent1" xfId="1" builtinId="30" customBuiltin="1"/>
    <cellStyle name="20% - Accent1 10" xfId="4505" xr:uid="{00000000-0005-0000-0000-000001000000}"/>
    <cellStyle name="20% - Accent1 10 2" xfId="12944" xr:uid="{5210246E-0E66-4032-BCFE-4E9D9177169D}"/>
    <cellStyle name="20% - Accent1 11" xfId="8726" xr:uid="{33F80051-AD41-4AEF-8571-1A261773A761}"/>
    <cellStyle name="20% - Accent1 2" xfId="2" xr:uid="{00000000-0005-0000-0000-000002000000}"/>
    <cellStyle name="20% - Accent1 2 10" xfId="8727" xr:uid="{9297511E-4221-448F-8395-46C453E3E10D}"/>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15506" xr:uid="{555E173D-EBB4-420F-A1FA-5B87918ABE1B}"/>
    <cellStyle name="20% - Accent1 2 2 2 2 2 3" xfId="11288" xr:uid="{0E3D228A-5A2C-4362-8299-01BE8DD86593}"/>
    <cellStyle name="20% - Accent1 2 2 2 2 3" xfId="4922" xr:uid="{00000000-0005-0000-0000-000008000000}"/>
    <cellStyle name="20% - Accent1 2 2 2 2 3 2" xfId="13361" xr:uid="{216A9EA6-7EB2-4850-BCC1-A47D36E338D7}"/>
    <cellStyle name="20% - Accent1 2 2 2 2 4" xfId="9143" xr:uid="{1E620A26-1409-4EDA-B1C1-7875FF2ADAD4}"/>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2 2" xfId="15919" xr:uid="{EB226355-D932-45F1-B531-DE59FB9A949C}"/>
    <cellStyle name="20% - Accent1 2 2 2 3 2 3" xfId="11701" xr:uid="{302973F7-4711-42A3-8ABF-E341224267E4}"/>
    <cellStyle name="20% - Accent1 2 2 2 3 3" xfId="5335" xr:uid="{00000000-0005-0000-0000-00000C000000}"/>
    <cellStyle name="20% - Accent1 2 2 2 3 3 2" xfId="13774" xr:uid="{094AF54F-D22D-43BB-A0BB-F7DA8F03FA55}"/>
    <cellStyle name="20% - Accent1 2 2 2 3 4" xfId="9556" xr:uid="{FA0BA91E-A517-4227-963B-99D3B49ACC67}"/>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2 2 2" xfId="16332" xr:uid="{DD7FBF37-57BB-4DC2-A653-2BDD5E07F13F}"/>
    <cellStyle name="20% - Accent1 2 2 2 4 2 3" xfId="12114" xr:uid="{E341B64D-DBB0-4BF5-B82D-B897640E2F2C}"/>
    <cellStyle name="20% - Accent1 2 2 2 4 3" xfId="5748" xr:uid="{00000000-0005-0000-0000-000010000000}"/>
    <cellStyle name="20% - Accent1 2 2 2 4 3 2" xfId="14187" xr:uid="{5062D718-EDF0-4D5B-8754-47C313824A1D}"/>
    <cellStyle name="20% - Accent1 2 2 2 4 4" xfId="9969" xr:uid="{C561747B-DB47-4555-B321-1E2D7B5B3AEF}"/>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2 2 2" xfId="16745" xr:uid="{2E7D54CC-5B12-4426-8B71-97B49C8D9F93}"/>
    <cellStyle name="20% - Accent1 2 2 2 5 2 3" xfId="12527" xr:uid="{FF1D58DE-1C02-4464-86F8-DE3C8A25695D}"/>
    <cellStyle name="20% - Accent1 2 2 2 5 3" xfId="6161" xr:uid="{00000000-0005-0000-0000-000014000000}"/>
    <cellStyle name="20% - Accent1 2 2 2 5 3 2" xfId="14600" xr:uid="{0D283FCE-78C1-4C3A-AD5A-634584EC455B}"/>
    <cellStyle name="20% - Accent1 2 2 2 5 4" xfId="10382" xr:uid="{EA004B00-962B-4046-9FA1-AD936FA4C33A}"/>
    <cellStyle name="20% - Accent1 2 2 2 6" xfId="2267" xr:uid="{00000000-0005-0000-0000-000015000000}"/>
    <cellStyle name="20% - Accent1 2 2 2 6 2" xfId="6574" xr:uid="{00000000-0005-0000-0000-000016000000}"/>
    <cellStyle name="20% - Accent1 2 2 2 6 2 2" xfId="15013" xr:uid="{C08DB75D-08C9-4AF7-9432-170E510D2FBB}"/>
    <cellStyle name="20% - Accent1 2 2 2 6 3" xfId="10795" xr:uid="{EC660F25-84B6-43D6-A5CF-C03816F4D884}"/>
    <cellStyle name="20% - Accent1 2 2 2 7" xfId="4508" xr:uid="{00000000-0005-0000-0000-000017000000}"/>
    <cellStyle name="20% - Accent1 2 2 2 7 2" xfId="12947" xr:uid="{2255115D-241C-4694-A610-6D6D0054D9CE}"/>
    <cellStyle name="20% - Accent1 2 2 2 8" xfId="8729" xr:uid="{E2C2CB54-7276-4406-AD2E-5847B94A7BAD}"/>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15505" xr:uid="{1207F30C-49FB-475F-A8F2-1F38F72BD05E}"/>
    <cellStyle name="20% - Accent1 2 2 3 2 3" xfId="11287" xr:uid="{27A6434C-9F63-4B35-824D-64FE3A2B2382}"/>
    <cellStyle name="20% - Accent1 2 2 3 3" xfId="4921" xr:uid="{00000000-0005-0000-0000-00001B000000}"/>
    <cellStyle name="20% - Accent1 2 2 3 3 2" xfId="13360" xr:uid="{A3E2E891-998B-42DE-9744-4C99A78825B5}"/>
    <cellStyle name="20% - Accent1 2 2 3 4" xfId="9142" xr:uid="{2FC3E935-860F-45B0-AEA7-7BF6A446EA42}"/>
    <cellStyle name="20% - Accent1 2 2 4" xfId="1025" xr:uid="{00000000-0005-0000-0000-00001C000000}"/>
    <cellStyle name="20% - Accent1 2 2 4 2" xfId="3256" xr:uid="{00000000-0005-0000-0000-00001D000000}"/>
    <cellStyle name="20% - Accent1 2 2 4 2 2" xfId="7479" xr:uid="{00000000-0005-0000-0000-00001E000000}"/>
    <cellStyle name="20% - Accent1 2 2 4 2 2 2" xfId="15918" xr:uid="{A106C73F-C2FB-437D-834B-70E4E19B4D74}"/>
    <cellStyle name="20% - Accent1 2 2 4 2 3" xfId="11700" xr:uid="{BC2CD5D2-6E09-4373-BDC8-09A5355B4A86}"/>
    <cellStyle name="20% - Accent1 2 2 4 3" xfId="5334" xr:uid="{00000000-0005-0000-0000-00001F000000}"/>
    <cellStyle name="20% - Accent1 2 2 4 3 2" xfId="13773" xr:uid="{97503793-D842-43D2-B09A-16797740FD65}"/>
    <cellStyle name="20% - Accent1 2 2 4 4" xfId="9555" xr:uid="{143D8A51-211F-4CDD-81C7-8D76CC940220}"/>
    <cellStyle name="20% - Accent1 2 2 5" xfId="1439" xr:uid="{00000000-0005-0000-0000-000020000000}"/>
    <cellStyle name="20% - Accent1 2 2 5 2" xfId="3669" xr:uid="{00000000-0005-0000-0000-000021000000}"/>
    <cellStyle name="20% - Accent1 2 2 5 2 2" xfId="7892" xr:uid="{00000000-0005-0000-0000-000022000000}"/>
    <cellStyle name="20% - Accent1 2 2 5 2 2 2" xfId="16331" xr:uid="{3EE0283F-E81A-4082-A744-08E1A72F2253}"/>
    <cellStyle name="20% - Accent1 2 2 5 2 3" xfId="12113" xr:uid="{390614F3-931A-4A9D-8523-8859B2037ACB}"/>
    <cellStyle name="20% - Accent1 2 2 5 3" xfId="5747" xr:uid="{00000000-0005-0000-0000-000023000000}"/>
    <cellStyle name="20% - Accent1 2 2 5 3 2" xfId="14186" xr:uid="{64E1F75A-6E81-41E1-9FC2-2DDDB72A83ED}"/>
    <cellStyle name="20% - Accent1 2 2 5 4" xfId="9968" xr:uid="{381014C4-30B0-460E-B86F-C3C9DD209D37}"/>
    <cellStyle name="20% - Accent1 2 2 6" xfId="1853" xr:uid="{00000000-0005-0000-0000-000024000000}"/>
    <cellStyle name="20% - Accent1 2 2 6 2" xfId="4082" xr:uid="{00000000-0005-0000-0000-000025000000}"/>
    <cellStyle name="20% - Accent1 2 2 6 2 2" xfId="8305" xr:uid="{00000000-0005-0000-0000-000026000000}"/>
    <cellStyle name="20% - Accent1 2 2 6 2 2 2" xfId="16744" xr:uid="{18464E43-9BAC-4BE3-BAE7-8353FBEABC9F}"/>
    <cellStyle name="20% - Accent1 2 2 6 2 3" xfId="12526" xr:uid="{89566F10-23CC-4E20-A5BD-6205F284BED1}"/>
    <cellStyle name="20% - Accent1 2 2 6 3" xfId="6160" xr:uid="{00000000-0005-0000-0000-000027000000}"/>
    <cellStyle name="20% - Accent1 2 2 6 3 2" xfId="14599" xr:uid="{DA21882E-0C30-497F-9078-DC817D61776D}"/>
    <cellStyle name="20% - Accent1 2 2 6 4" xfId="10381" xr:uid="{05B285EE-E6A7-48A4-9DA8-0675AC90E08A}"/>
    <cellStyle name="20% - Accent1 2 2 7" xfId="2266" xr:uid="{00000000-0005-0000-0000-000028000000}"/>
    <cellStyle name="20% - Accent1 2 2 7 2" xfId="6573" xr:uid="{00000000-0005-0000-0000-000029000000}"/>
    <cellStyle name="20% - Accent1 2 2 7 2 2" xfId="15012" xr:uid="{61FCE899-97E8-4B8D-AF00-71BE9FC87AC5}"/>
    <cellStyle name="20% - Accent1 2 2 7 3" xfId="10794" xr:uid="{683460D9-0D56-4DF8-94E4-1FA01D3F31CC}"/>
    <cellStyle name="20% - Accent1 2 2 8" xfId="4507" xr:uid="{00000000-0005-0000-0000-00002A000000}"/>
    <cellStyle name="20% - Accent1 2 2 8 2" xfId="12946" xr:uid="{37EADBCC-2BB9-4FB6-9E9D-EA7EDC161E4F}"/>
    <cellStyle name="20% - Accent1 2 2 9" xfId="8728" xr:uid="{A1A2B7F1-ABFC-42D6-9618-9E26F0A3067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15507" xr:uid="{26D44DF9-4052-4CA1-ABAE-4758276AEB3A}"/>
    <cellStyle name="20% - Accent1 2 3 2 2 3" xfId="11289" xr:uid="{8603DF62-0BFE-45DE-857F-6A4A607FEC87}"/>
    <cellStyle name="20% - Accent1 2 3 2 3" xfId="4923" xr:uid="{00000000-0005-0000-0000-00002F000000}"/>
    <cellStyle name="20% - Accent1 2 3 2 3 2" xfId="13362" xr:uid="{6ED1BEF3-6D76-4F05-B00B-CD59B16464DD}"/>
    <cellStyle name="20% - Accent1 2 3 2 4" xfId="9144" xr:uid="{FD295B30-6285-4797-B5F6-D98605A7B077}"/>
    <cellStyle name="20% - Accent1 2 3 3" xfId="1027" xr:uid="{00000000-0005-0000-0000-000030000000}"/>
    <cellStyle name="20% - Accent1 2 3 3 2" xfId="3258" xr:uid="{00000000-0005-0000-0000-000031000000}"/>
    <cellStyle name="20% - Accent1 2 3 3 2 2" xfId="7481" xr:uid="{00000000-0005-0000-0000-000032000000}"/>
    <cellStyle name="20% - Accent1 2 3 3 2 2 2" xfId="15920" xr:uid="{5A165E5B-6E7A-43C4-AAFD-716834EE0EBE}"/>
    <cellStyle name="20% - Accent1 2 3 3 2 3" xfId="11702" xr:uid="{9FACD98E-C605-468C-91A9-D9DCAF1DDF76}"/>
    <cellStyle name="20% - Accent1 2 3 3 3" xfId="5336" xr:uid="{00000000-0005-0000-0000-000033000000}"/>
    <cellStyle name="20% - Accent1 2 3 3 3 2" xfId="13775" xr:uid="{911D1A17-0D76-4F98-8777-CF7040EDF4E7}"/>
    <cellStyle name="20% - Accent1 2 3 3 4" xfId="9557" xr:uid="{E96C151D-BFFE-46D1-8E81-0B4852F3A754}"/>
    <cellStyle name="20% - Accent1 2 3 4" xfId="1441" xr:uid="{00000000-0005-0000-0000-000034000000}"/>
    <cellStyle name="20% - Accent1 2 3 4 2" xfId="3671" xr:uid="{00000000-0005-0000-0000-000035000000}"/>
    <cellStyle name="20% - Accent1 2 3 4 2 2" xfId="7894" xr:uid="{00000000-0005-0000-0000-000036000000}"/>
    <cellStyle name="20% - Accent1 2 3 4 2 2 2" xfId="16333" xr:uid="{331718E0-9FC6-4097-A7E5-EFC56D83788D}"/>
    <cellStyle name="20% - Accent1 2 3 4 2 3" xfId="12115" xr:uid="{FAD87754-C4BD-4CB7-A52F-EAC7B5702D5B}"/>
    <cellStyle name="20% - Accent1 2 3 4 3" xfId="5749" xr:uid="{00000000-0005-0000-0000-000037000000}"/>
    <cellStyle name="20% - Accent1 2 3 4 3 2" xfId="14188" xr:uid="{EEE59584-CDD3-47EA-A48C-3DDA4748E5B1}"/>
    <cellStyle name="20% - Accent1 2 3 4 4" xfId="9970" xr:uid="{E7292757-421B-4D4C-B857-3821274896ED}"/>
    <cellStyle name="20% - Accent1 2 3 5" xfId="1855" xr:uid="{00000000-0005-0000-0000-000038000000}"/>
    <cellStyle name="20% - Accent1 2 3 5 2" xfId="4084" xr:uid="{00000000-0005-0000-0000-000039000000}"/>
    <cellStyle name="20% - Accent1 2 3 5 2 2" xfId="8307" xr:uid="{00000000-0005-0000-0000-00003A000000}"/>
    <cellStyle name="20% - Accent1 2 3 5 2 2 2" xfId="16746" xr:uid="{10AEB508-F471-4570-9F0C-5F44F0F934C5}"/>
    <cellStyle name="20% - Accent1 2 3 5 2 3" xfId="12528" xr:uid="{C855DDE7-81FE-48BE-9633-20F77334E234}"/>
    <cellStyle name="20% - Accent1 2 3 5 3" xfId="6162" xr:uid="{00000000-0005-0000-0000-00003B000000}"/>
    <cellStyle name="20% - Accent1 2 3 5 3 2" xfId="14601" xr:uid="{18B6AF9B-0BEE-4FFA-97BB-2802488AAD4F}"/>
    <cellStyle name="20% - Accent1 2 3 5 4" xfId="10383" xr:uid="{5C61DEA3-8FCF-44EE-B050-7590C44EFCDD}"/>
    <cellStyle name="20% - Accent1 2 3 6" xfId="2268" xr:uid="{00000000-0005-0000-0000-00003C000000}"/>
    <cellStyle name="20% - Accent1 2 3 6 2" xfId="6575" xr:uid="{00000000-0005-0000-0000-00003D000000}"/>
    <cellStyle name="20% - Accent1 2 3 6 2 2" xfId="15014" xr:uid="{FCC87A54-BDCA-4EC3-9A46-738065831C07}"/>
    <cellStyle name="20% - Accent1 2 3 6 3" xfId="10796" xr:uid="{DC5718AF-843E-4C08-A967-1A36422A65D7}"/>
    <cellStyle name="20% - Accent1 2 3 7" xfId="4509" xr:uid="{00000000-0005-0000-0000-00003E000000}"/>
    <cellStyle name="20% - Accent1 2 3 7 2" xfId="12948" xr:uid="{98CE80D7-C737-4AB4-8CF7-36D860A6F6F1}"/>
    <cellStyle name="20% - Accent1 2 3 8" xfId="8730" xr:uid="{9D49BC37-B1AD-470D-AC65-3E4722281EF2}"/>
    <cellStyle name="20% - Accent1 2 4" xfId="571" xr:uid="{00000000-0005-0000-0000-00003F000000}"/>
    <cellStyle name="20% - Accent1 2 4 2" xfId="2842" xr:uid="{00000000-0005-0000-0000-000040000000}"/>
    <cellStyle name="20% - Accent1 2 4 2 2" xfId="7065" xr:uid="{00000000-0005-0000-0000-000041000000}"/>
    <cellStyle name="20% - Accent1 2 4 2 2 2" xfId="15504" xr:uid="{9517A456-E8D3-4395-8776-57E078E932ED}"/>
    <cellStyle name="20% - Accent1 2 4 2 3" xfId="11286" xr:uid="{E6340ADC-B37F-4AF8-9C1B-7FB55B799126}"/>
    <cellStyle name="20% - Accent1 2 4 3" xfId="4920" xr:uid="{00000000-0005-0000-0000-000042000000}"/>
    <cellStyle name="20% - Accent1 2 4 3 2" xfId="13359" xr:uid="{1B044B21-7CAC-4EE2-BDDF-2743138ADCFF}"/>
    <cellStyle name="20% - Accent1 2 4 4" xfId="9141" xr:uid="{B0753E89-755B-41BC-A0BF-C3C30DE35EDB}"/>
    <cellStyle name="20% - Accent1 2 5" xfId="1024" xr:uid="{00000000-0005-0000-0000-000043000000}"/>
    <cellStyle name="20% - Accent1 2 5 2" xfId="3255" xr:uid="{00000000-0005-0000-0000-000044000000}"/>
    <cellStyle name="20% - Accent1 2 5 2 2" xfId="7478" xr:uid="{00000000-0005-0000-0000-000045000000}"/>
    <cellStyle name="20% - Accent1 2 5 2 2 2" xfId="15917" xr:uid="{ECED3E17-DAFF-48F6-BEC8-CCD595D0E350}"/>
    <cellStyle name="20% - Accent1 2 5 2 3" xfId="11699" xr:uid="{9ED7FE8D-AB8B-410C-A5BD-26421AE9BB35}"/>
    <cellStyle name="20% - Accent1 2 5 3" xfId="5333" xr:uid="{00000000-0005-0000-0000-000046000000}"/>
    <cellStyle name="20% - Accent1 2 5 3 2" xfId="13772" xr:uid="{FFEDFD16-6F8E-4A7E-8DDF-A54ED2F9A2B0}"/>
    <cellStyle name="20% - Accent1 2 5 4" xfId="9554" xr:uid="{487B3E52-364D-4349-B99F-79D4D517A5F6}"/>
    <cellStyle name="20% - Accent1 2 6" xfId="1438" xr:uid="{00000000-0005-0000-0000-000047000000}"/>
    <cellStyle name="20% - Accent1 2 6 2" xfId="3668" xr:uid="{00000000-0005-0000-0000-000048000000}"/>
    <cellStyle name="20% - Accent1 2 6 2 2" xfId="7891" xr:uid="{00000000-0005-0000-0000-000049000000}"/>
    <cellStyle name="20% - Accent1 2 6 2 2 2" xfId="16330" xr:uid="{5A6A91E1-24C5-4BAF-A142-A7E0302E57A3}"/>
    <cellStyle name="20% - Accent1 2 6 2 3" xfId="12112" xr:uid="{1A3F53CD-1D19-45C6-A9B6-685BA2D8CF5C}"/>
    <cellStyle name="20% - Accent1 2 6 3" xfId="5746" xr:uid="{00000000-0005-0000-0000-00004A000000}"/>
    <cellStyle name="20% - Accent1 2 6 3 2" xfId="14185" xr:uid="{0471D745-7E11-4C86-B2C2-ED28CF2F04A7}"/>
    <cellStyle name="20% - Accent1 2 6 4" xfId="9967" xr:uid="{C0B1A50E-C418-4A14-9B5F-0600E6ECA523}"/>
    <cellStyle name="20% - Accent1 2 7" xfId="1852" xr:uid="{00000000-0005-0000-0000-00004B000000}"/>
    <cellStyle name="20% - Accent1 2 7 2" xfId="4081" xr:uid="{00000000-0005-0000-0000-00004C000000}"/>
    <cellStyle name="20% - Accent1 2 7 2 2" xfId="8304" xr:uid="{00000000-0005-0000-0000-00004D000000}"/>
    <cellStyle name="20% - Accent1 2 7 2 2 2" xfId="16743" xr:uid="{90853766-AE97-4D03-AA75-2C84EE755E7A}"/>
    <cellStyle name="20% - Accent1 2 7 2 3" xfId="12525" xr:uid="{24FB5154-1CEE-4C0A-904F-704FA3662419}"/>
    <cellStyle name="20% - Accent1 2 7 3" xfId="6159" xr:uid="{00000000-0005-0000-0000-00004E000000}"/>
    <cellStyle name="20% - Accent1 2 7 3 2" xfId="14598" xr:uid="{BC4AF38C-55EC-47B8-B6C1-5A5902FDCBA6}"/>
    <cellStyle name="20% - Accent1 2 7 4" xfId="10380" xr:uid="{86825E55-E899-4DCC-87BF-DFCBC47BA122}"/>
    <cellStyle name="20% - Accent1 2 8" xfId="2265" xr:uid="{00000000-0005-0000-0000-00004F000000}"/>
    <cellStyle name="20% - Accent1 2 8 2" xfId="6572" xr:uid="{00000000-0005-0000-0000-000050000000}"/>
    <cellStyle name="20% - Accent1 2 8 2 2" xfId="15011" xr:uid="{35D361CB-4E2F-4BEA-94AA-05C4A9062523}"/>
    <cellStyle name="20% - Accent1 2 8 3" xfId="10793" xr:uid="{801BF49E-55A1-40E8-A8A1-01CDD07500B4}"/>
    <cellStyle name="20% - Accent1 2 9" xfId="4506" xr:uid="{00000000-0005-0000-0000-000051000000}"/>
    <cellStyle name="20% - Accent1 2 9 2" xfId="12945" xr:uid="{62226511-52B8-414D-BE71-425DE53FD882}"/>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15509" xr:uid="{3423CB48-24DF-4A91-BF4A-276DA7121A5F}"/>
    <cellStyle name="20% - Accent1 3 2 2 2 3" xfId="11291" xr:uid="{2B60455E-AD54-428E-A007-3DE72A37CCA3}"/>
    <cellStyle name="20% - Accent1 3 2 2 3" xfId="4925" xr:uid="{00000000-0005-0000-0000-000057000000}"/>
    <cellStyle name="20% - Accent1 3 2 2 3 2" xfId="13364" xr:uid="{A98938F9-1BC7-45C9-8254-24A1C67D0F14}"/>
    <cellStyle name="20% - Accent1 3 2 2 4" xfId="9146" xr:uid="{EBBE71F7-F607-441A-A99E-14151299302B}"/>
    <cellStyle name="20% - Accent1 3 2 3" xfId="1029" xr:uid="{00000000-0005-0000-0000-000058000000}"/>
    <cellStyle name="20% - Accent1 3 2 3 2" xfId="3260" xr:uid="{00000000-0005-0000-0000-000059000000}"/>
    <cellStyle name="20% - Accent1 3 2 3 2 2" xfId="7483" xr:uid="{00000000-0005-0000-0000-00005A000000}"/>
    <cellStyle name="20% - Accent1 3 2 3 2 2 2" xfId="15922" xr:uid="{93314BB2-592C-4E80-AD3A-7B8E7A9E72A0}"/>
    <cellStyle name="20% - Accent1 3 2 3 2 3" xfId="11704" xr:uid="{385872E6-FD1F-4187-A3A8-0D1F88C2E46B}"/>
    <cellStyle name="20% - Accent1 3 2 3 3" xfId="5338" xr:uid="{00000000-0005-0000-0000-00005B000000}"/>
    <cellStyle name="20% - Accent1 3 2 3 3 2" xfId="13777" xr:uid="{833A0092-ACED-4D3A-AA1B-FC5866875700}"/>
    <cellStyle name="20% - Accent1 3 2 3 4" xfId="9559" xr:uid="{9FD074D4-F371-4BFD-BEE4-157A63CC0F71}"/>
    <cellStyle name="20% - Accent1 3 2 4" xfId="1443" xr:uid="{00000000-0005-0000-0000-00005C000000}"/>
    <cellStyle name="20% - Accent1 3 2 4 2" xfId="3673" xr:uid="{00000000-0005-0000-0000-00005D000000}"/>
    <cellStyle name="20% - Accent1 3 2 4 2 2" xfId="7896" xr:uid="{00000000-0005-0000-0000-00005E000000}"/>
    <cellStyle name="20% - Accent1 3 2 4 2 2 2" xfId="16335" xr:uid="{6F4F78E9-AA3E-484E-BF55-9A9693089EA9}"/>
    <cellStyle name="20% - Accent1 3 2 4 2 3" xfId="12117" xr:uid="{3239D5C2-362D-48DE-8285-D4F36071CD4B}"/>
    <cellStyle name="20% - Accent1 3 2 4 3" xfId="5751" xr:uid="{00000000-0005-0000-0000-00005F000000}"/>
    <cellStyle name="20% - Accent1 3 2 4 3 2" xfId="14190" xr:uid="{C1F9B791-B85C-4E5C-BD1B-E98D9A6342E2}"/>
    <cellStyle name="20% - Accent1 3 2 4 4" xfId="9972" xr:uid="{5E833767-E2FC-4F74-A499-EF1CB1B3C599}"/>
    <cellStyle name="20% - Accent1 3 2 5" xfId="1857" xr:uid="{00000000-0005-0000-0000-000060000000}"/>
    <cellStyle name="20% - Accent1 3 2 5 2" xfId="4086" xr:uid="{00000000-0005-0000-0000-000061000000}"/>
    <cellStyle name="20% - Accent1 3 2 5 2 2" xfId="8309" xr:uid="{00000000-0005-0000-0000-000062000000}"/>
    <cellStyle name="20% - Accent1 3 2 5 2 2 2" xfId="16748" xr:uid="{64BC44DA-D9FE-41D4-8481-31370B8DBE0B}"/>
    <cellStyle name="20% - Accent1 3 2 5 2 3" xfId="12530" xr:uid="{34F3B9D3-2FC8-4C24-86A5-5E8CFF51D8D4}"/>
    <cellStyle name="20% - Accent1 3 2 5 3" xfId="6164" xr:uid="{00000000-0005-0000-0000-000063000000}"/>
    <cellStyle name="20% - Accent1 3 2 5 3 2" xfId="14603" xr:uid="{7413B38A-704A-4BEB-8D1D-CEF1BEB173F5}"/>
    <cellStyle name="20% - Accent1 3 2 5 4" xfId="10385" xr:uid="{9F143AB0-F8D2-4E15-86BA-C5EC1F4027FC}"/>
    <cellStyle name="20% - Accent1 3 2 6" xfId="2270" xr:uid="{00000000-0005-0000-0000-000064000000}"/>
    <cellStyle name="20% - Accent1 3 2 6 2" xfId="6577" xr:uid="{00000000-0005-0000-0000-000065000000}"/>
    <cellStyle name="20% - Accent1 3 2 6 2 2" xfId="15016" xr:uid="{C9166E53-8118-4D2C-97E0-1D5ED1B19696}"/>
    <cellStyle name="20% - Accent1 3 2 6 3" xfId="10798" xr:uid="{36C9F510-4F12-4217-BC4A-F325AE5A6FBA}"/>
    <cellStyle name="20% - Accent1 3 2 7" xfId="4511" xr:uid="{00000000-0005-0000-0000-000066000000}"/>
    <cellStyle name="20% - Accent1 3 2 7 2" xfId="12950" xr:uid="{01467444-6D6C-4CEA-AE67-6B8F1CB83F28}"/>
    <cellStyle name="20% - Accent1 3 2 8" xfId="8732" xr:uid="{B0FDF344-80C0-4831-B212-7CBF71D75DED}"/>
    <cellStyle name="20% - Accent1 3 3" xfId="575" xr:uid="{00000000-0005-0000-0000-000067000000}"/>
    <cellStyle name="20% - Accent1 3 3 2" xfId="2846" xr:uid="{00000000-0005-0000-0000-000068000000}"/>
    <cellStyle name="20% - Accent1 3 3 2 2" xfId="7069" xr:uid="{00000000-0005-0000-0000-000069000000}"/>
    <cellStyle name="20% - Accent1 3 3 2 2 2" xfId="15508" xr:uid="{EECEC1F4-B740-4F98-B8BD-DA1ACE091C14}"/>
    <cellStyle name="20% - Accent1 3 3 2 3" xfId="11290" xr:uid="{AE2385F5-4BE8-4396-B70E-AD55F56DAEA1}"/>
    <cellStyle name="20% - Accent1 3 3 3" xfId="4924" xr:uid="{00000000-0005-0000-0000-00006A000000}"/>
    <cellStyle name="20% - Accent1 3 3 3 2" xfId="13363" xr:uid="{0B96FBAD-32CF-4383-8B38-82BFDE62007A}"/>
    <cellStyle name="20% - Accent1 3 3 4" xfId="9145" xr:uid="{4B0B9FEF-1339-4AD4-AB4C-57E26A8C32FE}"/>
    <cellStyle name="20% - Accent1 3 4" xfId="1028" xr:uid="{00000000-0005-0000-0000-00006B000000}"/>
    <cellStyle name="20% - Accent1 3 4 2" xfId="3259" xr:uid="{00000000-0005-0000-0000-00006C000000}"/>
    <cellStyle name="20% - Accent1 3 4 2 2" xfId="7482" xr:uid="{00000000-0005-0000-0000-00006D000000}"/>
    <cellStyle name="20% - Accent1 3 4 2 2 2" xfId="15921" xr:uid="{0A3A17EA-4DA1-4C19-B9F7-CCF5BD013C83}"/>
    <cellStyle name="20% - Accent1 3 4 2 3" xfId="11703" xr:uid="{9022EDCD-DAA6-44CB-AFDC-9BA2F6B095D0}"/>
    <cellStyle name="20% - Accent1 3 4 3" xfId="5337" xr:uid="{00000000-0005-0000-0000-00006E000000}"/>
    <cellStyle name="20% - Accent1 3 4 3 2" xfId="13776" xr:uid="{978D1391-1723-4778-8A06-31BC50E72742}"/>
    <cellStyle name="20% - Accent1 3 4 4" xfId="9558" xr:uid="{7859177D-7AF6-478C-85E3-97CEC5F8822B}"/>
    <cellStyle name="20% - Accent1 3 5" xfId="1442" xr:uid="{00000000-0005-0000-0000-00006F000000}"/>
    <cellStyle name="20% - Accent1 3 5 2" xfId="3672" xr:uid="{00000000-0005-0000-0000-000070000000}"/>
    <cellStyle name="20% - Accent1 3 5 2 2" xfId="7895" xr:uid="{00000000-0005-0000-0000-000071000000}"/>
    <cellStyle name="20% - Accent1 3 5 2 2 2" xfId="16334" xr:uid="{68736EB1-7B71-46DA-BB02-0CAE65AD3D09}"/>
    <cellStyle name="20% - Accent1 3 5 2 3" xfId="12116" xr:uid="{C69C9456-DFCF-4AB8-87EC-EC5599B4F284}"/>
    <cellStyle name="20% - Accent1 3 5 3" xfId="5750" xr:uid="{00000000-0005-0000-0000-000072000000}"/>
    <cellStyle name="20% - Accent1 3 5 3 2" xfId="14189" xr:uid="{753DB078-B294-4855-A646-7CF1859A1137}"/>
    <cellStyle name="20% - Accent1 3 5 4" xfId="9971" xr:uid="{5B5C3847-C7C1-471D-8670-C9194A1EA728}"/>
    <cellStyle name="20% - Accent1 3 6" xfId="1856" xr:uid="{00000000-0005-0000-0000-000073000000}"/>
    <cellStyle name="20% - Accent1 3 6 2" xfId="4085" xr:uid="{00000000-0005-0000-0000-000074000000}"/>
    <cellStyle name="20% - Accent1 3 6 2 2" xfId="8308" xr:uid="{00000000-0005-0000-0000-000075000000}"/>
    <cellStyle name="20% - Accent1 3 6 2 2 2" xfId="16747" xr:uid="{248AA7C0-FB98-440B-AE06-4BF93A2B1426}"/>
    <cellStyle name="20% - Accent1 3 6 2 3" xfId="12529" xr:uid="{02BE679B-ABBA-4688-84E3-CF978375FCA2}"/>
    <cellStyle name="20% - Accent1 3 6 3" xfId="6163" xr:uid="{00000000-0005-0000-0000-000076000000}"/>
    <cellStyle name="20% - Accent1 3 6 3 2" xfId="14602" xr:uid="{13DD3FD8-3032-4C24-BD0E-A2703CCC4D19}"/>
    <cellStyle name="20% - Accent1 3 6 4" xfId="10384" xr:uid="{B5217CC2-BB03-47E7-9B2F-7E511AC42774}"/>
    <cellStyle name="20% - Accent1 3 7" xfId="2269" xr:uid="{00000000-0005-0000-0000-000077000000}"/>
    <cellStyle name="20% - Accent1 3 7 2" xfId="6576" xr:uid="{00000000-0005-0000-0000-000078000000}"/>
    <cellStyle name="20% - Accent1 3 7 2 2" xfId="15015" xr:uid="{96008065-5DEE-4763-BD47-D9ED026173C0}"/>
    <cellStyle name="20% - Accent1 3 7 3" xfId="10797" xr:uid="{642F774D-0812-49FE-96A0-C5C54DD10B2D}"/>
    <cellStyle name="20% - Accent1 3 8" xfId="4510" xr:uid="{00000000-0005-0000-0000-000079000000}"/>
    <cellStyle name="20% - Accent1 3 8 2" xfId="12949" xr:uid="{3E16CD5A-FF09-49AA-9AD9-C2ABB73D2BAE}"/>
    <cellStyle name="20% - Accent1 3 9" xfId="8731" xr:uid="{C3F3FFDB-2882-4FFE-8299-195DAA8BE0BB}"/>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2 2 2" xfId="15510" xr:uid="{93FB4E82-F14F-4A26-8A62-A52692B23C7C}"/>
    <cellStyle name="20% - Accent1 4 2 2 3" xfId="11292" xr:uid="{E010CA44-28F9-49DA-8C7C-41A889786138}"/>
    <cellStyle name="20% - Accent1 4 2 3" xfId="4926" xr:uid="{00000000-0005-0000-0000-00007E000000}"/>
    <cellStyle name="20% - Accent1 4 2 3 2" xfId="13365" xr:uid="{75FAF26C-5500-43F1-BB93-30FCB4450E2D}"/>
    <cellStyle name="20% - Accent1 4 2 4" xfId="9147" xr:uid="{3D4C1BC2-B01F-4125-960A-066E8180D8CB}"/>
    <cellStyle name="20% - Accent1 4 3" xfId="1030" xr:uid="{00000000-0005-0000-0000-00007F000000}"/>
    <cellStyle name="20% - Accent1 4 3 2" xfId="3261" xr:uid="{00000000-0005-0000-0000-000080000000}"/>
    <cellStyle name="20% - Accent1 4 3 2 2" xfId="7484" xr:uid="{00000000-0005-0000-0000-000081000000}"/>
    <cellStyle name="20% - Accent1 4 3 2 2 2" xfId="15923" xr:uid="{164D8160-8F17-464B-A107-0ED1E31C2EC2}"/>
    <cellStyle name="20% - Accent1 4 3 2 3" xfId="11705" xr:uid="{8CBE1935-7956-4831-ACF9-B887D48518E3}"/>
    <cellStyle name="20% - Accent1 4 3 3" xfId="5339" xr:uid="{00000000-0005-0000-0000-000082000000}"/>
    <cellStyle name="20% - Accent1 4 3 3 2" xfId="13778" xr:uid="{F3CD3107-27D6-4CED-9999-DC0778DDF7DC}"/>
    <cellStyle name="20% - Accent1 4 3 4" xfId="9560" xr:uid="{AE500A11-9C04-42F9-832B-D8CF2443046A}"/>
    <cellStyle name="20% - Accent1 4 4" xfId="1444" xr:uid="{00000000-0005-0000-0000-000083000000}"/>
    <cellStyle name="20% - Accent1 4 4 2" xfId="3674" xr:uid="{00000000-0005-0000-0000-000084000000}"/>
    <cellStyle name="20% - Accent1 4 4 2 2" xfId="7897" xr:uid="{00000000-0005-0000-0000-000085000000}"/>
    <cellStyle name="20% - Accent1 4 4 2 2 2" xfId="16336" xr:uid="{7B0FD40A-F14D-4271-99D3-4678652E936B}"/>
    <cellStyle name="20% - Accent1 4 4 2 3" xfId="12118" xr:uid="{47E5F82A-7D6F-4B2F-925E-CA696AAFF745}"/>
    <cellStyle name="20% - Accent1 4 4 3" xfId="5752" xr:uid="{00000000-0005-0000-0000-000086000000}"/>
    <cellStyle name="20% - Accent1 4 4 3 2" xfId="14191" xr:uid="{EB86220F-DF41-46A8-AB8C-AFA83C158B71}"/>
    <cellStyle name="20% - Accent1 4 4 4" xfId="9973" xr:uid="{2A3687F4-F469-47C6-998E-6A4F95DC91DD}"/>
    <cellStyle name="20% - Accent1 4 5" xfId="1858" xr:uid="{00000000-0005-0000-0000-000087000000}"/>
    <cellStyle name="20% - Accent1 4 5 2" xfId="4087" xr:uid="{00000000-0005-0000-0000-000088000000}"/>
    <cellStyle name="20% - Accent1 4 5 2 2" xfId="8310" xr:uid="{00000000-0005-0000-0000-000089000000}"/>
    <cellStyle name="20% - Accent1 4 5 2 2 2" xfId="16749" xr:uid="{E4AB9FF7-F5D0-4AB8-A287-7C30BBDD9C27}"/>
    <cellStyle name="20% - Accent1 4 5 2 3" xfId="12531" xr:uid="{5CE1CD1B-3E5A-4A15-BD69-69542FBB52CE}"/>
    <cellStyle name="20% - Accent1 4 5 3" xfId="6165" xr:uid="{00000000-0005-0000-0000-00008A000000}"/>
    <cellStyle name="20% - Accent1 4 5 3 2" xfId="14604" xr:uid="{27DEDEBF-85F0-44E7-B3FA-BE0B9F7B1E7C}"/>
    <cellStyle name="20% - Accent1 4 5 4" xfId="10386" xr:uid="{23D83638-3FA8-4343-90C3-70FA3DDE5C90}"/>
    <cellStyle name="20% - Accent1 4 6" xfId="2271" xr:uid="{00000000-0005-0000-0000-00008B000000}"/>
    <cellStyle name="20% - Accent1 4 6 2" xfId="6578" xr:uid="{00000000-0005-0000-0000-00008C000000}"/>
    <cellStyle name="20% - Accent1 4 6 2 2" xfId="15017" xr:uid="{EF3C8719-F3D5-414E-A1C5-10CF41BCCA4F}"/>
    <cellStyle name="20% - Accent1 4 6 3" xfId="10799" xr:uid="{81E93726-9EAA-4D6C-B745-6DE52AC3DD59}"/>
    <cellStyle name="20% - Accent1 4 7" xfId="4512" xr:uid="{00000000-0005-0000-0000-00008D000000}"/>
    <cellStyle name="20% - Accent1 4 7 2" xfId="12951" xr:uid="{6A40C47E-0960-497B-BA65-195A6C40784B}"/>
    <cellStyle name="20% - Accent1 4 8" xfId="8733" xr:uid="{A17A61AF-CB25-438D-9711-011DF1EC6E74}"/>
    <cellStyle name="20% - Accent1 5" xfId="570" xr:uid="{00000000-0005-0000-0000-00008E000000}"/>
    <cellStyle name="20% - Accent1 5 2" xfId="2841" xr:uid="{00000000-0005-0000-0000-00008F000000}"/>
    <cellStyle name="20% - Accent1 5 2 2" xfId="7064" xr:uid="{00000000-0005-0000-0000-000090000000}"/>
    <cellStyle name="20% - Accent1 5 2 2 2" xfId="15503" xr:uid="{E62D3EA1-25C4-45D9-AB41-4416619BB285}"/>
    <cellStyle name="20% - Accent1 5 2 3" xfId="11285" xr:uid="{35C57BA5-5655-4D66-90E8-D9E82274ABEC}"/>
    <cellStyle name="20% - Accent1 5 3" xfId="4919" xr:uid="{00000000-0005-0000-0000-000091000000}"/>
    <cellStyle name="20% - Accent1 5 3 2" xfId="13358" xr:uid="{CF05030B-4224-40F7-BBA2-34B34B55B2DB}"/>
    <cellStyle name="20% - Accent1 5 4" xfId="9140" xr:uid="{70C164FB-1AEC-4D3F-ACDA-8A9911856CE7}"/>
    <cellStyle name="20% - Accent1 6" xfId="1023" xr:uid="{00000000-0005-0000-0000-000092000000}"/>
    <cellStyle name="20% - Accent1 6 2" xfId="3254" xr:uid="{00000000-0005-0000-0000-000093000000}"/>
    <cellStyle name="20% - Accent1 6 2 2" xfId="7477" xr:uid="{00000000-0005-0000-0000-000094000000}"/>
    <cellStyle name="20% - Accent1 6 2 2 2" xfId="15916" xr:uid="{932B1F69-388C-4704-A976-B3237C774E97}"/>
    <cellStyle name="20% - Accent1 6 2 3" xfId="11698" xr:uid="{2453DE23-200A-42DA-8F20-2C4878E69D1B}"/>
    <cellStyle name="20% - Accent1 6 3" xfId="5332" xr:uid="{00000000-0005-0000-0000-000095000000}"/>
    <cellStyle name="20% - Accent1 6 3 2" xfId="13771" xr:uid="{7570294A-113C-4FF0-8D9A-B144D85AE0AB}"/>
    <cellStyle name="20% - Accent1 6 4" xfId="9553" xr:uid="{743B55DA-D190-486B-863E-C23D1F190332}"/>
    <cellStyle name="20% - Accent1 7" xfId="1437" xr:uid="{00000000-0005-0000-0000-000096000000}"/>
    <cellStyle name="20% - Accent1 7 2" xfId="3667" xr:uid="{00000000-0005-0000-0000-000097000000}"/>
    <cellStyle name="20% - Accent1 7 2 2" xfId="7890" xr:uid="{00000000-0005-0000-0000-000098000000}"/>
    <cellStyle name="20% - Accent1 7 2 2 2" xfId="16329" xr:uid="{658B2359-D926-490E-A1D8-FE59ECF44011}"/>
    <cellStyle name="20% - Accent1 7 2 3" xfId="12111" xr:uid="{A19BC087-4B7B-4F61-AC75-B40FB8547C41}"/>
    <cellStyle name="20% - Accent1 7 3" xfId="5745" xr:uid="{00000000-0005-0000-0000-000099000000}"/>
    <cellStyle name="20% - Accent1 7 3 2" xfId="14184" xr:uid="{91D3F6FB-61AE-4AA2-BAA4-6F65565B7AB3}"/>
    <cellStyle name="20% - Accent1 7 4" xfId="9966" xr:uid="{95248496-4463-4D49-98FF-FF1583586FA0}"/>
    <cellStyle name="20% - Accent1 8" xfId="1851" xr:uid="{00000000-0005-0000-0000-00009A000000}"/>
    <cellStyle name="20% - Accent1 8 2" xfId="4080" xr:uid="{00000000-0005-0000-0000-00009B000000}"/>
    <cellStyle name="20% - Accent1 8 2 2" xfId="8303" xr:uid="{00000000-0005-0000-0000-00009C000000}"/>
    <cellStyle name="20% - Accent1 8 2 2 2" xfId="16742" xr:uid="{99B9742F-30D6-4C5F-97A7-CB6A573360A7}"/>
    <cellStyle name="20% - Accent1 8 2 3" xfId="12524" xr:uid="{F3F5B759-63F8-418B-BC65-99A69F29F8AE}"/>
    <cellStyle name="20% - Accent1 8 3" xfId="6158" xr:uid="{00000000-0005-0000-0000-00009D000000}"/>
    <cellStyle name="20% - Accent1 8 3 2" xfId="14597" xr:uid="{A6B9E5F0-4507-4452-826C-6A8BD17EB8DC}"/>
    <cellStyle name="20% - Accent1 8 4" xfId="10379" xr:uid="{6D952F0B-7325-45A2-814F-47E51FAF458E}"/>
    <cellStyle name="20% - Accent1 9" xfId="2264" xr:uid="{00000000-0005-0000-0000-00009E000000}"/>
    <cellStyle name="20% - Accent1 9 2" xfId="6571" xr:uid="{00000000-0005-0000-0000-00009F000000}"/>
    <cellStyle name="20% - Accent1 9 2 2" xfId="15010" xr:uid="{AE278AC7-408B-4075-A51B-4151A3699757}"/>
    <cellStyle name="20% - Accent1 9 3" xfId="10792" xr:uid="{56B6ED1F-D5FC-4B13-B274-FA78AFEE839A}"/>
    <cellStyle name="20% - Accent2" xfId="9" builtinId="34" customBuiltin="1"/>
    <cellStyle name="20% - Accent2 10" xfId="4513" xr:uid="{00000000-0005-0000-0000-0000A1000000}"/>
    <cellStyle name="20% - Accent2 10 2" xfId="12952" xr:uid="{11966613-B110-4734-B791-ED1286D86418}"/>
    <cellStyle name="20% - Accent2 11" xfId="8734" xr:uid="{10C27894-3CF2-4AA8-82E4-2559768C8D58}"/>
    <cellStyle name="20% - Accent2 2" xfId="10" xr:uid="{00000000-0005-0000-0000-0000A2000000}"/>
    <cellStyle name="20% - Accent2 2 10" xfId="8735" xr:uid="{C8E16025-AA7D-43D3-96B8-CD2ADD312E29}"/>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15514" xr:uid="{20966C9E-4170-4FDC-8FF0-734B3B05EF0A}"/>
    <cellStyle name="20% - Accent2 2 2 2 2 2 3" xfId="11296" xr:uid="{91C0628D-A2E4-4D3F-93A6-10FD7A2DC4E1}"/>
    <cellStyle name="20% - Accent2 2 2 2 2 3" xfId="4930" xr:uid="{00000000-0005-0000-0000-0000A8000000}"/>
    <cellStyle name="20% - Accent2 2 2 2 2 3 2" xfId="13369" xr:uid="{89845B4F-1B04-4137-BDA8-86CA1683C37B}"/>
    <cellStyle name="20% - Accent2 2 2 2 2 4" xfId="9151" xr:uid="{CB91BDEC-8E65-45B2-961B-83BE19918CA7}"/>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2 2" xfId="15927" xr:uid="{A9D8D189-5358-4D49-96A9-57CF7BF3A378}"/>
    <cellStyle name="20% - Accent2 2 2 2 3 2 3" xfId="11709" xr:uid="{97563DAA-04EB-4007-BCBE-2F716D20EA84}"/>
    <cellStyle name="20% - Accent2 2 2 2 3 3" xfId="5343" xr:uid="{00000000-0005-0000-0000-0000AC000000}"/>
    <cellStyle name="20% - Accent2 2 2 2 3 3 2" xfId="13782" xr:uid="{7B9B1D93-5EBF-48A1-978A-5D5260579869}"/>
    <cellStyle name="20% - Accent2 2 2 2 3 4" xfId="9564" xr:uid="{E7CA9F21-C416-48AC-8889-D903D476CD22}"/>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2 2 2" xfId="16340" xr:uid="{E278ECF7-4078-4E5B-AA07-E693A0F60D36}"/>
    <cellStyle name="20% - Accent2 2 2 2 4 2 3" xfId="12122" xr:uid="{715BC901-A451-46A8-A16C-FF89017566E8}"/>
    <cellStyle name="20% - Accent2 2 2 2 4 3" xfId="5756" xr:uid="{00000000-0005-0000-0000-0000B0000000}"/>
    <cellStyle name="20% - Accent2 2 2 2 4 3 2" xfId="14195" xr:uid="{D703F5E5-8B57-4294-A9B6-76BDB67A0644}"/>
    <cellStyle name="20% - Accent2 2 2 2 4 4" xfId="9977" xr:uid="{BFF44FC8-AE3E-4774-8D73-19A4B32ABC7F}"/>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2 2 2" xfId="16753" xr:uid="{30049598-B5F2-4D1C-97C7-427A79DE8BFD}"/>
    <cellStyle name="20% - Accent2 2 2 2 5 2 3" xfId="12535" xr:uid="{3C935C0A-6658-4143-8E7D-0D58D3B0B8CD}"/>
    <cellStyle name="20% - Accent2 2 2 2 5 3" xfId="6169" xr:uid="{00000000-0005-0000-0000-0000B4000000}"/>
    <cellStyle name="20% - Accent2 2 2 2 5 3 2" xfId="14608" xr:uid="{2EA8D672-4407-4B25-AD2F-1771D7E2F0A7}"/>
    <cellStyle name="20% - Accent2 2 2 2 5 4" xfId="10390" xr:uid="{9BE1290D-061B-461F-8FCF-61000EB0D566}"/>
    <cellStyle name="20% - Accent2 2 2 2 6" xfId="2275" xr:uid="{00000000-0005-0000-0000-0000B5000000}"/>
    <cellStyle name="20% - Accent2 2 2 2 6 2" xfId="6582" xr:uid="{00000000-0005-0000-0000-0000B6000000}"/>
    <cellStyle name="20% - Accent2 2 2 2 6 2 2" xfId="15021" xr:uid="{85AE103D-3169-498A-A009-30C9395DEBBA}"/>
    <cellStyle name="20% - Accent2 2 2 2 6 3" xfId="10803" xr:uid="{8CCA0F29-39CD-476E-BCC5-40925DD46C8B}"/>
    <cellStyle name="20% - Accent2 2 2 2 7" xfId="4516" xr:uid="{00000000-0005-0000-0000-0000B7000000}"/>
    <cellStyle name="20% - Accent2 2 2 2 7 2" xfId="12955" xr:uid="{622670DA-2A2E-45BC-BE62-410B4C5A3EC6}"/>
    <cellStyle name="20% - Accent2 2 2 2 8" xfId="8737" xr:uid="{DFE563AD-8F94-4173-814A-412E939B6C6F}"/>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15513" xr:uid="{3B90D42F-9807-40D9-A53D-A2C6F66E824C}"/>
    <cellStyle name="20% - Accent2 2 2 3 2 3" xfId="11295" xr:uid="{1769F7B3-9B32-473F-9E9E-17AB1A914184}"/>
    <cellStyle name="20% - Accent2 2 2 3 3" xfId="4929" xr:uid="{00000000-0005-0000-0000-0000BB000000}"/>
    <cellStyle name="20% - Accent2 2 2 3 3 2" xfId="13368" xr:uid="{51C7082A-7717-43A6-A8F6-2195C52870DE}"/>
    <cellStyle name="20% - Accent2 2 2 3 4" xfId="9150" xr:uid="{EA5B6686-C418-4CEC-898C-11DA523D9855}"/>
    <cellStyle name="20% - Accent2 2 2 4" xfId="1033" xr:uid="{00000000-0005-0000-0000-0000BC000000}"/>
    <cellStyle name="20% - Accent2 2 2 4 2" xfId="3264" xr:uid="{00000000-0005-0000-0000-0000BD000000}"/>
    <cellStyle name="20% - Accent2 2 2 4 2 2" xfId="7487" xr:uid="{00000000-0005-0000-0000-0000BE000000}"/>
    <cellStyle name="20% - Accent2 2 2 4 2 2 2" xfId="15926" xr:uid="{AF1593A0-0672-479C-AA6E-FE8363CA56C4}"/>
    <cellStyle name="20% - Accent2 2 2 4 2 3" xfId="11708" xr:uid="{6F7C10BB-5838-4B56-8C88-6217C0289BCE}"/>
    <cellStyle name="20% - Accent2 2 2 4 3" xfId="5342" xr:uid="{00000000-0005-0000-0000-0000BF000000}"/>
    <cellStyle name="20% - Accent2 2 2 4 3 2" xfId="13781" xr:uid="{4E95F4F7-A39D-42D3-81A4-2EC1B6F0A0CC}"/>
    <cellStyle name="20% - Accent2 2 2 4 4" xfId="9563" xr:uid="{F3273C0C-2812-43EE-A959-370A1C5336E8}"/>
    <cellStyle name="20% - Accent2 2 2 5" xfId="1447" xr:uid="{00000000-0005-0000-0000-0000C0000000}"/>
    <cellStyle name="20% - Accent2 2 2 5 2" xfId="3677" xr:uid="{00000000-0005-0000-0000-0000C1000000}"/>
    <cellStyle name="20% - Accent2 2 2 5 2 2" xfId="7900" xr:uid="{00000000-0005-0000-0000-0000C2000000}"/>
    <cellStyle name="20% - Accent2 2 2 5 2 2 2" xfId="16339" xr:uid="{6C4E750B-AE7A-43CF-9263-4C8178E9B98C}"/>
    <cellStyle name="20% - Accent2 2 2 5 2 3" xfId="12121" xr:uid="{C045B01F-E1FB-4C08-8422-B0DB2FC965B1}"/>
    <cellStyle name="20% - Accent2 2 2 5 3" xfId="5755" xr:uid="{00000000-0005-0000-0000-0000C3000000}"/>
    <cellStyle name="20% - Accent2 2 2 5 3 2" xfId="14194" xr:uid="{41CAF8FE-04FE-4EDA-9A1E-CC9114FCD95B}"/>
    <cellStyle name="20% - Accent2 2 2 5 4" xfId="9976" xr:uid="{833BAB4F-4C69-4659-BB2D-ABEC2D7D6651}"/>
    <cellStyle name="20% - Accent2 2 2 6" xfId="1861" xr:uid="{00000000-0005-0000-0000-0000C4000000}"/>
    <cellStyle name="20% - Accent2 2 2 6 2" xfId="4090" xr:uid="{00000000-0005-0000-0000-0000C5000000}"/>
    <cellStyle name="20% - Accent2 2 2 6 2 2" xfId="8313" xr:uid="{00000000-0005-0000-0000-0000C6000000}"/>
    <cellStyle name="20% - Accent2 2 2 6 2 2 2" xfId="16752" xr:uid="{BECE980E-CA75-43A1-B59C-656582446873}"/>
    <cellStyle name="20% - Accent2 2 2 6 2 3" xfId="12534" xr:uid="{D4263837-57E9-4731-8467-7E516EF8E7F7}"/>
    <cellStyle name="20% - Accent2 2 2 6 3" xfId="6168" xr:uid="{00000000-0005-0000-0000-0000C7000000}"/>
    <cellStyle name="20% - Accent2 2 2 6 3 2" xfId="14607" xr:uid="{B81EC30E-2920-4DAE-90EA-FAAC87F4787D}"/>
    <cellStyle name="20% - Accent2 2 2 6 4" xfId="10389" xr:uid="{0E06A6BE-B2DC-4F7F-8359-2B1BDF8541AE}"/>
    <cellStyle name="20% - Accent2 2 2 7" xfId="2274" xr:uid="{00000000-0005-0000-0000-0000C8000000}"/>
    <cellStyle name="20% - Accent2 2 2 7 2" xfId="6581" xr:uid="{00000000-0005-0000-0000-0000C9000000}"/>
    <cellStyle name="20% - Accent2 2 2 7 2 2" xfId="15020" xr:uid="{C43EE029-00DF-49E4-8BF2-912909D23140}"/>
    <cellStyle name="20% - Accent2 2 2 7 3" xfId="10802" xr:uid="{4059FB4C-39A6-4C30-AF1C-5F82EC4F6649}"/>
    <cellStyle name="20% - Accent2 2 2 8" xfId="4515" xr:uid="{00000000-0005-0000-0000-0000CA000000}"/>
    <cellStyle name="20% - Accent2 2 2 8 2" xfId="12954" xr:uid="{5714F0C8-C753-4C27-9742-4A4B4D894C45}"/>
    <cellStyle name="20% - Accent2 2 2 9" xfId="8736" xr:uid="{2BB13019-528A-4307-B038-170D1915F5E1}"/>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15515" xr:uid="{28DEF33B-7FD8-4408-9104-BDD3DC8010C3}"/>
    <cellStyle name="20% - Accent2 2 3 2 2 3" xfId="11297" xr:uid="{DED79B9A-1A2C-4EB2-A5CA-68A781F76FBB}"/>
    <cellStyle name="20% - Accent2 2 3 2 3" xfId="4931" xr:uid="{00000000-0005-0000-0000-0000CF000000}"/>
    <cellStyle name="20% - Accent2 2 3 2 3 2" xfId="13370" xr:uid="{1858D9D7-4E9A-4E0D-A463-85ABC70EDEF5}"/>
    <cellStyle name="20% - Accent2 2 3 2 4" xfId="9152" xr:uid="{7BDBEAC0-1F8F-43A7-9139-9CE07D625779}"/>
    <cellStyle name="20% - Accent2 2 3 3" xfId="1035" xr:uid="{00000000-0005-0000-0000-0000D0000000}"/>
    <cellStyle name="20% - Accent2 2 3 3 2" xfId="3266" xr:uid="{00000000-0005-0000-0000-0000D1000000}"/>
    <cellStyle name="20% - Accent2 2 3 3 2 2" xfId="7489" xr:uid="{00000000-0005-0000-0000-0000D2000000}"/>
    <cellStyle name="20% - Accent2 2 3 3 2 2 2" xfId="15928" xr:uid="{231BFDBE-8C4D-4A84-80B3-7EED4CF3CDA7}"/>
    <cellStyle name="20% - Accent2 2 3 3 2 3" xfId="11710" xr:uid="{AB0BEA34-BEF7-4343-BC58-4FD7E97F5DFC}"/>
    <cellStyle name="20% - Accent2 2 3 3 3" xfId="5344" xr:uid="{00000000-0005-0000-0000-0000D3000000}"/>
    <cellStyle name="20% - Accent2 2 3 3 3 2" xfId="13783" xr:uid="{03D28FAC-4723-4CC3-B277-001067BDDB91}"/>
    <cellStyle name="20% - Accent2 2 3 3 4" xfId="9565" xr:uid="{DDA7B169-8161-4E86-BBA3-DA1C8B3705A9}"/>
    <cellStyle name="20% - Accent2 2 3 4" xfId="1449" xr:uid="{00000000-0005-0000-0000-0000D4000000}"/>
    <cellStyle name="20% - Accent2 2 3 4 2" xfId="3679" xr:uid="{00000000-0005-0000-0000-0000D5000000}"/>
    <cellStyle name="20% - Accent2 2 3 4 2 2" xfId="7902" xr:uid="{00000000-0005-0000-0000-0000D6000000}"/>
    <cellStyle name="20% - Accent2 2 3 4 2 2 2" xfId="16341" xr:uid="{7F7F6104-AB31-4585-A909-02615246DC8F}"/>
    <cellStyle name="20% - Accent2 2 3 4 2 3" xfId="12123" xr:uid="{AF34FD5A-A991-48A7-BF11-38A33355F712}"/>
    <cellStyle name="20% - Accent2 2 3 4 3" xfId="5757" xr:uid="{00000000-0005-0000-0000-0000D7000000}"/>
    <cellStyle name="20% - Accent2 2 3 4 3 2" xfId="14196" xr:uid="{617325F0-B565-4BF9-81F4-067FC5CD237B}"/>
    <cellStyle name="20% - Accent2 2 3 4 4" xfId="9978" xr:uid="{B127C7C4-808A-4400-9EDF-B534FBC13BC7}"/>
    <cellStyle name="20% - Accent2 2 3 5" xfId="1863" xr:uid="{00000000-0005-0000-0000-0000D8000000}"/>
    <cellStyle name="20% - Accent2 2 3 5 2" xfId="4092" xr:uid="{00000000-0005-0000-0000-0000D9000000}"/>
    <cellStyle name="20% - Accent2 2 3 5 2 2" xfId="8315" xr:uid="{00000000-0005-0000-0000-0000DA000000}"/>
    <cellStyle name="20% - Accent2 2 3 5 2 2 2" xfId="16754" xr:uid="{FD2A0CFE-A92D-41F7-ACC2-6E99C37A068A}"/>
    <cellStyle name="20% - Accent2 2 3 5 2 3" xfId="12536" xr:uid="{7FE62575-F93B-4F42-A890-168EB1AA8463}"/>
    <cellStyle name="20% - Accent2 2 3 5 3" xfId="6170" xr:uid="{00000000-0005-0000-0000-0000DB000000}"/>
    <cellStyle name="20% - Accent2 2 3 5 3 2" xfId="14609" xr:uid="{E64BBD10-4412-4485-ADBE-11B210DF2C0A}"/>
    <cellStyle name="20% - Accent2 2 3 5 4" xfId="10391" xr:uid="{3C6D8F8B-75BB-43DF-973E-8AB25E79ADEC}"/>
    <cellStyle name="20% - Accent2 2 3 6" xfId="2276" xr:uid="{00000000-0005-0000-0000-0000DC000000}"/>
    <cellStyle name="20% - Accent2 2 3 6 2" xfId="6583" xr:uid="{00000000-0005-0000-0000-0000DD000000}"/>
    <cellStyle name="20% - Accent2 2 3 6 2 2" xfId="15022" xr:uid="{AA3E769D-C8F9-4175-998B-C17DEB78D7B5}"/>
    <cellStyle name="20% - Accent2 2 3 6 3" xfId="10804" xr:uid="{E4BD1F70-D8B6-403D-A72A-F37D77CE95AB}"/>
    <cellStyle name="20% - Accent2 2 3 7" xfId="4517" xr:uid="{00000000-0005-0000-0000-0000DE000000}"/>
    <cellStyle name="20% - Accent2 2 3 7 2" xfId="12956" xr:uid="{FD369850-2A90-43D3-A4C2-53AE5E356C96}"/>
    <cellStyle name="20% - Accent2 2 3 8" xfId="8738" xr:uid="{799294BB-6A6A-4D3C-BD74-8B9059D64CBE}"/>
    <cellStyle name="20% - Accent2 2 4" xfId="579" xr:uid="{00000000-0005-0000-0000-0000DF000000}"/>
    <cellStyle name="20% - Accent2 2 4 2" xfId="2850" xr:uid="{00000000-0005-0000-0000-0000E0000000}"/>
    <cellStyle name="20% - Accent2 2 4 2 2" xfId="7073" xr:uid="{00000000-0005-0000-0000-0000E1000000}"/>
    <cellStyle name="20% - Accent2 2 4 2 2 2" xfId="15512" xr:uid="{D44995DE-D395-41A3-B29A-EFCECECD27B2}"/>
    <cellStyle name="20% - Accent2 2 4 2 3" xfId="11294" xr:uid="{A050981B-4D2B-483E-8AD5-CCDE3898BFD8}"/>
    <cellStyle name="20% - Accent2 2 4 3" xfId="4928" xr:uid="{00000000-0005-0000-0000-0000E2000000}"/>
    <cellStyle name="20% - Accent2 2 4 3 2" xfId="13367" xr:uid="{E1960A81-5967-43E2-A954-6A118500B96B}"/>
    <cellStyle name="20% - Accent2 2 4 4" xfId="9149" xr:uid="{16417EA4-DFA4-4BC8-A5A4-93B3476AA8BD}"/>
    <cellStyle name="20% - Accent2 2 5" xfId="1032" xr:uid="{00000000-0005-0000-0000-0000E3000000}"/>
    <cellStyle name="20% - Accent2 2 5 2" xfId="3263" xr:uid="{00000000-0005-0000-0000-0000E4000000}"/>
    <cellStyle name="20% - Accent2 2 5 2 2" xfId="7486" xr:uid="{00000000-0005-0000-0000-0000E5000000}"/>
    <cellStyle name="20% - Accent2 2 5 2 2 2" xfId="15925" xr:uid="{BC7816A5-284F-4C69-A1F7-B998536A7DB7}"/>
    <cellStyle name="20% - Accent2 2 5 2 3" xfId="11707" xr:uid="{877F2B38-1839-408A-969D-21622F10F96F}"/>
    <cellStyle name="20% - Accent2 2 5 3" xfId="5341" xr:uid="{00000000-0005-0000-0000-0000E6000000}"/>
    <cellStyle name="20% - Accent2 2 5 3 2" xfId="13780" xr:uid="{D58DC058-0925-4675-A5DC-8B42EF61961D}"/>
    <cellStyle name="20% - Accent2 2 5 4" xfId="9562" xr:uid="{3FB265A7-18C7-4F95-9AD7-52E980075E67}"/>
    <cellStyle name="20% - Accent2 2 6" xfId="1446" xr:uid="{00000000-0005-0000-0000-0000E7000000}"/>
    <cellStyle name="20% - Accent2 2 6 2" xfId="3676" xr:uid="{00000000-0005-0000-0000-0000E8000000}"/>
    <cellStyle name="20% - Accent2 2 6 2 2" xfId="7899" xr:uid="{00000000-0005-0000-0000-0000E9000000}"/>
    <cellStyle name="20% - Accent2 2 6 2 2 2" xfId="16338" xr:uid="{BFB8C4EA-2088-47C0-9894-8F2982633746}"/>
    <cellStyle name="20% - Accent2 2 6 2 3" xfId="12120" xr:uid="{A260918C-95BA-4B0F-99D0-0A2F9F5EF7C9}"/>
    <cellStyle name="20% - Accent2 2 6 3" xfId="5754" xr:uid="{00000000-0005-0000-0000-0000EA000000}"/>
    <cellStyle name="20% - Accent2 2 6 3 2" xfId="14193" xr:uid="{FFE7DABB-AD64-4766-A671-3BEEEA9D4D0D}"/>
    <cellStyle name="20% - Accent2 2 6 4" xfId="9975" xr:uid="{D8A9C7F7-FEFC-4702-9C65-B7951363494B}"/>
    <cellStyle name="20% - Accent2 2 7" xfId="1860" xr:uid="{00000000-0005-0000-0000-0000EB000000}"/>
    <cellStyle name="20% - Accent2 2 7 2" xfId="4089" xr:uid="{00000000-0005-0000-0000-0000EC000000}"/>
    <cellStyle name="20% - Accent2 2 7 2 2" xfId="8312" xr:uid="{00000000-0005-0000-0000-0000ED000000}"/>
    <cellStyle name="20% - Accent2 2 7 2 2 2" xfId="16751" xr:uid="{27ACB437-D315-4324-9F62-D6E6ABC9C628}"/>
    <cellStyle name="20% - Accent2 2 7 2 3" xfId="12533" xr:uid="{9E038AC7-B17A-4AB3-A852-E4A4EF11BB77}"/>
    <cellStyle name="20% - Accent2 2 7 3" xfId="6167" xr:uid="{00000000-0005-0000-0000-0000EE000000}"/>
    <cellStyle name="20% - Accent2 2 7 3 2" xfId="14606" xr:uid="{3EA5282B-7F39-40F0-96ED-95CD71A52C17}"/>
    <cellStyle name="20% - Accent2 2 7 4" xfId="10388" xr:uid="{2C009638-F7EC-4D23-B0E3-93EDB0B06359}"/>
    <cellStyle name="20% - Accent2 2 8" xfId="2273" xr:uid="{00000000-0005-0000-0000-0000EF000000}"/>
    <cellStyle name="20% - Accent2 2 8 2" xfId="6580" xr:uid="{00000000-0005-0000-0000-0000F0000000}"/>
    <cellStyle name="20% - Accent2 2 8 2 2" xfId="15019" xr:uid="{00D14B65-0408-4E7F-A35D-A5D21F2F78E9}"/>
    <cellStyle name="20% - Accent2 2 8 3" xfId="10801" xr:uid="{2FF54DD1-8AA2-4FF0-8575-2147AC05871A}"/>
    <cellStyle name="20% - Accent2 2 9" xfId="4514" xr:uid="{00000000-0005-0000-0000-0000F1000000}"/>
    <cellStyle name="20% - Accent2 2 9 2" xfId="12953" xr:uid="{A339519D-233E-4D9B-BBBD-209A93533AB1}"/>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15517" xr:uid="{3AA8B20F-4026-4928-B77A-8B9BFBCE678F}"/>
    <cellStyle name="20% - Accent2 3 2 2 2 3" xfId="11299" xr:uid="{2E4A3F86-4F7E-493D-B9D2-4D64975F23C2}"/>
    <cellStyle name="20% - Accent2 3 2 2 3" xfId="4933" xr:uid="{00000000-0005-0000-0000-0000F7000000}"/>
    <cellStyle name="20% - Accent2 3 2 2 3 2" xfId="13372" xr:uid="{5212E052-4775-4D45-8667-0680EE5D9B04}"/>
    <cellStyle name="20% - Accent2 3 2 2 4" xfId="9154" xr:uid="{4FE566DE-9738-4A0A-AC86-07E6EB4D1508}"/>
    <cellStyle name="20% - Accent2 3 2 3" xfId="1037" xr:uid="{00000000-0005-0000-0000-0000F8000000}"/>
    <cellStyle name="20% - Accent2 3 2 3 2" xfId="3268" xr:uid="{00000000-0005-0000-0000-0000F9000000}"/>
    <cellStyle name="20% - Accent2 3 2 3 2 2" xfId="7491" xr:uid="{00000000-0005-0000-0000-0000FA000000}"/>
    <cellStyle name="20% - Accent2 3 2 3 2 2 2" xfId="15930" xr:uid="{879A25F4-1CA9-4896-8DB6-E10FBDB0370E}"/>
    <cellStyle name="20% - Accent2 3 2 3 2 3" xfId="11712" xr:uid="{E82D747A-571D-4D8A-BFCD-45E446BAB20B}"/>
    <cellStyle name="20% - Accent2 3 2 3 3" xfId="5346" xr:uid="{00000000-0005-0000-0000-0000FB000000}"/>
    <cellStyle name="20% - Accent2 3 2 3 3 2" xfId="13785" xr:uid="{D7E60E49-C4B1-40C3-803F-F0739DED299D}"/>
    <cellStyle name="20% - Accent2 3 2 3 4" xfId="9567" xr:uid="{CBC4B3DF-BBD4-45B9-AA6F-8BBF46DCB06E}"/>
    <cellStyle name="20% - Accent2 3 2 4" xfId="1451" xr:uid="{00000000-0005-0000-0000-0000FC000000}"/>
    <cellStyle name="20% - Accent2 3 2 4 2" xfId="3681" xr:uid="{00000000-0005-0000-0000-0000FD000000}"/>
    <cellStyle name="20% - Accent2 3 2 4 2 2" xfId="7904" xr:uid="{00000000-0005-0000-0000-0000FE000000}"/>
    <cellStyle name="20% - Accent2 3 2 4 2 2 2" xfId="16343" xr:uid="{8DA21544-E2DA-4C62-AA29-04D2080158D8}"/>
    <cellStyle name="20% - Accent2 3 2 4 2 3" xfId="12125" xr:uid="{30A621F3-F3ED-4C52-B40F-509BF1692188}"/>
    <cellStyle name="20% - Accent2 3 2 4 3" xfId="5759" xr:uid="{00000000-0005-0000-0000-0000FF000000}"/>
    <cellStyle name="20% - Accent2 3 2 4 3 2" xfId="14198" xr:uid="{DCF9BE88-FB04-4303-8C29-F5D8CEA16FDB}"/>
    <cellStyle name="20% - Accent2 3 2 4 4" xfId="9980" xr:uid="{F2E2DA58-6956-45E5-8FDE-31A1B725B42A}"/>
    <cellStyle name="20% - Accent2 3 2 5" xfId="1865" xr:uid="{00000000-0005-0000-0000-000000010000}"/>
    <cellStyle name="20% - Accent2 3 2 5 2" xfId="4094" xr:uid="{00000000-0005-0000-0000-000001010000}"/>
    <cellStyle name="20% - Accent2 3 2 5 2 2" xfId="8317" xr:uid="{00000000-0005-0000-0000-000002010000}"/>
    <cellStyle name="20% - Accent2 3 2 5 2 2 2" xfId="16756" xr:uid="{A2698555-A592-46E0-B475-A409290393BC}"/>
    <cellStyle name="20% - Accent2 3 2 5 2 3" xfId="12538" xr:uid="{2452A945-8C20-4A1D-9E76-AF7D11701BC6}"/>
    <cellStyle name="20% - Accent2 3 2 5 3" xfId="6172" xr:uid="{00000000-0005-0000-0000-000003010000}"/>
    <cellStyle name="20% - Accent2 3 2 5 3 2" xfId="14611" xr:uid="{BA2872CC-3D8E-4CE0-AE58-AEBBC3A7FBDA}"/>
    <cellStyle name="20% - Accent2 3 2 5 4" xfId="10393" xr:uid="{046A9C5D-D7D6-45B4-BB0D-643905206528}"/>
    <cellStyle name="20% - Accent2 3 2 6" xfId="2278" xr:uid="{00000000-0005-0000-0000-000004010000}"/>
    <cellStyle name="20% - Accent2 3 2 6 2" xfId="6585" xr:uid="{00000000-0005-0000-0000-000005010000}"/>
    <cellStyle name="20% - Accent2 3 2 6 2 2" xfId="15024" xr:uid="{E279222E-E2EF-4CE6-949A-D71E45A94047}"/>
    <cellStyle name="20% - Accent2 3 2 6 3" xfId="10806" xr:uid="{F5796A58-8481-4D9F-8552-D09CDD706710}"/>
    <cellStyle name="20% - Accent2 3 2 7" xfId="4519" xr:uid="{00000000-0005-0000-0000-000006010000}"/>
    <cellStyle name="20% - Accent2 3 2 7 2" xfId="12958" xr:uid="{714C21D2-4775-4CB6-83BA-8AED8588F1EC}"/>
    <cellStyle name="20% - Accent2 3 2 8" xfId="8740" xr:uid="{AA9ADA6A-7A2C-42D7-AA4C-9B878E73DF2F}"/>
    <cellStyle name="20% - Accent2 3 3" xfId="583" xr:uid="{00000000-0005-0000-0000-000007010000}"/>
    <cellStyle name="20% - Accent2 3 3 2" xfId="2854" xr:uid="{00000000-0005-0000-0000-000008010000}"/>
    <cellStyle name="20% - Accent2 3 3 2 2" xfId="7077" xr:uid="{00000000-0005-0000-0000-000009010000}"/>
    <cellStyle name="20% - Accent2 3 3 2 2 2" xfId="15516" xr:uid="{59512A41-997E-4E0A-8583-EAF0F267ADEA}"/>
    <cellStyle name="20% - Accent2 3 3 2 3" xfId="11298" xr:uid="{049D3E54-626E-4095-8822-B199AEFFBC81}"/>
    <cellStyle name="20% - Accent2 3 3 3" xfId="4932" xr:uid="{00000000-0005-0000-0000-00000A010000}"/>
    <cellStyle name="20% - Accent2 3 3 3 2" xfId="13371" xr:uid="{83D4D9C0-E59E-49C2-89B9-5220514CEBE5}"/>
    <cellStyle name="20% - Accent2 3 3 4" xfId="9153" xr:uid="{1B15E54A-8A0D-445B-A1B1-D6E074603A48}"/>
    <cellStyle name="20% - Accent2 3 4" xfId="1036" xr:uid="{00000000-0005-0000-0000-00000B010000}"/>
    <cellStyle name="20% - Accent2 3 4 2" xfId="3267" xr:uid="{00000000-0005-0000-0000-00000C010000}"/>
    <cellStyle name="20% - Accent2 3 4 2 2" xfId="7490" xr:uid="{00000000-0005-0000-0000-00000D010000}"/>
    <cellStyle name="20% - Accent2 3 4 2 2 2" xfId="15929" xr:uid="{2519A91C-D1CC-40EA-91B7-69DC4AFB851A}"/>
    <cellStyle name="20% - Accent2 3 4 2 3" xfId="11711" xr:uid="{10423B4A-0C4B-42BC-B353-6125CE8582BA}"/>
    <cellStyle name="20% - Accent2 3 4 3" xfId="5345" xr:uid="{00000000-0005-0000-0000-00000E010000}"/>
    <cellStyle name="20% - Accent2 3 4 3 2" xfId="13784" xr:uid="{358A6FFF-0B1F-4BBC-8FB7-1A01AFCB404F}"/>
    <cellStyle name="20% - Accent2 3 4 4" xfId="9566" xr:uid="{264A4114-3B3F-4F4E-A0DF-697BADF077FA}"/>
    <cellStyle name="20% - Accent2 3 5" xfId="1450" xr:uid="{00000000-0005-0000-0000-00000F010000}"/>
    <cellStyle name="20% - Accent2 3 5 2" xfId="3680" xr:uid="{00000000-0005-0000-0000-000010010000}"/>
    <cellStyle name="20% - Accent2 3 5 2 2" xfId="7903" xr:uid="{00000000-0005-0000-0000-000011010000}"/>
    <cellStyle name="20% - Accent2 3 5 2 2 2" xfId="16342" xr:uid="{C14DD9EF-08EB-4069-BAA5-66E7362DA4F0}"/>
    <cellStyle name="20% - Accent2 3 5 2 3" xfId="12124" xr:uid="{6A6873D9-DBF6-4AEF-B29C-7879B04F9018}"/>
    <cellStyle name="20% - Accent2 3 5 3" xfId="5758" xr:uid="{00000000-0005-0000-0000-000012010000}"/>
    <cellStyle name="20% - Accent2 3 5 3 2" xfId="14197" xr:uid="{EDE8D50F-B8C2-4365-A58C-9E82B4045F98}"/>
    <cellStyle name="20% - Accent2 3 5 4" xfId="9979" xr:uid="{0A0DEB09-2AB7-43DD-8BA6-4A4C500CB3B5}"/>
    <cellStyle name="20% - Accent2 3 6" xfId="1864" xr:uid="{00000000-0005-0000-0000-000013010000}"/>
    <cellStyle name="20% - Accent2 3 6 2" xfId="4093" xr:uid="{00000000-0005-0000-0000-000014010000}"/>
    <cellStyle name="20% - Accent2 3 6 2 2" xfId="8316" xr:uid="{00000000-0005-0000-0000-000015010000}"/>
    <cellStyle name="20% - Accent2 3 6 2 2 2" xfId="16755" xr:uid="{0C447C6E-469A-4858-8023-4B657B3034BA}"/>
    <cellStyle name="20% - Accent2 3 6 2 3" xfId="12537" xr:uid="{81CCC63F-28E7-4FBB-BAA7-CADDDA4CAC74}"/>
    <cellStyle name="20% - Accent2 3 6 3" xfId="6171" xr:uid="{00000000-0005-0000-0000-000016010000}"/>
    <cellStyle name="20% - Accent2 3 6 3 2" xfId="14610" xr:uid="{ACB2F36A-CB97-4466-B8E1-570C9CABA167}"/>
    <cellStyle name="20% - Accent2 3 6 4" xfId="10392" xr:uid="{4A7AA827-2C39-429E-94E7-2FC95CF1C2A2}"/>
    <cellStyle name="20% - Accent2 3 7" xfId="2277" xr:uid="{00000000-0005-0000-0000-000017010000}"/>
    <cellStyle name="20% - Accent2 3 7 2" xfId="6584" xr:uid="{00000000-0005-0000-0000-000018010000}"/>
    <cellStyle name="20% - Accent2 3 7 2 2" xfId="15023" xr:uid="{95B08D7F-BB31-4DFF-9018-9438B3A47A16}"/>
    <cellStyle name="20% - Accent2 3 7 3" xfId="10805" xr:uid="{FDA054EA-850C-4758-971E-DE423B4EC4DA}"/>
    <cellStyle name="20% - Accent2 3 8" xfId="4518" xr:uid="{00000000-0005-0000-0000-000019010000}"/>
    <cellStyle name="20% - Accent2 3 8 2" xfId="12957" xr:uid="{8A95AC8C-84D8-4F00-82E0-41DB5D2B3A91}"/>
    <cellStyle name="20% - Accent2 3 9" xfId="8739" xr:uid="{42FC818B-B082-46B3-A5E7-0E71678765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2 2 2" xfId="15518" xr:uid="{E9FB9810-B83D-4C40-9A33-373AC8223CF3}"/>
    <cellStyle name="20% - Accent2 4 2 2 3" xfId="11300" xr:uid="{33B7B3DC-5052-4168-8BCF-57097A35DEF0}"/>
    <cellStyle name="20% - Accent2 4 2 3" xfId="4934" xr:uid="{00000000-0005-0000-0000-00001E010000}"/>
    <cellStyle name="20% - Accent2 4 2 3 2" xfId="13373" xr:uid="{83C1B2B5-037A-4E6D-825B-58B4EFC00B9E}"/>
    <cellStyle name="20% - Accent2 4 2 4" xfId="9155" xr:uid="{B56DCF3F-22BC-4778-AC82-E57A5B1D5A99}"/>
    <cellStyle name="20% - Accent2 4 3" xfId="1038" xr:uid="{00000000-0005-0000-0000-00001F010000}"/>
    <cellStyle name="20% - Accent2 4 3 2" xfId="3269" xr:uid="{00000000-0005-0000-0000-000020010000}"/>
    <cellStyle name="20% - Accent2 4 3 2 2" xfId="7492" xr:uid="{00000000-0005-0000-0000-000021010000}"/>
    <cellStyle name="20% - Accent2 4 3 2 2 2" xfId="15931" xr:uid="{6912BC91-5BFA-4ACA-AF7D-42D0C8CD52F8}"/>
    <cellStyle name="20% - Accent2 4 3 2 3" xfId="11713" xr:uid="{9548E552-98E7-41E1-9F1B-C52B5E64D525}"/>
    <cellStyle name="20% - Accent2 4 3 3" xfId="5347" xr:uid="{00000000-0005-0000-0000-000022010000}"/>
    <cellStyle name="20% - Accent2 4 3 3 2" xfId="13786" xr:uid="{8BE44C30-1B65-490D-A9AD-99EFA244FE97}"/>
    <cellStyle name="20% - Accent2 4 3 4" xfId="9568" xr:uid="{873FE193-4E55-498A-A277-6D880583DEAA}"/>
    <cellStyle name="20% - Accent2 4 4" xfId="1452" xr:uid="{00000000-0005-0000-0000-000023010000}"/>
    <cellStyle name="20% - Accent2 4 4 2" xfId="3682" xr:uid="{00000000-0005-0000-0000-000024010000}"/>
    <cellStyle name="20% - Accent2 4 4 2 2" xfId="7905" xr:uid="{00000000-0005-0000-0000-000025010000}"/>
    <cellStyle name="20% - Accent2 4 4 2 2 2" xfId="16344" xr:uid="{A2226F8E-1CFE-4C72-99BB-D0D62080F025}"/>
    <cellStyle name="20% - Accent2 4 4 2 3" xfId="12126" xr:uid="{5593E00F-3722-4687-9A8D-B2A8EEDD3197}"/>
    <cellStyle name="20% - Accent2 4 4 3" xfId="5760" xr:uid="{00000000-0005-0000-0000-000026010000}"/>
    <cellStyle name="20% - Accent2 4 4 3 2" xfId="14199" xr:uid="{2BCFFC7F-EAE4-4D57-827B-C4E83E428A54}"/>
    <cellStyle name="20% - Accent2 4 4 4" xfId="9981" xr:uid="{78D36419-994F-4195-84B5-1AAD6DFC3B45}"/>
    <cellStyle name="20% - Accent2 4 5" xfId="1866" xr:uid="{00000000-0005-0000-0000-000027010000}"/>
    <cellStyle name="20% - Accent2 4 5 2" xfId="4095" xr:uid="{00000000-0005-0000-0000-000028010000}"/>
    <cellStyle name="20% - Accent2 4 5 2 2" xfId="8318" xr:uid="{00000000-0005-0000-0000-000029010000}"/>
    <cellStyle name="20% - Accent2 4 5 2 2 2" xfId="16757" xr:uid="{2761869D-CE04-436E-898E-72D7FE94F1D5}"/>
    <cellStyle name="20% - Accent2 4 5 2 3" xfId="12539" xr:uid="{E255DD8C-4E84-4013-9610-88A0E0A3A9C5}"/>
    <cellStyle name="20% - Accent2 4 5 3" xfId="6173" xr:uid="{00000000-0005-0000-0000-00002A010000}"/>
    <cellStyle name="20% - Accent2 4 5 3 2" xfId="14612" xr:uid="{42050CBB-524E-4DA3-94DD-C252F31F06D4}"/>
    <cellStyle name="20% - Accent2 4 5 4" xfId="10394" xr:uid="{AA323443-1E24-44CB-9831-1F0E60C5200D}"/>
    <cellStyle name="20% - Accent2 4 6" xfId="2279" xr:uid="{00000000-0005-0000-0000-00002B010000}"/>
    <cellStyle name="20% - Accent2 4 6 2" xfId="6586" xr:uid="{00000000-0005-0000-0000-00002C010000}"/>
    <cellStyle name="20% - Accent2 4 6 2 2" xfId="15025" xr:uid="{BE6B284E-BCD5-4548-B508-57B94A7E8043}"/>
    <cellStyle name="20% - Accent2 4 6 3" xfId="10807" xr:uid="{947468F7-CDB2-4B58-87C8-545DB1090241}"/>
    <cellStyle name="20% - Accent2 4 7" xfId="4520" xr:uid="{00000000-0005-0000-0000-00002D010000}"/>
    <cellStyle name="20% - Accent2 4 7 2" xfId="12959" xr:uid="{81EFEE3B-C75C-492F-9851-C06C82243BE0}"/>
    <cellStyle name="20% - Accent2 4 8" xfId="8741" xr:uid="{851A054B-0460-4988-81E4-3B2C177C5568}"/>
    <cellStyle name="20% - Accent2 5" xfId="578" xr:uid="{00000000-0005-0000-0000-00002E010000}"/>
    <cellStyle name="20% - Accent2 5 2" xfId="2849" xr:uid="{00000000-0005-0000-0000-00002F010000}"/>
    <cellStyle name="20% - Accent2 5 2 2" xfId="7072" xr:uid="{00000000-0005-0000-0000-000030010000}"/>
    <cellStyle name="20% - Accent2 5 2 2 2" xfId="15511" xr:uid="{6391332D-F549-426A-82F6-42DC08B486EB}"/>
    <cellStyle name="20% - Accent2 5 2 3" xfId="11293" xr:uid="{FE89A20B-DE3B-4296-971D-FC8ECEB89157}"/>
    <cellStyle name="20% - Accent2 5 3" xfId="4927" xr:uid="{00000000-0005-0000-0000-000031010000}"/>
    <cellStyle name="20% - Accent2 5 3 2" xfId="13366" xr:uid="{F3288FAD-B0AE-4469-B405-81BD4ED10333}"/>
    <cellStyle name="20% - Accent2 5 4" xfId="9148" xr:uid="{FCF2CCFB-FE85-457F-A928-6738A79B95A2}"/>
    <cellStyle name="20% - Accent2 6" xfId="1031" xr:uid="{00000000-0005-0000-0000-000032010000}"/>
    <cellStyle name="20% - Accent2 6 2" xfId="3262" xr:uid="{00000000-0005-0000-0000-000033010000}"/>
    <cellStyle name="20% - Accent2 6 2 2" xfId="7485" xr:uid="{00000000-0005-0000-0000-000034010000}"/>
    <cellStyle name="20% - Accent2 6 2 2 2" xfId="15924" xr:uid="{47B31D96-0FAB-4076-9BBD-219D1726178B}"/>
    <cellStyle name="20% - Accent2 6 2 3" xfId="11706" xr:uid="{D7A8636C-B914-40A0-8310-10374AECFF61}"/>
    <cellStyle name="20% - Accent2 6 3" xfId="5340" xr:uid="{00000000-0005-0000-0000-000035010000}"/>
    <cellStyle name="20% - Accent2 6 3 2" xfId="13779" xr:uid="{AE773C99-7464-443A-9065-FEF42F4E9CE7}"/>
    <cellStyle name="20% - Accent2 6 4" xfId="9561" xr:uid="{632B59A1-6F00-473B-9546-9CD25DED7BFE}"/>
    <cellStyle name="20% - Accent2 7" xfId="1445" xr:uid="{00000000-0005-0000-0000-000036010000}"/>
    <cellStyle name="20% - Accent2 7 2" xfId="3675" xr:uid="{00000000-0005-0000-0000-000037010000}"/>
    <cellStyle name="20% - Accent2 7 2 2" xfId="7898" xr:uid="{00000000-0005-0000-0000-000038010000}"/>
    <cellStyle name="20% - Accent2 7 2 2 2" xfId="16337" xr:uid="{8026CEF8-A2D2-4859-8323-12CC9567C2D7}"/>
    <cellStyle name="20% - Accent2 7 2 3" xfId="12119" xr:uid="{D05903BC-1E24-4EC5-9555-8641E5AE5AEF}"/>
    <cellStyle name="20% - Accent2 7 3" xfId="5753" xr:uid="{00000000-0005-0000-0000-000039010000}"/>
    <cellStyle name="20% - Accent2 7 3 2" xfId="14192" xr:uid="{85F7420A-C4AA-4A27-8238-E3A0BE719DE3}"/>
    <cellStyle name="20% - Accent2 7 4" xfId="9974" xr:uid="{C134FAE6-5E79-49DD-8357-90024E4BEA3C}"/>
    <cellStyle name="20% - Accent2 8" xfId="1859" xr:uid="{00000000-0005-0000-0000-00003A010000}"/>
    <cellStyle name="20% - Accent2 8 2" xfId="4088" xr:uid="{00000000-0005-0000-0000-00003B010000}"/>
    <cellStyle name="20% - Accent2 8 2 2" xfId="8311" xr:uid="{00000000-0005-0000-0000-00003C010000}"/>
    <cellStyle name="20% - Accent2 8 2 2 2" xfId="16750" xr:uid="{C4EA9992-A182-4F3C-825B-BFD4A81B6436}"/>
    <cellStyle name="20% - Accent2 8 2 3" xfId="12532" xr:uid="{07F7F15E-F252-4EEF-AAEF-65164C7D70A3}"/>
    <cellStyle name="20% - Accent2 8 3" xfId="6166" xr:uid="{00000000-0005-0000-0000-00003D010000}"/>
    <cellStyle name="20% - Accent2 8 3 2" xfId="14605" xr:uid="{49858D31-7D25-4A6D-94C1-5DB12C3FE923}"/>
    <cellStyle name="20% - Accent2 8 4" xfId="10387" xr:uid="{82816495-2C50-40E1-8200-75EA67675FDD}"/>
    <cellStyle name="20% - Accent2 9" xfId="2272" xr:uid="{00000000-0005-0000-0000-00003E010000}"/>
    <cellStyle name="20% - Accent2 9 2" xfId="6579" xr:uid="{00000000-0005-0000-0000-00003F010000}"/>
    <cellStyle name="20% - Accent2 9 2 2" xfId="15018" xr:uid="{1840E152-0D98-4AEC-819B-8A3601BED6E9}"/>
    <cellStyle name="20% - Accent2 9 3" xfId="10800" xr:uid="{0CDCF9B3-157F-4C26-99CC-E07A512B3AE6}"/>
    <cellStyle name="20% - Accent3" xfId="17" builtinId="38" customBuiltin="1"/>
    <cellStyle name="20% - Accent3 10" xfId="4521" xr:uid="{00000000-0005-0000-0000-000041010000}"/>
    <cellStyle name="20% - Accent3 10 2" xfId="12960" xr:uid="{0D84DEF5-C028-4AA7-995B-C236CEC03510}"/>
    <cellStyle name="20% - Accent3 11" xfId="8742" xr:uid="{7BC26850-7DE7-4C39-A03E-F99C72E1DB47}"/>
    <cellStyle name="20% - Accent3 2" xfId="18" xr:uid="{00000000-0005-0000-0000-000042010000}"/>
    <cellStyle name="20% - Accent3 2 10" xfId="8743" xr:uid="{62415E56-D88C-47DF-8AEC-21ECBDC676EB}"/>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15522" xr:uid="{F71CF72D-C9E0-4518-BA0B-F897C7C1EAA4}"/>
    <cellStyle name="20% - Accent3 2 2 2 2 2 3" xfId="11304" xr:uid="{D2F5EB37-DDF8-46B3-BB1A-5447C0717F1A}"/>
    <cellStyle name="20% - Accent3 2 2 2 2 3" xfId="4938" xr:uid="{00000000-0005-0000-0000-000048010000}"/>
    <cellStyle name="20% - Accent3 2 2 2 2 3 2" xfId="13377" xr:uid="{2C5AE564-2833-4C95-9E24-9D8341A8741A}"/>
    <cellStyle name="20% - Accent3 2 2 2 2 4" xfId="9159" xr:uid="{61C432DF-C4F5-439F-BCCE-21EB145C1EA4}"/>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2 2" xfId="15935" xr:uid="{ADDD764E-1E6F-4438-87B9-313487928DA1}"/>
    <cellStyle name="20% - Accent3 2 2 2 3 2 3" xfId="11717" xr:uid="{6E49DD8B-9D93-43F9-A5F5-44DD8D912648}"/>
    <cellStyle name="20% - Accent3 2 2 2 3 3" xfId="5351" xr:uid="{00000000-0005-0000-0000-00004C010000}"/>
    <cellStyle name="20% - Accent3 2 2 2 3 3 2" xfId="13790" xr:uid="{6ACE823D-BA19-4E22-B2AD-F4AF657343B3}"/>
    <cellStyle name="20% - Accent3 2 2 2 3 4" xfId="9572" xr:uid="{5B3664ED-D4A7-4686-B6DF-A3AB1CB02094}"/>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2 2 2" xfId="16348" xr:uid="{0BE20152-10FE-486D-9C25-44135A2A7D14}"/>
    <cellStyle name="20% - Accent3 2 2 2 4 2 3" xfId="12130" xr:uid="{6C37C95D-F487-4036-80D1-D140B57B7680}"/>
    <cellStyle name="20% - Accent3 2 2 2 4 3" xfId="5764" xr:uid="{00000000-0005-0000-0000-000050010000}"/>
    <cellStyle name="20% - Accent3 2 2 2 4 3 2" xfId="14203" xr:uid="{C2598C99-5595-4EB4-82EB-A52E032CF611}"/>
    <cellStyle name="20% - Accent3 2 2 2 4 4" xfId="9985" xr:uid="{A7660D99-A822-4BDE-BAD3-679CFF80FB19}"/>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2 2 2" xfId="16761" xr:uid="{D02158F0-D08C-4202-877C-67D264D66F4A}"/>
    <cellStyle name="20% - Accent3 2 2 2 5 2 3" xfId="12543" xr:uid="{BD56263A-8ABC-4614-B8C6-47EE11E149FA}"/>
    <cellStyle name="20% - Accent3 2 2 2 5 3" xfId="6177" xr:uid="{00000000-0005-0000-0000-000054010000}"/>
    <cellStyle name="20% - Accent3 2 2 2 5 3 2" xfId="14616" xr:uid="{42C99293-E5A6-4256-B991-477467EE7CFD}"/>
    <cellStyle name="20% - Accent3 2 2 2 5 4" xfId="10398" xr:uid="{E8FC4FA8-A9FD-4481-83B3-ABE05AAE9C7C}"/>
    <cellStyle name="20% - Accent3 2 2 2 6" xfId="2283" xr:uid="{00000000-0005-0000-0000-000055010000}"/>
    <cellStyle name="20% - Accent3 2 2 2 6 2" xfId="6590" xr:uid="{00000000-0005-0000-0000-000056010000}"/>
    <cellStyle name="20% - Accent3 2 2 2 6 2 2" xfId="15029" xr:uid="{212A2F39-3843-4C36-9892-5CBE398D9B1E}"/>
    <cellStyle name="20% - Accent3 2 2 2 6 3" xfId="10811" xr:uid="{219F423D-9DE2-4294-88A0-9170F4C530A0}"/>
    <cellStyle name="20% - Accent3 2 2 2 7" xfId="4524" xr:uid="{00000000-0005-0000-0000-000057010000}"/>
    <cellStyle name="20% - Accent3 2 2 2 7 2" xfId="12963" xr:uid="{34044C68-D176-4E3B-9AC1-A42E47B71009}"/>
    <cellStyle name="20% - Accent3 2 2 2 8" xfId="8745" xr:uid="{42ACB4A4-6CA7-4E2B-922C-65B65B802986}"/>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15521" xr:uid="{0DEFC65D-2D0F-473D-B5D9-6338F85ED788}"/>
    <cellStyle name="20% - Accent3 2 2 3 2 3" xfId="11303" xr:uid="{FE76260E-6D4B-4C35-93D7-6CE89AC0C85C}"/>
    <cellStyle name="20% - Accent3 2 2 3 3" xfId="4937" xr:uid="{00000000-0005-0000-0000-00005B010000}"/>
    <cellStyle name="20% - Accent3 2 2 3 3 2" xfId="13376" xr:uid="{6FF754C1-4EF9-431C-BF0B-AB5C5D1DD860}"/>
    <cellStyle name="20% - Accent3 2 2 3 4" xfId="9158" xr:uid="{915E4A3D-21DA-40C9-A483-5EBD72B66D91}"/>
    <cellStyle name="20% - Accent3 2 2 4" xfId="1041" xr:uid="{00000000-0005-0000-0000-00005C010000}"/>
    <cellStyle name="20% - Accent3 2 2 4 2" xfId="3272" xr:uid="{00000000-0005-0000-0000-00005D010000}"/>
    <cellStyle name="20% - Accent3 2 2 4 2 2" xfId="7495" xr:uid="{00000000-0005-0000-0000-00005E010000}"/>
    <cellStyle name="20% - Accent3 2 2 4 2 2 2" xfId="15934" xr:uid="{57853CBF-0D46-4BFE-960B-443BFEF45ADF}"/>
    <cellStyle name="20% - Accent3 2 2 4 2 3" xfId="11716" xr:uid="{175D9973-88B5-4E69-971A-4AF5FA8FF73F}"/>
    <cellStyle name="20% - Accent3 2 2 4 3" xfId="5350" xr:uid="{00000000-0005-0000-0000-00005F010000}"/>
    <cellStyle name="20% - Accent3 2 2 4 3 2" xfId="13789" xr:uid="{BB01000E-573D-41D6-811E-7375317FEDB2}"/>
    <cellStyle name="20% - Accent3 2 2 4 4" xfId="9571" xr:uid="{347CF52C-1490-4FF9-AE03-BBA649F773EB}"/>
    <cellStyle name="20% - Accent3 2 2 5" xfId="1455" xr:uid="{00000000-0005-0000-0000-000060010000}"/>
    <cellStyle name="20% - Accent3 2 2 5 2" xfId="3685" xr:uid="{00000000-0005-0000-0000-000061010000}"/>
    <cellStyle name="20% - Accent3 2 2 5 2 2" xfId="7908" xr:uid="{00000000-0005-0000-0000-000062010000}"/>
    <cellStyle name="20% - Accent3 2 2 5 2 2 2" xfId="16347" xr:uid="{F4970403-7870-4F90-BAFB-88C8C8DD780B}"/>
    <cellStyle name="20% - Accent3 2 2 5 2 3" xfId="12129" xr:uid="{5EC9543E-5FE2-407B-A315-3DB25A3FC154}"/>
    <cellStyle name="20% - Accent3 2 2 5 3" xfId="5763" xr:uid="{00000000-0005-0000-0000-000063010000}"/>
    <cellStyle name="20% - Accent3 2 2 5 3 2" xfId="14202" xr:uid="{3C05E060-949B-4D9F-9A70-E39B2C227484}"/>
    <cellStyle name="20% - Accent3 2 2 5 4" xfId="9984" xr:uid="{A2911878-3304-42D4-81DB-04261888B0B5}"/>
    <cellStyle name="20% - Accent3 2 2 6" xfId="1869" xr:uid="{00000000-0005-0000-0000-000064010000}"/>
    <cellStyle name="20% - Accent3 2 2 6 2" xfId="4098" xr:uid="{00000000-0005-0000-0000-000065010000}"/>
    <cellStyle name="20% - Accent3 2 2 6 2 2" xfId="8321" xr:uid="{00000000-0005-0000-0000-000066010000}"/>
    <cellStyle name="20% - Accent3 2 2 6 2 2 2" xfId="16760" xr:uid="{12DA64DB-D6C1-4371-BBDE-C9BBC5950CF0}"/>
    <cellStyle name="20% - Accent3 2 2 6 2 3" xfId="12542" xr:uid="{9740E1EE-EB80-48FB-A5F6-9CB504541C2D}"/>
    <cellStyle name="20% - Accent3 2 2 6 3" xfId="6176" xr:uid="{00000000-0005-0000-0000-000067010000}"/>
    <cellStyle name="20% - Accent3 2 2 6 3 2" xfId="14615" xr:uid="{BBB4C28E-C4E6-439A-A30E-C3EC103D69C7}"/>
    <cellStyle name="20% - Accent3 2 2 6 4" xfId="10397" xr:uid="{B225B1D9-9809-48F1-A13E-3C06831A6A6C}"/>
    <cellStyle name="20% - Accent3 2 2 7" xfId="2282" xr:uid="{00000000-0005-0000-0000-000068010000}"/>
    <cellStyle name="20% - Accent3 2 2 7 2" xfId="6589" xr:uid="{00000000-0005-0000-0000-000069010000}"/>
    <cellStyle name="20% - Accent3 2 2 7 2 2" xfId="15028" xr:uid="{A2314959-EEAD-4418-8A03-E246DA20FBC4}"/>
    <cellStyle name="20% - Accent3 2 2 7 3" xfId="10810" xr:uid="{8A055D7E-6287-40CF-A6FD-58160E650C9D}"/>
    <cellStyle name="20% - Accent3 2 2 8" xfId="4523" xr:uid="{00000000-0005-0000-0000-00006A010000}"/>
    <cellStyle name="20% - Accent3 2 2 8 2" xfId="12962" xr:uid="{89444210-7447-4083-A591-E940808D85D5}"/>
    <cellStyle name="20% - Accent3 2 2 9" xfId="8744" xr:uid="{476F4C5E-8554-4467-8C68-F9858FD17D48}"/>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15523" xr:uid="{83934DB4-AF56-4C15-93AE-A91BB819A2CF}"/>
    <cellStyle name="20% - Accent3 2 3 2 2 3" xfId="11305" xr:uid="{97DE2C7A-2AFF-40F5-A382-AAEF91F80CC9}"/>
    <cellStyle name="20% - Accent3 2 3 2 3" xfId="4939" xr:uid="{00000000-0005-0000-0000-00006F010000}"/>
    <cellStyle name="20% - Accent3 2 3 2 3 2" xfId="13378" xr:uid="{957E4387-5960-4A7A-B189-2A02DC837B75}"/>
    <cellStyle name="20% - Accent3 2 3 2 4" xfId="9160" xr:uid="{6C1E6DA9-D08A-40F5-9F4B-EA513CE84781}"/>
    <cellStyle name="20% - Accent3 2 3 3" xfId="1043" xr:uid="{00000000-0005-0000-0000-000070010000}"/>
    <cellStyle name="20% - Accent3 2 3 3 2" xfId="3274" xr:uid="{00000000-0005-0000-0000-000071010000}"/>
    <cellStyle name="20% - Accent3 2 3 3 2 2" xfId="7497" xr:uid="{00000000-0005-0000-0000-000072010000}"/>
    <cellStyle name="20% - Accent3 2 3 3 2 2 2" xfId="15936" xr:uid="{167BBC2F-6484-4A30-9876-2A06AD43F0A6}"/>
    <cellStyle name="20% - Accent3 2 3 3 2 3" xfId="11718" xr:uid="{CD6CCC26-4FA3-489B-BA05-46B1DD709F43}"/>
    <cellStyle name="20% - Accent3 2 3 3 3" xfId="5352" xr:uid="{00000000-0005-0000-0000-000073010000}"/>
    <cellStyle name="20% - Accent3 2 3 3 3 2" xfId="13791" xr:uid="{2556786A-F068-4ED1-9131-F5B3E975ACB2}"/>
    <cellStyle name="20% - Accent3 2 3 3 4" xfId="9573" xr:uid="{12827F66-E2CF-4492-BB4B-D0A8A6955CB7}"/>
    <cellStyle name="20% - Accent3 2 3 4" xfId="1457" xr:uid="{00000000-0005-0000-0000-000074010000}"/>
    <cellStyle name="20% - Accent3 2 3 4 2" xfId="3687" xr:uid="{00000000-0005-0000-0000-000075010000}"/>
    <cellStyle name="20% - Accent3 2 3 4 2 2" xfId="7910" xr:uid="{00000000-0005-0000-0000-000076010000}"/>
    <cellStyle name="20% - Accent3 2 3 4 2 2 2" xfId="16349" xr:uid="{B8B3B733-6311-4457-B33E-673BDE6804A8}"/>
    <cellStyle name="20% - Accent3 2 3 4 2 3" xfId="12131" xr:uid="{4DE09043-0A19-4AF1-B855-49D8B75B15F5}"/>
    <cellStyle name="20% - Accent3 2 3 4 3" xfId="5765" xr:uid="{00000000-0005-0000-0000-000077010000}"/>
    <cellStyle name="20% - Accent3 2 3 4 3 2" xfId="14204" xr:uid="{0EB3979D-6385-48E6-9682-FF4C5DC77E60}"/>
    <cellStyle name="20% - Accent3 2 3 4 4" xfId="9986" xr:uid="{D82C8421-4101-47B1-8921-D5887BD10D14}"/>
    <cellStyle name="20% - Accent3 2 3 5" xfId="1871" xr:uid="{00000000-0005-0000-0000-000078010000}"/>
    <cellStyle name="20% - Accent3 2 3 5 2" xfId="4100" xr:uid="{00000000-0005-0000-0000-000079010000}"/>
    <cellStyle name="20% - Accent3 2 3 5 2 2" xfId="8323" xr:uid="{00000000-0005-0000-0000-00007A010000}"/>
    <cellStyle name="20% - Accent3 2 3 5 2 2 2" xfId="16762" xr:uid="{B817EC72-9C5F-4BE2-AC8A-622E39FD0E4C}"/>
    <cellStyle name="20% - Accent3 2 3 5 2 3" xfId="12544" xr:uid="{8710726C-3C83-425C-9487-061762BEA268}"/>
    <cellStyle name="20% - Accent3 2 3 5 3" xfId="6178" xr:uid="{00000000-0005-0000-0000-00007B010000}"/>
    <cellStyle name="20% - Accent3 2 3 5 3 2" xfId="14617" xr:uid="{0138F5B6-8955-478B-BD2A-DE20979FDFCB}"/>
    <cellStyle name="20% - Accent3 2 3 5 4" xfId="10399" xr:uid="{08AFEF1B-202D-4EDB-8CBF-F9CCA8F42F1B}"/>
    <cellStyle name="20% - Accent3 2 3 6" xfId="2284" xr:uid="{00000000-0005-0000-0000-00007C010000}"/>
    <cellStyle name="20% - Accent3 2 3 6 2" xfId="6591" xr:uid="{00000000-0005-0000-0000-00007D010000}"/>
    <cellStyle name="20% - Accent3 2 3 6 2 2" xfId="15030" xr:uid="{BB23272E-5C4A-4291-A758-EC40FD4C87FF}"/>
    <cellStyle name="20% - Accent3 2 3 6 3" xfId="10812" xr:uid="{C729F766-0CF7-441D-A6F0-4192076DE042}"/>
    <cellStyle name="20% - Accent3 2 3 7" xfId="4525" xr:uid="{00000000-0005-0000-0000-00007E010000}"/>
    <cellStyle name="20% - Accent3 2 3 7 2" xfId="12964" xr:uid="{BB36A03E-CCEA-425C-AAB2-0ED1E1A6BE71}"/>
    <cellStyle name="20% - Accent3 2 3 8" xfId="8746" xr:uid="{5B99CD99-3A6F-4719-AC91-600FFE268155}"/>
    <cellStyle name="20% - Accent3 2 4" xfId="587" xr:uid="{00000000-0005-0000-0000-00007F010000}"/>
    <cellStyle name="20% - Accent3 2 4 2" xfId="2858" xr:uid="{00000000-0005-0000-0000-000080010000}"/>
    <cellStyle name="20% - Accent3 2 4 2 2" xfId="7081" xr:uid="{00000000-0005-0000-0000-000081010000}"/>
    <cellStyle name="20% - Accent3 2 4 2 2 2" xfId="15520" xr:uid="{EF40EF6F-2D4D-42A5-9705-3D3B84FB985F}"/>
    <cellStyle name="20% - Accent3 2 4 2 3" xfId="11302" xr:uid="{C4B93356-0E56-45A1-8527-C7319C498622}"/>
    <cellStyle name="20% - Accent3 2 4 3" xfId="4936" xr:uid="{00000000-0005-0000-0000-000082010000}"/>
    <cellStyle name="20% - Accent3 2 4 3 2" xfId="13375" xr:uid="{7004089C-3154-4EFF-9573-45E8198451ED}"/>
    <cellStyle name="20% - Accent3 2 4 4" xfId="9157" xr:uid="{DC422791-3D6D-4854-9599-62F9357BD0B7}"/>
    <cellStyle name="20% - Accent3 2 5" xfId="1040" xr:uid="{00000000-0005-0000-0000-000083010000}"/>
    <cellStyle name="20% - Accent3 2 5 2" xfId="3271" xr:uid="{00000000-0005-0000-0000-000084010000}"/>
    <cellStyle name="20% - Accent3 2 5 2 2" xfId="7494" xr:uid="{00000000-0005-0000-0000-000085010000}"/>
    <cellStyle name="20% - Accent3 2 5 2 2 2" xfId="15933" xr:uid="{F137C186-84C8-40A4-8B68-FAC47B0005F8}"/>
    <cellStyle name="20% - Accent3 2 5 2 3" xfId="11715" xr:uid="{7B4D4528-3C15-4974-AAE5-8E796EE725CB}"/>
    <cellStyle name="20% - Accent3 2 5 3" xfId="5349" xr:uid="{00000000-0005-0000-0000-000086010000}"/>
    <cellStyle name="20% - Accent3 2 5 3 2" xfId="13788" xr:uid="{287A8E09-819C-4ED3-BC70-4638872CBC22}"/>
    <cellStyle name="20% - Accent3 2 5 4" xfId="9570" xr:uid="{BE548719-66A5-4D9D-AA6D-82609676144B}"/>
    <cellStyle name="20% - Accent3 2 6" xfId="1454" xr:uid="{00000000-0005-0000-0000-000087010000}"/>
    <cellStyle name="20% - Accent3 2 6 2" xfId="3684" xr:uid="{00000000-0005-0000-0000-000088010000}"/>
    <cellStyle name="20% - Accent3 2 6 2 2" xfId="7907" xr:uid="{00000000-0005-0000-0000-000089010000}"/>
    <cellStyle name="20% - Accent3 2 6 2 2 2" xfId="16346" xr:uid="{9AF4ACC5-3137-4EB4-9E73-E52CBBEE4444}"/>
    <cellStyle name="20% - Accent3 2 6 2 3" xfId="12128" xr:uid="{EA92093E-312B-4C00-AD74-6ACC34B72AC8}"/>
    <cellStyle name="20% - Accent3 2 6 3" xfId="5762" xr:uid="{00000000-0005-0000-0000-00008A010000}"/>
    <cellStyle name="20% - Accent3 2 6 3 2" xfId="14201" xr:uid="{AF9609C5-7056-44F2-BABB-B516DB85B23A}"/>
    <cellStyle name="20% - Accent3 2 6 4" xfId="9983" xr:uid="{069E23B2-C5F5-4EFA-A778-F79DE316E1F9}"/>
    <cellStyle name="20% - Accent3 2 7" xfId="1868" xr:uid="{00000000-0005-0000-0000-00008B010000}"/>
    <cellStyle name="20% - Accent3 2 7 2" xfId="4097" xr:uid="{00000000-0005-0000-0000-00008C010000}"/>
    <cellStyle name="20% - Accent3 2 7 2 2" xfId="8320" xr:uid="{00000000-0005-0000-0000-00008D010000}"/>
    <cellStyle name="20% - Accent3 2 7 2 2 2" xfId="16759" xr:uid="{CE9B7EFF-2816-4D43-9A52-AD61356031C7}"/>
    <cellStyle name="20% - Accent3 2 7 2 3" xfId="12541" xr:uid="{ABBFAD27-77BE-4CEF-A214-3E1F931120C8}"/>
    <cellStyle name="20% - Accent3 2 7 3" xfId="6175" xr:uid="{00000000-0005-0000-0000-00008E010000}"/>
    <cellStyle name="20% - Accent3 2 7 3 2" xfId="14614" xr:uid="{06D1D15F-6F11-4D3C-AAE9-BB1DEA0EEE44}"/>
    <cellStyle name="20% - Accent3 2 7 4" xfId="10396" xr:uid="{2C568016-12DD-4736-82F4-FF6C19B66AED}"/>
    <cellStyle name="20% - Accent3 2 8" xfId="2281" xr:uid="{00000000-0005-0000-0000-00008F010000}"/>
    <cellStyle name="20% - Accent3 2 8 2" xfId="6588" xr:uid="{00000000-0005-0000-0000-000090010000}"/>
    <cellStyle name="20% - Accent3 2 8 2 2" xfId="15027" xr:uid="{411A5F87-A27A-4B39-B06E-7964DA38348F}"/>
    <cellStyle name="20% - Accent3 2 8 3" xfId="10809" xr:uid="{C4B1BAFA-21C1-4F01-8C63-B61AECC9FB8C}"/>
    <cellStyle name="20% - Accent3 2 9" xfId="4522" xr:uid="{00000000-0005-0000-0000-000091010000}"/>
    <cellStyle name="20% - Accent3 2 9 2" xfId="12961" xr:uid="{37944476-28E1-4316-BC8A-5EA22A0004DC}"/>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15525" xr:uid="{EBC64190-2382-4030-A747-DB81B803A3C3}"/>
    <cellStyle name="20% - Accent3 3 2 2 2 3" xfId="11307" xr:uid="{21DF79E8-AFC1-426E-8CBA-82F063DC1649}"/>
    <cellStyle name="20% - Accent3 3 2 2 3" xfId="4941" xr:uid="{00000000-0005-0000-0000-000097010000}"/>
    <cellStyle name="20% - Accent3 3 2 2 3 2" xfId="13380" xr:uid="{EFD2612C-D52D-4696-B220-56E0628EEC59}"/>
    <cellStyle name="20% - Accent3 3 2 2 4" xfId="9162" xr:uid="{0776EDF9-F046-4634-B1DB-C714E33A23B2}"/>
    <cellStyle name="20% - Accent3 3 2 3" xfId="1045" xr:uid="{00000000-0005-0000-0000-000098010000}"/>
    <cellStyle name="20% - Accent3 3 2 3 2" xfId="3276" xr:uid="{00000000-0005-0000-0000-000099010000}"/>
    <cellStyle name="20% - Accent3 3 2 3 2 2" xfId="7499" xr:uid="{00000000-0005-0000-0000-00009A010000}"/>
    <cellStyle name="20% - Accent3 3 2 3 2 2 2" xfId="15938" xr:uid="{FA862C6E-EAC2-4F36-9D1F-9889014CAB7F}"/>
    <cellStyle name="20% - Accent3 3 2 3 2 3" xfId="11720" xr:uid="{75FF8EA7-3EBE-4B92-9C86-1A5B0AF51078}"/>
    <cellStyle name="20% - Accent3 3 2 3 3" xfId="5354" xr:uid="{00000000-0005-0000-0000-00009B010000}"/>
    <cellStyle name="20% - Accent3 3 2 3 3 2" xfId="13793" xr:uid="{97523142-29EB-4A37-B95C-271CCB1D2D4F}"/>
    <cellStyle name="20% - Accent3 3 2 3 4" xfId="9575" xr:uid="{52E7147D-9FA9-4F28-87A2-EB80A63B6E7A}"/>
    <cellStyle name="20% - Accent3 3 2 4" xfId="1459" xr:uid="{00000000-0005-0000-0000-00009C010000}"/>
    <cellStyle name="20% - Accent3 3 2 4 2" xfId="3689" xr:uid="{00000000-0005-0000-0000-00009D010000}"/>
    <cellStyle name="20% - Accent3 3 2 4 2 2" xfId="7912" xr:uid="{00000000-0005-0000-0000-00009E010000}"/>
    <cellStyle name="20% - Accent3 3 2 4 2 2 2" xfId="16351" xr:uid="{8301B97B-3A68-473B-817F-4BF878F5DA9B}"/>
    <cellStyle name="20% - Accent3 3 2 4 2 3" xfId="12133" xr:uid="{32CAD37E-3284-4143-ABD9-6C4D2BFE4932}"/>
    <cellStyle name="20% - Accent3 3 2 4 3" xfId="5767" xr:uid="{00000000-0005-0000-0000-00009F010000}"/>
    <cellStyle name="20% - Accent3 3 2 4 3 2" xfId="14206" xr:uid="{2FE96AAE-CD33-4038-86E8-88319D5EF3FC}"/>
    <cellStyle name="20% - Accent3 3 2 4 4" xfId="9988" xr:uid="{DA1888F9-06B8-4277-BD72-484A697A6BC7}"/>
    <cellStyle name="20% - Accent3 3 2 5" xfId="1873" xr:uid="{00000000-0005-0000-0000-0000A0010000}"/>
    <cellStyle name="20% - Accent3 3 2 5 2" xfId="4102" xr:uid="{00000000-0005-0000-0000-0000A1010000}"/>
    <cellStyle name="20% - Accent3 3 2 5 2 2" xfId="8325" xr:uid="{00000000-0005-0000-0000-0000A2010000}"/>
    <cellStyle name="20% - Accent3 3 2 5 2 2 2" xfId="16764" xr:uid="{2DAA4CC5-19DF-4F8E-8BCE-5D248DACB0CD}"/>
    <cellStyle name="20% - Accent3 3 2 5 2 3" xfId="12546" xr:uid="{E8E3DB47-8EB8-4CBD-97EE-8D26E9707B50}"/>
    <cellStyle name="20% - Accent3 3 2 5 3" xfId="6180" xr:uid="{00000000-0005-0000-0000-0000A3010000}"/>
    <cellStyle name="20% - Accent3 3 2 5 3 2" xfId="14619" xr:uid="{1623694C-2F4E-4E4C-BFB8-7D63F4467983}"/>
    <cellStyle name="20% - Accent3 3 2 5 4" xfId="10401" xr:uid="{E08C3167-A3C6-4F1B-8212-D2E53636C298}"/>
    <cellStyle name="20% - Accent3 3 2 6" xfId="2286" xr:uid="{00000000-0005-0000-0000-0000A4010000}"/>
    <cellStyle name="20% - Accent3 3 2 6 2" xfId="6593" xr:uid="{00000000-0005-0000-0000-0000A5010000}"/>
    <cellStyle name="20% - Accent3 3 2 6 2 2" xfId="15032" xr:uid="{A6D7CF71-F4B6-49D7-AF32-25B70B24CE8B}"/>
    <cellStyle name="20% - Accent3 3 2 6 3" xfId="10814" xr:uid="{433D9810-9020-4394-AB24-B1C262457A8E}"/>
    <cellStyle name="20% - Accent3 3 2 7" xfId="4527" xr:uid="{00000000-0005-0000-0000-0000A6010000}"/>
    <cellStyle name="20% - Accent3 3 2 7 2" xfId="12966" xr:uid="{F4660CE0-CDB9-42EE-99A9-47D1F9366EE3}"/>
    <cellStyle name="20% - Accent3 3 2 8" xfId="8748" xr:uid="{9A7B020B-9B0C-4CFD-959D-A803683376D2}"/>
    <cellStyle name="20% - Accent3 3 3" xfId="591" xr:uid="{00000000-0005-0000-0000-0000A7010000}"/>
    <cellStyle name="20% - Accent3 3 3 2" xfId="2862" xr:uid="{00000000-0005-0000-0000-0000A8010000}"/>
    <cellStyle name="20% - Accent3 3 3 2 2" xfId="7085" xr:uid="{00000000-0005-0000-0000-0000A9010000}"/>
    <cellStyle name="20% - Accent3 3 3 2 2 2" xfId="15524" xr:uid="{A6A120FF-C2CC-477B-A1D6-4E6475888729}"/>
    <cellStyle name="20% - Accent3 3 3 2 3" xfId="11306" xr:uid="{A5A4D533-7578-45D3-B143-6C3865296C87}"/>
    <cellStyle name="20% - Accent3 3 3 3" xfId="4940" xr:uid="{00000000-0005-0000-0000-0000AA010000}"/>
    <cellStyle name="20% - Accent3 3 3 3 2" xfId="13379" xr:uid="{1AFAC7BE-DCF7-4681-81E1-32E218447D7A}"/>
    <cellStyle name="20% - Accent3 3 3 4" xfId="9161" xr:uid="{F865FF46-1896-47EF-A160-BC98B2C634F4}"/>
    <cellStyle name="20% - Accent3 3 4" xfId="1044" xr:uid="{00000000-0005-0000-0000-0000AB010000}"/>
    <cellStyle name="20% - Accent3 3 4 2" xfId="3275" xr:uid="{00000000-0005-0000-0000-0000AC010000}"/>
    <cellStyle name="20% - Accent3 3 4 2 2" xfId="7498" xr:uid="{00000000-0005-0000-0000-0000AD010000}"/>
    <cellStyle name="20% - Accent3 3 4 2 2 2" xfId="15937" xr:uid="{BE9E61BB-BD59-4D86-A34D-36C62DE3C2D8}"/>
    <cellStyle name="20% - Accent3 3 4 2 3" xfId="11719" xr:uid="{BD35A435-E0DD-4C75-BC47-7E76D8906842}"/>
    <cellStyle name="20% - Accent3 3 4 3" xfId="5353" xr:uid="{00000000-0005-0000-0000-0000AE010000}"/>
    <cellStyle name="20% - Accent3 3 4 3 2" xfId="13792" xr:uid="{05DBB854-82CC-4FFC-92EE-04372196E03F}"/>
    <cellStyle name="20% - Accent3 3 4 4" xfId="9574" xr:uid="{56EAF95C-C707-42D7-A8B6-C076D5AFBC93}"/>
    <cellStyle name="20% - Accent3 3 5" xfId="1458" xr:uid="{00000000-0005-0000-0000-0000AF010000}"/>
    <cellStyle name="20% - Accent3 3 5 2" xfId="3688" xr:uid="{00000000-0005-0000-0000-0000B0010000}"/>
    <cellStyle name="20% - Accent3 3 5 2 2" xfId="7911" xr:uid="{00000000-0005-0000-0000-0000B1010000}"/>
    <cellStyle name="20% - Accent3 3 5 2 2 2" xfId="16350" xr:uid="{9B2C287C-8B60-4A57-A5DC-9B15EC5B7982}"/>
    <cellStyle name="20% - Accent3 3 5 2 3" xfId="12132" xr:uid="{A4D4103E-3377-4682-BC18-4D72E5903743}"/>
    <cellStyle name="20% - Accent3 3 5 3" xfId="5766" xr:uid="{00000000-0005-0000-0000-0000B2010000}"/>
    <cellStyle name="20% - Accent3 3 5 3 2" xfId="14205" xr:uid="{BB2CB93A-5D19-4F65-988B-080493D1680D}"/>
    <cellStyle name="20% - Accent3 3 5 4" xfId="9987" xr:uid="{46075677-1512-4D0E-A3C8-79B0436F00E9}"/>
    <cellStyle name="20% - Accent3 3 6" xfId="1872" xr:uid="{00000000-0005-0000-0000-0000B3010000}"/>
    <cellStyle name="20% - Accent3 3 6 2" xfId="4101" xr:uid="{00000000-0005-0000-0000-0000B4010000}"/>
    <cellStyle name="20% - Accent3 3 6 2 2" xfId="8324" xr:uid="{00000000-0005-0000-0000-0000B5010000}"/>
    <cellStyle name="20% - Accent3 3 6 2 2 2" xfId="16763" xr:uid="{A9821DF3-9491-4415-9D97-1A9DBC90BF13}"/>
    <cellStyle name="20% - Accent3 3 6 2 3" xfId="12545" xr:uid="{8C44B64D-F2FE-46D1-B637-32336090B21C}"/>
    <cellStyle name="20% - Accent3 3 6 3" xfId="6179" xr:uid="{00000000-0005-0000-0000-0000B6010000}"/>
    <cellStyle name="20% - Accent3 3 6 3 2" xfId="14618" xr:uid="{EEDA145E-2AA0-40B8-B059-7A1A409170DD}"/>
    <cellStyle name="20% - Accent3 3 6 4" xfId="10400" xr:uid="{3FA71E30-B490-4119-97BE-4C91F1081264}"/>
    <cellStyle name="20% - Accent3 3 7" xfId="2285" xr:uid="{00000000-0005-0000-0000-0000B7010000}"/>
    <cellStyle name="20% - Accent3 3 7 2" xfId="6592" xr:uid="{00000000-0005-0000-0000-0000B8010000}"/>
    <cellStyle name="20% - Accent3 3 7 2 2" xfId="15031" xr:uid="{726C0D22-DD91-4845-B8E3-CDFAE02B2F27}"/>
    <cellStyle name="20% - Accent3 3 7 3" xfId="10813" xr:uid="{AC8D6F43-C996-4833-B454-DC601DC75734}"/>
    <cellStyle name="20% - Accent3 3 8" xfId="4526" xr:uid="{00000000-0005-0000-0000-0000B9010000}"/>
    <cellStyle name="20% - Accent3 3 8 2" xfId="12965" xr:uid="{12ADF261-1ABB-4153-9248-E55812B1DF16}"/>
    <cellStyle name="20% - Accent3 3 9" xfId="8747" xr:uid="{39472073-1C23-4E1B-9A65-DC8585FC840A}"/>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2 2 2" xfId="15526" xr:uid="{E257EA58-9BF3-40D3-BF01-105D6253C074}"/>
    <cellStyle name="20% - Accent3 4 2 2 3" xfId="11308" xr:uid="{CFDE0B9F-6662-42EF-81DA-EFC81B368425}"/>
    <cellStyle name="20% - Accent3 4 2 3" xfId="4942" xr:uid="{00000000-0005-0000-0000-0000BE010000}"/>
    <cellStyle name="20% - Accent3 4 2 3 2" xfId="13381" xr:uid="{F3C87C49-0449-4DDB-BC17-42E34F49946D}"/>
    <cellStyle name="20% - Accent3 4 2 4" xfId="9163" xr:uid="{D5E57625-955C-428C-A166-13A470AFB228}"/>
    <cellStyle name="20% - Accent3 4 3" xfId="1046" xr:uid="{00000000-0005-0000-0000-0000BF010000}"/>
    <cellStyle name="20% - Accent3 4 3 2" xfId="3277" xr:uid="{00000000-0005-0000-0000-0000C0010000}"/>
    <cellStyle name="20% - Accent3 4 3 2 2" xfId="7500" xr:uid="{00000000-0005-0000-0000-0000C1010000}"/>
    <cellStyle name="20% - Accent3 4 3 2 2 2" xfId="15939" xr:uid="{067A8188-427C-4EB9-B262-4D74D9C96C47}"/>
    <cellStyle name="20% - Accent3 4 3 2 3" xfId="11721" xr:uid="{1CA74736-24F4-425C-B54F-58A82DD3ACB4}"/>
    <cellStyle name="20% - Accent3 4 3 3" xfId="5355" xr:uid="{00000000-0005-0000-0000-0000C2010000}"/>
    <cellStyle name="20% - Accent3 4 3 3 2" xfId="13794" xr:uid="{342DB6EE-DA35-4BB9-8C60-DD3FE01D163E}"/>
    <cellStyle name="20% - Accent3 4 3 4" xfId="9576" xr:uid="{92A9CAD2-B93D-4531-9250-CEC02310EC40}"/>
    <cellStyle name="20% - Accent3 4 4" xfId="1460" xr:uid="{00000000-0005-0000-0000-0000C3010000}"/>
    <cellStyle name="20% - Accent3 4 4 2" xfId="3690" xr:uid="{00000000-0005-0000-0000-0000C4010000}"/>
    <cellStyle name="20% - Accent3 4 4 2 2" xfId="7913" xr:uid="{00000000-0005-0000-0000-0000C5010000}"/>
    <cellStyle name="20% - Accent3 4 4 2 2 2" xfId="16352" xr:uid="{B1A9FFA6-3C80-49AD-AA57-A375AD5DFACB}"/>
    <cellStyle name="20% - Accent3 4 4 2 3" xfId="12134" xr:uid="{92A396CE-C30C-43C9-8B70-1C5BAE816AEA}"/>
    <cellStyle name="20% - Accent3 4 4 3" xfId="5768" xr:uid="{00000000-0005-0000-0000-0000C6010000}"/>
    <cellStyle name="20% - Accent3 4 4 3 2" xfId="14207" xr:uid="{D6BB0512-56D9-4899-A6EC-1279FE8E6CF7}"/>
    <cellStyle name="20% - Accent3 4 4 4" xfId="9989" xr:uid="{C7B44949-3D04-4478-8310-B2C5FB911902}"/>
    <cellStyle name="20% - Accent3 4 5" xfId="1874" xr:uid="{00000000-0005-0000-0000-0000C7010000}"/>
    <cellStyle name="20% - Accent3 4 5 2" xfId="4103" xr:uid="{00000000-0005-0000-0000-0000C8010000}"/>
    <cellStyle name="20% - Accent3 4 5 2 2" xfId="8326" xr:uid="{00000000-0005-0000-0000-0000C9010000}"/>
    <cellStyle name="20% - Accent3 4 5 2 2 2" xfId="16765" xr:uid="{BE637CD0-12A5-4650-BE7A-6EBB074230F9}"/>
    <cellStyle name="20% - Accent3 4 5 2 3" xfId="12547" xr:uid="{8FB0A168-E644-4343-A92D-95177553F436}"/>
    <cellStyle name="20% - Accent3 4 5 3" xfId="6181" xr:uid="{00000000-0005-0000-0000-0000CA010000}"/>
    <cellStyle name="20% - Accent3 4 5 3 2" xfId="14620" xr:uid="{3326CF89-A827-4F90-A59C-282E2F30B805}"/>
    <cellStyle name="20% - Accent3 4 5 4" xfId="10402" xr:uid="{C607DA72-B835-4095-9D70-990F8754BDF5}"/>
    <cellStyle name="20% - Accent3 4 6" xfId="2287" xr:uid="{00000000-0005-0000-0000-0000CB010000}"/>
    <cellStyle name="20% - Accent3 4 6 2" xfId="6594" xr:uid="{00000000-0005-0000-0000-0000CC010000}"/>
    <cellStyle name="20% - Accent3 4 6 2 2" xfId="15033" xr:uid="{50ACB1B9-E132-4B00-A5F9-45B0EC8B5779}"/>
    <cellStyle name="20% - Accent3 4 6 3" xfId="10815" xr:uid="{10FA8462-D949-4A67-99C0-335A2D70BA9F}"/>
    <cellStyle name="20% - Accent3 4 7" xfId="4528" xr:uid="{00000000-0005-0000-0000-0000CD010000}"/>
    <cellStyle name="20% - Accent3 4 7 2" xfId="12967" xr:uid="{8E0BF398-D43F-47B2-9083-3E20E5DE7D54}"/>
    <cellStyle name="20% - Accent3 4 8" xfId="8749" xr:uid="{F6C4C2F5-35D8-4889-8DE4-19239042AFE0}"/>
    <cellStyle name="20% - Accent3 5" xfId="586" xr:uid="{00000000-0005-0000-0000-0000CE010000}"/>
    <cellStyle name="20% - Accent3 5 2" xfId="2857" xr:uid="{00000000-0005-0000-0000-0000CF010000}"/>
    <cellStyle name="20% - Accent3 5 2 2" xfId="7080" xr:uid="{00000000-0005-0000-0000-0000D0010000}"/>
    <cellStyle name="20% - Accent3 5 2 2 2" xfId="15519" xr:uid="{011E223B-21B8-4017-9B6C-45E73C7BA2A1}"/>
    <cellStyle name="20% - Accent3 5 2 3" xfId="11301" xr:uid="{6BF06FC5-55C8-4A35-8EEC-D2372CDDC45A}"/>
    <cellStyle name="20% - Accent3 5 3" xfId="4935" xr:uid="{00000000-0005-0000-0000-0000D1010000}"/>
    <cellStyle name="20% - Accent3 5 3 2" xfId="13374" xr:uid="{9604FD02-1F8D-42E8-9A22-631697EA398B}"/>
    <cellStyle name="20% - Accent3 5 4" xfId="9156" xr:uid="{426A6A02-56C4-4E5C-AD59-0EA6CD22AC06}"/>
    <cellStyle name="20% - Accent3 6" xfId="1039" xr:uid="{00000000-0005-0000-0000-0000D2010000}"/>
    <cellStyle name="20% - Accent3 6 2" xfId="3270" xr:uid="{00000000-0005-0000-0000-0000D3010000}"/>
    <cellStyle name="20% - Accent3 6 2 2" xfId="7493" xr:uid="{00000000-0005-0000-0000-0000D4010000}"/>
    <cellStyle name="20% - Accent3 6 2 2 2" xfId="15932" xr:uid="{29E9718F-4727-4A8D-BF07-47EA2D93FBB3}"/>
    <cellStyle name="20% - Accent3 6 2 3" xfId="11714" xr:uid="{9FB9DE4E-09E4-4CD1-94A2-7AE131D9A711}"/>
    <cellStyle name="20% - Accent3 6 3" xfId="5348" xr:uid="{00000000-0005-0000-0000-0000D5010000}"/>
    <cellStyle name="20% - Accent3 6 3 2" xfId="13787" xr:uid="{ACDC55BE-74C7-49CE-BA28-5BD15D08D434}"/>
    <cellStyle name="20% - Accent3 6 4" xfId="9569" xr:uid="{C8056FDB-BDEE-43B2-BADC-38EF865D516C}"/>
    <cellStyle name="20% - Accent3 7" xfId="1453" xr:uid="{00000000-0005-0000-0000-0000D6010000}"/>
    <cellStyle name="20% - Accent3 7 2" xfId="3683" xr:uid="{00000000-0005-0000-0000-0000D7010000}"/>
    <cellStyle name="20% - Accent3 7 2 2" xfId="7906" xr:uid="{00000000-0005-0000-0000-0000D8010000}"/>
    <cellStyle name="20% - Accent3 7 2 2 2" xfId="16345" xr:uid="{BBF0B8FC-B7E9-43A3-AF97-7AD9405332E8}"/>
    <cellStyle name="20% - Accent3 7 2 3" xfId="12127" xr:uid="{58E94575-5999-4674-BEFF-25AE18154C92}"/>
    <cellStyle name="20% - Accent3 7 3" xfId="5761" xr:uid="{00000000-0005-0000-0000-0000D9010000}"/>
    <cellStyle name="20% - Accent3 7 3 2" xfId="14200" xr:uid="{D1806CB3-508D-4B36-AEAB-CE17520C5A35}"/>
    <cellStyle name="20% - Accent3 7 4" xfId="9982" xr:uid="{AD382C00-E2BB-4207-8FCE-07FA5E309D55}"/>
    <cellStyle name="20% - Accent3 8" xfId="1867" xr:uid="{00000000-0005-0000-0000-0000DA010000}"/>
    <cellStyle name="20% - Accent3 8 2" xfId="4096" xr:uid="{00000000-0005-0000-0000-0000DB010000}"/>
    <cellStyle name="20% - Accent3 8 2 2" xfId="8319" xr:uid="{00000000-0005-0000-0000-0000DC010000}"/>
    <cellStyle name="20% - Accent3 8 2 2 2" xfId="16758" xr:uid="{633C6828-BBEE-4A52-954C-79D527BECBE0}"/>
    <cellStyle name="20% - Accent3 8 2 3" xfId="12540" xr:uid="{8CAA67EE-6337-4467-9811-5329CD18FBC1}"/>
    <cellStyle name="20% - Accent3 8 3" xfId="6174" xr:uid="{00000000-0005-0000-0000-0000DD010000}"/>
    <cellStyle name="20% - Accent3 8 3 2" xfId="14613" xr:uid="{A84E26B8-8663-49CA-8D6A-37AE15FC4C7F}"/>
    <cellStyle name="20% - Accent3 8 4" xfId="10395" xr:uid="{5C59680E-4365-4606-B46C-20E2609FB4CD}"/>
    <cellStyle name="20% - Accent3 9" xfId="2280" xr:uid="{00000000-0005-0000-0000-0000DE010000}"/>
    <cellStyle name="20% - Accent3 9 2" xfId="6587" xr:uid="{00000000-0005-0000-0000-0000DF010000}"/>
    <cellStyle name="20% - Accent3 9 2 2" xfId="15026" xr:uid="{8976A561-4BBC-4563-AEDA-F6065EAC6381}"/>
    <cellStyle name="20% - Accent3 9 3" xfId="10808" xr:uid="{9E69B844-57DB-4A0A-9820-CEAC7A7AD223}"/>
    <cellStyle name="20% - Accent4" xfId="25" builtinId="42" customBuiltin="1"/>
    <cellStyle name="20% - Accent4 10" xfId="4529" xr:uid="{00000000-0005-0000-0000-0000E1010000}"/>
    <cellStyle name="20% - Accent4 10 2" xfId="12968" xr:uid="{569BB887-FDA5-4EAF-A536-250D42F37187}"/>
    <cellStyle name="20% - Accent4 11" xfId="8750" xr:uid="{75F97D8E-AAE1-46C7-BEF9-CE4DFDAB2E9E}"/>
    <cellStyle name="20% - Accent4 2" xfId="26" xr:uid="{00000000-0005-0000-0000-0000E2010000}"/>
    <cellStyle name="20% - Accent4 2 10" xfId="8751" xr:uid="{DDD1410C-988D-45D6-926C-09135ACA0D8C}"/>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15530" xr:uid="{2AF77B61-8CE6-4356-9FB7-FF4F7B49963F}"/>
    <cellStyle name="20% - Accent4 2 2 2 2 2 3" xfId="11312" xr:uid="{4BC7720B-26AD-49FE-A1D8-721D43A6D9E6}"/>
    <cellStyle name="20% - Accent4 2 2 2 2 3" xfId="4946" xr:uid="{00000000-0005-0000-0000-0000E8010000}"/>
    <cellStyle name="20% - Accent4 2 2 2 2 3 2" xfId="13385" xr:uid="{819DD55D-9727-44EE-9EFD-EA8FC1D8082C}"/>
    <cellStyle name="20% - Accent4 2 2 2 2 4" xfId="9167" xr:uid="{88A1BD70-DB71-4283-AF89-1345F56918C6}"/>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2 2" xfId="15943" xr:uid="{E5F9839B-5B14-4B10-8E3C-CCC092B70BA2}"/>
    <cellStyle name="20% - Accent4 2 2 2 3 2 3" xfId="11725" xr:uid="{A1AF1898-0DCC-4EE0-90E2-606B165EC479}"/>
    <cellStyle name="20% - Accent4 2 2 2 3 3" xfId="5359" xr:uid="{00000000-0005-0000-0000-0000EC010000}"/>
    <cellStyle name="20% - Accent4 2 2 2 3 3 2" xfId="13798" xr:uid="{676DE5F2-5134-445D-AD50-C4853C36732B}"/>
    <cellStyle name="20% - Accent4 2 2 2 3 4" xfId="9580" xr:uid="{30E7FB1C-D662-474B-A971-30E158A6EBAF}"/>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2 2 2" xfId="16356" xr:uid="{C3EB4EF2-8156-4172-AC0E-63DFCA6EA492}"/>
    <cellStyle name="20% - Accent4 2 2 2 4 2 3" xfId="12138" xr:uid="{71CFC3C6-3C28-4216-901F-FAC96DED888B}"/>
    <cellStyle name="20% - Accent4 2 2 2 4 3" xfId="5772" xr:uid="{00000000-0005-0000-0000-0000F0010000}"/>
    <cellStyle name="20% - Accent4 2 2 2 4 3 2" xfId="14211" xr:uid="{CB9FC4A2-56BD-420D-8A64-E07C40BFB7DF}"/>
    <cellStyle name="20% - Accent4 2 2 2 4 4" xfId="9993" xr:uid="{EE91F91F-FFD6-438E-9B93-0CBDE5CCBE95}"/>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2 2 2" xfId="16769" xr:uid="{68D9C923-81BE-4A26-8EFE-EB23A0743FF9}"/>
    <cellStyle name="20% - Accent4 2 2 2 5 2 3" xfId="12551" xr:uid="{D7E7AC5F-C898-4887-B7B7-D2E625B598F0}"/>
    <cellStyle name="20% - Accent4 2 2 2 5 3" xfId="6185" xr:uid="{00000000-0005-0000-0000-0000F4010000}"/>
    <cellStyle name="20% - Accent4 2 2 2 5 3 2" xfId="14624" xr:uid="{7FF8C482-36B7-468E-9642-1E491B823B9D}"/>
    <cellStyle name="20% - Accent4 2 2 2 5 4" xfId="10406" xr:uid="{8DC89B58-EE16-450D-8CAB-09CEC0CC9807}"/>
    <cellStyle name="20% - Accent4 2 2 2 6" xfId="2291" xr:uid="{00000000-0005-0000-0000-0000F5010000}"/>
    <cellStyle name="20% - Accent4 2 2 2 6 2" xfId="6598" xr:uid="{00000000-0005-0000-0000-0000F6010000}"/>
    <cellStyle name="20% - Accent4 2 2 2 6 2 2" xfId="15037" xr:uid="{157DF33E-A1FF-496A-9B13-893ECF0EA496}"/>
    <cellStyle name="20% - Accent4 2 2 2 6 3" xfId="10819" xr:uid="{6FBD4E02-31DE-4AE0-AFFD-AC4037CB1E76}"/>
    <cellStyle name="20% - Accent4 2 2 2 7" xfId="4532" xr:uid="{00000000-0005-0000-0000-0000F7010000}"/>
    <cellStyle name="20% - Accent4 2 2 2 7 2" xfId="12971" xr:uid="{9A3A4B2B-D919-4C1E-9A23-FFF2C572E457}"/>
    <cellStyle name="20% - Accent4 2 2 2 8" xfId="8753" xr:uid="{26C4C780-FDA6-4EBE-A06B-A480AC3DBB19}"/>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15529" xr:uid="{153765EF-FC09-48D0-BE6A-3F0EE05E3A1A}"/>
    <cellStyle name="20% - Accent4 2 2 3 2 3" xfId="11311" xr:uid="{E2171A6D-1C32-458F-90BD-516509987879}"/>
    <cellStyle name="20% - Accent4 2 2 3 3" xfId="4945" xr:uid="{00000000-0005-0000-0000-0000FB010000}"/>
    <cellStyle name="20% - Accent4 2 2 3 3 2" xfId="13384" xr:uid="{36F4D5AE-9964-4687-BF81-77B436E4D17B}"/>
    <cellStyle name="20% - Accent4 2 2 3 4" xfId="9166" xr:uid="{8065FDEA-490B-4F8F-AA3E-508D229AF984}"/>
    <cellStyle name="20% - Accent4 2 2 4" xfId="1049" xr:uid="{00000000-0005-0000-0000-0000FC010000}"/>
    <cellStyle name="20% - Accent4 2 2 4 2" xfId="3280" xr:uid="{00000000-0005-0000-0000-0000FD010000}"/>
    <cellStyle name="20% - Accent4 2 2 4 2 2" xfId="7503" xr:uid="{00000000-0005-0000-0000-0000FE010000}"/>
    <cellStyle name="20% - Accent4 2 2 4 2 2 2" xfId="15942" xr:uid="{AB2DC0DC-3E6C-47EF-B582-71C1D645F26D}"/>
    <cellStyle name="20% - Accent4 2 2 4 2 3" xfId="11724" xr:uid="{76DB5684-5982-465A-BE9F-29A603A5E626}"/>
    <cellStyle name="20% - Accent4 2 2 4 3" xfId="5358" xr:uid="{00000000-0005-0000-0000-0000FF010000}"/>
    <cellStyle name="20% - Accent4 2 2 4 3 2" xfId="13797" xr:uid="{CDED7A02-86C6-4F78-8D7E-C57692F338C1}"/>
    <cellStyle name="20% - Accent4 2 2 4 4" xfId="9579" xr:uid="{84B6A188-563F-434F-9331-2BB6D5942322}"/>
    <cellStyle name="20% - Accent4 2 2 5" xfId="1463" xr:uid="{00000000-0005-0000-0000-000000020000}"/>
    <cellStyle name="20% - Accent4 2 2 5 2" xfId="3693" xr:uid="{00000000-0005-0000-0000-000001020000}"/>
    <cellStyle name="20% - Accent4 2 2 5 2 2" xfId="7916" xr:uid="{00000000-0005-0000-0000-000002020000}"/>
    <cellStyle name="20% - Accent4 2 2 5 2 2 2" xfId="16355" xr:uid="{3A19287B-7392-4BC8-A19C-9EA42E7D2082}"/>
    <cellStyle name="20% - Accent4 2 2 5 2 3" xfId="12137" xr:uid="{4CA6A89F-7CD1-4C2D-B7B7-825BD5A7A916}"/>
    <cellStyle name="20% - Accent4 2 2 5 3" xfId="5771" xr:uid="{00000000-0005-0000-0000-000003020000}"/>
    <cellStyle name="20% - Accent4 2 2 5 3 2" xfId="14210" xr:uid="{31B96769-9A59-49C9-A4EC-30FC2CE5F63A}"/>
    <cellStyle name="20% - Accent4 2 2 5 4" xfId="9992" xr:uid="{DE71CC67-2E85-43AC-A5CB-30F61053F7AE}"/>
    <cellStyle name="20% - Accent4 2 2 6" xfId="1877" xr:uid="{00000000-0005-0000-0000-000004020000}"/>
    <cellStyle name="20% - Accent4 2 2 6 2" xfId="4106" xr:uid="{00000000-0005-0000-0000-000005020000}"/>
    <cellStyle name="20% - Accent4 2 2 6 2 2" xfId="8329" xr:uid="{00000000-0005-0000-0000-000006020000}"/>
    <cellStyle name="20% - Accent4 2 2 6 2 2 2" xfId="16768" xr:uid="{16CA4F54-C9B7-4887-9A6A-1B2DBB9DC447}"/>
    <cellStyle name="20% - Accent4 2 2 6 2 3" xfId="12550" xr:uid="{70E2B357-2C59-42F6-B27D-3D4A15711325}"/>
    <cellStyle name="20% - Accent4 2 2 6 3" xfId="6184" xr:uid="{00000000-0005-0000-0000-000007020000}"/>
    <cellStyle name="20% - Accent4 2 2 6 3 2" xfId="14623" xr:uid="{4718BA60-5E23-4BDC-8A46-92334FFC988C}"/>
    <cellStyle name="20% - Accent4 2 2 6 4" xfId="10405" xr:uid="{8D642FCE-A59C-44A9-8779-7F39F88F3CC6}"/>
    <cellStyle name="20% - Accent4 2 2 7" xfId="2290" xr:uid="{00000000-0005-0000-0000-000008020000}"/>
    <cellStyle name="20% - Accent4 2 2 7 2" xfId="6597" xr:uid="{00000000-0005-0000-0000-000009020000}"/>
    <cellStyle name="20% - Accent4 2 2 7 2 2" xfId="15036" xr:uid="{AB9CD45C-C2AE-4A52-961F-157F03E9A49C}"/>
    <cellStyle name="20% - Accent4 2 2 7 3" xfId="10818" xr:uid="{FF67BF63-6075-43C4-9F0D-7EFF1E985AF5}"/>
    <cellStyle name="20% - Accent4 2 2 8" xfId="4531" xr:uid="{00000000-0005-0000-0000-00000A020000}"/>
    <cellStyle name="20% - Accent4 2 2 8 2" xfId="12970" xr:uid="{97504A55-BD46-4FF9-9096-D1F3BD12F3F4}"/>
    <cellStyle name="20% - Accent4 2 2 9" xfId="8752" xr:uid="{0078A343-E199-4CE2-89BC-CA23CAF90B3A}"/>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15531" xr:uid="{F5128271-6559-45F1-81D0-D78CA3B68460}"/>
    <cellStyle name="20% - Accent4 2 3 2 2 3" xfId="11313" xr:uid="{55F481F4-3EB2-4976-BB37-C9D6419D1475}"/>
    <cellStyle name="20% - Accent4 2 3 2 3" xfId="4947" xr:uid="{00000000-0005-0000-0000-00000F020000}"/>
    <cellStyle name="20% - Accent4 2 3 2 3 2" xfId="13386" xr:uid="{0AFC0779-B385-434B-8562-89E31A47AF39}"/>
    <cellStyle name="20% - Accent4 2 3 2 4" xfId="9168" xr:uid="{F48ECB6C-9105-4E0C-971C-02112F3BC4E4}"/>
    <cellStyle name="20% - Accent4 2 3 3" xfId="1051" xr:uid="{00000000-0005-0000-0000-000010020000}"/>
    <cellStyle name="20% - Accent4 2 3 3 2" xfId="3282" xr:uid="{00000000-0005-0000-0000-000011020000}"/>
    <cellStyle name="20% - Accent4 2 3 3 2 2" xfId="7505" xr:uid="{00000000-0005-0000-0000-000012020000}"/>
    <cellStyle name="20% - Accent4 2 3 3 2 2 2" xfId="15944" xr:uid="{DE1AF1F0-A642-42EE-80C2-D6EDA820EAE2}"/>
    <cellStyle name="20% - Accent4 2 3 3 2 3" xfId="11726" xr:uid="{449C79DE-D7FE-4E53-9ADA-A043E1ED8FEE}"/>
    <cellStyle name="20% - Accent4 2 3 3 3" xfId="5360" xr:uid="{00000000-0005-0000-0000-000013020000}"/>
    <cellStyle name="20% - Accent4 2 3 3 3 2" xfId="13799" xr:uid="{E22E3B24-65A9-4A8B-AE21-DFF07C851A04}"/>
    <cellStyle name="20% - Accent4 2 3 3 4" xfId="9581" xr:uid="{78F2546C-D6F0-4B72-8A12-A02E80589E77}"/>
    <cellStyle name="20% - Accent4 2 3 4" xfId="1465" xr:uid="{00000000-0005-0000-0000-000014020000}"/>
    <cellStyle name="20% - Accent4 2 3 4 2" xfId="3695" xr:uid="{00000000-0005-0000-0000-000015020000}"/>
    <cellStyle name="20% - Accent4 2 3 4 2 2" xfId="7918" xr:uid="{00000000-0005-0000-0000-000016020000}"/>
    <cellStyle name="20% - Accent4 2 3 4 2 2 2" xfId="16357" xr:uid="{4828C0A0-B877-403E-8B2B-A384F25F211F}"/>
    <cellStyle name="20% - Accent4 2 3 4 2 3" xfId="12139" xr:uid="{88CB8208-4B56-41B7-8450-5C300EB42D2D}"/>
    <cellStyle name="20% - Accent4 2 3 4 3" xfId="5773" xr:uid="{00000000-0005-0000-0000-000017020000}"/>
    <cellStyle name="20% - Accent4 2 3 4 3 2" xfId="14212" xr:uid="{86CE1B6C-E7E3-4934-97BB-8152DA4CB420}"/>
    <cellStyle name="20% - Accent4 2 3 4 4" xfId="9994" xr:uid="{68D35904-ADB0-4A4C-8619-2A17157B850D}"/>
    <cellStyle name="20% - Accent4 2 3 5" xfId="1879" xr:uid="{00000000-0005-0000-0000-000018020000}"/>
    <cellStyle name="20% - Accent4 2 3 5 2" xfId="4108" xr:uid="{00000000-0005-0000-0000-000019020000}"/>
    <cellStyle name="20% - Accent4 2 3 5 2 2" xfId="8331" xr:uid="{00000000-0005-0000-0000-00001A020000}"/>
    <cellStyle name="20% - Accent4 2 3 5 2 2 2" xfId="16770" xr:uid="{2DE36467-B534-4264-A3ED-5C87E552351B}"/>
    <cellStyle name="20% - Accent4 2 3 5 2 3" xfId="12552" xr:uid="{C03ED7B2-BB25-4ABA-9728-AD4AEF764772}"/>
    <cellStyle name="20% - Accent4 2 3 5 3" xfId="6186" xr:uid="{00000000-0005-0000-0000-00001B020000}"/>
    <cellStyle name="20% - Accent4 2 3 5 3 2" xfId="14625" xr:uid="{D4EC029B-00E4-43ED-9562-8CD8EAC46256}"/>
    <cellStyle name="20% - Accent4 2 3 5 4" xfId="10407" xr:uid="{B5487DA7-C733-4222-B81A-95DAACDC80F1}"/>
    <cellStyle name="20% - Accent4 2 3 6" xfId="2292" xr:uid="{00000000-0005-0000-0000-00001C020000}"/>
    <cellStyle name="20% - Accent4 2 3 6 2" xfId="6599" xr:uid="{00000000-0005-0000-0000-00001D020000}"/>
    <cellStyle name="20% - Accent4 2 3 6 2 2" xfId="15038" xr:uid="{8DD838EC-6B0E-47C2-8E25-7A352DD1F099}"/>
    <cellStyle name="20% - Accent4 2 3 6 3" xfId="10820" xr:uid="{D7DCC82D-CB26-4861-A7B9-45DF9BD7D092}"/>
    <cellStyle name="20% - Accent4 2 3 7" xfId="4533" xr:uid="{00000000-0005-0000-0000-00001E020000}"/>
    <cellStyle name="20% - Accent4 2 3 7 2" xfId="12972" xr:uid="{9ADFE6DC-A1CF-4354-BE96-5F3C22025A76}"/>
    <cellStyle name="20% - Accent4 2 3 8" xfId="8754" xr:uid="{B091FE31-373E-41C2-AC22-E52273813F55}"/>
    <cellStyle name="20% - Accent4 2 4" xfId="595" xr:uid="{00000000-0005-0000-0000-00001F020000}"/>
    <cellStyle name="20% - Accent4 2 4 2" xfId="2866" xr:uid="{00000000-0005-0000-0000-000020020000}"/>
    <cellStyle name="20% - Accent4 2 4 2 2" xfId="7089" xr:uid="{00000000-0005-0000-0000-000021020000}"/>
    <cellStyle name="20% - Accent4 2 4 2 2 2" xfId="15528" xr:uid="{FA6BA87B-6801-4EDA-8A6A-A723A2836A05}"/>
    <cellStyle name="20% - Accent4 2 4 2 3" xfId="11310" xr:uid="{2DBED47E-4EB3-4B21-B2DB-8AA50DB4416F}"/>
    <cellStyle name="20% - Accent4 2 4 3" xfId="4944" xr:uid="{00000000-0005-0000-0000-000022020000}"/>
    <cellStyle name="20% - Accent4 2 4 3 2" xfId="13383" xr:uid="{C08A7FE9-DBFA-482F-9E22-D5E3CFA86430}"/>
    <cellStyle name="20% - Accent4 2 4 4" xfId="9165" xr:uid="{CF456424-2EBF-417F-8574-D47229CF61AF}"/>
    <cellStyle name="20% - Accent4 2 5" xfId="1048" xr:uid="{00000000-0005-0000-0000-000023020000}"/>
    <cellStyle name="20% - Accent4 2 5 2" xfId="3279" xr:uid="{00000000-0005-0000-0000-000024020000}"/>
    <cellStyle name="20% - Accent4 2 5 2 2" xfId="7502" xr:uid="{00000000-0005-0000-0000-000025020000}"/>
    <cellStyle name="20% - Accent4 2 5 2 2 2" xfId="15941" xr:uid="{B1A257C5-00CC-4EF1-87DB-4BBE80F9EC37}"/>
    <cellStyle name="20% - Accent4 2 5 2 3" xfId="11723" xr:uid="{A2086C69-7A50-4FD1-B190-17EB7E82457E}"/>
    <cellStyle name="20% - Accent4 2 5 3" xfId="5357" xr:uid="{00000000-0005-0000-0000-000026020000}"/>
    <cellStyle name="20% - Accent4 2 5 3 2" xfId="13796" xr:uid="{93EFC9BE-AF04-4582-8C93-E01545E8CB11}"/>
    <cellStyle name="20% - Accent4 2 5 4" xfId="9578" xr:uid="{4CC0E9DF-76E7-43D3-B3B4-98CBE967CD64}"/>
    <cellStyle name="20% - Accent4 2 6" xfId="1462" xr:uid="{00000000-0005-0000-0000-000027020000}"/>
    <cellStyle name="20% - Accent4 2 6 2" xfId="3692" xr:uid="{00000000-0005-0000-0000-000028020000}"/>
    <cellStyle name="20% - Accent4 2 6 2 2" xfId="7915" xr:uid="{00000000-0005-0000-0000-000029020000}"/>
    <cellStyle name="20% - Accent4 2 6 2 2 2" xfId="16354" xr:uid="{7009F7C5-B1DB-42BD-84D3-BDDF71156574}"/>
    <cellStyle name="20% - Accent4 2 6 2 3" xfId="12136" xr:uid="{10F7D03E-AA57-4C70-9104-6592DA97FF96}"/>
    <cellStyle name="20% - Accent4 2 6 3" xfId="5770" xr:uid="{00000000-0005-0000-0000-00002A020000}"/>
    <cellStyle name="20% - Accent4 2 6 3 2" xfId="14209" xr:uid="{2A859D5D-D8A5-4080-9160-E28D20B70927}"/>
    <cellStyle name="20% - Accent4 2 6 4" xfId="9991" xr:uid="{3735361A-EABF-4430-938D-41CB5A66C418}"/>
    <cellStyle name="20% - Accent4 2 7" xfId="1876" xr:uid="{00000000-0005-0000-0000-00002B020000}"/>
    <cellStyle name="20% - Accent4 2 7 2" xfId="4105" xr:uid="{00000000-0005-0000-0000-00002C020000}"/>
    <cellStyle name="20% - Accent4 2 7 2 2" xfId="8328" xr:uid="{00000000-0005-0000-0000-00002D020000}"/>
    <cellStyle name="20% - Accent4 2 7 2 2 2" xfId="16767" xr:uid="{00CA1412-2929-4725-A0F4-ECA33ABB56F9}"/>
    <cellStyle name="20% - Accent4 2 7 2 3" xfId="12549" xr:uid="{8859CFCD-2456-4711-8E6D-123EA8F6274C}"/>
    <cellStyle name="20% - Accent4 2 7 3" xfId="6183" xr:uid="{00000000-0005-0000-0000-00002E020000}"/>
    <cellStyle name="20% - Accent4 2 7 3 2" xfId="14622" xr:uid="{4CF23E90-3497-4484-AF47-9930ECC19086}"/>
    <cellStyle name="20% - Accent4 2 7 4" xfId="10404" xr:uid="{DF752A82-723F-44DA-A288-604CE6DFF643}"/>
    <cellStyle name="20% - Accent4 2 8" xfId="2289" xr:uid="{00000000-0005-0000-0000-00002F020000}"/>
    <cellStyle name="20% - Accent4 2 8 2" xfId="6596" xr:uid="{00000000-0005-0000-0000-000030020000}"/>
    <cellStyle name="20% - Accent4 2 8 2 2" xfId="15035" xr:uid="{330D3B93-FBEA-4905-AECF-8A6BEDD3969F}"/>
    <cellStyle name="20% - Accent4 2 8 3" xfId="10817" xr:uid="{ABF533CE-2531-492F-9CA5-D6F8ECF776FB}"/>
    <cellStyle name="20% - Accent4 2 9" xfId="4530" xr:uid="{00000000-0005-0000-0000-000031020000}"/>
    <cellStyle name="20% - Accent4 2 9 2" xfId="12969" xr:uid="{D14E4C4B-1383-4E63-9589-5BBE1DDC5F0B}"/>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15533" xr:uid="{CC4C3748-318E-46FD-ABB2-B61E4E15F6B5}"/>
    <cellStyle name="20% - Accent4 3 2 2 2 3" xfId="11315" xr:uid="{55FA63B9-4C7C-4E08-95C2-CC81C6438AF8}"/>
    <cellStyle name="20% - Accent4 3 2 2 3" xfId="4949" xr:uid="{00000000-0005-0000-0000-000037020000}"/>
    <cellStyle name="20% - Accent4 3 2 2 3 2" xfId="13388" xr:uid="{3D083B9C-7796-4743-A196-872737769BAD}"/>
    <cellStyle name="20% - Accent4 3 2 2 4" xfId="9170" xr:uid="{3191B24B-CA7B-4D0F-AD5B-2A0B2945A4B3}"/>
    <cellStyle name="20% - Accent4 3 2 3" xfId="1053" xr:uid="{00000000-0005-0000-0000-000038020000}"/>
    <cellStyle name="20% - Accent4 3 2 3 2" xfId="3284" xr:uid="{00000000-0005-0000-0000-000039020000}"/>
    <cellStyle name="20% - Accent4 3 2 3 2 2" xfId="7507" xr:uid="{00000000-0005-0000-0000-00003A020000}"/>
    <cellStyle name="20% - Accent4 3 2 3 2 2 2" xfId="15946" xr:uid="{B3C15CC0-A5E8-4AD9-8E0D-AB6FFC0A3C8F}"/>
    <cellStyle name="20% - Accent4 3 2 3 2 3" xfId="11728" xr:uid="{23930D53-7088-409B-AA53-1D2339704884}"/>
    <cellStyle name="20% - Accent4 3 2 3 3" xfId="5362" xr:uid="{00000000-0005-0000-0000-00003B020000}"/>
    <cellStyle name="20% - Accent4 3 2 3 3 2" xfId="13801" xr:uid="{29BFA527-7E32-47A9-9F51-708952F72C8E}"/>
    <cellStyle name="20% - Accent4 3 2 3 4" xfId="9583" xr:uid="{EAFAEA37-0F37-4F61-AD7E-B9B0D8D836A0}"/>
    <cellStyle name="20% - Accent4 3 2 4" xfId="1467" xr:uid="{00000000-0005-0000-0000-00003C020000}"/>
    <cellStyle name="20% - Accent4 3 2 4 2" xfId="3697" xr:uid="{00000000-0005-0000-0000-00003D020000}"/>
    <cellStyle name="20% - Accent4 3 2 4 2 2" xfId="7920" xr:uid="{00000000-0005-0000-0000-00003E020000}"/>
    <cellStyle name="20% - Accent4 3 2 4 2 2 2" xfId="16359" xr:uid="{984E3F32-E4FB-4FF5-B00B-5E3D0463CDD4}"/>
    <cellStyle name="20% - Accent4 3 2 4 2 3" xfId="12141" xr:uid="{D6DCA994-693E-4410-B273-CA8D8C3C00A8}"/>
    <cellStyle name="20% - Accent4 3 2 4 3" xfId="5775" xr:uid="{00000000-0005-0000-0000-00003F020000}"/>
    <cellStyle name="20% - Accent4 3 2 4 3 2" xfId="14214" xr:uid="{0C66CF0E-7983-4BD8-B5C2-6F5072A846FA}"/>
    <cellStyle name="20% - Accent4 3 2 4 4" xfId="9996" xr:uid="{7435333B-7ECA-4242-B734-55D4D2CD947D}"/>
    <cellStyle name="20% - Accent4 3 2 5" xfId="1881" xr:uid="{00000000-0005-0000-0000-000040020000}"/>
    <cellStyle name="20% - Accent4 3 2 5 2" xfId="4110" xr:uid="{00000000-0005-0000-0000-000041020000}"/>
    <cellStyle name="20% - Accent4 3 2 5 2 2" xfId="8333" xr:uid="{00000000-0005-0000-0000-000042020000}"/>
    <cellStyle name="20% - Accent4 3 2 5 2 2 2" xfId="16772" xr:uid="{FE5D0EEE-D659-43BE-988C-3B4CB2BA9A98}"/>
    <cellStyle name="20% - Accent4 3 2 5 2 3" xfId="12554" xr:uid="{386A8E8D-25EF-4F30-997A-9906F7180D62}"/>
    <cellStyle name="20% - Accent4 3 2 5 3" xfId="6188" xr:uid="{00000000-0005-0000-0000-000043020000}"/>
    <cellStyle name="20% - Accent4 3 2 5 3 2" xfId="14627" xr:uid="{F72DE7C7-9175-4151-812D-AB98842D55C9}"/>
    <cellStyle name="20% - Accent4 3 2 5 4" xfId="10409" xr:uid="{ED280813-7E94-4E5E-8D31-935A7F2E0381}"/>
    <cellStyle name="20% - Accent4 3 2 6" xfId="2294" xr:uid="{00000000-0005-0000-0000-000044020000}"/>
    <cellStyle name="20% - Accent4 3 2 6 2" xfId="6601" xr:uid="{00000000-0005-0000-0000-000045020000}"/>
    <cellStyle name="20% - Accent4 3 2 6 2 2" xfId="15040" xr:uid="{11BF25D5-81DC-4F6A-A637-682B93ECD313}"/>
    <cellStyle name="20% - Accent4 3 2 6 3" xfId="10822" xr:uid="{B1ADC127-AD70-4662-A839-88FCE481F4A1}"/>
    <cellStyle name="20% - Accent4 3 2 7" xfId="4535" xr:uid="{00000000-0005-0000-0000-000046020000}"/>
    <cellStyle name="20% - Accent4 3 2 7 2" xfId="12974" xr:uid="{9FE09065-8018-449F-A299-F387914EC558}"/>
    <cellStyle name="20% - Accent4 3 2 8" xfId="8756" xr:uid="{0A01240B-FBB0-4CC1-96FD-2E57A3FD780C}"/>
    <cellStyle name="20% - Accent4 3 3" xfId="599" xr:uid="{00000000-0005-0000-0000-000047020000}"/>
    <cellStyle name="20% - Accent4 3 3 2" xfId="2870" xr:uid="{00000000-0005-0000-0000-000048020000}"/>
    <cellStyle name="20% - Accent4 3 3 2 2" xfId="7093" xr:uid="{00000000-0005-0000-0000-000049020000}"/>
    <cellStyle name="20% - Accent4 3 3 2 2 2" xfId="15532" xr:uid="{2C676F21-AAF9-4880-BE7F-2E88F76D1E69}"/>
    <cellStyle name="20% - Accent4 3 3 2 3" xfId="11314" xr:uid="{D04B6AF1-0775-4037-ADF8-A269A8FBB436}"/>
    <cellStyle name="20% - Accent4 3 3 3" xfId="4948" xr:uid="{00000000-0005-0000-0000-00004A020000}"/>
    <cellStyle name="20% - Accent4 3 3 3 2" xfId="13387" xr:uid="{FAFED37E-70A3-43C8-86DB-ADF6509ADD43}"/>
    <cellStyle name="20% - Accent4 3 3 4" xfId="9169" xr:uid="{C8093DB2-102F-494B-9CD7-EF9D59BFA9F3}"/>
    <cellStyle name="20% - Accent4 3 4" xfId="1052" xr:uid="{00000000-0005-0000-0000-00004B020000}"/>
    <cellStyle name="20% - Accent4 3 4 2" xfId="3283" xr:uid="{00000000-0005-0000-0000-00004C020000}"/>
    <cellStyle name="20% - Accent4 3 4 2 2" xfId="7506" xr:uid="{00000000-0005-0000-0000-00004D020000}"/>
    <cellStyle name="20% - Accent4 3 4 2 2 2" xfId="15945" xr:uid="{416D11B2-BF36-4896-BD3E-F7D501178450}"/>
    <cellStyle name="20% - Accent4 3 4 2 3" xfId="11727" xr:uid="{2D4C4935-7C72-45F6-85F1-E9812A0F6F32}"/>
    <cellStyle name="20% - Accent4 3 4 3" xfId="5361" xr:uid="{00000000-0005-0000-0000-00004E020000}"/>
    <cellStyle name="20% - Accent4 3 4 3 2" xfId="13800" xr:uid="{2D660F7E-D86A-4277-9E5A-127CF44AAF15}"/>
    <cellStyle name="20% - Accent4 3 4 4" xfId="9582" xr:uid="{0D6CF63A-046D-453F-B02A-70820ACB7D85}"/>
    <cellStyle name="20% - Accent4 3 5" xfId="1466" xr:uid="{00000000-0005-0000-0000-00004F020000}"/>
    <cellStyle name="20% - Accent4 3 5 2" xfId="3696" xr:uid="{00000000-0005-0000-0000-000050020000}"/>
    <cellStyle name="20% - Accent4 3 5 2 2" xfId="7919" xr:uid="{00000000-0005-0000-0000-000051020000}"/>
    <cellStyle name="20% - Accent4 3 5 2 2 2" xfId="16358" xr:uid="{3FF12CEA-CAE6-4821-90BE-23269215A6F8}"/>
    <cellStyle name="20% - Accent4 3 5 2 3" xfId="12140" xr:uid="{DE91302A-44F8-4EB0-B47A-74E03AA34580}"/>
    <cellStyle name="20% - Accent4 3 5 3" xfId="5774" xr:uid="{00000000-0005-0000-0000-000052020000}"/>
    <cellStyle name="20% - Accent4 3 5 3 2" xfId="14213" xr:uid="{A18A8818-25B1-440D-AE42-3E6D03221F07}"/>
    <cellStyle name="20% - Accent4 3 5 4" xfId="9995" xr:uid="{4365125E-AEBF-402A-A6AA-35991EC5095F}"/>
    <cellStyle name="20% - Accent4 3 6" xfId="1880" xr:uid="{00000000-0005-0000-0000-000053020000}"/>
    <cellStyle name="20% - Accent4 3 6 2" xfId="4109" xr:uid="{00000000-0005-0000-0000-000054020000}"/>
    <cellStyle name="20% - Accent4 3 6 2 2" xfId="8332" xr:uid="{00000000-0005-0000-0000-000055020000}"/>
    <cellStyle name="20% - Accent4 3 6 2 2 2" xfId="16771" xr:uid="{DA10F9D1-6228-4BF6-B2DB-116EAE01EA6E}"/>
    <cellStyle name="20% - Accent4 3 6 2 3" xfId="12553" xr:uid="{63AC3C83-D88D-48A3-BB21-067AFB0109B1}"/>
    <cellStyle name="20% - Accent4 3 6 3" xfId="6187" xr:uid="{00000000-0005-0000-0000-000056020000}"/>
    <cellStyle name="20% - Accent4 3 6 3 2" xfId="14626" xr:uid="{D2C988C4-599A-4B74-B5B1-B9F081617B7B}"/>
    <cellStyle name="20% - Accent4 3 6 4" xfId="10408" xr:uid="{AE8A93C6-B57F-444A-A290-2DB44BB95DC8}"/>
    <cellStyle name="20% - Accent4 3 7" xfId="2293" xr:uid="{00000000-0005-0000-0000-000057020000}"/>
    <cellStyle name="20% - Accent4 3 7 2" xfId="6600" xr:uid="{00000000-0005-0000-0000-000058020000}"/>
    <cellStyle name="20% - Accent4 3 7 2 2" xfId="15039" xr:uid="{DC4EC27F-BC62-4305-9897-695F99C3ABA8}"/>
    <cellStyle name="20% - Accent4 3 7 3" xfId="10821" xr:uid="{5F01D4C8-8908-4A6A-9633-477F27D59FD7}"/>
    <cellStyle name="20% - Accent4 3 8" xfId="4534" xr:uid="{00000000-0005-0000-0000-000059020000}"/>
    <cellStyle name="20% - Accent4 3 8 2" xfId="12973" xr:uid="{085530E3-5E11-4B74-BBE5-353F9FB0F30E}"/>
    <cellStyle name="20% - Accent4 3 9" xfId="8755" xr:uid="{BB98E2F1-1EFD-4B42-A2F0-C285F8A14E61}"/>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2 2 2" xfId="15534" xr:uid="{1B940188-AF32-4101-A8D6-441E579F41C4}"/>
    <cellStyle name="20% - Accent4 4 2 2 3" xfId="11316" xr:uid="{FC91B76A-A5C6-4227-BB1C-1E6CD42011BD}"/>
    <cellStyle name="20% - Accent4 4 2 3" xfId="4950" xr:uid="{00000000-0005-0000-0000-00005E020000}"/>
    <cellStyle name="20% - Accent4 4 2 3 2" xfId="13389" xr:uid="{76C49210-B611-4328-A4E3-5AE3CDDD0944}"/>
    <cellStyle name="20% - Accent4 4 2 4" xfId="9171" xr:uid="{48C74914-D6B5-4775-852E-7E2E67C93564}"/>
    <cellStyle name="20% - Accent4 4 3" xfId="1054" xr:uid="{00000000-0005-0000-0000-00005F020000}"/>
    <cellStyle name="20% - Accent4 4 3 2" xfId="3285" xr:uid="{00000000-0005-0000-0000-000060020000}"/>
    <cellStyle name="20% - Accent4 4 3 2 2" xfId="7508" xr:uid="{00000000-0005-0000-0000-000061020000}"/>
    <cellStyle name="20% - Accent4 4 3 2 2 2" xfId="15947" xr:uid="{D2B8EA7F-664D-48D6-BABE-631C23DCED50}"/>
    <cellStyle name="20% - Accent4 4 3 2 3" xfId="11729" xr:uid="{2AF599CE-265A-445E-98D8-5FC19E9729B0}"/>
    <cellStyle name="20% - Accent4 4 3 3" xfId="5363" xr:uid="{00000000-0005-0000-0000-000062020000}"/>
    <cellStyle name="20% - Accent4 4 3 3 2" xfId="13802" xr:uid="{24E8D43B-C30C-4A52-92C6-7DFF1A28537A}"/>
    <cellStyle name="20% - Accent4 4 3 4" xfId="9584" xr:uid="{18BAEB93-D762-4527-AAD0-2FC01EFD270B}"/>
    <cellStyle name="20% - Accent4 4 4" xfId="1468" xr:uid="{00000000-0005-0000-0000-000063020000}"/>
    <cellStyle name="20% - Accent4 4 4 2" xfId="3698" xr:uid="{00000000-0005-0000-0000-000064020000}"/>
    <cellStyle name="20% - Accent4 4 4 2 2" xfId="7921" xr:uid="{00000000-0005-0000-0000-000065020000}"/>
    <cellStyle name="20% - Accent4 4 4 2 2 2" xfId="16360" xr:uid="{F944B232-1C1D-4980-B612-1A0346F887E3}"/>
    <cellStyle name="20% - Accent4 4 4 2 3" xfId="12142" xr:uid="{877C373A-399E-43CA-962B-B714A3AAFECA}"/>
    <cellStyle name="20% - Accent4 4 4 3" xfId="5776" xr:uid="{00000000-0005-0000-0000-000066020000}"/>
    <cellStyle name="20% - Accent4 4 4 3 2" xfId="14215" xr:uid="{BD458BFC-13BC-4A48-8AFA-35D82ADE1BDE}"/>
    <cellStyle name="20% - Accent4 4 4 4" xfId="9997" xr:uid="{83094F08-A3E0-4183-BD3F-2502C0AC2200}"/>
    <cellStyle name="20% - Accent4 4 5" xfId="1882" xr:uid="{00000000-0005-0000-0000-000067020000}"/>
    <cellStyle name="20% - Accent4 4 5 2" xfId="4111" xr:uid="{00000000-0005-0000-0000-000068020000}"/>
    <cellStyle name="20% - Accent4 4 5 2 2" xfId="8334" xr:uid="{00000000-0005-0000-0000-000069020000}"/>
    <cellStyle name="20% - Accent4 4 5 2 2 2" xfId="16773" xr:uid="{A9070544-DCCC-44DB-AF5B-6B8505649312}"/>
    <cellStyle name="20% - Accent4 4 5 2 3" xfId="12555" xr:uid="{C2B36C49-0CC9-4EC0-8FB7-7BAB21FD916D}"/>
    <cellStyle name="20% - Accent4 4 5 3" xfId="6189" xr:uid="{00000000-0005-0000-0000-00006A020000}"/>
    <cellStyle name="20% - Accent4 4 5 3 2" xfId="14628" xr:uid="{A003910A-C597-42B5-A98E-553921FFB6DE}"/>
    <cellStyle name="20% - Accent4 4 5 4" xfId="10410" xr:uid="{4B5ACE47-B975-4D0C-BA24-CC5AE37EF9F2}"/>
    <cellStyle name="20% - Accent4 4 6" xfId="2295" xr:uid="{00000000-0005-0000-0000-00006B020000}"/>
    <cellStyle name="20% - Accent4 4 6 2" xfId="6602" xr:uid="{00000000-0005-0000-0000-00006C020000}"/>
    <cellStyle name="20% - Accent4 4 6 2 2" xfId="15041" xr:uid="{3F0B81B1-10A2-4CA3-89A0-1BBF85DA6EE5}"/>
    <cellStyle name="20% - Accent4 4 6 3" xfId="10823" xr:uid="{DBC28819-4C4C-4BB2-84D6-87E89EAC6283}"/>
    <cellStyle name="20% - Accent4 4 7" xfId="4536" xr:uid="{00000000-0005-0000-0000-00006D020000}"/>
    <cellStyle name="20% - Accent4 4 7 2" xfId="12975" xr:uid="{AF9D9534-E5B0-42E7-B9CF-7D4A9974406F}"/>
    <cellStyle name="20% - Accent4 4 8" xfId="8757" xr:uid="{6AFDB185-A4B4-48CD-8B88-24874AA33F7F}"/>
    <cellStyle name="20% - Accent4 5" xfId="594" xr:uid="{00000000-0005-0000-0000-00006E020000}"/>
    <cellStyle name="20% - Accent4 5 2" xfId="2865" xr:uid="{00000000-0005-0000-0000-00006F020000}"/>
    <cellStyle name="20% - Accent4 5 2 2" xfId="7088" xr:uid="{00000000-0005-0000-0000-000070020000}"/>
    <cellStyle name="20% - Accent4 5 2 2 2" xfId="15527" xr:uid="{7054E50E-1D1A-4439-B26D-E75817B5DA26}"/>
    <cellStyle name="20% - Accent4 5 2 3" xfId="11309" xr:uid="{F3117A99-FD12-4231-BD02-04E3C4714686}"/>
    <cellStyle name="20% - Accent4 5 3" xfId="4943" xr:uid="{00000000-0005-0000-0000-000071020000}"/>
    <cellStyle name="20% - Accent4 5 3 2" xfId="13382" xr:uid="{DD3C3FED-3BD3-4CBC-931F-51BC3C42A5DD}"/>
    <cellStyle name="20% - Accent4 5 4" xfId="9164" xr:uid="{92B1C3F6-6CF6-4E46-BFD3-5CEF6CD0D09A}"/>
    <cellStyle name="20% - Accent4 6" xfId="1047" xr:uid="{00000000-0005-0000-0000-000072020000}"/>
    <cellStyle name="20% - Accent4 6 2" xfId="3278" xr:uid="{00000000-0005-0000-0000-000073020000}"/>
    <cellStyle name="20% - Accent4 6 2 2" xfId="7501" xr:uid="{00000000-0005-0000-0000-000074020000}"/>
    <cellStyle name="20% - Accent4 6 2 2 2" xfId="15940" xr:uid="{7FA7180B-64A6-4789-81B1-82A39E702FED}"/>
    <cellStyle name="20% - Accent4 6 2 3" xfId="11722" xr:uid="{AFA01759-8B43-4B2B-A9C2-B8544C21C4F3}"/>
    <cellStyle name="20% - Accent4 6 3" xfId="5356" xr:uid="{00000000-0005-0000-0000-000075020000}"/>
    <cellStyle name="20% - Accent4 6 3 2" xfId="13795" xr:uid="{2DBAA820-C4BC-4C05-8157-C2617FF3F53B}"/>
    <cellStyle name="20% - Accent4 6 4" xfId="9577" xr:uid="{3F924434-2CA0-4ABF-82FD-C9307DADB013}"/>
    <cellStyle name="20% - Accent4 7" xfId="1461" xr:uid="{00000000-0005-0000-0000-000076020000}"/>
    <cellStyle name="20% - Accent4 7 2" xfId="3691" xr:uid="{00000000-0005-0000-0000-000077020000}"/>
    <cellStyle name="20% - Accent4 7 2 2" xfId="7914" xr:uid="{00000000-0005-0000-0000-000078020000}"/>
    <cellStyle name="20% - Accent4 7 2 2 2" xfId="16353" xr:uid="{BEAF29DF-4AFE-4B05-950F-62A6B991B563}"/>
    <cellStyle name="20% - Accent4 7 2 3" xfId="12135" xr:uid="{FAB9333F-35D2-4EE1-8B01-4ED5705DECC8}"/>
    <cellStyle name="20% - Accent4 7 3" xfId="5769" xr:uid="{00000000-0005-0000-0000-000079020000}"/>
    <cellStyle name="20% - Accent4 7 3 2" xfId="14208" xr:uid="{CBCFC515-BB45-48BD-BED3-B02BA2F3E44D}"/>
    <cellStyle name="20% - Accent4 7 4" xfId="9990" xr:uid="{44C2D3B0-5184-4D45-B65E-691C5F44D6E8}"/>
    <cellStyle name="20% - Accent4 8" xfId="1875" xr:uid="{00000000-0005-0000-0000-00007A020000}"/>
    <cellStyle name="20% - Accent4 8 2" xfId="4104" xr:uid="{00000000-0005-0000-0000-00007B020000}"/>
    <cellStyle name="20% - Accent4 8 2 2" xfId="8327" xr:uid="{00000000-0005-0000-0000-00007C020000}"/>
    <cellStyle name="20% - Accent4 8 2 2 2" xfId="16766" xr:uid="{EC3F7F05-7EBA-46C0-9B02-1BA92AEF6151}"/>
    <cellStyle name="20% - Accent4 8 2 3" xfId="12548" xr:uid="{7716CFE3-6A12-44EC-B154-BD92C2825D20}"/>
    <cellStyle name="20% - Accent4 8 3" xfId="6182" xr:uid="{00000000-0005-0000-0000-00007D020000}"/>
    <cellStyle name="20% - Accent4 8 3 2" xfId="14621" xr:uid="{BCE2CD18-513A-49AD-8999-51FB039A9FA3}"/>
    <cellStyle name="20% - Accent4 8 4" xfId="10403" xr:uid="{A1B163EE-CB2C-435A-8719-BD2FC69710E6}"/>
    <cellStyle name="20% - Accent4 9" xfId="2288" xr:uid="{00000000-0005-0000-0000-00007E020000}"/>
    <cellStyle name="20% - Accent4 9 2" xfId="6595" xr:uid="{00000000-0005-0000-0000-00007F020000}"/>
    <cellStyle name="20% - Accent4 9 2 2" xfId="15034" xr:uid="{E8AF6DD4-DDDD-4BA5-A1B0-4696A72DF00A}"/>
    <cellStyle name="20% - Accent4 9 3" xfId="10816" xr:uid="{E075F246-5D1E-43A1-8A86-A444CBDABF21}"/>
    <cellStyle name="20% - Accent5" xfId="33" builtinId="46" customBuiltin="1"/>
    <cellStyle name="20% - Accent5 10" xfId="4537" xr:uid="{00000000-0005-0000-0000-000081020000}"/>
    <cellStyle name="20% - Accent5 10 2" xfId="12976" xr:uid="{E3CDBCC4-110E-48D9-A362-7B37FB14601B}"/>
    <cellStyle name="20% - Accent5 11" xfId="8758" xr:uid="{4958B000-32CB-41D8-A63A-4D53AC80A38C}"/>
    <cellStyle name="20% - Accent5 2" xfId="34" xr:uid="{00000000-0005-0000-0000-000082020000}"/>
    <cellStyle name="20% - Accent5 2 10" xfId="8759" xr:uid="{8D8B59D4-79F5-435F-A181-649C40300514}"/>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15538" xr:uid="{2ACFB504-72EA-4099-BF5D-7D4ED64D3BE6}"/>
    <cellStyle name="20% - Accent5 2 2 2 2 2 3" xfId="11320" xr:uid="{BFA9ECE5-7C46-4913-A544-2022BC7FA4AE}"/>
    <cellStyle name="20% - Accent5 2 2 2 2 3" xfId="4954" xr:uid="{00000000-0005-0000-0000-000088020000}"/>
    <cellStyle name="20% - Accent5 2 2 2 2 3 2" xfId="13393" xr:uid="{D28BEF17-8507-4F2E-A942-C061CE2BCC8C}"/>
    <cellStyle name="20% - Accent5 2 2 2 2 4" xfId="9175" xr:uid="{7BAE224E-A770-4550-AC8D-D0C711760881}"/>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2 2" xfId="15951" xr:uid="{89685CB0-8DB1-467B-8CFB-4FCE42C8BAF8}"/>
    <cellStyle name="20% - Accent5 2 2 2 3 2 3" xfId="11733" xr:uid="{2E3CEF46-1286-4997-9088-BC1C4E930E0C}"/>
    <cellStyle name="20% - Accent5 2 2 2 3 3" xfId="5367" xr:uid="{00000000-0005-0000-0000-00008C020000}"/>
    <cellStyle name="20% - Accent5 2 2 2 3 3 2" xfId="13806" xr:uid="{152B4A97-2D10-412F-A34C-D7EEA123680D}"/>
    <cellStyle name="20% - Accent5 2 2 2 3 4" xfId="9588" xr:uid="{6A1F4855-376C-4DC0-9305-CD5A5B5F2396}"/>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2 2 2" xfId="16364" xr:uid="{42EF2FFB-939C-421B-AD65-E90B0BDCB3DA}"/>
    <cellStyle name="20% - Accent5 2 2 2 4 2 3" xfId="12146" xr:uid="{CFB07ED8-20A0-4714-A075-9EE249454624}"/>
    <cellStyle name="20% - Accent5 2 2 2 4 3" xfId="5780" xr:uid="{00000000-0005-0000-0000-000090020000}"/>
    <cellStyle name="20% - Accent5 2 2 2 4 3 2" xfId="14219" xr:uid="{BFD05289-70C6-4080-AADE-55F7B455723E}"/>
    <cellStyle name="20% - Accent5 2 2 2 4 4" xfId="10001" xr:uid="{F912B289-9065-43C6-A996-27CD14075A0A}"/>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2 2 2" xfId="16777" xr:uid="{DE6D69BD-6C81-43BF-B538-A372BAA845F6}"/>
    <cellStyle name="20% - Accent5 2 2 2 5 2 3" xfId="12559" xr:uid="{48F2A3D2-8E09-4228-ACCA-114EBBC7F591}"/>
    <cellStyle name="20% - Accent5 2 2 2 5 3" xfId="6193" xr:uid="{00000000-0005-0000-0000-000094020000}"/>
    <cellStyle name="20% - Accent5 2 2 2 5 3 2" xfId="14632" xr:uid="{F3224C45-EA4A-450E-B82D-7F8DBE66FB6A}"/>
    <cellStyle name="20% - Accent5 2 2 2 5 4" xfId="10414" xr:uid="{96E37E7D-51C1-4BDB-BE0C-C20336F38DDE}"/>
    <cellStyle name="20% - Accent5 2 2 2 6" xfId="2299" xr:uid="{00000000-0005-0000-0000-000095020000}"/>
    <cellStyle name="20% - Accent5 2 2 2 6 2" xfId="6606" xr:uid="{00000000-0005-0000-0000-000096020000}"/>
    <cellStyle name="20% - Accent5 2 2 2 6 2 2" xfId="15045" xr:uid="{5863001E-6E96-42EE-9070-AB706A5C9C23}"/>
    <cellStyle name="20% - Accent5 2 2 2 6 3" xfId="10827" xr:uid="{738502DB-0566-42A7-9D2F-9F6941BCB375}"/>
    <cellStyle name="20% - Accent5 2 2 2 7" xfId="4540" xr:uid="{00000000-0005-0000-0000-000097020000}"/>
    <cellStyle name="20% - Accent5 2 2 2 7 2" xfId="12979" xr:uid="{E31B68E4-2A45-4F98-A2E8-DA5B95907E04}"/>
    <cellStyle name="20% - Accent5 2 2 2 8" xfId="8761" xr:uid="{29EC9171-F327-4C44-9F9D-233E68109E4E}"/>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15537" xr:uid="{E562B0CB-6A2F-42E1-AAA7-CF301922E2C1}"/>
    <cellStyle name="20% - Accent5 2 2 3 2 3" xfId="11319" xr:uid="{BAD1F28A-80F2-486B-8D70-3F4A31A0ED3C}"/>
    <cellStyle name="20% - Accent5 2 2 3 3" xfId="4953" xr:uid="{00000000-0005-0000-0000-00009B020000}"/>
    <cellStyle name="20% - Accent5 2 2 3 3 2" xfId="13392" xr:uid="{E7C7C64A-1DC3-406C-955E-B21CC33F701E}"/>
    <cellStyle name="20% - Accent5 2 2 3 4" xfId="9174" xr:uid="{C6E2F9C9-113B-4D03-B753-200BA39A62F6}"/>
    <cellStyle name="20% - Accent5 2 2 4" xfId="1057" xr:uid="{00000000-0005-0000-0000-00009C020000}"/>
    <cellStyle name="20% - Accent5 2 2 4 2" xfId="3288" xr:uid="{00000000-0005-0000-0000-00009D020000}"/>
    <cellStyle name="20% - Accent5 2 2 4 2 2" xfId="7511" xr:uid="{00000000-0005-0000-0000-00009E020000}"/>
    <cellStyle name="20% - Accent5 2 2 4 2 2 2" xfId="15950" xr:uid="{24B6EBCE-C46C-4C3B-806A-E0943F3516AA}"/>
    <cellStyle name="20% - Accent5 2 2 4 2 3" xfId="11732" xr:uid="{12A47D2B-F633-4C5A-8B64-94A09DA9EA24}"/>
    <cellStyle name="20% - Accent5 2 2 4 3" xfId="5366" xr:uid="{00000000-0005-0000-0000-00009F020000}"/>
    <cellStyle name="20% - Accent5 2 2 4 3 2" xfId="13805" xr:uid="{5DB70050-09E0-4500-8517-DEB7D5150B1D}"/>
    <cellStyle name="20% - Accent5 2 2 4 4" xfId="9587" xr:uid="{30B55E7A-BEDE-4493-AE73-412F4A7DAB81}"/>
    <cellStyle name="20% - Accent5 2 2 5" xfId="1471" xr:uid="{00000000-0005-0000-0000-0000A0020000}"/>
    <cellStyle name="20% - Accent5 2 2 5 2" xfId="3701" xr:uid="{00000000-0005-0000-0000-0000A1020000}"/>
    <cellStyle name="20% - Accent5 2 2 5 2 2" xfId="7924" xr:uid="{00000000-0005-0000-0000-0000A2020000}"/>
    <cellStyle name="20% - Accent5 2 2 5 2 2 2" xfId="16363" xr:uid="{BEDA6EE6-699A-4FFD-BEF4-2C2560BC8F5D}"/>
    <cellStyle name="20% - Accent5 2 2 5 2 3" xfId="12145" xr:uid="{4884FE2D-4159-4E5F-8A44-4A6F9B56C57D}"/>
    <cellStyle name="20% - Accent5 2 2 5 3" xfId="5779" xr:uid="{00000000-0005-0000-0000-0000A3020000}"/>
    <cellStyle name="20% - Accent5 2 2 5 3 2" xfId="14218" xr:uid="{EDBADE6A-A0D7-48D3-AF86-464B35CFD94B}"/>
    <cellStyle name="20% - Accent5 2 2 5 4" xfId="10000" xr:uid="{ADF4655E-A0CB-4A4C-93CD-67FF2751D54E}"/>
    <cellStyle name="20% - Accent5 2 2 6" xfId="1885" xr:uid="{00000000-0005-0000-0000-0000A4020000}"/>
    <cellStyle name="20% - Accent5 2 2 6 2" xfId="4114" xr:uid="{00000000-0005-0000-0000-0000A5020000}"/>
    <cellStyle name="20% - Accent5 2 2 6 2 2" xfId="8337" xr:uid="{00000000-0005-0000-0000-0000A6020000}"/>
    <cellStyle name="20% - Accent5 2 2 6 2 2 2" xfId="16776" xr:uid="{AC522640-B33F-44B2-A3B8-473724AE21D5}"/>
    <cellStyle name="20% - Accent5 2 2 6 2 3" xfId="12558" xr:uid="{EA5BED06-CE69-4E52-8A66-E453DFAA8514}"/>
    <cellStyle name="20% - Accent5 2 2 6 3" xfId="6192" xr:uid="{00000000-0005-0000-0000-0000A7020000}"/>
    <cellStyle name="20% - Accent5 2 2 6 3 2" xfId="14631" xr:uid="{7BD59C07-A79A-4FCC-BEDA-13F6D86AFF36}"/>
    <cellStyle name="20% - Accent5 2 2 6 4" xfId="10413" xr:uid="{47E64CEA-8CA1-4E2C-8588-307331E81915}"/>
    <cellStyle name="20% - Accent5 2 2 7" xfId="2298" xr:uid="{00000000-0005-0000-0000-0000A8020000}"/>
    <cellStyle name="20% - Accent5 2 2 7 2" xfId="6605" xr:uid="{00000000-0005-0000-0000-0000A9020000}"/>
    <cellStyle name="20% - Accent5 2 2 7 2 2" xfId="15044" xr:uid="{6B30E89F-419B-4832-B051-673CAB7D9091}"/>
    <cellStyle name="20% - Accent5 2 2 7 3" xfId="10826" xr:uid="{CC3B3B1F-465B-47A8-A48B-319572552084}"/>
    <cellStyle name="20% - Accent5 2 2 8" xfId="4539" xr:uid="{00000000-0005-0000-0000-0000AA020000}"/>
    <cellStyle name="20% - Accent5 2 2 8 2" xfId="12978" xr:uid="{C1B25548-DA68-4A30-8D05-B49E686F9012}"/>
    <cellStyle name="20% - Accent5 2 2 9" xfId="8760" xr:uid="{373E9F7A-93B4-4417-88B5-A1B8FEDB5222}"/>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15539" xr:uid="{9826E8CC-FCA2-4541-9AE7-79B68640C771}"/>
    <cellStyle name="20% - Accent5 2 3 2 2 3" xfId="11321" xr:uid="{F721D772-E35B-40CD-97C7-368FBA20F173}"/>
    <cellStyle name="20% - Accent5 2 3 2 3" xfId="4955" xr:uid="{00000000-0005-0000-0000-0000AF020000}"/>
    <cellStyle name="20% - Accent5 2 3 2 3 2" xfId="13394" xr:uid="{FC267972-C78E-48A2-A826-649414FF5377}"/>
    <cellStyle name="20% - Accent5 2 3 2 4" xfId="9176" xr:uid="{98360F02-2180-433B-B2C5-ABC33E091F48}"/>
    <cellStyle name="20% - Accent5 2 3 3" xfId="1059" xr:uid="{00000000-0005-0000-0000-0000B0020000}"/>
    <cellStyle name="20% - Accent5 2 3 3 2" xfId="3290" xr:uid="{00000000-0005-0000-0000-0000B1020000}"/>
    <cellStyle name="20% - Accent5 2 3 3 2 2" xfId="7513" xr:uid="{00000000-0005-0000-0000-0000B2020000}"/>
    <cellStyle name="20% - Accent5 2 3 3 2 2 2" xfId="15952" xr:uid="{16EA4E7D-EFB3-468D-8D72-CBBB92A553D4}"/>
    <cellStyle name="20% - Accent5 2 3 3 2 3" xfId="11734" xr:uid="{F0F2B49B-40BF-44CB-9888-FE1AF6F730D4}"/>
    <cellStyle name="20% - Accent5 2 3 3 3" xfId="5368" xr:uid="{00000000-0005-0000-0000-0000B3020000}"/>
    <cellStyle name="20% - Accent5 2 3 3 3 2" xfId="13807" xr:uid="{67A20859-7FFF-4E8E-B1C5-E0DEDB8348FF}"/>
    <cellStyle name="20% - Accent5 2 3 3 4" xfId="9589" xr:uid="{62EF0845-CBBC-422C-B485-3D96D1CA6E8C}"/>
    <cellStyle name="20% - Accent5 2 3 4" xfId="1473" xr:uid="{00000000-0005-0000-0000-0000B4020000}"/>
    <cellStyle name="20% - Accent5 2 3 4 2" xfId="3703" xr:uid="{00000000-0005-0000-0000-0000B5020000}"/>
    <cellStyle name="20% - Accent5 2 3 4 2 2" xfId="7926" xr:uid="{00000000-0005-0000-0000-0000B6020000}"/>
    <cellStyle name="20% - Accent5 2 3 4 2 2 2" xfId="16365" xr:uid="{9A7786DF-9E56-4FA5-B3C5-E276245B554A}"/>
    <cellStyle name="20% - Accent5 2 3 4 2 3" xfId="12147" xr:uid="{B4023D0C-7EBA-48BF-84DB-74504D04CBFA}"/>
    <cellStyle name="20% - Accent5 2 3 4 3" xfId="5781" xr:uid="{00000000-0005-0000-0000-0000B7020000}"/>
    <cellStyle name="20% - Accent5 2 3 4 3 2" xfId="14220" xr:uid="{F738D686-DE3D-41AB-89C5-031E8D1D6C27}"/>
    <cellStyle name="20% - Accent5 2 3 4 4" xfId="10002" xr:uid="{DC150A53-324D-407B-B4DA-5F9EEBD32787}"/>
    <cellStyle name="20% - Accent5 2 3 5" xfId="1887" xr:uid="{00000000-0005-0000-0000-0000B8020000}"/>
    <cellStyle name="20% - Accent5 2 3 5 2" xfId="4116" xr:uid="{00000000-0005-0000-0000-0000B9020000}"/>
    <cellStyle name="20% - Accent5 2 3 5 2 2" xfId="8339" xr:uid="{00000000-0005-0000-0000-0000BA020000}"/>
    <cellStyle name="20% - Accent5 2 3 5 2 2 2" xfId="16778" xr:uid="{148265B1-6E9D-40BC-B1FE-FF2B95FEF990}"/>
    <cellStyle name="20% - Accent5 2 3 5 2 3" xfId="12560" xr:uid="{3A04CC6D-C6FA-4B51-9D85-E1EC7B5565F0}"/>
    <cellStyle name="20% - Accent5 2 3 5 3" xfId="6194" xr:uid="{00000000-0005-0000-0000-0000BB020000}"/>
    <cellStyle name="20% - Accent5 2 3 5 3 2" xfId="14633" xr:uid="{88982EC1-56EF-4E0C-88FA-8F26D201AA3F}"/>
    <cellStyle name="20% - Accent5 2 3 5 4" xfId="10415" xr:uid="{C59B6A43-945F-4949-8393-E99DA2129CF4}"/>
    <cellStyle name="20% - Accent5 2 3 6" xfId="2300" xr:uid="{00000000-0005-0000-0000-0000BC020000}"/>
    <cellStyle name="20% - Accent5 2 3 6 2" xfId="6607" xr:uid="{00000000-0005-0000-0000-0000BD020000}"/>
    <cellStyle name="20% - Accent5 2 3 6 2 2" xfId="15046" xr:uid="{744A153A-6509-4491-AC1B-B5B01D3B4184}"/>
    <cellStyle name="20% - Accent5 2 3 6 3" xfId="10828" xr:uid="{DA2F2402-FCA2-4905-8670-E825C0BB8180}"/>
    <cellStyle name="20% - Accent5 2 3 7" xfId="4541" xr:uid="{00000000-0005-0000-0000-0000BE020000}"/>
    <cellStyle name="20% - Accent5 2 3 7 2" xfId="12980" xr:uid="{576B6DA0-7331-4351-BD2A-0D6C73AA8A6D}"/>
    <cellStyle name="20% - Accent5 2 3 8" xfId="8762" xr:uid="{8FA90DC8-7E7A-4474-B4B1-6F24B5DE940C}"/>
    <cellStyle name="20% - Accent5 2 4" xfId="603" xr:uid="{00000000-0005-0000-0000-0000BF020000}"/>
    <cellStyle name="20% - Accent5 2 4 2" xfId="2874" xr:uid="{00000000-0005-0000-0000-0000C0020000}"/>
    <cellStyle name="20% - Accent5 2 4 2 2" xfId="7097" xr:uid="{00000000-0005-0000-0000-0000C1020000}"/>
    <cellStyle name="20% - Accent5 2 4 2 2 2" xfId="15536" xr:uid="{556EDC8E-2C1D-4B10-878E-C6A73ECBF519}"/>
    <cellStyle name="20% - Accent5 2 4 2 3" xfId="11318" xr:uid="{AACC5CD7-501F-4D90-88BD-E0DE96201402}"/>
    <cellStyle name="20% - Accent5 2 4 3" xfId="4952" xr:uid="{00000000-0005-0000-0000-0000C2020000}"/>
    <cellStyle name="20% - Accent5 2 4 3 2" xfId="13391" xr:uid="{C6F53337-8665-44DE-B949-85B5E390E4F9}"/>
    <cellStyle name="20% - Accent5 2 4 4" xfId="9173" xr:uid="{57E8A7DE-B164-40CC-B0AC-1403B2BCCFF7}"/>
    <cellStyle name="20% - Accent5 2 5" xfId="1056" xr:uid="{00000000-0005-0000-0000-0000C3020000}"/>
    <cellStyle name="20% - Accent5 2 5 2" xfId="3287" xr:uid="{00000000-0005-0000-0000-0000C4020000}"/>
    <cellStyle name="20% - Accent5 2 5 2 2" xfId="7510" xr:uid="{00000000-0005-0000-0000-0000C5020000}"/>
    <cellStyle name="20% - Accent5 2 5 2 2 2" xfId="15949" xr:uid="{C6FD369A-3E80-4631-AAED-6AEEB79A276C}"/>
    <cellStyle name="20% - Accent5 2 5 2 3" xfId="11731" xr:uid="{366C580F-5B0F-46F3-9BA2-EC700ADC126D}"/>
    <cellStyle name="20% - Accent5 2 5 3" xfId="5365" xr:uid="{00000000-0005-0000-0000-0000C6020000}"/>
    <cellStyle name="20% - Accent5 2 5 3 2" xfId="13804" xr:uid="{5A359E49-9002-40A6-A816-0D274D810EC7}"/>
    <cellStyle name="20% - Accent5 2 5 4" xfId="9586" xr:uid="{66CF1AC5-7A25-4AA6-A28C-4795F63FB1E8}"/>
    <cellStyle name="20% - Accent5 2 6" xfId="1470" xr:uid="{00000000-0005-0000-0000-0000C7020000}"/>
    <cellStyle name="20% - Accent5 2 6 2" xfId="3700" xr:uid="{00000000-0005-0000-0000-0000C8020000}"/>
    <cellStyle name="20% - Accent5 2 6 2 2" xfId="7923" xr:uid="{00000000-0005-0000-0000-0000C9020000}"/>
    <cellStyle name="20% - Accent5 2 6 2 2 2" xfId="16362" xr:uid="{4F4719BD-C91B-4360-B08C-878D693D6802}"/>
    <cellStyle name="20% - Accent5 2 6 2 3" xfId="12144" xr:uid="{E38EF149-FAFB-481F-8329-B518370E6776}"/>
    <cellStyle name="20% - Accent5 2 6 3" xfId="5778" xr:uid="{00000000-0005-0000-0000-0000CA020000}"/>
    <cellStyle name="20% - Accent5 2 6 3 2" xfId="14217" xr:uid="{6BAF761C-4550-4CB1-8485-0BC306683909}"/>
    <cellStyle name="20% - Accent5 2 6 4" xfId="9999" xr:uid="{F83EA725-7325-431F-B4FA-4DC747ACBD81}"/>
    <cellStyle name="20% - Accent5 2 7" xfId="1884" xr:uid="{00000000-0005-0000-0000-0000CB020000}"/>
    <cellStyle name="20% - Accent5 2 7 2" xfId="4113" xr:uid="{00000000-0005-0000-0000-0000CC020000}"/>
    <cellStyle name="20% - Accent5 2 7 2 2" xfId="8336" xr:uid="{00000000-0005-0000-0000-0000CD020000}"/>
    <cellStyle name="20% - Accent5 2 7 2 2 2" xfId="16775" xr:uid="{8D3ADCC4-DC8B-4068-BBC2-919B3DECFD44}"/>
    <cellStyle name="20% - Accent5 2 7 2 3" xfId="12557" xr:uid="{C296F89A-D16A-42EE-95FA-8F26F6AB1FB2}"/>
    <cellStyle name="20% - Accent5 2 7 3" xfId="6191" xr:uid="{00000000-0005-0000-0000-0000CE020000}"/>
    <cellStyle name="20% - Accent5 2 7 3 2" xfId="14630" xr:uid="{A887AE5C-0FE0-4C12-871B-2A77AC13E93D}"/>
    <cellStyle name="20% - Accent5 2 7 4" xfId="10412" xr:uid="{1DC2A1C6-9616-4675-AB4A-C0ED066CC70B}"/>
    <cellStyle name="20% - Accent5 2 8" xfId="2297" xr:uid="{00000000-0005-0000-0000-0000CF020000}"/>
    <cellStyle name="20% - Accent5 2 8 2" xfId="6604" xr:uid="{00000000-0005-0000-0000-0000D0020000}"/>
    <cellStyle name="20% - Accent5 2 8 2 2" xfId="15043" xr:uid="{A1EAA625-5E9A-4B5C-A38C-BF7D0A45DB76}"/>
    <cellStyle name="20% - Accent5 2 8 3" xfId="10825" xr:uid="{89C97F4E-8B97-46C0-AB68-6FB2E0286D60}"/>
    <cellStyle name="20% - Accent5 2 9" xfId="4538" xr:uid="{00000000-0005-0000-0000-0000D1020000}"/>
    <cellStyle name="20% - Accent5 2 9 2" xfId="12977" xr:uid="{88D2B750-6FDF-4C31-BB7F-4BE3557A909A}"/>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15541" xr:uid="{BA5538B8-8E81-412D-A3BE-EC2F6D32194C}"/>
    <cellStyle name="20% - Accent5 3 2 2 2 3" xfId="11323" xr:uid="{92D71C5C-62FF-404A-9982-6B33345979BC}"/>
    <cellStyle name="20% - Accent5 3 2 2 3" xfId="4957" xr:uid="{00000000-0005-0000-0000-0000D7020000}"/>
    <cellStyle name="20% - Accent5 3 2 2 3 2" xfId="13396" xr:uid="{49AA91CE-B2BE-48DF-AE50-7555BADD8AF2}"/>
    <cellStyle name="20% - Accent5 3 2 2 4" xfId="9178" xr:uid="{D797DC3A-8E3B-4EFF-9B2C-6B8446BFB885}"/>
    <cellStyle name="20% - Accent5 3 2 3" xfId="1061" xr:uid="{00000000-0005-0000-0000-0000D8020000}"/>
    <cellStyle name="20% - Accent5 3 2 3 2" xfId="3292" xr:uid="{00000000-0005-0000-0000-0000D9020000}"/>
    <cellStyle name="20% - Accent5 3 2 3 2 2" xfId="7515" xr:uid="{00000000-0005-0000-0000-0000DA020000}"/>
    <cellStyle name="20% - Accent5 3 2 3 2 2 2" xfId="15954" xr:uid="{9C76204D-1D41-491C-B426-AE5CC0EE2539}"/>
    <cellStyle name="20% - Accent5 3 2 3 2 3" xfId="11736" xr:uid="{FDD45BBD-9A62-47DA-A56D-1D6A7242A193}"/>
    <cellStyle name="20% - Accent5 3 2 3 3" xfId="5370" xr:uid="{00000000-0005-0000-0000-0000DB020000}"/>
    <cellStyle name="20% - Accent5 3 2 3 3 2" xfId="13809" xr:uid="{3CA11A89-1F6A-48B9-9981-7814E3386673}"/>
    <cellStyle name="20% - Accent5 3 2 3 4" xfId="9591" xr:uid="{8D1FF9BC-A712-400F-86A5-78B217B32E01}"/>
    <cellStyle name="20% - Accent5 3 2 4" xfId="1475" xr:uid="{00000000-0005-0000-0000-0000DC020000}"/>
    <cellStyle name="20% - Accent5 3 2 4 2" xfId="3705" xr:uid="{00000000-0005-0000-0000-0000DD020000}"/>
    <cellStyle name="20% - Accent5 3 2 4 2 2" xfId="7928" xr:uid="{00000000-0005-0000-0000-0000DE020000}"/>
    <cellStyle name="20% - Accent5 3 2 4 2 2 2" xfId="16367" xr:uid="{4AA2C306-D8AA-488C-80D7-2DCEC000EC71}"/>
    <cellStyle name="20% - Accent5 3 2 4 2 3" xfId="12149" xr:uid="{6E08FE41-5F08-44A3-BB89-85F5FB26B147}"/>
    <cellStyle name="20% - Accent5 3 2 4 3" xfId="5783" xr:uid="{00000000-0005-0000-0000-0000DF020000}"/>
    <cellStyle name="20% - Accent5 3 2 4 3 2" xfId="14222" xr:uid="{6A320327-5186-45AC-B03C-89963C5805B3}"/>
    <cellStyle name="20% - Accent5 3 2 4 4" xfId="10004" xr:uid="{F48D2131-515C-4192-B7B6-54A084B467B0}"/>
    <cellStyle name="20% - Accent5 3 2 5" xfId="1889" xr:uid="{00000000-0005-0000-0000-0000E0020000}"/>
    <cellStyle name="20% - Accent5 3 2 5 2" xfId="4118" xr:uid="{00000000-0005-0000-0000-0000E1020000}"/>
    <cellStyle name="20% - Accent5 3 2 5 2 2" xfId="8341" xr:uid="{00000000-0005-0000-0000-0000E2020000}"/>
    <cellStyle name="20% - Accent5 3 2 5 2 2 2" xfId="16780" xr:uid="{781F809E-13C7-4936-AD60-24FD5EDFEF77}"/>
    <cellStyle name="20% - Accent5 3 2 5 2 3" xfId="12562" xr:uid="{6648760A-0770-4D0D-A499-4BEBB769E410}"/>
    <cellStyle name="20% - Accent5 3 2 5 3" xfId="6196" xr:uid="{00000000-0005-0000-0000-0000E3020000}"/>
    <cellStyle name="20% - Accent5 3 2 5 3 2" xfId="14635" xr:uid="{F812379C-166C-4BE4-949B-95B0BAC90915}"/>
    <cellStyle name="20% - Accent5 3 2 5 4" xfId="10417" xr:uid="{9566BBC0-3907-47EC-86EF-BFC8E162CE09}"/>
    <cellStyle name="20% - Accent5 3 2 6" xfId="2302" xr:uid="{00000000-0005-0000-0000-0000E4020000}"/>
    <cellStyle name="20% - Accent5 3 2 6 2" xfId="6609" xr:uid="{00000000-0005-0000-0000-0000E5020000}"/>
    <cellStyle name="20% - Accent5 3 2 6 2 2" xfId="15048" xr:uid="{1EC803C5-820D-4541-92DB-D7B393093CC3}"/>
    <cellStyle name="20% - Accent5 3 2 6 3" xfId="10830" xr:uid="{8624600E-85A3-47FD-90C6-D64BB5F5D866}"/>
    <cellStyle name="20% - Accent5 3 2 7" xfId="4543" xr:uid="{00000000-0005-0000-0000-0000E6020000}"/>
    <cellStyle name="20% - Accent5 3 2 7 2" xfId="12982" xr:uid="{EA538655-360B-479F-BA20-DF53D54F6657}"/>
    <cellStyle name="20% - Accent5 3 2 8" xfId="8764" xr:uid="{F2944CF7-77EF-4E89-9E68-5E329522EA99}"/>
    <cellStyle name="20% - Accent5 3 3" xfId="607" xr:uid="{00000000-0005-0000-0000-0000E7020000}"/>
    <cellStyle name="20% - Accent5 3 3 2" xfId="2878" xr:uid="{00000000-0005-0000-0000-0000E8020000}"/>
    <cellStyle name="20% - Accent5 3 3 2 2" xfId="7101" xr:uid="{00000000-0005-0000-0000-0000E9020000}"/>
    <cellStyle name="20% - Accent5 3 3 2 2 2" xfId="15540" xr:uid="{EAE11D11-83A1-40B7-B9D2-A9180E832B7D}"/>
    <cellStyle name="20% - Accent5 3 3 2 3" xfId="11322" xr:uid="{6C64F74C-9B49-41DC-9EC6-0F9525E77E52}"/>
    <cellStyle name="20% - Accent5 3 3 3" xfId="4956" xr:uid="{00000000-0005-0000-0000-0000EA020000}"/>
    <cellStyle name="20% - Accent5 3 3 3 2" xfId="13395" xr:uid="{527002F6-1B6C-4B80-8F45-E38ECA5716A7}"/>
    <cellStyle name="20% - Accent5 3 3 4" xfId="9177" xr:uid="{F4D830AC-4417-46FA-94B5-D3FD22AE6198}"/>
    <cellStyle name="20% - Accent5 3 4" xfId="1060" xr:uid="{00000000-0005-0000-0000-0000EB020000}"/>
    <cellStyle name="20% - Accent5 3 4 2" xfId="3291" xr:uid="{00000000-0005-0000-0000-0000EC020000}"/>
    <cellStyle name="20% - Accent5 3 4 2 2" xfId="7514" xr:uid="{00000000-0005-0000-0000-0000ED020000}"/>
    <cellStyle name="20% - Accent5 3 4 2 2 2" xfId="15953" xr:uid="{52F7535C-39EC-407E-AA4C-BBA6E8537FE1}"/>
    <cellStyle name="20% - Accent5 3 4 2 3" xfId="11735" xr:uid="{4A4D099E-3E39-471B-955D-D692229807D5}"/>
    <cellStyle name="20% - Accent5 3 4 3" xfId="5369" xr:uid="{00000000-0005-0000-0000-0000EE020000}"/>
    <cellStyle name="20% - Accent5 3 4 3 2" xfId="13808" xr:uid="{9F2D6948-085A-4FD0-958B-D2AFB91DF158}"/>
    <cellStyle name="20% - Accent5 3 4 4" xfId="9590" xr:uid="{3200B5D7-A7F0-4EF5-A5AC-C4FABA4BB9CC}"/>
    <cellStyle name="20% - Accent5 3 5" xfId="1474" xr:uid="{00000000-0005-0000-0000-0000EF020000}"/>
    <cellStyle name="20% - Accent5 3 5 2" xfId="3704" xr:uid="{00000000-0005-0000-0000-0000F0020000}"/>
    <cellStyle name="20% - Accent5 3 5 2 2" xfId="7927" xr:uid="{00000000-0005-0000-0000-0000F1020000}"/>
    <cellStyle name="20% - Accent5 3 5 2 2 2" xfId="16366" xr:uid="{54E833F7-DB04-42DF-9CB1-3D65D680FAC0}"/>
    <cellStyle name="20% - Accent5 3 5 2 3" xfId="12148" xr:uid="{75E0D0F8-9CD9-4310-9617-1091287FFBBE}"/>
    <cellStyle name="20% - Accent5 3 5 3" xfId="5782" xr:uid="{00000000-0005-0000-0000-0000F2020000}"/>
    <cellStyle name="20% - Accent5 3 5 3 2" xfId="14221" xr:uid="{340FB9C7-B04E-4F2B-9C54-CCAA68F72413}"/>
    <cellStyle name="20% - Accent5 3 5 4" xfId="10003" xr:uid="{C938614A-FBDA-4FAC-9B4F-216C175A5922}"/>
    <cellStyle name="20% - Accent5 3 6" xfId="1888" xr:uid="{00000000-0005-0000-0000-0000F3020000}"/>
    <cellStyle name="20% - Accent5 3 6 2" xfId="4117" xr:uid="{00000000-0005-0000-0000-0000F4020000}"/>
    <cellStyle name="20% - Accent5 3 6 2 2" xfId="8340" xr:uid="{00000000-0005-0000-0000-0000F5020000}"/>
    <cellStyle name="20% - Accent5 3 6 2 2 2" xfId="16779" xr:uid="{CD0CAC74-CAEA-49E0-982F-62DD3818250D}"/>
    <cellStyle name="20% - Accent5 3 6 2 3" xfId="12561" xr:uid="{385061C6-72EA-4191-9633-F933E4226615}"/>
    <cellStyle name="20% - Accent5 3 6 3" xfId="6195" xr:uid="{00000000-0005-0000-0000-0000F6020000}"/>
    <cellStyle name="20% - Accent5 3 6 3 2" xfId="14634" xr:uid="{EF26E1A7-0032-4CED-8BC8-7499ADFC186F}"/>
    <cellStyle name="20% - Accent5 3 6 4" xfId="10416" xr:uid="{74EDA85E-F270-476C-9DC7-EBA586C8265F}"/>
    <cellStyle name="20% - Accent5 3 7" xfId="2301" xr:uid="{00000000-0005-0000-0000-0000F7020000}"/>
    <cellStyle name="20% - Accent5 3 7 2" xfId="6608" xr:uid="{00000000-0005-0000-0000-0000F8020000}"/>
    <cellStyle name="20% - Accent5 3 7 2 2" xfId="15047" xr:uid="{84C8837A-92A8-402D-AE02-A23F2945177F}"/>
    <cellStyle name="20% - Accent5 3 7 3" xfId="10829" xr:uid="{3E1D7015-E143-4B76-BD60-8F38EFD881F4}"/>
    <cellStyle name="20% - Accent5 3 8" xfId="4542" xr:uid="{00000000-0005-0000-0000-0000F9020000}"/>
    <cellStyle name="20% - Accent5 3 8 2" xfId="12981" xr:uid="{CA42855A-BC53-4460-BD9C-EB77A3276845}"/>
    <cellStyle name="20% - Accent5 3 9" xfId="8763" xr:uid="{D3E36E80-D603-46AE-ADD9-E16C4627957B}"/>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2 2 2" xfId="15542" xr:uid="{644C1C7A-FDEC-49D9-8391-D8C5C521CBD7}"/>
    <cellStyle name="20% - Accent5 4 2 2 3" xfId="11324" xr:uid="{8AEB16EC-CDB9-49BB-B2E6-2C10E9B15D8F}"/>
    <cellStyle name="20% - Accent5 4 2 3" xfId="4958" xr:uid="{00000000-0005-0000-0000-0000FE020000}"/>
    <cellStyle name="20% - Accent5 4 2 3 2" xfId="13397" xr:uid="{2833A94B-38D3-4478-8C75-A3722832A8E5}"/>
    <cellStyle name="20% - Accent5 4 2 4" xfId="9179" xr:uid="{7BCCF140-AC57-4E2E-8BA4-12EDF7B02250}"/>
    <cellStyle name="20% - Accent5 4 3" xfId="1062" xr:uid="{00000000-0005-0000-0000-0000FF020000}"/>
    <cellStyle name="20% - Accent5 4 3 2" xfId="3293" xr:uid="{00000000-0005-0000-0000-000000030000}"/>
    <cellStyle name="20% - Accent5 4 3 2 2" xfId="7516" xr:uid="{00000000-0005-0000-0000-000001030000}"/>
    <cellStyle name="20% - Accent5 4 3 2 2 2" xfId="15955" xr:uid="{F3B2CD6F-6B2F-4CF9-9732-D1D71BBF6CB0}"/>
    <cellStyle name="20% - Accent5 4 3 2 3" xfId="11737" xr:uid="{CB8B4648-B288-4E4A-937C-F861187CAAEB}"/>
    <cellStyle name="20% - Accent5 4 3 3" xfId="5371" xr:uid="{00000000-0005-0000-0000-000002030000}"/>
    <cellStyle name="20% - Accent5 4 3 3 2" xfId="13810" xr:uid="{98AD4DFF-A3C4-40C0-BAC0-FBD7A94E2EBD}"/>
    <cellStyle name="20% - Accent5 4 3 4" xfId="9592" xr:uid="{1B1E6D08-F699-4804-B406-5CED04601560}"/>
    <cellStyle name="20% - Accent5 4 4" xfId="1476" xr:uid="{00000000-0005-0000-0000-000003030000}"/>
    <cellStyle name="20% - Accent5 4 4 2" xfId="3706" xr:uid="{00000000-0005-0000-0000-000004030000}"/>
    <cellStyle name="20% - Accent5 4 4 2 2" xfId="7929" xr:uid="{00000000-0005-0000-0000-000005030000}"/>
    <cellStyle name="20% - Accent5 4 4 2 2 2" xfId="16368" xr:uid="{676E0C3D-7752-4C64-8416-9107BA42A7DD}"/>
    <cellStyle name="20% - Accent5 4 4 2 3" xfId="12150" xr:uid="{847D1A8A-AFAE-4F8E-8EE2-F7EE99BD3D48}"/>
    <cellStyle name="20% - Accent5 4 4 3" xfId="5784" xr:uid="{00000000-0005-0000-0000-000006030000}"/>
    <cellStyle name="20% - Accent5 4 4 3 2" xfId="14223" xr:uid="{2E334E74-B3BB-4AFA-B76C-F4FC78676604}"/>
    <cellStyle name="20% - Accent5 4 4 4" xfId="10005" xr:uid="{FA0C452A-3471-4A60-845E-AEF43A33015C}"/>
    <cellStyle name="20% - Accent5 4 5" xfId="1890" xr:uid="{00000000-0005-0000-0000-000007030000}"/>
    <cellStyle name="20% - Accent5 4 5 2" xfId="4119" xr:uid="{00000000-0005-0000-0000-000008030000}"/>
    <cellStyle name="20% - Accent5 4 5 2 2" xfId="8342" xr:uid="{00000000-0005-0000-0000-000009030000}"/>
    <cellStyle name="20% - Accent5 4 5 2 2 2" xfId="16781" xr:uid="{970BF989-F9AF-4608-B5C5-35EDEE5DD817}"/>
    <cellStyle name="20% - Accent5 4 5 2 3" xfId="12563" xr:uid="{66DEA476-1CF0-4E8A-8042-615824985431}"/>
    <cellStyle name="20% - Accent5 4 5 3" xfId="6197" xr:uid="{00000000-0005-0000-0000-00000A030000}"/>
    <cellStyle name="20% - Accent5 4 5 3 2" xfId="14636" xr:uid="{F9B3A9B2-E185-41E1-9683-6A9CCD2EA336}"/>
    <cellStyle name="20% - Accent5 4 5 4" xfId="10418" xr:uid="{476B0760-A9B2-4914-A9CB-C021942E2E11}"/>
    <cellStyle name="20% - Accent5 4 6" xfId="2303" xr:uid="{00000000-0005-0000-0000-00000B030000}"/>
    <cellStyle name="20% - Accent5 4 6 2" xfId="6610" xr:uid="{00000000-0005-0000-0000-00000C030000}"/>
    <cellStyle name="20% - Accent5 4 6 2 2" xfId="15049" xr:uid="{9EF9554F-09DB-497F-8E84-0AD89A39C581}"/>
    <cellStyle name="20% - Accent5 4 6 3" xfId="10831" xr:uid="{DE7855E2-1624-414A-9BF0-1F9F39553A22}"/>
    <cellStyle name="20% - Accent5 4 7" xfId="4544" xr:uid="{00000000-0005-0000-0000-00000D030000}"/>
    <cellStyle name="20% - Accent5 4 7 2" xfId="12983" xr:uid="{106A38B2-280E-42F9-A5C4-B10994564B4B}"/>
    <cellStyle name="20% - Accent5 4 8" xfId="8765" xr:uid="{A730FD69-B852-4E90-B3D5-49FC28F35AEE}"/>
    <cellStyle name="20% - Accent5 5" xfId="602" xr:uid="{00000000-0005-0000-0000-00000E030000}"/>
    <cellStyle name="20% - Accent5 5 2" xfId="2873" xr:uid="{00000000-0005-0000-0000-00000F030000}"/>
    <cellStyle name="20% - Accent5 5 2 2" xfId="7096" xr:uid="{00000000-0005-0000-0000-000010030000}"/>
    <cellStyle name="20% - Accent5 5 2 2 2" xfId="15535" xr:uid="{E1720FD6-F154-4755-9772-60694F0B04F4}"/>
    <cellStyle name="20% - Accent5 5 2 3" xfId="11317" xr:uid="{F2C62096-1EF6-450A-B961-963A72F44DCE}"/>
    <cellStyle name="20% - Accent5 5 3" xfId="4951" xr:uid="{00000000-0005-0000-0000-000011030000}"/>
    <cellStyle name="20% - Accent5 5 3 2" xfId="13390" xr:uid="{64249020-443B-4227-BB4B-00FF694F3B59}"/>
    <cellStyle name="20% - Accent5 5 4" xfId="9172" xr:uid="{06F47F4F-B772-47F3-9A4A-3AD9F0404487}"/>
    <cellStyle name="20% - Accent5 6" xfId="1055" xr:uid="{00000000-0005-0000-0000-000012030000}"/>
    <cellStyle name="20% - Accent5 6 2" xfId="3286" xr:uid="{00000000-0005-0000-0000-000013030000}"/>
    <cellStyle name="20% - Accent5 6 2 2" xfId="7509" xr:uid="{00000000-0005-0000-0000-000014030000}"/>
    <cellStyle name="20% - Accent5 6 2 2 2" xfId="15948" xr:uid="{8219F573-9D09-4B51-A9F1-AD14E0A8CBEF}"/>
    <cellStyle name="20% - Accent5 6 2 3" xfId="11730" xr:uid="{F6F099B0-AAEC-431C-8399-6299E43FAFA8}"/>
    <cellStyle name="20% - Accent5 6 3" xfId="5364" xr:uid="{00000000-0005-0000-0000-000015030000}"/>
    <cellStyle name="20% - Accent5 6 3 2" xfId="13803" xr:uid="{35A7FABF-E5D5-4C6C-95D5-920D720AEB5D}"/>
    <cellStyle name="20% - Accent5 6 4" xfId="9585" xr:uid="{A786567B-9204-4C48-9E39-E7657DD2B04D}"/>
    <cellStyle name="20% - Accent5 7" xfId="1469" xr:uid="{00000000-0005-0000-0000-000016030000}"/>
    <cellStyle name="20% - Accent5 7 2" xfId="3699" xr:uid="{00000000-0005-0000-0000-000017030000}"/>
    <cellStyle name="20% - Accent5 7 2 2" xfId="7922" xr:uid="{00000000-0005-0000-0000-000018030000}"/>
    <cellStyle name="20% - Accent5 7 2 2 2" xfId="16361" xr:uid="{C8E01BAA-C61D-4893-9E39-89C8BBC4D279}"/>
    <cellStyle name="20% - Accent5 7 2 3" xfId="12143" xr:uid="{CD348EC8-C879-4811-8C5A-76E64C9F4E91}"/>
    <cellStyle name="20% - Accent5 7 3" xfId="5777" xr:uid="{00000000-0005-0000-0000-000019030000}"/>
    <cellStyle name="20% - Accent5 7 3 2" xfId="14216" xr:uid="{E9507CF2-C8EE-4E4B-8F67-E96CCBF0C869}"/>
    <cellStyle name="20% - Accent5 7 4" xfId="9998" xr:uid="{9ABD9FE8-74AA-404E-8424-9CD28383B425}"/>
    <cellStyle name="20% - Accent5 8" xfId="1883" xr:uid="{00000000-0005-0000-0000-00001A030000}"/>
    <cellStyle name="20% - Accent5 8 2" xfId="4112" xr:uid="{00000000-0005-0000-0000-00001B030000}"/>
    <cellStyle name="20% - Accent5 8 2 2" xfId="8335" xr:uid="{00000000-0005-0000-0000-00001C030000}"/>
    <cellStyle name="20% - Accent5 8 2 2 2" xfId="16774" xr:uid="{81878610-0F70-4B87-A080-EF1621E6EA01}"/>
    <cellStyle name="20% - Accent5 8 2 3" xfId="12556" xr:uid="{55737204-7BB6-4BC6-B5D5-375E9A2B0339}"/>
    <cellStyle name="20% - Accent5 8 3" xfId="6190" xr:uid="{00000000-0005-0000-0000-00001D030000}"/>
    <cellStyle name="20% - Accent5 8 3 2" xfId="14629" xr:uid="{D2727B52-55EE-45DA-A1A3-C78165C518EA}"/>
    <cellStyle name="20% - Accent5 8 4" xfId="10411" xr:uid="{AF25C0DA-9EF5-4A58-A986-48846ED7AC43}"/>
    <cellStyle name="20% - Accent5 9" xfId="2296" xr:uid="{00000000-0005-0000-0000-00001E030000}"/>
    <cellStyle name="20% - Accent5 9 2" xfId="6603" xr:uid="{00000000-0005-0000-0000-00001F030000}"/>
    <cellStyle name="20% - Accent5 9 2 2" xfId="15042" xr:uid="{6A240156-B99F-4C52-A9B6-2D5C9FCA953E}"/>
    <cellStyle name="20% - Accent5 9 3" xfId="10824" xr:uid="{30B34506-83DD-41B0-8565-A03F7BCA24BD}"/>
    <cellStyle name="20% - Accent6" xfId="41" builtinId="50" customBuiltin="1"/>
    <cellStyle name="20% - Accent6 10" xfId="4545" xr:uid="{00000000-0005-0000-0000-000021030000}"/>
    <cellStyle name="20% - Accent6 10 2" xfId="12984" xr:uid="{3FF0F091-7961-4261-BA80-C1AB0B926BC2}"/>
    <cellStyle name="20% - Accent6 11" xfId="8766" xr:uid="{6C3FAC65-E711-4234-B56C-2A85B6DDE627}"/>
    <cellStyle name="20% - Accent6 2" xfId="42" xr:uid="{00000000-0005-0000-0000-000022030000}"/>
    <cellStyle name="20% - Accent6 2 10" xfId="8767" xr:uid="{0C76737A-CE64-41CF-9792-ADA788CCB681}"/>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15546" xr:uid="{0BB3B340-5058-49CE-B3A3-C1DC69D8F788}"/>
    <cellStyle name="20% - Accent6 2 2 2 2 2 3" xfId="11328" xr:uid="{7CB4A5E7-A596-4891-A899-97BBAD64F6FC}"/>
    <cellStyle name="20% - Accent6 2 2 2 2 3" xfId="4962" xr:uid="{00000000-0005-0000-0000-000028030000}"/>
    <cellStyle name="20% - Accent6 2 2 2 2 3 2" xfId="13401" xr:uid="{D2B74ABF-42BC-406F-BC0A-4CDCB019CDFC}"/>
    <cellStyle name="20% - Accent6 2 2 2 2 4" xfId="9183" xr:uid="{351845A3-B471-4B5B-952E-BF21995EEDB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2 2" xfId="15959" xr:uid="{4320344F-8702-4FF6-BFE3-4B6087D4C3B9}"/>
    <cellStyle name="20% - Accent6 2 2 2 3 2 3" xfId="11741" xr:uid="{4395C143-5E51-430D-B94B-801AE3197247}"/>
    <cellStyle name="20% - Accent6 2 2 2 3 3" xfId="5375" xr:uid="{00000000-0005-0000-0000-00002C030000}"/>
    <cellStyle name="20% - Accent6 2 2 2 3 3 2" xfId="13814" xr:uid="{4E28C56B-D6CF-4602-B74B-E53FA96C1B40}"/>
    <cellStyle name="20% - Accent6 2 2 2 3 4" xfId="9596" xr:uid="{2F7856D1-3E27-4CF9-ACEB-7B47DF6FBD1E}"/>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2 2 2" xfId="16372" xr:uid="{E98D9E0C-544E-4626-BD4D-3C73AD249E0F}"/>
    <cellStyle name="20% - Accent6 2 2 2 4 2 3" xfId="12154" xr:uid="{3D8E8B5A-1D38-4E65-B61A-FB43CC61C8B9}"/>
    <cellStyle name="20% - Accent6 2 2 2 4 3" xfId="5788" xr:uid="{00000000-0005-0000-0000-000030030000}"/>
    <cellStyle name="20% - Accent6 2 2 2 4 3 2" xfId="14227" xr:uid="{5BD6117B-FD7D-4B09-8A31-35C34307B850}"/>
    <cellStyle name="20% - Accent6 2 2 2 4 4" xfId="10009" xr:uid="{6D5FF217-86E4-4844-A5E7-BD214B556787}"/>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2 2 2" xfId="16785" xr:uid="{90BEE851-1384-4E8C-8EF2-CB9075C70B8A}"/>
    <cellStyle name="20% - Accent6 2 2 2 5 2 3" xfId="12567" xr:uid="{F582FEBD-C46B-49A1-A849-A9553BDF3993}"/>
    <cellStyle name="20% - Accent6 2 2 2 5 3" xfId="6201" xr:uid="{00000000-0005-0000-0000-000034030000}"/>
    <cellStyle name="20% - Accent6 2 2 2 5 3 2" xfId="14640" xr:uid="{5C83F5FB-B83E-4AA9-A079-306CB048BAD8}"/>
    <cellStyle name="20% - Accent6 2 2 2 5 4" xfId="10422" xr:uid="{03C863DA-960B-4FBC-B8E1-E36EC0CD1B2D}"/>
    <cellStyle name="20% - Accent6 2 2 2 6" xfId="2307" xr:uid="{00000000-0005-0000-0000-000035030000}"/>
    <cellStyle name="20% - Accent6 2 2 2 6 2" xfId="6614" xr:uid="{00000000-0005-0000-0000-000036030000}"/>
    <cellStyle name="20% - Accent6 2 2 2 6 2 2" xfId="15053" xr:uid="{44ED5297-5149-4E3A-8D7E-8E8758D82009}"/>
    <cellStyle name="20% - Accent6 2 2 2 6 3" xfId="10835" xr:uid="{B7C96026-04FA-4541-BADB-C4F07912515E}"/>
    <cellStyle name="20% - Accent6 2 2 2 7" xfId="4548" xr:uid="{00000000-0005-0000-0000-000037030000}"/>
    <cellStyle name="20% - Accent6 2 2 2 7 2" xfId="12987" xr:uid="{F724D2F1-BF98-4F7F-B3A5-F3CDA991DDF6}"/>
    <cellStyle name="20% - Accent6 2 2 2 8" xfId="8769" xr:uid="{CED8A3E2-19F5-45B7-810C-BD585DFD88D3}"/>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15545" xr:uid="{87A14CEB-F653-49B3-8926-2B58352FA680}"/>
    <cellStyle name="20% - Accent6 2 2 3 2 3" xfId="11327" xr:uid="{3888B044-E939-46CF-A8BB-8775DE21D3B8}"/>
    <cellStyle name="20% - Accent6 2 2 3 3" xfId="4961" xr:uid="{00000000-0005-0000-0000-00003B030000}"/>
    <cellStyle name="20% - Accent6 2 2 3 3 2" xfId="13400" xr:uid="{C4490BA9-E6B3-400D-97B3-B601966A567C}"/>
    <cellStyle name="20% - Accent6 2 2 3 4" xfId="9182" xr:uid="{B81E06FB-C845-4A93-892D-0232F56D2C1F}"/>
    <cellStyle name="20% - Accent6 2 2 4" xfId="1065" xr:uid="{00000000-0005-0000-0000-00003C030000}"/>
    <cellStyle name="20% - Accent6 2 2 4 2" xfId="3296" xr:uid="{00000000-0005-0000-0000-00003D030000}"/>
    <cellStyle name="20% - Accent6 2 2 4 2 2" xfId="7519" xr:uid="{00000000-0005-0000-0000-00003E030000}"/>
    <cellStyle name="20% - Accent6 2 2 4 2 2 2" xfId="15958" xr:uid="{7E8F631E-635D-48AC-9006-814BC5878D15}"/>
    <cellStyle name="20% - Accent6 2 2 4 2 3" xfId="11740" xr:uid="{57B66909-9745-4422-9808-64F2FEF9EC93}"/>
    <cellStyle name="20% - Accent6 2 2 4 3" xfId="5374" xr:uid="{00000000-0005-0000-0000-00003F030000}"/>
    <cellStyle name="20% - Accent6 2 2 4 3 2" xfId="13813" xr:uid="{9989CA20-20D2-4FF2-9BB0-F61FF2C62F10}"/>
    <cellStyle name="20% - Accent6 2 2 4 4" xfId="9595" xr:uid="{3AA09B28-C9DB-4926-90B4-CF377A14BF49}"/>
    <cellStyle name="20% - Accent6 2 2 5" xfId="1479" xr:uid="{00000000-0005-0000-0000-000040030000}"/>
    <cellStyle name="20% - Accent6 2 2 5 2" xfId="3709" xr:uid="{00000000-0005-0000-0000-000041030000}"/>
    <cellStyle name="20% - Accent6 2 2 5 2 2" xfId="7932" xr:uid="{00000000-0005-0000-0000-000042030000}"/>
    <cellStyle name="20% - Accent6 2 2 5 2 2 2" xfId="16371" xr:uid="{2B10D3EE-232C-412D-8CE9-36CE10E0E6FA}"/>
    <cellStyle name="20% - Accent6 2 2 5 2 3" xfId="12153" xr:uid="{DA82C218-A82F-4A4C-9F4E-815EB3C1735F}"/>
    <cellStyle name="20% - Accent6 2 2 5 3" xfId="5787" xr:uid="{00000000-0005-0000-0000-000043030000}"/>
    <cellStyle name="20% - Accent6 2 2 5 3 2" xfId="14226" xr:uid="{5E9D93E5-3ACA-49C6-9F28-3390614FCCC9}"/>
    <cellStyle name="20% - Accent6 2 2 5 4" xfId="10008" xr:uid="{63FE5C12-C7EB-4239-9A22-A84E89BF6C06}"/>
    <cellStyle name="20% - Accent6 2 2 6" xfId="1893" xr:uid="{00000000-0005-0000-0000-000044030000}"/>
    <cellStyle name="20% - Accent6 2 2 6 2" xfId="4122" xr:uid="{00000000-0005-0000-0000-000045030000}"/>
    <cellStyle name="20% - Accent6 2 2 6 2 2" xfId="8345" xr:uid="{00000000-0005-0000-0000-000046030000}"/>
    <cellStyle name="20% - Accent6 2 2 6 2 2 2" xfId="16784" xr:uid="{10F85C54-05F9-4D98-A28E-D07C3BA86444}"/>
    <cellStyle name="20% - Accent6 2 2 6 2 3" xfId="12566" xr:uid="{C104FB94-65B8-4762-AB90-4792C510227F}"/>
    <cellStyle name="20% - Accent6 2 2 6 3" xfId="6200" xr:uid="{00000000-0005-0000-0000-000047030000}"/>
    <cellStyle name="20% - Accent6 2 2 6 3 2" xfId="14639" xr:uid="{33FB2CF1-D720-4145-A7E6-341DDC187C4C}"/>
    <cellStyle name="20% - Accent6 2 2 6 4" xfId="10421" xr:uid="{EE2A2524-C3D7-496A-A002-A852FEBA7EF9}"/>
    <cellStyle name="20% - Accent6 2 2 7" xfId="2306" xr:uid="{00000000-0005-0000-0000-000048030000}"/>
    <cellStyle name="20% - Accent6 2 2 7 2" xfId="6613" xr:uid="{00000000-0005-0000-0000-000049030000}"/>
    <cellStyle name="20% - Accent6 2 2 7 2 2" xfId="15052" xr:uid="{CD6B4CA1-2613-4BC9-828F-F18C9CB957B8}"/>
    <cellStyle name="20% - Accent6 2 2 7 3" xfId="10834" xr:uid="{2CFFCD92-B513-401D-BDE0-FA0E14C623CF}"/>
    <cellStyle name="20% - Accent6 2 2 8" xfId="4547" xr:uid="{00000000-0005-0000-0000-00004A030000}"/>
    <cellStyle name="20% - Accent6 2 2 8 2" xfId="12986" xr:uid="{E5680481-6AEA-405B-A56A-F3D5B2297AD6}"/>
    <cellStyle name="20% - Accent6 2 2 9" xfId="8768" xr:uid="{A44111F3-F42A-4844-A02F-71D2C30AFFAB}"/>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15547" xr:uid="{E73B1F09-2420-466E-A02A-65017DE8DF7A}"/>
    <cellStyle name="20% - Accent6 2 3 2 2 3" xfId="11329" xr:uid="{26C1CE86-BAD0-460E-BEAF-2E530CA60BE5}"/>
    <cellStyle name="20% - Accent6 2 3 2 3" xfId="4963" xr:uid="{00000000-0005-0000-0000-00004F030000}"/>
    <cellStyle name="20% - Accent6 2 3 2 3 2" xfId="13402" xr:uid="{7F55E569-696A-45F1-BBBD-7C82DB6332F8}"/>
    <cellStyle name="20% - Accent6 2 3 2 4" xfId="9184" xr:uid="{17874C28-A1C3-4A5E-9E9F-C40F07FF78A7}"/>
    <cellStyle name="20% - Accent6 2 3 3" xfId="1067" xr:uid="{00000000-0005-0000-0000-000050030000}"/>
    <cellStyle name="20% - Accent6 2 3 3 2" xfId="3298" xr:uid="{00000000-0005-0000-0000-000051030000}"/>
    <cellStyle name="20% - Accent6 2 3 3 2 2" xfId="7521" xr:uid="{00000000-0005-0000-0000-000052030000}"/>
    <cellStyle name="20% - Accent6 2 3 3 2 2 2" xfId="15960" xr:uid="{871BE169-8A88-4207-A460-76C4C6041D74}"/>
    <cellStyle name="20% - Accent6 2 3 3 2 3" xfId="11742" xr:uid="{74D6171D-21DC-4D98-9B0C-EC2C26BED82E}"/>
    <cellStyle name="20% - Accent6 2 3 3 3" xfId="5376" xr:uid="{00000000-0005-0000-0000-000053030000}"/>
    <cellStyle name="20% - Accent6 2 3 3 3 2" xfId="13815" xr:uid="{5898614C-2FAB-417C-9F67-86775C5A2ACF}"/>
    <cellStyle name="20% - Accent6 2 3 3 4" xfId="9597" xr:uid="{0B50CEDC-0201-4326-B27E-CAB16BA53C3C}"/>
    <cellStyle name="20% - Accent6 2 3 4" xfId="1481" xr:uid="{00000000-0005-0000-0000-000054030000}"/>
    <cellStyle name="20% - Accent6 2 3 4 2" xfId="3711" xr:uid="{00000000-0005-0000-0000-000055030000}"/>
    <cellStyle name="20% - Accent6 2 3 4 2 2" xfId="7934" xr:uid="{00000000-0005-0000-0000-000056030000}"/>
    <cellStyle name="20% - Accent6 2 3 4 2 2 2" xfId="16373" xr:uid="{463B8BC9-5138-4222-981E-AE726B6EDBAB}"/>
    <cellStyle name="20% - Accent6 2 3 4 2 3" xfId="12155" xr:uid="{E85349D0-2492-463C-8F22-A4921AD4A7B9}"/>
    <cellStyle name="20% - Accent6 2 3 4 3" xfId="5789" xr:uid="{00000000-0005-0000-0000-000057030000}"/>
    <cellStyle name="20% - Accent6 2 3 4 3 2" xfId="14228" xr:uid="{AC8095EF-C5B4-47EF-9E87-865D625CD4B9}"/>
    <cellStyle name="20% - Accent6 2 3 4 4" xfId="10010" xr:uid="{D16F5C17-8F63-4D73-9F44-08E5FFEC4E59}"/>
    <cellStyle name="20% - Accent6 2 3 5" xfId="1895" xr:uid="{00000000-0005-0000-0000-000058030000}"/>
    <cellStyle name="20% - Accent6 2 3 5 2" xfId="4124" xr:uid="{00000000-0005-0000-0000-000059030000}"/>
    <cellStyle name="20% - Accent6 2 3 5 2 2" xfId="8347" xr:uid="{00000000-0005-0000-0000-00005A030000}"/>
    <cellStyle name="20% - Accent6 2 3 5 2 2 2" xfId="16786" xr:uid="{61D68FA3-843B-4BE0-9511-198EE1D4F87C}"/>
    <cellStyle name="20% - Accent6 2 3 5 2 3" xfId="12568" xr:uid="{93C66AE8-621F-46BC-95AB-E1D5C999EE13}"/>
    <cellStyle name="20% - Accent6 2 3 5 3" xfId="6202" xr:uid="{00000000-0005-0000-0000-00005B030000}"/>
    <cellStyle name="20% - Accent6 2 3 5 3 2" xfId="14641" xr:uid="{73ABF5B8-F3C7-4C25-898D-8853BD12EA26}"/>
    <cellStyle name="20% - Accent6 2 3 5 4" xfId="10423" xr:uid="{03D47552-2C57-4C31-BD0E-924E0C18C3F1}"/>
    <cellStyle name="20% - Accent6 2 3 6" xfId="2308" xr:uid="{00000000-0005-0000-0000-00005C030000}"/>
    <cellStyle name="20% - Accent6 2 3 6 2" xfId="6615" xr:uid="{00000000-0005-0000-0000-00005D030000}"/>
    <cellStyle name="20% - Accent6 2 3 6 2 2" xfId="15054" xr:uid="{D20BD869-D01D-410D-9BDF-F315836ED58A}"/>
    <cellStyle name="20% - Accent6 2 3 6 3" xfId="10836" xr:uid="{419F7D4E-14C1-4C08-A5B2-AB5E8B4F2015}"/>
    <cellStyle name="20% - Accent6 2 3 7" xfId="4549" xr:uid="{00000000-0005-0000-0000-00005E030000}"/>
    <cellStyle name="20% - Accent6 2 3 7 2" xfId="12988" xr:uid="{CF7E0AA0-76CD-4A6A-B5BE-3D1B76A77DEC}"/>
    <cellStyle name="20% - Accent6 2 3 8" xfId="8770" xr:uid="{2C7DBE1C-4BB6-4F7E-B3DE-E22B75776274}"/>
    <cellStyle name="20% - Accent6 2 4" xfId="611" xr:uid="{00000000-0005-0000-0000-00005F030000}"/>
    <cellStyle name="20% - Accent6 2 4 2" xfId="2882" xr:uid="{00000000-0005-0000-0000-000060030000}"/>
    <cellStyle name="20% - Accent6 2 4 2 2" xfId="7105" xr:uid="{00000000-0005-0000-0000-000061030000}"/>
    <cellStyle name="20% - Accent6 2 4 2 2 2" xfId="15544" xr:uid="{D189C909-FA3D-4749-B496-67D4B83EBD73}"/>
    <cellStyle name="20% - Accent6 2 4 2 3" xfId="11326" xr:uid="{F4233A1A-5D88-43D8-B166-C9C2D8AE728F}"/>
    <cellStyle name="20% - Accent6 2 4 3" xfId="4960" xr:uid="{00000000-0005-0000-0000-000062030000}"/>
    <cellStyle name="20% - Accent6 2 4 3 2" xfId="13399" xr:uid="{5F9B02DF-B693-46D3-B89C-821381B4874C}"/>
    <cellStyle name="20% - Accent6 2 4 4" xfId="9181" xr:uid="{56A5E3D9-9297-45A9-96BF-DFE8DD3A68CD}"/>
    <cellStyle name="20% - Accent6 2 5" xfId="1064" xr:uid="{00000000-0005-0000-0000-000063030000}"/>
    <cellStyle name="20% - Accent6 2 5 2" xfId="3295" xr:uid="{00000000-0005-0000-0000-000064030000}"/>
    <cellStyle name="20% - Accent6 2 5 2 2" xfId="7518" xr:uid="{00000000-0005-0000-0000-000065030000}"/>
    <cellStyle name="20% - Accent6 2 5 2 2 2" xfId="15957" xr:uid="{DA995939-BACA-4AE8-9268-5574598EEDF7}"/>
    <cellStyle name="20% - Accent6 2 5 2 3" xfId="11739" xr:uid="{7C2D64B2-542D-4C90-A660-0B50189BA1E5}"/>
    <cellStyle name="20% - Accent6 2 5 3" xfId="5373" xr:uid="{00000000-0005-0000-0000-000066030000}"/>
    <cellStyle name="20% - Accent6 2 5 3 2" xfId="13812" xr:uid="{5AE53CD4-399F-4D06-B7D6-A0DEBE4607BA}"/>
    <cellStyle name="20% - Accent6 2 5 4" xfId="9594" xr:uid="{C179ED7E-497B-4598-9212-76090A0ABFB4}"/>
    <cellStyle name="20% - Accent6 2 6" xfId="1478" xr:uid="{00000000-0005-0000-0000-000067030000}"/>
    <cellStyle name="20% - Accent6 2 6 2" xfId="3708" xr:uid="{00000000-0005-0000-0000-000068030000}"/>
    <cellStyle name="20% - Accent6 2 6 2 2" xfId="7931" xr:uid="{00000000-0005-0000-0000-000069030000}"/>
    <cellStyle name="20% - Accent6 2 6 2 2 2" xfId="16370" xr:uid="{C92460DD-4516-46BD-9FB6-9ED00A4DB560}"/>
    <cellStyle name="20% - Accent6 2 6 2 3" xfId="12152" xr:uid="{563CC7E6-E3A3-4467-8BE0-71138A7FF23A}"/>
    <cellStyle name="20% - Accent6 2 6 3" xfId="5786" xr:uid="{00000000-0005-0000-0000-00006A030000}"/>
    <cellStyle name="20% - Accent6 2 6 3 2" xfId="14225" xr:uid="{5423E734-CE8A-4588-89EC-B25A4A9DE7D6}"/>
    <cellStyle name="20% - Accent6 2 6 4" xfId="10007" xr:uid="{5D6FB008-9788-4AC8-9C2F-A02037E5D581}"/>
    <cellStyle name="20% - Accent6 2 7" xfId="1892" xr:uid="{00000000-0005-0000-0000-00006B030000}"/>
    <cellStyle name="20% - Accent6 2 7 2" xfId="4121" xr:uid="{00000000-0005-0000-0000-00006C030000}"/>
    <cellStyle name="20% - Accent6 2 7 2 2" xfId="8344" xr:uid="{00000000-0005-0000-0000-00006D030000}"/>
    <cellStyle name="20% - Accent6 2 7 2 2 2" xfId="16783" xr:uid="{D205D87E-5F7E-423E-A22C-AC61220334E9}"/>
    <cellStyle name="20% - Accent6 2 7 2 3" xfId="12565" xr:uid="{E33AFA71-7491-4CC5-B5FA-7904C0B9AEC1}"/>
    <cellStyle name="20% - Accent6 2 7 3" xfId="6199" xr:uid="{00000000-0005-0000-0000-00006E030000}"/>
    <cellStyle name="20% - Accent6 2 7 3 2" xfId="14638" xr:uid="{FFF7A76F-A6EF-4A33-8556-84BAB3B4C424}"/>
    <cellStyle name="20% - Accent6 2 7 4" xfId="10420" xr:uid="{5906C050-7DEA-4FE8-9D21-F90989C801EC}"/>
    <cellStyle name="20% - Accent6 2 8" xfId="2305" xr:uid="{00000000-0005-0000-0000-00006F030000}"/>
    <cellStyle name="20% - Accent6 2 8 2" xfId="6612" xr:uid="{00000000-0005-0000-0000-000070030000}"/>
    <cellStyle name="20% - Accent6 2 8 2 2" xfId="15051" xr:uid="{46AC3B29-6EFC-479A-807C-5290B7D63ABF}"/>
    <cellStyle name="20% - Accent6 2 8 3" xfId="10833" xr:uid="{C87441B7-5D5D-4FE0-98EB-BD490BC7156E}"/>
    <cellStyle name="20% - Accent6 2 9" xfId="4546" xr:uid="{00000000-0005-0000-0000-000071030000}"/>
    <cellStyle name="20% - Accent6 2 9 2" xfId="12985" xr:uid="{C1F81269-75A3-412C-8C02-D16539E46CA4}"/>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15549" xr:uid="{5373BC37-6CB1-40F2-97D4-1DBB00DDF4EB}"/>
    <cellStyle name="20% - Accent6 3 2 2 2 3" xfId="11331" xr:uid="{8B6FA66B-7A02-451B-B4ED-22443E55D2AE}"/>
    <cellStyle name="20% - Accent6 3 2 2 3" xfId="4965" xr:uid="{00000000-0005-0000-0000-000077030000}"/>
    <cellStyle name="20% - Accent6 3 2 2 3 2" xfId="13404" xr:uid="{49854D06-B929-48BC-86A2-45D200240142}"/>
    <cellStyle name="20% - Accent6 3 2 2 4" xfId="9186" xr:uid="{A1107CD3-6280-46D2-A8AB-1BA9D6F79B20}"/>
    <cellStyle name="20% - Accent6 3 2 3" xfId="1069" xr:uid="{00000000-0005-0000-0000-000078030000}"/>
    <cellStyle name="20% - Accent6 3 2 3 2" xfId="3300" xr:uid="{00000000-0005-0000-0000-000079030000}"/>
    <cellStyle name="20% - Accent6 3 2 3 2 2" xfId="7523" xr:uid="{00000000-0005-0000-0000-00007A030000}"/>
    <cellStyle name="20% - Accent6 3 2 3 2 2 2" xfId="15962" xr:uid="{E852E02A-F1BC-4413-AB26-D9E53E315827}"/>
    <cellStyle name="20% - Accent6 3 2 3 2 3" xfId="11744" xr:uid="{09E643F5-9239-4B18-97ED-5EAC4A0A07FC}"/>
    <cellStyle name="20% - Accent6 3 2 3 3" xfId="5378" xr:uid="{00000000-0005-0000-0000-00007B030000}"/>
    <cellStyle name="20% - Accent6 3 2 3 3 2" xfId="13817" xr:uid="{FFA55E7D-23EE-49A8-B611-0BF2CB302E29}"/>
    <cellStyle name="20% - Accent6 3 2 3 4" xfId="9599" xr:uid="{BA3EF4B4-08DA-4E76-BD74-4F5E2B700FBC}"/>
    <cellStyle name="20% - Accent6 3 2 4" xfId="1483" xr:uid="{00000000-0005-0000-0000-00007C030000}"/>
    <cellStyle name="20% - Accent6 3 2 4 2" xfId="3713" xr:uid="{00000000-0005-0000-0000-00007D030000}"/>
    <cellStyle name="20% - Accent6 3 2 4 2 2" xfId="7936" xr:uid="{00000000-0005-0000-0000-00007E030000}"/>
    <cellStyle name="20% - Accent6 3 2 4 2 2 2" xfId="16375" xr:uid="{065A65D0-D134-4659-B985-E20C65308F21}"/>
    <cellStyle name="20% - Accent6 3 2 4 2 3" xfId="12157" xr:uid="{15051C73-4050-49B6-A451-DF034B76762A}"/>
    <cellStyle name="20% - Accent6 3 2 4 3" xfId="5791" xr:uid="{00000000-0005-0000-0000-00007F030000}"/>
    <cellStyle name="20% - Accent6 3 2 4 3 2" xfId="14230" xr:uid="{745B66B8-E3A7-4F87-BB26-7077CBBCE194}"/>
    <cellStyle name="20% - Accent6 3 2 4 4" xfId="10012" xr:uid="{E00592FD-B0B5-445F-9C3D-04283C99A88A}"/>
    <cellStyle name="20% - Accent6 3 2 5" xfId="1897" xr:uid="{00000000-0005-0000-0000-000080030000}"/>
    <cellStyle name="20% - Accent6 3 2 5 2" xfId="4126" xr:uid="{00000000-0005-0000-0000-000081030000}"/>
    <cellStyle name="20% - Accent6 3 2 5 2 2" xfId="8349" xr:uid="{00000000-0005-0000-0000-000082030000}"/>
    <cellStyle name="20% - Accent6 3 2 5 2 2 2" xfId="16788" xr:uid="{EBA2E494-1488-4330-9C2F-9FB66164C681}"/>
    <cellStyle name="20% - Accent6 3 2 5 2 3" xfId="12570" xr:uid="{00A43892-CAEB-4CCF-9BE2-9DCADE8E5E90}"/>
    <cellStyle name="20% - Accent6 3 2 5 3" xfId="6204" xr:uid="{00000000-0005-0000-0000-000083030000}"/>
    <cellStyle name="20% - Accent6 3 2 5 3 2" xfId="14643" xr:uid="{E9464173-F35C-4382-B025-7C1629188803}"/>
    <cellStyle name="20% - Accent6 3 2 5 4" xfId="10425" xr:uid="{B186ACEA-FA6F-4CAD-9A83-B8EE6C917D03}"/>
    <cellStyle name="20% - Accent6 3 2 6" xfId="2310" xr:uid="{00000000-0005-0000-0000-000084030000}"/>
    <cellStyle name="20% - Accent6 3 2 6 2" xfId="6617" xr:uid="{00000000-0005-0000-0000-000085030000}"/>
    <cellStyle name="20% - Accent6 3 2 6 2 2" xfId="15056" xr:uid="{61107069-A0A4-4514-BE25-4193E0BA2DFA}"/>
    <cellStyle name="20% - Accent6 3 2 6 3" xfId="10838" xr:uid="{CF0E5558-478B-4B9C-AA02-AC64B7434594}"/>
    <cellStyle name="20% - Accent6 3 2 7" xfId="4551" xr:uid="{00000000-0005-0000-0000-000086030000}"/>
    <cellStyle name="20% - Accent6 3 2 7 2" xfId="12990" xr:uid="{21308601-6741-4D1C-8C25-389B10A8B06B}"/>
    <cellStyle name="20% - Accent6 3 2 8" xfId="8772" xr:uid="{6BAC77C2-B2CE-4B57-AC6C-B0E45FE79176}"/>
    <cellStyle name="20% - Accent6 3 3" xfId="615" xr:uid="{00000000-0005-0000-0000-000087030000}"/>
    <cellStyle name="20% - Accent6 3 3 2" xfId="2886" xr:uid="{00000000-0005-0000-0000-000088030000}"/>
    <cellStyle name="20% - Accent6 3 3 2 2" xfId="7109" xr:uid="{00000000-0005-0000-0000-000089030000}"/>
    <cellStyle name="20% - Accent6 3 3 2 2 2" xfId="15548" xr:uid="{35B61FA1-9DB9-4FF9-B1FE-D9888B75A729}"/>
    <cellStyle name="20% - Accent6 3 3 2 3" xfId="11330" xr:uid="{BF47D2E9-2E9A-47DE-AF01-432B1EC82178}"/>
    <cellStyle name="20% - Accent6 3 3 3" xfId="4964" xr:uid="{00000000-0005-0000-0000-00008A030000}"/>
    <cellStyle name="20% - Accent6 3 3 3 2" xfId="13403" xr:uid="{136ABC6C-FF8B-445F-9B80-6FBBCF31659D}"/>
    <cellStyle name="20% - Accent6 3 3 4" xfId="9185" xr:uid="{9B562166-D1CE-48B2-B9AA-5EB68214D9EB}"/>
    <cellStyle name="20% - Accent6 3 4" xfId="1068" xr:uid="{00000000-0005-0000-0000-00008B030000}"/>
    <cellStyle name="20% - Accent6 3 4 2" xfId="3299" xr:uid="{00000000-0005-0000-0000-00008C030000}"/>
    <cellStyle name="20% - Accent6 3 4 2 2" xfId="7522" xr:uid="{00000000-0005-0000-0000-00008D030000}"/>
    <cellStyle name="20% - Accent6 3 4 2 2 2" xfId="15961" xr:uid="{AB1B40A8-626C-4BE8-904D-18433A4EC9BD}"/>
    <cellStyle name="20% - Accent6 3 4 2 3" xfId="11743" xr:uid="{EAC5BD60-9462-4C55-B0A7-0797741EFA39}"/>
    <cellStyle name="20% - Accent6 3 4 3" xfId="5377" xr:uid="{00000000-0005-0000-0000-00008E030000}"/>
    <cellStyle name="20% - Accent6 3 4 3 2" xfId="13816" xr:uid="{EE1FC66D-169D-46A4-92DA-0CFAE7F4AE81}"/>
    <cellStyle name="20% - Accent6 3 4 4" xfId="9598" xr:uid="{975E184F-D436-4F84-B2B8-F418058CDC26}"/>
    <cellStyle name="20% - Accent6 3 5" xfId="1482" xr:uid="{00000000-0005-0000-0000-00008F030000}"/>
    <cellStyle name="20% - Accent6 3 5 2" xfId="3712" xr:uid="{00000000-0005-0000-0000-000090030000}"/>
    <cellStyle name="20% - Accent6 3 5 2 2" xfId="7935" xr:uid="{00000000-0005-0000-0000-000091030000}"/>
    <cellStyle name="20% - Accent6 3 5 2 2 2" xfId="16374" xr:uid="{3D9D9018-0F5B-4457-96AB-5FECF912E57A}"/>
    <cellStyle name="20% - Accent6 3 5 2 3" xfId="12156" xr:uid="{C9BBDB04-937B-4095-95DC-FE7CE1BCBFA8}"/>
    <cellStyle name="20% - Accent6 3 5 3" xfId="5790" xr:uid="{00000000-0005-0000-0000-000092030000}"/>
    <cellStyle name="20% - Accent6 3 5 3 2" xfId="14229" xr:uid="{4FFEF201-B7EC-4FDC-A293-70EEE6437A52}"/>
    <cellStyle name="20% - Accent6 3 5 4" xfId="10011" xr:uid="{BAC80D41-4286-4653-B1FE-1B9923B10C40}"/>
    <cellStyle name="20% - Accent6 3 6" xfId="1896" xr:uid="{00000000-0005-0000-0000-000093030000}"/>
    <cellStyle name="20% - Accent6 3 6 2" xfId="4125" xr:uid="{00000000-0005-0000-0000-000094030000}"/>
    <cellStyle name="20% - Accent6 3 6 2 2" xfId="8348" xr:uid="{00000000-0005-0000-0000-000095030000}"/>
    <cellStyle name="20% - Accent6 3 6 2 2 2" xfId="16787" xr:uid="{E92B98B8-960B-4CBD-9BB7-546D40C38A1F}"/>
    <cellStyle name="20% - Accent6 3 6 2 3" xfId="12569" xr:uid="{DB769CEE-9DB1-44F9-B99E-FE79D64B43C0}"/>
    <cellStyle name="20% - Accent6 3 6 3" xfId="6203" xr:uid="{00000000-0005-0000-0000-000096030000}"/>
    <cellStyle name="20% - Accent6 3 6 3 2" xfId="14642" xr:uid="{9CF925E9-CFAB-4B51-B9DD-4B483DA8F805}"/>
    <cellStyle name="20% - Accent6 3 6 4" xfId="10424" xr:uid="{4CDD07C6-3044-4815-A4BA-0CC87FCB8A9B}"/>
    <cellStyle name="20% - Accent6 3 7" xfId="2309" xr:uid="{00000000-0005-0000-0000-000097030000}"/>
    <cellStyle name="20% - Accent6 3 7 2" xfId="6616" xr:uid="{00000000-0005-0000-0000-000098030000}"/>
    <cellStyle name="20% - Accent6 3 7 2 2" xfId="15055" xr:uid="{8DF0FF7C-10D8-4AC2-9DE4-B3581556BB40}"/>
    <cellStyle name="20% - Accent6 3 7 3" xfId="10837" xr:uid="{0DDB3071-F99D-464A-B9B0-B03A754677D9}"/>
    <cellStyle name="20% - Accent6 3 8" xfId="4550" xr:uid="{00000000-0005-0000-0000-000099030000}"/>
    <cellStyle name="20% - Accent6 3 8 2" xfId="12989" xr:uid="{5711A4C6-FAC1-440C-A41B-6CED6DC81799}"/>
    <cellStyle name="20% - Accent6 3 9" xfId="8771" xr:uid="{49948CE2-1448-4B03-8DFC-5028FCA8B3C9}"/>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2 2 2" xfId="15550" xr:uid="{1D57AB54-FBDB-4673-8C35-AAE6067857FD}"/>
    <cellStyle name="20% - Accent6 4 2 2 3" xfId="11332" xr:uid="{5C33BACD-5298-4466-90D0-411FFA71CF4A}"/>
    <cellStyle name="20% - Accent6 4 2 3" xfId="4966" xr:uid="{00000000-0005-0000-0000-00009E030000}"/>
    <cellStyle name="20% - Accent6 4 2 3 2" xfId="13405" xr:uid="{EF0903E6-AAA6-4661-90B9-2F126A6A96FC}"/>
    <cellStyle name="20% - Accent6 4 2 4" xfId="9187" xr:uid="{BA41CC97-7D1B-4797-87F6-A4F49E8C9BBE}"/>
    <cellStyle name="20% - Accent6 4 3" xfId="1070" xr:uid="{00000000-0005-0000-0000-00009F030000}"/>
    <cellStyle name="20% - Accent6 4 3 2" xfId="3301" xr:uid="{00000000-0005-0000-0000-0000A0030000}"/>
    <cellStyle name="20% - Accent6 4 3 2 2" xfId="7524" xr:uid="{00000000-0005-0000-0000-0000A1030000}"/>
    <cellStyle name="20% - Accent6 4 3 2 2 2" xfId="15963" xr:uid="{7F1E5209-46BA-4199-A447-5144B42CC0D7}"/>
    <cellStyle name="20% - Accent6 4 3 2 3" xfId="11745" xr:uid="{9B7668DA-DEE2-4274-B296-B443E7431F99}"/>
    <cellStyle name="20% - Accent6 4 3 3" xfId="5379" xr:uid="{00000000-0005-0000-0000-0000A2030000}"/>
    <cellStyle name="20% - Accent6 4 3 3 2" xfId="13818" xr:uid="{9B6D4D45-0964-4FFE-B7EC-69BDB1EBC2FD}"/>
    <cellStyle name="20% - Accent6 4 3 4" xfId="9600" xr:uid="{7CAB190F-652F-45BA-92CB-7EFE85EECDB5}"/>
    <cellStyle name="20% - Accent6 4 4" xfId="1484" xr:uid="{00000000-0005-0000-0000-0000A3030000}"/>
    <cellStyle name="20% - Accent6 4 4 2" xfId="3714" xr:uid="{00000000-0005-0000-0000-0000A4030000}"/>
    <cellStyle name="20% - Accent6 4 4 2 2" xfId="7937" xr:uid="{00000000-0005-0000-0000-0000A5030000}"/>
    <cellStyle name="20% - Accent6 4 4 2 2 2" xfId="16376" xr:uid="{27237FCD-BBED-41C8-B358-D2BB5B544988}"/>
    <cellStyle name="20% - Accent6 4 4 2 3" xfId="12158" xr:uid="{F3730956-26D7-4F50-8324-F810598BFAD0}"/>
    <cellStyle name="20% - Accent6 4 4 3" xfId="5792" xr:uid="{00000000-0005-0000-0000-0000A6030000}"/>
    <cellStyle name="20% - Accent6 4 4 3 2" xfId="14231" xr:uid="{0556BFD1-2C61-450C-A4EA-0B476FC146F4}"/>
    <cellStyle name="20% - Accent6 4 4 4" xfId="10013" xr:uid="{79B5DBAA-B006-4D20-9E3B-C5C26FBA6591}"/>
    <cellStyle name="20% - Accent6 4 5" xfId="1898" xr:uid="{00000000-0005-0000-0000-0000A7030000}"/>
    <cellStyle name="20% - Accent6 4 5 2" xfId="4127" xr:uid="{00000000-0005-0000-0000-0000A8030000}"/>
    <cellStyle name="20% - Accent6 4 5 2 2" xfId="8350" xr:uid="{00000000-0005-0000-0000-0000A9030000}"/>
    <cellStyle name="20% - Accent6 4 5 2 2 2" xfId="16789" xr:uid="{1915F56E-9DE9-4203-A3F9-064822204C63}"/>
    <cellStyle name="20% - Accent6 4 5 2 3" xfId="12571" xr:uid="{96A65F2C-1C57-41BD-8438-6A6871E5DBF6}"/>
    <cellStyle name="20% - Accent6 4 5 3" xfId="6205" xr:uid="{00000000-0005-0000-0000-0000AA030000}"/>
    <cellStyle name="20% - Accent6 4 5 3 2" xfId="14644" xr:uid="{7DC8D36F-477F-497A-AB70-9EDB7F618B04}"/>
    <cellStyle name="20% - Accent6 4 5 4" xfId="10426" xr:uid="{FC6CC033-5B92-4B0B-9FF4-FC871681437D}"/>
    <cellStyle name="20% - Accent6 4 6" xfId="2311" xr:uid="{00000000-0005-0000-0000-0000AB030000}"/>
    <cellStyle name="20% - Accent6 4 6 2" xfId="6618" xr:uid="{00000000-0005-0000-0000-0000AC030000}"/>
    <cellStyle name="20% - Accent6 4 6 2 2" xfId="15057" xr:uid="{8C8C89F4-9324-47F1-8C7E-E6B09AAE1109}"/>
    <cellStyle name="20% - Accent6 4 6 3" xfId="10839" xr:uid="{B46ED036-660A-4167-9709-7C9BCE204174}"/>
    <cellStyle name="20% - Accent6 4 7" xfId="4552" xr:uid="{00000000-0005-0000-0000-0000AD030000}"/>
    <cellStyle name="20% - Accent6 4 7 2" xfId="12991" xr:uid="{30CF4A62-51CF-489D-BA5A-83A7AC202232}"/>
    <cellStyle name="20% - Accent6 4 8" xfId="8773" xr:uid="{80679B7D-C520-4758-946A-AFBE1B69D920}"/>
    <cellStyle name="20% - Accent6 5" xfId="610" xr:uid="{00000000-0005-0000-0000-0000AE030000}"/>
    <cellStyle name="20% - Accent6 5 2" xfId="2881" xr:uid="{00000000-0005-0000-0000-0000AF030000}"/>
    <cellStyle name="20% - Accent6 5 2 2" xfId="7104" xr:uid="{00000000-0005-0000-0000-0000B0030000}"/>
    <cellStyle name="20% - Accent6 5 2 2 2" xfId="15543" xr:uid="{380BA087-A163-4892-94F7-AE288626E200}"/>
    <cellStyle name="20% - Accent6 5 2 3" xfId="11325" xr:uid="{FF74AEC7-4942-4FFB-880F-895FFA4F9DD1}"/>
    <cellStyle name="20% - Accent6 5 3" xfId="4959" xr:uid="{00000000-0005-0000-0000-0000B1030000}"/>
    <cellStyle name="20% - Accent6 5 3 2" xfId="13398" xr:uid="{0797D45D-B977-40E0-B6EC-C114118882EB}"/>
    <cellStyle name="20% - Accent6 5 4" xfId="9180" xr:uid="{7ED60274-FC50-4721-8EDA-2DAA989DF96B}"/>
    <cellStyle name="20% - Accent6 6" xfId="1063" xr:uid="{00000000-0005-0000-0000-0000B2030000}"/>
    <cellStyle name="20% - Accent6 6 2" xfId="3294" xr:uid="{00000000-0005-0000-0000-0000B3030000}"/>
    <cellStyle name="20% - Accent6 6 2 2" xfId="7517" xr:uid="{00000000-0005-0000-0000-0000B4030000}"/>
    <cellStyle name="20% - Accent6 6 2 2 2" xfId="15956" xr:uid="{17C71BF8-0430-4962-9E6C-819997F32F05}"/>
    <cellStyle name="20% - Accent6 6 2 3" xfId="11738" xr:uid="{46ED41F8-B946-4CDD-93A4-635CE4181010}"/>
    <cellStyle name="20% - Accent6 6 3" xfId="5372" xr:uid="{00000000-0005-0000-0000-0000B5030000}"/>
    <cellStyle name="20% - Accent6 6 3 2" xfId="13811" xr:uid="{7C9223B4-3E46-40F2-BCF3-3B189BA727B5}"/>
    <cellStyle name="20% - Accent6 6 4" xfId="9593" xr:uid="{C9CB3B64-D22C-4804-8D60-7739C3C2A330}"/>
    <cellStyle name="20% - Accent6 7" xfId="1477" xr:uid="{00000000-0005-0000-0000-0000B6030000}"/>
    <cellStyle name="20% - Accent6 7 2" xfId="3707" xr:uid="{00000000-0005-0000-0000-0000B7030000}"/>
    <cellStyle name="20% - Accent6 7 2 2" xfId="7930" xr:uid="{00000000-0005-0000-0000-0000B8030000}"/>
    <cellStyle name="20% - Accent6 7 2 2 2" xfId="16369" xr:uid="{8A4F71FC-4BA1-49A0-B16E-BFD44F4BAA6B}"/>
    <cellStyle name="20% - Accent6 7 2 3" xfId="12151" xr:uid="{650ABB8D-6F14-432E-A2BC-6CF0432F7C33}"/>
    <cellStyle name="20% - Accent6 7 3" xfId="5785" xr:uid="{00000000-0005-0000-0000-0000B9030000}"/>
    <cellStyle name="20% - Accent6 7 3 2" xfId="14224" xr:uid="{22B921C4-F78F-4D26-83EB-D355F607FB29}"/>
    <cellStyle name="20% - Accent6 7 4" xfId="10006" xr:uid="{BB196EFF-A036-4CEA-8BDD-8DB04F2A466D}"/>
    <cellStyle name="20% - Accent6 8" xfId="1891" xr:uid="{00000000-0005-0000-0000-0000BA030000}"/>
    <cellStyle name="20% - Accent6 8 2" xfId="4120" xr:uid="{00000000-0005-0000-0000-0000BB030000}"/>
    <cellStyle name="20% - Accent6 8 2 2" xfId="8343" xr:uid="{00000000-0005-0000-0000-0000BC030000}"/>
    <cellStyle name="20% - Accent6 8 2 2 2" xfId="16782" xr:uid="{81266F53-8EF1-4171-A963-DA1710BC6E52}"/>
    <cellStyle name="20% - Accent6 8 2 3" xfId="12564" xr:uid="{757C6F99-AEE0-48AF-A548-8B13CA7401EB}"/>
    <cellStyle name="20% - Accent6 8 3" xfId="6198" xr:uid="{00000000-0005-0000-0000-0000BD030000}"/>
    <cellStyle name="20% - Accent6 8 3 2" xfId="14637" xr:uid="{89099FF5-0CDF-45B8-BE93-F1043CE496EB}"/>
    <cellStyle name="20% - Accent6 8 4" xfId="10419" xr:uid="{87012F5F-D399-4DF0-B11C-A4CD39C89701}"/>
    <cellStyle name="20% - Accent6 9" xfId="2304" xr:uid="{00000000-0005-0000-0000-0000BE030000}"/>
    <cellStyle name="20% - Accent6 9 2" xfId="6611" xr:uid="{00000000-0005-0000-0000-0000BF030000}"/>
    <cellStyle name="20% - Accent6 9 2 2" xfId="15050" xr:uid="{F1DFF8EC-B626-4099-A460-49A499E44A3C}"/>
    <cellStyle name="20% - Accent6 9 3" xfId="10832" xr:uid="{F0545EB0-40A0-44C9-B484-C9B4778458A7}"/>
    <cellStyle name="40% - Accent1" xfId="49" builtinId="31" customBuiltin="1"/>
    <cellStyle name="40% - Accent1 10" xfId="4553" xr:uid="{00000000-0005-0000-0000-0000C1030000}"/>
    <cellStyle name="40% - Accent1 10 2" xfId="12992" xr:uid="{18674547-8D01-4A3B-81FB-260FD8847776}"/>
    <cellStyle name="40% - Accent1 11" xfId="8774" xr:uid="{045AB5E6-E233-4132-8049-CEDE45CA7013}"/>
    <cellStyle name="40% - Accent1 2" xfId="50" xr:uid="{00000000-0005-0000-0000-0000C2030000}"/>
    <cellStyle name="40% - Accent1 2 10" xfId="8775" xr:uid="{844EE541-4050-493C-9866-B356D1A06A3B}"/>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15554" xr:uid="{A0EDDFC8-F006-431C-A922-04A782C427B2}"/>
    <cellStyle name="40% - Accent1 2 2 2 2 2 3" xfId="11336" xr:uid="{E7CA157C-069B-4FBC-B22A-3E8D32C43816}"/>
    <cellStyle name="40% - Accent1 2 2 2 2 3" xfId="4970" xr:uid="{00000000-0005-0000-0000-0000C8030000}"/>
    <cellStyle name="40% - Accent1 2 2 2 2 3 2" xfId="13409" xr:uid="{BF134CB4-3857-414C-BD98-BA5FC3BC7D80}"/>
    <cellStyle name="40% - Accent1 2 2 2 2 4" xfId="9191" xr:uid="{DD1AC235-A5FC-432C-827E-62DDABB9C53F}"/>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2 2" xfId="15967" xr:uid="{8C68BD46-9C34-435E-B26E-9487872D0C34}"/>
    <cellStyle name="40% - Accent1 2 2 2 3 2 3" xfId="11749" xr:uid="{631A7F71-2592-4C01-87C1-61C1881AD3E6}"/>
    <cellStyle name="40% - Accent1 2 2 2 3 3" xfId="5383" xr:uid="{00000000-0005-0000-0000-0000CC030000}"/>
    <cellStyle name="40% - Accent1 2 2 2 3 3 2" xfId="13822" xr:uid="{59F5AE65-4EDF-41CA-B925-4E63A6495826}"/>
    <cellStyle name="40% - Accent1 2 2 2 3 4" xfId="9604" xr:uid="{C0A168CB-5301-44BF-9351-ADEAEB80A75C}"/>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2 2 2" xfId="16380" xr:uid="{B2877B76-E25D-4C41-83E5-A23B93EA8A0F}"/>
    <cellStyle name="40% - Accent1 2 2 2 4 2 3" xfId="12162" xr:uid="{886C56BA-D81D-4777-82EC-C0357D5C9AEA}"/>
    <cellStyle name="40% - Accent1 2 2 2 4 3" xfId="5796" xr:uid="{00000000-0005-0000-0000-0000D0030000}"/>
    <cellStyle name="40% - Accent1 2 2 2 4 3 2" xfId="14235" xr:uid="{FBFEB5D5-9F13-4349-A876-162B6250D99B}"/>
    <cellStyle name="40% - Accent1 2 2 2 4 4" xfId="10017" xr:uid="{94BA98E9-3897-4ED7-9207-65122968CBF7}"/>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2 2 2" xfId="16793" xr:uid="{DB714B74-49C8-4710-9157-96F548788091}"/>
    <cellStyle name="40% - Accent1 2 2 2 5 2 3" xfId="12575" xr:uid="{709C12C3-FD01-467A-AF7B-FD31D91B03C7}"/>
    <cellStyle name="40% - Accent1 2 2 2 5 3" xfId="6209" xr:uid="{00000000-0005-0000-0000-0000D4030000}"/>
    <cellStyle name="40% - Accent1 2 2 2 5 3 2" xfId="14648" xr:uid="{5BE93221-038C-4680-BC15-D83570ADF27B}"/>
    <cellStyle name="40% - Accent1 2 2 2 5 4" xfId="10430" xr:uid="{890B4EF6-2B29-48B3-A29E-A4EE317C9CBE}"/>
    <cellStyle name="40% - Accent1 2 2 2 6" xfId="2315" xr:uid="{00000000-0005-0000-0000-0000D5030000}"/>
    <cellStyle name="40% - Accent1 2 2 2 6 2" xfId="6622" xr:uid="{00000000-0005-0000-0000-0000D6030000}"/>
    <cellStyle name="40% - Accent1 2 2 2 6 2 2" xfId="15061" xr:uid="{215CEE3F-09BE-4A0F-92AC-3BFC5F2E36ED}"/>
    <cellStyle name="40% - Accent1 2 2 2 6 3" xfId="10843" xr:uid="{83829B45-F254-440B-858D-206E2E357427}"/>
    <cellStyle name="40% - Accent1 2 2 2 7" xfId="4556" xr:uid="{00000000-0005-0000-0000-0000D7030000}"/>
    <cellStyle name="40% - Accent1 2 2 2 7 2" xfId="12995" xr:uid="{21CCF0F8-52DB-4711-8A1B-3AD9657B9690}"/>
    <cellStyle name="40% - Accent1 2 2 2 8" xfId="8777" xr:uid="{751046EE-29FF-48B9-9AE1-5C3BBBC7D346}"/>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15553" xr:uid="{40737805-DD21-44B3-9D28-CF8AE9CAEFB6}"/>
    <cellStyle name="40% - Accent1 2 2 3 2 3" xfId="11335" xr:uid="{FD48690D-632D-499D-B39F-16335F73DA56}"/>
    <cellStyle name="40% - Accent1 2 2 3 3" xfId="4969" xr:uid="{00000000-0005-0000-0000-0000DB030000}"/>
    <cellStyle name="40% - Accent1 2 2 3 3 2" xfId="13408" xr:uid="{617EA6A8-5A83-49D6-846B-F69A2C42AC03}"/>
    <cellStyle name="40% - Accent1 2 2 3 4" xfId="9190" xr:uid="{2213B793-3E31-4199-BB30-F44F5119DCA6}"/>
    <cellStyle name="40% - Accent1 2 2 4" xfId="1073" xr:uid="{00000000-0005-0000-0000-0000DC030000}"/>
    <cellStyle name="40% - Accent1 2 2 4 2" xfId="3304" xr:uid="{00000000-0005-0000-0000-0000DD030000}"/>
    <cellStyle name="40% - Accent1 2 2 4 2 2" xfId="7527" xr:uid="{00000000-0005-0000-0000-0000DE030000}"/>
    <cellStyle name="40% - Accent1 2 2 4 2 2 2" xfId="15966" xr:uid="{FB177B6B-9D39-4099-BD4B-38A12E602300}"/>
    <cellStyle name="40% - Accent1 2 2 4 2 3" xfId="11748" xr:uid="{1395B54C-592E-4394-B62E-35CD274F6CA3}"/>
    <cellStyle name="40% - Accent1 2 2 4 3" xfId="5382" xr:uid="{00000000-0005-0000-0000-0000DF030000}"/>
    <cellStyle name="40% - Accent1 2 2 4 3 2" xfId="13821" xr:uid="{37F6C932-2B76-439C-AAF4-F6D8A5395B73}"/>
    <cellStyle name="40% - Accent1 2 2 4 4" xfId="9603" xr:uid="{7CDEF37F-E2F1-49C9-BDD6-96B93A4CA3CC}"/>
    <cellStyle name="40% - Accent1 2 2 5" xfId="1487" xr:uid="{00000000-0005-0000-0000-0000E0030000}"/>
    <cellStyle name="40% - Accent1 2 2 5 2" xfId="3717" xr:uid="{00000000-0005-0000-0000-0000E1030000}"/>
    <cellStyle name="40% - Accent1 2 2 5 2 2" xfId="7940" xr:uid="{00000000-0005-0000-0000-0000E2030000}"/>
    <cellStyle name="40% - Accent1 2 2 5 2 2 2" xfId="16379" xr:uid="{BF14CF08-82D0-472B-AF3E-7EA3DC88EF68}"/>
    <cellStyle name="40% - Accent1 2 2 5 2 3" xfId="12161" xr:uid="{11AAB052-57BE-41A6-BD12-2987C55B92BE}"/>
    <cellStyle name="40% - Accent1 2 2 5 3" xfId="5795" xr:uid="{00000000-0005-0000-0000-0000E3030000}"/>
    <cellStyle name="40% - Accent1 2 2 5 3 2" xfId="14234" xr:uid="{4BCDE84B-E198-4CC1-ADAC-8DFDF6047148}"/>
    <cellStyle name="40% - Accent1 2 2 5 4" xfId="10016" xr:uid="{5BD91AAA-467B-473D-AAEE-4EB3FA891472}"/>
    <cellStyle name="40% - Accent1 2 2 6" xfId="1901" xr:uid="{00000000-0005-0000-0000-0000E4030000}"/>
    <cellStyle name="40% - Accent1 2 2 6 2" xfId="4130" xr:uid="{00000000-0005-0000-0000-0000E5030000}"/>
    <cellStyle name="40% - Accent1 2 2 6 2 2" xfId="8353" xr:uid="{00000000-0005-0000-0000-0000E6030000}"/>
    <cellStyle name="40% - Accent1 2 2 6 2 2 2" xfId="16792" xr:uid="{A9D1F7DF-C944-4D23-AF25-1222BBCFECD1}"/>
    <cellStyle name="40% - Accent1 2 2 6 2 3" xfId="12574" xr:uid="{23F40352-D4BF-4F33-82F8-722C3147D00F}"/>
    <cellStyle name="40% - Accent1 2 2 6 3" xfId="6208" xr:uid="{00000000-0005-0000-0000-0000E7030000}"/>
    <cellStyle name="40% - Accent1 2 2 6 3 2" xfId="14647" xr:uid="{AFB0358A-C9F0-47FD-B191-B6EEA8F04E12}"/>
    <cellStyle name="40% - Accent1 2 2 6 4" xfId="10429" xr:uid="{CCF752F4-4DE5-4BC6-9CCD-3813F5A7A794}"/>
    <cellStyle name="40% - Accent1 2 2 7" xfId="2314" xr:uid="{00000000-0005-0000-0000-0000E8030000}"/>
    <cellStyle name="40% - Accent1 2 2 7 2" xfId="6621" xr:uid="{00000000-0005-0000-0000-0000E9030000}"/>
    <cellStyle name="40% - Accent1 2 2 7 2 2" xfId="15060" xr:uid="{54C5F902-3971-4E4B-8F71-644F31BDBA5B}"/>
    <cellStyle name="40% - Accent1 2 2 7 3" xfId="10842" xr:uid="{79121792-9552-40B8-AAC8-829E13044C50}"/>
    <cellStyle name="40% - Accent1 2 2 8" xfId="4555" xr:uid="{00000000-0005-0000-0000-0000EA030000}"/>
    <cellStyle name="40% - Accent1 2 2 8 2" xfId="12994" xr:uid="{491A6515-C676-44DC-B122-4B3E9846602F}"/>
    <cellStyle name="40% - Accent1 2 2 9" xfId="8776" xr:uid="{3BB3537A-E2ED-4ED6-A8D1-4DB745FEB52E}"/>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15555" xr:uid="{DF616715-145B-438C-B364-4CB18117A984}"/>
    <cellStyle name="40% - Accent1 2 3 2 2 3" xfId="11337" xr:uid="{A581312B-91CB-4EA6-AD4F-96EFFF38F3EA}"/>
    <cellStyle name="40% - Accent1 2 3 2 3" xfId="4971" xr:uid="{00000000-0005-0000-0000-0000EF030000}"/>
    <cellStyle name="40% - Accent1 2 3 2 3 2" xfId="13410" xr:uid="{E19BE013-1BE4-4B6E-8F33-F2F69D926899}"/>
    <cellStyle name="40% - Accent1 2 3 2 4" xfId="9192" xr:uid="{0451097B-7F83-44FD-ACD6-63766943AB94}"/>
    <cellStyle name="40% - Accent1 2 3 3" xfId="1075" xr:uid="{00000000-0005-0000-0000-0000F0030000}"/>
    <cellStyle name="40% - Accent1 2 3 3 2" xfId="3306" xr:uid="{00000000-0005-0000-0000-0000F1030000}"/>
    <cellStyle name="40% - Accent1 2 3 3 2 2" xfId="7529" xr:uid="{00000000-0005-0000-0000-0000F2030000}"/>
    <cellStyle name="40% - Accent1 2 3 3 2 2 2" xfId="15968" xr:uid="{944AE8B2-1E92-4DEA-B51D-F4D8B418EC51}"/>
    <cellStyle name="40% - Accent1 2 3 3 2 3" xfId="11750" xr:uid="{D19C4052-740A-4F61-A342-8BF26EF5394B}"/>
    <cellStyle name="40% - Accent1 2 3 3 3" xfId="5384" xr:uid="{00000000-0005-0000-0000-0000F3030000}"/>
    <cellStyle name="40% - Accent1 2 3 3 3 2" xfId="13823" xr:uid="{65AD53C0-97B2-48AD-9B6C-8DF50103A679}"/>
    <cellStyle name="40% - Accent1 2 3 3 4" xfId="9605" xr:uid="{A36DA57F-9FD7-42D9-A1DA-0D641061DE4E}"/>
    <cellStyle name="40% - Accent1 2 3 4" xfId="1489" xr:uid="{00000000-0005-0000-0000-0000F4030000}"/>
    <cellStyle name="40% - Accent1 2 3 4 2" xfId="3719" xr:uid="{00000000-0005-0000-0000-0000F5030000}"/>
    <cellStyle name="40% - Accent1 2 3 4 2 2" xfId="7942" xr:uid="{00000000-0005-0000-0000-0000F6030000}"/>
    <cellStyle name="40% - Accent1 2 3 4 2 2 2" xfId="16381" xr:uid="{DFE9D3E4-9174-4FF1-9715-7093CF1B9389}"/>
    <cellStyle name="40% - Accent1 2 3 4 2 3" xfId="12163" xr:uid="{47C2433B-BC00-41BE-93CF-03FE01B24EC1}"/>
    <cellStyle name="40% - Accent1 2 3 4 3" xfId="5797" xr:uid="{00000000-0005-0000-0000-0000F7030000}"/>
    <cellStyle name="40% - Accent1 2 3 4 3 2" xfId="14236" xr:uid="{A5117301-01C9-423E-824F-D77089F3833E}"/>
    <cellStyle name="40% - Accent1 2 3 4 4" xfId="10018" xr:uid="{119E3E00-FBBC-456F-88AE-5F608A13038F}"/>
    <cellStyle name="40% - Accent1 2 3 5" xfId="1903" xr:uid="{00000000-0005-0000-0000-0000F8030000}"/>
    <cellStyle name="40% - Accent1 2 3 5 2" xfId="4132" xr:uid="{00000000-0005-0000-0000-0000F9030000}"/>
    <cellStyle name="40% - Accent1 2 3 5 2 2" xfId="8355" xr:uid="{00000000-0005-0000-0000-0000FA030000}"/>
    <cellStyle name="40% - Accent1 2 3 5 2 2 2" xfId="16794" xr:uid="{D2A12609-99CF-46C6-A187-7755D6E05E43}"/>
    <cellStyle name="40% - Accent1 2 3 5 2 3" xfId="12576" xr:uid="{33DAC897-0ACD-4442-BB81-FB02647E012B}"/>
    <cellStyle name="40% - Accent1 2 3 5 3" xfId="6210" xr:uid="{00000000-0005-0000-0000-0000FB030000}"/>
    <cellStyle name="40% - Accent1 2 3 5 3 2" xfId="14649" xr:uid="{F88C080D-221A-45F8-9762-E21F5F53F390}"/>
    <cellStyle name="40% - Accent1 2 3 5 4" xfId="10431" xr:uid="{41D449D8-94BC-446E-84FF-A1914A53F257}"/>
    <cellStyle name="40% - Accent1 2 3 6" xfId="2316" xr:uid="{00000000-0005-0000-0000-0000FC030000}"/>
    <cellStyle name="40% - Accent1 2 3 6 2" xfId="6623" xr:uid="{00000000-0005-0000-0000-0000FD030000}"/>
    <cellStyle name="40% - Accent1 2 3 6 2 2" xfId="15062" xr:uid="{6C642B3B-549F-4004-ABE5-C7E5551898AB}"/>
    <cellStyle name="40% - Accent1 2 3 6 3" xfId="10844" xr:uid="{3A28A944-EF0A-4E86-B51A-48CF5C79DEE1}"/>
    <cellStyle name="40% - Accent1 2 3 7" xfId="4557" xr:uid="{00000000-0005-0000-0000-0000FE030000}"/>
    <cellStyle name="40% - Accent1 2 3 7 2" xfId="12996" xr:uid="{B5AD177B-ED17-417B-AFA3-E9051F5AC828}"/>
    <cellStyle name="40% - Accent1 2 3 8" xfId="8778" xr:uid="{3FD04231-715B-4758-B71D-7FD683B48CDA}"/>
    <cellStyle name="40% - Accent1 2 4" xfId="619" xr:uid="{00000000-0005-0000-0000-0000FF030000}"/>
    <cellStyle name="40% - Accent1 2 4 2" xfId="2890" xr:uid="{00000000-0005-0000-0000-000000040000}"/>
    <cellStyle name="40% - Accent1 2 4 2 2" xfId="7113" xr:uid="{00000000-0005-0000-0000-000001040000}"/>
    <cellStyle name="40% - Accent1 2 4 2 2 2" xfId="15552" xr:uid="{23722820-7E25-41E4-93C4-3E9F987338AF}"/>
    <cellStyle name="40% - Accent1 2 4 2 3" xfId="11334" xr:uid="{8A8E7603-947B-4B9B-B48A-684821EBCBF7}"/>
    <cellStyle name="40% - Accent1 2 4 3" xfId="4968" xr:uid="{00000000-0005-0000-0000-000002040000}"/>
    <cellStyle name="40% - Accent1 2 4 3 2" xfId="13407" xr:uid="{232617D8-09E6-4DEA-91B3-4A030424193B}"/>
    <cellStyle name="40% - Accent1 2 4 4" xfId="9189" xr:uid="{4E2672B9-6185-4E91-AB50-F1B078713D1D}"/>
    <cellStyle name="40% - Accent1 2 5" xfId="1072" xr:uid="{00000000-0005-0000-0000-000003040000}"/>
    <cellStyle name="40% - Accent1 2 5 2" xfId="3303" xr:uid="{00000000-0005-0000-0000-000004040000}"/>
    <cellStyle name="40% - Accent1 2 5 2 2" xfId="7526" xr:uid="{00000000-0005-0000-0000-000005040000}"/>
    <cellStyle name="40% - Accent1 2 5 2 2 2" xfId="15965" xr:uid="{D7E1DE80-AADA-464A-BDF3-AD1B979A2961}"/>
    <cellStyle name="40% - Accent1 2 5 2 3" xfId="11747" xr:uid="{089992DA-7934-4826-8ED7-71180BFF9601}"/>
    <cellStyle name="40% - Accent1 2 5 3" xfId="5381" xr:uid="{00000000-0005-0000-0000-000006040000}"/>
    <cellStyle name="40% - Accent1 2 5 3 2" xfId="13820" xr:uid="{BA6A9755-7AFD-45B9-A28F-67C3CBB8AAAC}"/>
    <cellStyle name="40% - Accent1 2 5 4" xfId="9602" xr:uid="{3D01B6DC-F2D7-461B-8B1C-86DA44B3B94F}"/>
    <cellStyle name="40% - Accent1 2 6" xfId="1486" xr:uid="{00000000-0005-0000-0000-000007040000}"/>
    <cellStyle name="40% - Accent1 2 6 2" xfId="3716" xr:uid="{00000000-0005-0000-0000-000008040000}"/>
    <cellStyle name="40% - Accent1 2 6 2 2" xfId="7939" xr:uid="{00000000-0005-0000-0000-000009040000}"/>
    <cellStyle name="40% - Accent1 2 6 2 2 2" xfId="16378" xr:uid="{018BC352-FE7E-4448-A337-FB6713AEAF39}"/>
    <cellStyle name="40% - Accent1 2 6 2 3" xfId="12160" xr:uid="{16B3AD5A-DFC7-4706-8CF2-02050F3CAF64}"/>
    <cellStyle name="40% - Accent1 2 6 3" xfId="5794" xr:uid="{00000000-0005-0000-0000-00000A040000}"/>
    <cellStyle name="40% - Accent1 2 6 3 2" xfId="14233" xr:uid="{EA0F3669-904A-48A5-8463-A99B557D9BEC}"/>
    <cellStyle name="40% - Accent1 2 6 4" xfId="10015" xr:uid="{7C112689-943A-4CA8-8F1E-D89A22BD0C73}"/>
    <cellStyle name="40% - Accent1 2 7" xfId="1900" xr:uid="{00000000-0005-0000-0000-00000B040000}"/>
    <cellStyle name="40% - Accent1 2 7 2" xfId="4129" xr:uid="{00000000-0005-0000-0000-00000C040000}"/>
    <cellStyle name="40% - Accent1 2 7 2 2" xfId="8352" xr:uid="{00000000-0005-0000-0000-00000D040000}"/>
    <cellStyle name="40% - Accent1 2 7 2 2 2" xfId="16791" xr:uid="{FA9C4B21-1D97-40C6-8014-E43D64F2A637}"/>
    <cellStyle name="40% - Accent1 2 7 2 3" xfId="12573" xr:uid="{477C30D7-E766-43B3-86BC-C4E2E49054E7}"/>
    <cellStyle name="40% - Accent1 2 7 3" xfId="6207" xr:uid="{00000000-0005-0000-0000-00000E040000}"/>
    <cellStyle name="40% - Accent1 2 7 3 2" xfId="14646" xr:uid="{24FBA7D0-1822-4FB8-8032-AB7E966337D5}"/>
    <cellStyle name="40% - Accent1 2 7 4" xfId="10428" xr:uid="{8124864A-0C32-4D75-AEBC-59552CC50CA7}"/>
    <cellStyle name="40% - Accent1 2 8" xfId="2313" xr:uid="{00000000-0005-0000-0000-00000F040000}"/>
    <cellStyle name="40% - Accent1 2 8 2" xfId="6620" xr:uid="{00000000-0005-0000-0000-000010040000}"/>
    <cellStyle name="40% - Accent1 2 8 2 2" xfId="15059" xr:uid="{8EA768AB-E399-4108-9232-578BABA1A190}"/>
    <cellStyle name="40% - Accent1 2 8 3" xfId="10841" xr:uid="{F423189F-68BC-4B83-8F55-83AD6C02226F}"/>
    <cellStyle name="40% - Accent1 2 9" xfId="4554" xr:uid="{00000000-0005-0000-0000-000011040000}"/>
    <cellStyle name="40% - Accent1 2 9 2" xfId="12993" xr:uid="{C5B11E2D-30C2-4A87-98DA-54D4FE00D4C6}"/>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15557" xr:uid="{B6A7CA3A-AF75-4CD1-8AA3-FBEC0061E5A3}"/>
    <cellStyle name="40% - Accent1 3 2 2 2 3" xfId="11339" xr:uid="{4EBD36F2-A476-4740-BC58-433ABAB79EE9}"/>
    <cellStyle name="40% - Accent1 3 2 2 3" xfId="4973" xr:uid="{00000000-0005-0000-0000-000017040000}"/>
    <cellStyle name="40% - Accent1 3 2 2 3 2" xfId="13412" xr:uid="{D9549778-3B9A-4B70-89B6-4901D09DEC0B}"/>
    <cellStyle name="40% - Accent1 3 2 2 4" xfId="9194" xr:uid="{7051B2AE-6A44-4200-9947-F3CB09849563}"/>
    <cellStyle name="40% - Accent1 3 2 3" xfId="1077" xr:uid="{00000000-0005-0000-0000-000018040000}"/>
    <cellStyle name="40% - Accent1 3 2 3 2" xfId="3308" xr:uid="{00000000-0005-0000-0000-000019040000}"/>
    <cellStyle name="40% - Accent1 3 2 3 2 2" xfId="7531" xr:uid="{00000000-0005-0000-0000-00001A040000}"/>
    <cellStyle name="40% - Accent1 3 2 3 2 2 2" xfId="15970" xr:uid="{1A4FA6B8-6F40-4162-BD03-3C51FF23ACE7}"/>
    <cellStyle name="40% - Accent1 3 2 3 2 3" xfId="11752" xr:uid="{C6BD7314-33D7-4FE2-AE93-AD58D8F1A291}"/>
    <cellStyle name="40% - Accent1 3 2 3 3" xfId="5386" xr:uid="{00000000-0005-0000-0000-00001B040000}"/>
    <cellStyle name="40% - Accent1 3 2 3 3 2" xfId="13825" xr:uid="{445CB938-3DA4-4BEE-A1D9-E73B113861D1}"/>
    <cellStyle name="40% - Accent1 3 2 3 4" xfId="9607" xr:uid="{11D68968-9510-478A-A6F2-C894DBE65161}"/>
    <cellStyle name="40% - Accent1 3 2 4" xfId="1491" xr:uid="{00000000-0005-0000-0000-00001C040000}"/>
    <cellStyle name="40% - Accent1 3 2 4 2" xfId="3721" xr:uid="{00000000-0005-0000-0000-00001D040000}"/>
    <cellStyle name="40% - Accent1 3 2 4 2 2" xfId="7944" xr:uid="{00000000-0005-0000-0000-00001E040000}"/>
    <cellStyle name="40% - Accent1 3 2 4 2 2 2" xfId="16383" xr:uid="{C46B5488-B142-4781-B8A6-5937B39C9642}"/>
    <cellStyle name="40% - Accent1 3 2 4 2 3" xfId="12165" xr:uid="{C8D8A717-9006-4F66-AC51-058DD43D80D5}"/>
    <cellStyle name="40% - Accent1 3 2 4 3" xfId="5799" xr:uid="{00000000-0005-0000-0000-00001F040000}"/>
    <cellStyle name="40% - Accent1 3 2 4 3 2" xfId="14238" xr:uid="{D4908392-320E-4212-9A96-6930AF4B9775}"/>
    <cellStyle name="40% - Accent1 3 2 4 4" xfId="10020" xr:uid="{F8E66374-93DA-4C0E-B9BE-255378F56118}"/>
    <cellStyle name="40% - Accent1 3 2 5" xfId="1905" xr:uid="{00000000-0005-0000-0000-000020040000}"/>
    <cellStyle name="40% - Accent1 3 2 5 2" xfId="4134" xr:uid="{00000000-0005-0000-0000-000021040000}"/>
    <cellStyle name="40% - Accent1 3 2 5 2 2" xfId="8357" xr:uid="{00000000-0005-0000-0000-000022040000}"/>
    <cellStyle name="40% - Accent1 3 2 5 2 2 2" xfId="16796" xr:uid="{4F6BC8D0-BC96-4FFC-8058-8F32FE90201E}"/>
    <cellStyle name="40% - Accent1 3 2 5 2 3" xfId="12578" xr:uid="{F4CACFDE-9E44-41A4-B11A-3456A7E000C2}"/>
    <cellStyle name="40% - Accent1 3 2 5 3" xfId="6212" xr:uid="{00000000-0005-0000-0000-000023040000}"/>
    <cellStyle name="40% - Accent1 3 2 5 3 2" xfId="14651" xr:uid="{2F0315B4-87ED-477F-A1DE-C1A7CDAC08F1}"/>
    <cellStyle name="40% - Accent1 3 2 5 4" xfId="10433" xr:uid="{F15893E8-F86D-4691-BFC4-5B36506BA188}"/>
    <cellStyle name="40% - Accent1 3 2 6" xfId="2318" xr:uid="{00000000-0005-0000-0000-000024040000}"/>
    <cellStyle name="40% - Accent1 3 2 6 2" xfId="6625" xr:uid="{00000000-0005-0000-0000-000025040000}"/>
    <cellStyle name="40% - Accent1 3 2 6 2 2" xfId="15064" xr:uid="{9C7ACED0-1650-46E0-AF7A-756AD7AE26C4}"/>
    <cellStyle name="40% - Accent1 3 2 6 3" xfId="10846" xr:uid="{852A9E11-384D-4810-8046-59B1B0545022}"/>
    <cellStyle name="40% - Accent1 3 2 7" xfId="4559" xr:uid="{00000000-0005-0000-0000-000026040000}"/>
    <cellStyle name="40% - Accent1 3 2 7 2" xfId="12998" xr:uid="{06E168C4-9F77-4CC6-BA0E-FC4FF4322ED2}"/>
    <cellStyle name="40% - Accent1 3 2 8" xfId="8780" xr:uid="{B3BB293D-0D67-4AAA-AA33-240AF10EBBEA}"/>
    <cellStyle name="40% - Accent1 3 3" xfId="623" xr:uid="{00000000-0005-0000-0000-000027040000}"/>
    <cellStyle name="40% - Accent1 3 3 2" xfId="2894" xr:uid="{00000000-0005-0000-0000-000028040000}"/>
    <cellStyle name="40% - Accent1 3 3 2 2" xfId="7117" xr:uid="{00000000-0005-0000-0000-000029040000}"/>
    <cellStyle name="40% - Accent1 3 3 2 2 2" xfId="15556" xr:uid="{3B1A63C0-757A-4EC2-AE38-F7C9216B3F9E}"/>
    <cellStyle name="40% - Accent1 3 3 2 3" xfId="11338" xr:uid="{965FB3D5-8960-41A9-B213-7AB538E33D8D}"/>
    <cellStyle name="40% - Accent1 3 3 3" xfId="4972" xr:uid="{00000000-0005-0000-0000-00002A040000}"/>
    <cellStyle name="40% - Accent1 3 3 3 2" xfId="13411" xr:uid="{E36EF169-1733-44AC-AD6A-2DA3E1450734}"/>
    <cellStyle name="40% - Accent1 3 3 4" xfId="9193" xr:uid="{EF82A2E5-53AD-478B-B5F1-9B1F35584955}"/>
    <cellStyle name="40% - Accent1 3 4" xfId="1076" xr:uid="{00000000-0005-0000-0000-00002B040000}"/>
    <cellStyle name="40% - Accent1 3 4 2" xfId="3307" xr:uid="{00000000-0005-0000-0000-00002C040000}"/>
    <cellStyle name="40% - Accent1 3 4 2 2" xfId="7530" xr:uid="{00000000-0005-0000-0000-00002D040000}"/>
    <cellStyle name="40% - Accent1 3 4 2 2 2" xfId="15969" xr:uid="{8D878994-CBAC-4E80-84A0-9D9403C6311A}"/>
    <cellStyle name="40% - Accent1 3 4 2 3" xfId="11751" xr:uid="{50A42557-20B7-4658-95A2-260E18994851}"/>
    <cellStyle name="40% - Accent1 3 4 3" xfId="5385" xr:uid="{00000000-0005-0000-0000-00002E040000}"/>
    <cellStyle name="40% - Accent1 3 4 3 2" xfId="13824" xr:uid="{235F2AEC-7473-46CA-9327-221F052AB8C5}"/>
    <cellStyle name="40% - Accent1 3 4 4" xfId="9606" xr:uid="{32556700-3294-44E0-A588-6FBE5ED2B6D3}"/>
    <cellStyle name="40% - Accent1 3 5" xfId="1490" xr:uid="{00000000-0005-0000-0000-00002F040000}"/>
    <cellStyle name="40% - Accent1 3 5 2" xfId="3720" xr:uid="{00000000-0005-0000-0000-000030040000}"/>
    <cellStyle name="40% - Accent1 3 5 2 2" xfId="7943" xr:uid="{00000000-0005-0000-0000-000031040000}"/>
    <cellStyle name="40% - Accent1 3 5 2 2 2" xfId="16382" xr:uid="{5832E891-29A4-476B-BE84-C59E4795E23C}"/>
    <cellStyle name="40% - Accent1 3 5 2 3" xfId="12164" xr:uid="{9BFDF04A-57B1-4C44-968B-7AEA0D909D53}"/>
    <cellStyle name="40% - Accent1 3 5 3" xfId="5798" xr:uid="{00000000-0005-0000-0000-000032040000}"/>
    <cellStyle name="40% - Accent1 3 5 3 2" xfId="14237" xr:uid="{C9EE53AA-9F37-4AE4-8C29-C787253A9376}"/>
    <cellStyle name="40% - Accent1 3 5 4" xfId="10019" xr:uid="{73AFFD88-FE38-4511-A60F-E49AD44334B4}"/>
    <cellStyle name="40% - Accent1 3 6" xfId="1904" xr:uid="{00000000-0005-0000-0000-000033040000}"/>
    <cellStyle name="40% - Accent1 3 6 2" xfId="4133" xr:uid="{00000000-0005-0000-0000-000034040000}"/>
    <cellStyle name="40% - Accent1 3 6 2 2" xfId="8356" xr:uid="{00000000-0005-0000-0000-000035040000}"/>
    <cellStyle name="40% - Accent1 3 6 2 2 2" xfId="16795" xr:uid="{AFD9D43D-32A5-4CC9-B4C2-0818FB2BFD7B}"/>
    <cellStyle name="40% - Accent1 3 6 2 3" xfId="12577" xr:uid="{678AFBCD-5540-4616-A792-C6746B29B3C2}"/>
    <cellStyle name="40% - Accent1 3 6 3" xfId="6211" xr:uid="{00000000-0005-0000-0000-000036040000}"/>
    <cellStyle name="40% - Accent1 3 6 3 2" xfId="14650" xr:uid="{C95AA29E-3B06-4831-9B18-6AFA01F59105}"/>
    <cellStyle name="40% - Accent1 3 6 4" xfId="10432" xr:uid="{E351655D-EDCB-44EF-8729-7BD32A2499F3}"/>
    <cellStyle name="40% - Accent1 3 7" xfId="2317" xr:uid="{00000000-0005-0000-0000-000037040000}"/>
    <cellStyle name="40% - Accent1 3 7 2" xfId="6624" xr:uid="{00000000-0005-0000-0000-000038040000}"/>
    <cellStyle name="40% - Accent1 3 7 2 2" xfId="15063" xr:uid="{144D26CA-AB8C-4EFF-A5EC-D370F046DAD2}"/>
    <cellStyle name="40% - Accent1 3 7 3" xfId="10845" xr:uid="{3AA866FA-3A7F-4B5A-93DD-30D558D3E89E}"/>
    <cellStyle name="40% - Accent1 3 8" xfId="4558" xr:uid="{00000000-0005-0000-0000-000039040000}"/>
    <cellStyle name="40% - Accent1 3 8 2" xfId="12997" xr:uid="{32569713-09AF-4A9D-9BE2-D4F3C8624375}"/>
    <cellStyle name="40% - Accent1 3 9" xfId="8779" xr:uid="{A5C187AB-F433-4101-BF2F-081100ECD958}"/>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2 2 2" xfId="15558" xr:uid="{03BCDF41-0533-4291-9402-DB4152CEBD9D}"/>
    <cellStyle name="40% - Accent1 4 2 2 3" xfId="11340" xr:uid="{D7A71288-73BD-4A42-BF18-88F151E4BD5A}"/>
    <cellStyle name="40% - Accent1 4 2 3" xfId="4974" xr:uid="{00000000-0005-0000-0000-00003E040000}"/>
    <cellStyle name="40% - Accent1 4 2 3 2" xfId="13413" xr:uid="{C64F75CA-5A8E-41A7-9B68-7DB7D140D85F}"/>
    <cellStyle name="40% - Accent1 4 2 4" xfId="9195" xr:uid="{5C512409-B755-470F-BAAA-6722CF78C0D8}"/>
    <cellStyle name="40% - Accent1 4 3" xfId="1078" xr:uid="{00000000-0005-0000-0000-00003F040000}"/>
    <cellStyle name="40% - Accent1 4 3 2" xfId="3309" xr:uid="{00000000-0005-0000-0000-000040040000}"/>
    <cellStyle name="40% - Accent1 4 3 2 2" xfId="7532" xr:uid="{00000000-0005-0000-0000-000041040000}"/>
    <cellStyle name="40% - Accent1 4 3 2 2 2" xfId="15971" xr:uid="{F9E096E0-C6DE-492E-AE9F-833289BAC0A6}"/>
    <cellStyle name="40% - Accent1 4 3 2 3" xfId="11753" xr:uid="{E58A80B1-9016-45A9-89EE-CB5D38381645}"/>
    <cellStyle name="40% - Accent1 4 3 3" xfId="5387" xr:uid="{00000000-0005-0000-0000-000042040000}"/>
    <cellStyle name="40% - Accent1 4 3 3 2" xfId="13826" xr:uid="{2570708C-44F2-48E6-9184-62DA1C029232}"/>
    <cellStyle name="40% - Accent1 4 3 4" xfId="9608" xr:uid="{F168756E-EC2F-4943-8CC1-2FE989A8CA81}"/>
    <cellStyle name="40% - Accent1 4 4" xfId="1492" xr:uid="{00000000-0005-0000-0000-000043040000}"/>
    <cellStyle name="40% - Accent1 4 4 2" xfId="3722" xr:uid="{00000000-0005-0000-0000-000044040000}"/>
    <cellStyle name="40% - Accent1 4 4 2 2" xfId="7945" xr:uid="{00000000-0005-0000-0000-000045040000}"/>
    <cellStyle name="40% - Accent1 4 4 2 2 2" xfId="16384" xr:uid="{5B58B3F8-217A-426B-BD5E-A1F4803E8B34}"/>
    <cellStyle name="40% - Accent1 4 4 2 3" xfId="12166" xr:uid="{634DE8A1-F7B0-4437-90AC-4FCA78C218EC}"/>
    <cellStyle name="40% - Accent1 4 4 3" xfId="5800" xr:uid="{00000000-0005-0000-0000-000046040000}"/>
    <cellStyle name="40% - Accent1 4 4 3 2" xfId="14239" xr:uid="{80B1135D-175E-4D94-8384-8DBB4CC2E60B}"/>
    <cellStyle name="40% - Accent1 4 4 4" xfId="10021" xr:uid="{22FB8736-F2B5-42CA-A415-36E4B3824F38}"/>
    <cellStyle name="40% - Accent1 4 5" xfId="1906" xr:uid="{00000000-0005-0000-0000-000047040000}"/>
    <cellStyle name="40% - Accent1 4 5 2" xfId="4135" xr:uid="{00000000-0005-0000-0000-000048040000}"/>
    <cellStyle name="40% - Accent1 4 5 2 2" xfId="8358" xr:uid="{00000000-0005-0000-0000-000049040000}"/>
    <cellStyle name="40% - Accent1 4 5 2 2 2" xfId="16797" xr:uid="{02F3ABF4-07CD-453E-BE59-46FDAAEA2A58}"/>
    <cellStyle name="40% - Accent1 4 5 2 3" xfId="12579" xr:uid="{8BD12147-30A4-45CD-8057-5B76EFCE9C1E}"/>
    <cellStyle name="40% - Accent1 4 5 3" xfId="6213" xr:uid="{00000000-0005-0000-0000-00004A040000}"/>
    <cellStyle name="40% - Accent1 4 5 3 2" xfId="14652" xr:uid="{F1CE7FFB-E65A-4A35-8634-0FFFE1269A32}"/>
    <cellStyle name="40% - Accent1 4 5 4" xfId="10434" xr:uid="{C55B2E9A-9E3C-438A-9399-21CFC2A10334}"/>
    <cellStyle name="40% - Accent1 4 6" xfId="2319" xr:uid="{00000000-0005-0000-0000-00004B040000}"/>
    <cellStyle name="40% - Accent1 4 6 2" xfId="6626" xr:uid="{00000000-0005-0000-0000-00004C040000}"/>
    <cellStyle name="40% - Accent1 4 6 2 2" xfId="15065" xr:uid="{8F979FEE-3131-4ED1-B1D0-6DC0FC33857E}"/>
    <cellStyle name="40% - Accent1 4 6 3" xfId="10847" xr:uid="{462A7622-4297-4EAC-B601-FD4F045F6104}"/>
    <cellStyle name="40% - Accent1 4 7" xfId="4560" xr:uid="{00000000-0005-0000-0000-00004D040000}"/>
    <cellStyle name="40% - Accent1 4 7 2" xfId="12999" xr:uid="{3A16A046-7C5A-4B96-B9DD-C9C6150C2273}"/>
    <cellStyle name="40% - Accent1 4 8" xfId="8781" xr:uid="{A7100CDF-7140-43E0-86AB-BD643F7DB1FE}"/>
    <cellStyle name="40% - Accent1 5" xfId="618" xr:uid="{00000000-0005-0000-0000-00004E040000}"/>
    <cellStyle name="40% - Accent1 5 2" xfId="2889" xr:uid="{00000000-0005-0000-0000-00004F040000}"/>
    <cellStyle name="40% - Accent1 5 2 2" xfId="7112" xr:uid="{00000000-0005-0000-0000-000050040000}"/>
    <cellStyle name="40% - Accent1 5 2 2 2" xfId="15551" xr:uid="{2FCAFD8E-CD6B-4794-A569-48FA67AC26E6}"/>
    <cellStyle name="40% - Accent1 5 2 3" xfId="11333" xr:uid="{C3467374-1346-471A-A14D-D485C7FB300F}"/>
    <cellStyle name="40% - Accent1 5 3" xfId="4967" xr:uid="{00000000-0005-0000-0000-000051040000}"/>
    <cellStyle name="40% - Accent1 5 3 2" xfId="13406" xr:uid="{DC7B5795-4B82-4EF2-9DC3-9D90946EA706}"/>
    <cellStyle name="40% - Accent1 5 4" xfId="9188" xr:uid="{3B9F628C-7083-466C-BAD8-F573CF038C20}"/>
    <cellStyle name="40% - Accent1 6" xfId="1071" xr:uid="{00000000-0005-0000-0000-000052040000}"/>
    <cellStyle name="40% - Accent1 6 2" xfId="3302" xr:uid="{00000000-0005-0000-0000-000053040000}"/>
    <cellStyle name="40% - Accent1 6 2 2" xfId="7525" xr:uid="{00000000-0005-0000-0000-000054040000}"/>
    <cellStyle name="40% - Accent1 6 2 2 2" xfId="15964" xr:uid="{BBE834B2-C819-4A42-818B-0789EB6F0D2F}"/>
    <cellStyle name="40% - Accent1 6 2 3" xfId="11746" xr:uid="{8D3093C1-1B32-4AD4-B7DD-7B270A4EFD04}"/>
    <cellStyle name="40% - Accent1 6 3" xfId="5380" xr:uid="{00000000-0005-0000-0000-000055040000}"/>
    <cellStyle name="40% - Accent1 6 3 2" xfId="13819" xr:uid="{CEFF1FCB-E727-4FCC-B750-FFD0F3022CA4}"/>
    <cellStyle name="40% - Accent1 6 4" xfId="9601" xr:uid="{A7C7C7E1-2483-4079-81CB-A3733FBEAF2F}"/>
    <cellStyle name="40% - Accent1 7" xfId="1485" xr:uid="{00000000-0005-0000-0000-000056040000}"/>
    <cellStyle name="40% - Accent1 7 2" xfId="3715" xr:uid="{00000000-0005-0000-0000-000057040000}"/>
    <cellStyle name="40% - Accent1 7 2 2" xfId="7938" xr:uid="{00000000-0005-0000-0000-000058040000}"/>
    <cellStyle name="40% - Accent1 7 2 2 2" xfId="16377" xr:uid="{84EAB618-3BD7-4495-BB17-F75C6DEFB56F}"/>
    <cellStyle name="40% - Accent1 7 2 3" xfId="12159" xr:uid="{BB47699C-1762-4846-B4F0-6308DD66666B}"/>
    <cellStyle name="40% - Accent1 7 3" xfId="5793" xr:uid="{00000000-0005-0000-0000-000059040000}"/>
    <cellStyle name="40% - Accent1 7 3 2" xfId="14232" xr:uid="{B68C6CDF-FFB8-4DD9-A3C2-55332E63DE37}"/>
    <cellStyle name="40% - Accent1 7 4" xfId="10014" xr:uid="{9DC0F11B-5724-4266-9DE8-CEE816BA1CF9}"/>
    <cellStyle name="40% - Accent1 8" xfId="1899" xr:uid="{00000000-0005-0000-0000-00005A040000}"/>
    <cellStyle name="40% - Accent1 8 2" xfId="4128" xr:uid="{00000000-0005-0000-0000-00005B040000}"/>
    <cellStyle name="40% - Accent1 8 2 2" xfId="8351" xr:uid="{00000000-0005-0000-0000-00005C040000}"/>
    <cellStyle name="40% - Accent1 8 2 2 2" xfId="16790" xr:uid="{09CE1785-9CF2-4DDA-A3F8-25F621D80436}"/>
    <cellStyle name="40% - Accent1 8 2 3" xfId="12572" xr:uid="{0A0B93C4-6348-4288-BD5B-A70A91B51203}"/>
    <cellStyle name="40% - Accent1 8 3" xfId="6206" xr:uid="{00000000-0005-0000-0000-00005D040000}"/>
    <cellStyle name="40% - Accent1 8 3 2" xfId="14645" xr:uid="{F1D714DD-549B-4C79-AC16-1F30A8C7FA4E}"/>
    <cellStyle name="40% - Accent1 8 4" xfId="10427" xr:uid="{3E04F9D5-03E2-4302-9C0F-6A6FAB883A31}"/>
    <cellStyle name="40% - Accent1 9" xfId="2312" xr:uid="{00000000-0005-0000-0000-00005E040000}"/>
    <cellStyle name="40% - Accent1 9 2" xfId="6619" xr:uid="{00000000-0005-0000-0000-00005F040000}"/>
    <cellStyle name="40% - Accent1 9 2 2" xfId="15058" xr:uid="{FA922673-BD77-427F-B8FD-DB4773FB7CC0}"/>
    <cellStyle name="40% - Accent1 9 3" xfId="10840" xr:uid="{52B0E40A-A7D5-4B92-B1B8-579C86D66790}"/>
    <cellStyle name="40% - Accent2" xfId="57" builtinId="35" customBuiltin="1"/>
    <cellStyle name="40% - Accent2 10" xfId="4561" xr:uid="{00000000-0005-0000-0000-000061040000}"/>
    <cellStyle name="40% - Accent2 10 2" xfId="13000" xr:uid="{B9DCD41A-1C8E-49D8-BBC7-303BD1784BB0}"/>
    <cellStyle name="40% - Accent2 11" xfId="8782" xr:uid="{34A52FA8-F80E-4B94-85FB-6366915F23B6}"/>
    <cellStyle name="40% - Accent2 2" xfId="58" xr:uid="{00000000-0005-0000-0000-000062040000}"/>
    <cellStyle name="40% - Accent2 2 10" xfId="8783" xr:uid="{4F1CFD12-9380-425D-8989-1639A06B319E}"/>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15562" xr:uid="{98266E75-1952-492A-A87C-472D56FA8389}"/>
    <cellStyle name="40% - Accent2 2 2 2 2 2 3" xfId="11344" xr:uid="{6851303D-3F76-4F33-8D43-39CF636B2585}"/>
    <cellStyle name="40% - Accent2 2 2 2 2 3" xfId="4978" xr:uid="{00000000-0005-0000-0000-000068040000}"/>
    <cellStyle name="40% - Accent2 2 2 2 2 3 2" xfId="13417" xr:uid="{5128811D-6101-4EBA-A15D-A9687285E4CE}"/>
    <cellStyle name="40% - Accent2 2 2 2 2 4" xfId="9199" xr:uid="{21D14112-50C0-4F0E-90F7-876AAF47EFB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2 2" xfId="15975" xr:uid="{E1D3C837-42FD-4B13-A0F1-53ECA0B38EB3}"/>
    <cellStyle name="40% - Accent2 2 2 2 3 2 3" xfId="11757" xr:uid="{1C6ECA78-49F2-4554-8788-600C67C610F6}"/>
    <cellStyle name="40% - Accent2 2 2 2 3 3" xfId="5391" xr:uid="{00000000-0005-0000-0000-00006C040000}"/>
    <cellStyle name="40% - Accent2 2 2 2 3 3 2" xfId="13830" xr:uid="{0E985818-8AB7-4C8D-B609-CB1A2C2FC2CB}"/>
    <cellStyle name="40% - Accent2 2 2 2 3 4" xfId="9612" xr:uid="{1F3CF58A-2AD2-454C-A462-8E27E0AA1E1D}"/>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2 2 2" xfId="16388" xr:uid="{527BE6F2-9B70-4740-AD45-76C42F01B3A6}"/>
    <cellStyle name="40% - Accent2 2 2 2 4 2 3" xfId="12170" xr:uid="{DD459C8C-E393-4E3D-AE59-57F20A6D3F81}"/>
    <cellStyle name="40% - Accent2 2 2 2 4 3" xfId="5804" xr:uid="{00000000-0005-0000-0000-000070040000}"/>
    <cellStyle name="40% - Accent2 2 2 2 4 3 2" xfId="14243" xr:uid="{32CD218A-5665-4B00-B370-10E1B014B7C8}"/>
    <cellStyle name="40% - Accent2 2 2 2 4 4" xfId="10025" xr:uid="{3DFD2F26-AB34-4971-9185-A9EE8093E3E1}"/>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2 2 2" xfId="16801" xr:uid="{9ED27AF2-044D-421F-A035-ED116952AFE2}"/>
    <cellStyle name="40% - Accent2 2 2 2 5 2 3" xfId="12583" xr:uid="{993443B2-71EE-442C-A03B-FD48CA289B22}"/>
    <cellStyle name="40% - Accent2 2 2 2 5 3" xfId="6217" xr:uid="{00000000-0005-0000-0000-000074040000}"/>
    <cellStyle name="40% - Accent2 2 2 2 5 3 2" xfId="14656" xr:uid="{BE9BB367-A73E-4ABC-B415-9BE9469D0B24}"/>
    <cellStyle name="40% - Accent2 2 2 2 5 4" xfId="10438" xr:uid="{7D7E6414-C1C6-49C1-9BB6-FF2DDAA44CF4}"/>
    <cellStyle name="40% - Accent2 2 2 2 6" xfId="2323" xr:uid="{00000000-0005-0000-0000-000075040000}"/>
    <cellStyle name="40% - Accent2 2 2 2 6 2" xfId="6630" xr:uid="{00000000-0005-0000-0000-000076040000}"/>
    <cellStyle name="40% - Accent2 2 2 2 6 2 2" xfId="15069" xr:uid="{9CE1DED4-7D15-4333-B542-08800590BD08}"/>
    <cellStyle name="40% - Accent2 2 2 2 6 3" xfId="10851" xr:uid="{047F4974-BE0D-448B-B001-62015402649E}"/>
    <cellStyle name="40% - Accent2 2 2 2 7" xfId="4564" xr:uid="{00000000-0005-0000-0000-000077040000}"/>
    <cellStyle name="40% - Accent2 2 2 2 7 2" xfId="13003" xr:uid="{77BF092E-F145-40BA-9A65-F97B0642D249}"/>
    <cellStyle name="40% - Accent2 2 2 2 8" xfId="8785" xr:uid="{43C69688-3E26-40F0-A106-C1EBD384050E}"/>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15561" xr:uid="{2B1AC628-A75F-45D0-BC71-2D3AD7D16548}"/>
    <cellStyle name="40% - Accent2 2 2 3 2 3" xfId="11343" xr:uid="{E40AE9E9-974A-4028-B016-88DB113E8344}"/>
    <cellStyle name="40% - Accent2 2 2 3 3" xfId="4977" xr:uid="{00000000-0005-0000-0000-00007B040000}"/>
    <cellStyle name="40% - Accent2 2 2 3 3 2" xfId="13416" xr:uid="{4CD4F115-B7D7-4DA3-850F-6867895F1623}"/>
    <cellStyle name="40% - Accent2 2 2 3 4" xfId="9198" xr:uid="{5DA8C5A5-9104-438C-B163-A4D638EA9A1F}"/>
    <cellStyle name="40% - Accent2 2 2 4" xfId="1081" xr:uid="{00000000-0005-0000-0000-00007C040000}"/>
    <cellStyle name="40% - Accent2 2 2 4 2" xfId="3312" xr:uid="{00000000-0005-0000-0000-00007D040000}"/>
    <cellStyle name="40% - Accent2 2 2 4 2 2" xfId="7535" xr:uid="{00000000-0005-0000-0000-00007E040000}"/>
    <cellStyle name="40% - Accent2 2 2 4 2 2 2" xfId="15974" xr:uid="{BAA00968-BDC3-4ACE-9DE7-50CAAA948D83}"/>
    <cellStyle name="40% - Accent2 2 2 4 2 3" xfId="11756" xr:uid="{9EAD7DCE-2D6D-4317-9D43-32771967823D}"/>
    <cellStyle name="40% - Accent2 2 2 4 3" xfId="5390" xr:uid="{00000000-0005-0000-0000-00007F040000}"/>
    <cellStyle name="40% - Accent2 2 2 4 3 2" xfId="13829" xr:uid="{3AEAA830-4BDD-4A58-9994-799212D4E179}"/>
    <cellStyle name="40% - Accent2 2 2 4 4" xfId="9611" xr:uid="{ECA2BC18-C5DA-4861-984B-E00CC7A6C274}"/>
    <cellStyle name="40% - Accent2 2 2 5" xfId="1495" xr:uid="{00000000-0005-0000-0000-000080040000}"/>
    <cellStyle name="40% - Accent2 2 2 5 2" xfId="3725" xr:uid="{00000000-0005-0000-0000-000081040000}"/>
    <cellStyle name="40% - Accent2 2 2 5 2 2" xfId="7948" xr:uid="{00000000-0005-0000-0000-000082040000}"/>
    <cellStyle name="40% - Accent2 2 2 5 2 2 2" xfId="16387" xr:uid="{96AA8410-86F0-498D-8C30-7A41BE21D10A}"/>
    <cellStyle name="40% - Accent2 2 2 5 2 3" xfId="12169" xr:uid="{C159A441-4304-4ABA-9449-009523B2255F}"/>
    <cellStyle name="40% - Accent2 2 2 5 3" xfId="5803" xr:uid="{00000000-0005-0000-0000-000083040000}"/>
    <cellStyle name="40% - Accent2 2 2 5 3 2" xfId="14242" xr:uid="{67F18A4B-2D3F-4333-BFF6-66F36ED7736E}"/>
    <cellStyle name="40% - Accent2 2 2 5 4" xfId="10024" xr:uid="{63E4F11D-E844-43BD-BA8A-56847BAC6397}"/>
    <cellStyle name="40% - Accent2 2 2 6" xfId="1909" xr:uid="{00000000-0005-0000-0000-000084040000}"/>
    <cellStyle name="40% - Accent2 2 2 6 2" xfId="4138" xr:uid="{00000000-0005-0000-0000-000085040000}"/>
    <cellStyle name="40% - Accent2 2 2 6 2 2" xfId="8361" xr:uid="{00000000-0005-0000-0000-000086040000}"/>
    <cellStyle name="40% - Accent2 2 2 6 2 2 2" xfId="16800" xr:uid="{D65E3C08-808D-4345-866B-78DDCC2FEF1C}"/>
    <cellStyle name="40% - Accent2 2 2 6 2 3" xfId="12582" xr:uid="{05EE624B-6141-49EE-87C7-8BF46A8181F3}"/>
    <cellStyle name="40% - Accent2 2 2 6 3" xfId="6216" xr:uid="{00000000-0005-0000-0000-000087040000}"/>
    <cellStyle name="40% - Accent2 2 2 6 3 2" xfId="14655" xr:uid="{57ADC5C4-9FCC-4A86-9825-196439E05646}"/>
    <cellStyle name="40% - Accent2 2 2 6 4" xfId="10437" xr:uid="{EDFFDD8C-0E9F-41ED-A012-5F2C83471AC7}"/>
    <cellStyle name="40% - Accent2 2 2 7" xfId="2322" xr:uid="{00000000-0005-0000-0000-000088040000}"/>
    <cellStyle name="40% - Accent2 2 2 7 2" xfId="6629" xr:uid="{00000000-0005-0000-0000-000089040000}"/>
    <cellStyle name="40% - Accent2 2 2 7 2 2" xfId="15068" xr:uid="{F497691F-5A96-42F5-8A7C-3B66B5371709}"/>
    <cellStyle name="40% - Accent2 2 2 7 3" xfId="10850" xr:uid="{B01E17BD-D310-4123-8A3C-7C0DA4CA797A}"/>
    <cellStyle name="40% - Accent2 2 2 8" xfId="4563" xr:uid="{00000000-0005-0000-0000-00008A040000}"/>
    <cellStyle name="40% - Accent2 2 2 8 2" xfId="13002" xr:uid="{9029BAC7-504C-437A-9F5A-C45AF5BB5932}"/>
    <cellStyle name="40% - Accent2 2 2 9" xfId="8784" xr:uid="{B6A3D520-3376-4E3C-82CE-8A0F86560B23}"/>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15563" xr:uid="{F21E02DD-FEE9-48AE-9536-061A750DA2A1}"/>
    <cellStyle name="40% - Accent2 2 3 2 2 3" xfId="11345" xr:uid="{D71B80C0-157A-4280-9A11-2AFBB042DCFF}"/>
    <cellStyle name="40% - Accent2 2 3 2 3" xfId="4979" xr:uid="{00000000-0005-0000-0000-00008F040000}"/>
    <cellStyle name="40% - Accent2 2 3 2 3 2" xfId="13418" xr:uid="{B4D46181-234C-4C47-9832-8205260B9CD7}"/>
    <cellStyle name="40% - Accent2 2 3 2 4" xfId="9200" xr:uid="{22A75C08-2C28-4EF0-BDFA-D989015CBAFE}"/>
    <cellStyle name="40% - Accent2 2 3 3" xfId="1083" xr:uid="{00000000-0005-0000-0000-000090040000}"/>
    <cellStyle name="40% - Accent2 2 3 3 2" xfId="3314" xr:uid="{00000000-0005-0000-0000-000091040000}"/>
    <cellStyle name="40% - Accent2 2 3 3 2 2" xfId="7537" xr:uid="{00000000-0005-0000-0000-000092040000}"/>
    <cellStyle name="40% - Accent2 2 3 3 2 2 2" xfId="15976" xr:uid="{37441818-5522-42E9-AAB8-8391CC59F160}"/>
    <cellStyle name="40% - Accent2 2 3 3 2 3" xfId="11758" xr:uid="{2A5FA7B4-9C03-409A-A38D-D05E79EF66F0}"/>
    <cellStyle name="40% - Accent2 2 3 3 3" xfId="5392" xr:uid="{00000000-0005-0000-0000-000093040000}"/>
    <cellStyle name="40% - Accent2 2 3 3 3 2" xfId="13831" xr:uid="{759DBC02-8427-4A1F-8E67-3B34D1E3FA18}"/>
    <cellStyle name="40% - Accent2 2 3 3 4" xfId="9613" xr:uid="{2DCB3C46-3C33-4830-8C72-3ED2842C4F50}"/>
    <cellStyle name="40% - Accent2 2 3 4" xfId="1497" xr:uid="{00000000-0005-0000-0000-000094040000}"/>
    <cellStyle name="40% - Accent2 2 3 4 2" xfId="3727" xr:uid="{00000000-0005-0000-0000-000095040000}"/>
    <cellStyle name="40% - Accent2 2 3 4 2 2" xfId="7950" xr:uid="{00000000-0005-0000-0000-000096040000}"/>
    <cellStyle name="40% - Accent2 2 3 4 2 2 2" xfId="16389" xr:uid="{B27FD5B9-C809-43C9-AA5D-CDD329C163BD}"/>
    <cellStyle name="40% - Accent2 2 3 4 2 3" xfId="12171" xr:uid="{F5BE4098-1264-4A2E-A7DA-C4C25955BE63}"/>
    <cellStyle name="40% - Accent2 2 3 4 3" xfId="5805" xr:uid="{00000000-0005-0000-0000-000097040000}"/>
    <cellStyle name="40% - Accent2 2 3 4 3 2" xfId="14244" xr:uid="{BBF6018B-8FDF-4DDA-9E6B-EDFBBCFDA53D}"/>
    <cellStyle name="40% - Accent2 2 3 4 4" xfId="10026" xr:uid="{07682B47-E66E-418C-AC59-2884F9C850A3}"/>
    <cellStyle name="40% - Accent2 2 3 5" xfId="1911" xr:uid="{00000000-0005-0000-0000-000098040000}"/>
    <cellStyle name="40% - Accent2 2 3 5 2" xfId="4140" xr:uid="{00000000-0005-0000-0000-000099040000}"/>
    <cellStyle name="40% - Accent2 2 3 5 2 2" xfId="8363" xr:uid="{00000000-0005-0000-0000-00009A040000}"/>
    <cellStyle name="40% - Accent2 2 3 5 2 2 2" xfId="16802" xr:uid="{EAA24031-CEBC-41D6-943A-04669326CA16}"/>
    <cellStyle name="40% - Accent2 2 3 5 2 3" xfId="12584" xr:uid="{C0289D15-E08C-46D2-A212-85E884C6EC50}"/>
    <cellStyle name="40% - Accent2 2 3 5 3" xfId="6218" xr:uid="{00000000-0005-0000-0000-00009B040000}"/>
    <cellStyle name="40% - Accent2 2 3 5 3 2" xfId="14657" xr:uid="{F16D7304-A52D-4CAB-940B-F4F8B6B3ED7A}"/>
    <cellStyle name="40% - Accent2 2 3 5 4" xfId="10439" xr:uid="{934C9DE9-C32F-40C1-B202-40D20FAFB6E9}"/>
    <cellStyle name="40% - Accent2 2 3 6" xfId="2324" xr:uid="{00000000-0005-0000-0000-00009C040000}"/>
    <cellStyle name="40% - Accent2 2 3 6 2" xfId="6631" xr:uid="{00000000-0005-0000-0000-00009D040000}"/>
    <cellStyle name="40% - Accent2 2 3 6 2 2" xfId="15070" xr:uid="{4B0EAEA1-4FAD-40D3-9B77-97525F5F0B0A}"/>
    <cellStyle name="40% - Accent2 2 3 6 3" xfId="10852" xr:uid="{E9D03B22-FDDA-494A-8380-5AAF54B1410A}"/>
    <cellStyle name="40% - Accent2 2 3 7" xfId="4565" xr:uid="{00000000-0005-0000-0000-00009E040000}"/>
    <cellStyle name="40% - Accent2 2 3 7 2" xfId="13004" xr:uid="{C9838950-CDA8-48B4-9F8A-B24D7FAB5E83}"/>
    <cellStyle name="40% - Accent2 2 3 8" xfId="8786" xr:uid="{470317BD-4CF6-41D5-B730-1B038FC17B0D}"/>
    <cellStyle name="40% - Accent2 2 4" xfId="627" xr:uid="{00000000-0005-0000-0000-00009F040000}"/>
    <cellStyle name="40% - Accent2 2 4 2" xfId="2898" xr:uid="{00000000-0005-0000-0000-0000A0040000}"/>
    <cellStyle name="40% - Accent2 2 4 2 2" xfId="7121" xr:uid="{00000000-0005-0000-0000-0000A1040000}"/>
    <cellStyle name="40% - Accent2 2 4 2 2 2" xfId="15560" xr:uid="{5C818DFE-876F-4F16-8E00-63753D8E2758}"/>
    <cellStyle name="40% - Accent2 2 4 2 3" xfId="11342" xr:uid="{E6491DA2-3129-40A8-AAEF-9A99ED142651}"/>
    <cellStyle name="40% - Accent2 2 4 3" xfId="4976" xr:uid="{00000000-0005-0000-0000-0000A2040000}"/>
    <cellStyle name="40% - Accent2 2 4 3 2" xfId="13415" xr:uid="{A8F5D744-A6C0-4FBD-A859-2FE449126EAD}"/>
    <cellStyle name="40% - Accent2 2 4 4" xfId="9197" xr:uid="{E822B24C-AA48-481A-B17E-D675BD905A7C}"/>
    <cellStyle name="40% - Accent2 2 5" xfId="1080" xr:uid="{00000000-0005-0000-0000-0000A3040000}"/>
    <cellStyle name="40% - Accent2 2 5 2" xfId="3311" xr:uid="{00000000-0005-0000-0000-0000A4040000}"/>
    <cellStyle name="40% - Accent2 2 5 2 2" xfId="7534" xr:uid="{00000000-0005-0000-0000-0000A5040000}"/>
    <cellStyle name="40% - Accent2 2 5 2 2 2" xfId="15973" xr:uid="{EE037BD5-AA27-41F2-8234-918EEDAC3D21}"/>
    <cellStyle name="40% - Accent2 2 5 2 3" xfId="11755" xr:uid="{F4576F3F-3A60-4BC3-B4B5-5AB3D7064B70}"/>
    <cellStyle name="40% - Accent2 2 5 3" xfId="5389" xr:uid="{00000000-0005-0000-0000-0000A6040000}"/>
    <cellStyle name="40% - Accent2 2 5 3 2" xfId="13828" xr:uid="{3E7B17C7-BBE1-4560-86C4-0B1F51375A05}"/>
    <cellStyle name="40% - Accent2 2 5 4" xfId="9610" xr:uid="{EF312FAB-F595-4FC4-AB12-C7CF48E4F52E}"/>
    <cellStyle name="40% - Accent2 2 6" xfId="1494" xr:uid="{00000000-0005-0000-0000-0000A7040000}"/>
    <cellStyle name="40% - Accent2 2 6 2" xfId="3724" xr:uid="{00000000-0005-0000-0000-0000A8040000}"/>
    <cellStyle name="40% - Accent2 2 6 2 2" xfId="7947" xr:uid="{00000000-0005-0000-0000-0000A9040000}"/>
    <cellStyle name="40% - Accent2 2 6 2 2 2" xfId="16386" xr:uid="{1E9B60FB-369E-4A12-AAE6-504AD26CE64E}"/>
    <cellStyle name="40% - Accent2 2 6 2 3" xfId="12168" xr:uid="{AD98CD4B-A965-4CBB-AEAF-3E5A931F9AAE}"/>
    <cellStyle name="40% - Accent2 2 6 3" xfId="5802" xr:uid="{00000000-0005-0000-0000-0000AA040000}"/>
    <cellStyle name="40% - Accent2 2 6 3 2" xfId="14241" xr:uid="{88393F3E-040E-4F06-96C2-F03D04BBFF25}"/>
    <cellStyle name="40% - Accent2 2 6 4" xfId="10023" xr:uid="{CD574112-F3D7-4778-8610-976231D030C8}"/>
    <cellStyle name="40% - Accent2 2 7" xfId="1908" xr:uid="{00000000-0005-0000-0000-0000AB040000}"/>
    <cellStyle name="40% - Accent2 2 7 2" xfId="4137" xr:uid="{00000000-0005-0000-0000-0000AC040000}"/>
    <cellStyle name="40% - Accent2 2 7 2 2" xfId="8360" xr:uid="{00000000-0005-0000-0000-0000AD040000}"/>
    <cellStyle name="40% - Accent2 2 7 2 2 2" xfId="16799" xr:uid="{5496AD67-4B1D-4FBD-8E46-6810A6FDDE4D}"/>
    <cellStyle name="40% - Accent2 2 7 2 3" xfId="12581" xr:uid="{9AEB54A5-EC28-459A-962A-CB6735633490}"/>
    <cellStyle name="40% - Accent2 2 7 3" xfId="6215" xr:uid="{00000000-0005-0000-0000-0000AE040000}"/>
    <cellStyle name="40% - Accent2 2 7 3 2" xfId="14654" xr:uid="{F9C1F26B-DDF7-477E-B6C3-D8CCE3E66238}"/>
    <cellStyle name="40% - Accent2 2 7 4" xfId="10436" xr:uid="{D0B5EB8A-E944-456A-B71F-6B01EE73D658}"/>
    <cellStyle name="40% - Accent2 2 8" xfId="2321" xr:uid="{00000000-0005-0000-0000-0000AF040000}"/>
    <cellStyle name="40% - Accent2 2 8 2" xfId="6628" xr:uid="{00000000-0005-0000-0000-0000B0040000}"/>
    <cellStyle name="40% - Accent2 2 8 2 2" xfId="15067" xr:uid="{C45279FB-DB65-4693-BF5C-5A25BF445671}"/>
    <cellStyle name="40% - Accent2 2 8 3" xfId="10849" xr:uid="{69C5641A-F9D0-49B8-87A2-81DC8E3EA186}"/>
    <cellStyle name="40% - Accent2 2 9" xfId="4562" xr:uid="{00000000-0005-0000-0000-0000B1040000}"/>
    <cellStyle name="40% - Accent2 2 9 2" xfId="13001" xr:uid="{7781503D-BA01-458D-80A4-86906D537CE1}"/>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15565" xr:uid="{00894564-4106-49E3-A893-E4826DEA7DFE}"/>
    <cellStyle name="40% - Accent2 3 2 2 2 3" xfId="11347" xr:uid="{31007A82-6EB4-4C76-B1C4-69357EF57B7A}"/>
    <cellStyle name="40% - Accent2 3 2 2 3" xfId="4981" xr:uid="{00000000-0005-0000-0000-0000B7040000}"/>
    <cellStyle name="40% - Accent2 3 2 2 3 2" xfId="13420" xr:uid="{090DDC6E-0307-4FAC-B647-D78225672A19}"/>
    <cellStyle name="40% - Accent2 3 2 2 4" xfId="9202" xr:uid="{CB5D7B25-FA50-42E0-BEAB-CD28C208DA50}"/>
    <cellStyle name="40% - Accent2 3 2 3" xfId="1085" xr:uid="{00000000-0005-0000-0000-0000B8040000}"/>
    <cellStyle name="40% - Accent2 3 2 3 2" xfId="3316" xr:uid="{00000000-0005-0000-0000-0000B9040000}"/>
    <cellStyle name="40% - Accent2 3 2 3 2 2" xfId="7539" xr:uid="{00000000-0005-0000-0000-0000BA040000}"/>
    <cellStyle name="40% - Accent2 3 2 3 2 2 2" xfId="15978" xr:uid="{1775097F-6B07-409F-B221-04F72ABD1892}"/>
    <cellStyle name="40% - Accent2 3 2 3 2 3" xfId="11760" xr:uid="{1196CB21-B084-4929-BE50-8DD6A26145D8}"/>
    <cellStyle name="40% - Accent2 3 2 3 3" xfId="5394" xr:uid="{00000000-0005-0000-0000-0000BB040000}"/>
    <cellStyle name="40% - Accent2 3 2 3 3 2" xfId="13833" xr:uid="{3DA232A4-1642-4DD0-BE12-E0437DCBBB54}"/>
    <cellStyle name="40% - Accent2 3 2 3 4" xfId="9615" xr:uid="{DB95BE59-C7DE-4768-9D9A-17EF337D43C9}"/>
    <cellStyle name="40% - Accent2 3 2 4" xfId="1499" xr:uid="{00000000-0005-0000-0000-0000BC040000}"/>
    <cellStyle name="40% - Accent2 3 2 4 2" xfId="3729" xr:uid="{00000000-0005-0000-0000-0000BD040000}"/>
    <cellStyle name="40% - Accent2 3 2 4 2 2" xfId="7952" xr:uid="{00000000-0005-0000-0000-0000BE040000}"/>
    <cellStyle name="40% - Accent2 3 2 4 2 2 2" xfId="16391" xr:uid="{1B49453E-F038-4911-A3A0-019196C67B7E}"/>
    <cellStyle name="40% - Accent2 3 2 4 2 3" xfId="12173" xr:uid="{C5563779-95FE-4CA9-9D7C-A0104E39917C}"/>
    <cellStyle name="40% - Accent2 3 2 4 3" xfId="5807" xr:uid="{00000000-0005-0000-0000-0000BF040000}"/>
    <cellStyle name="40% - Accent2 3 2 4 3 2" xfId="14246" xr:uid="{9331230B-4739-4D68-A8A9-ABEFB0C273A4}"/>
    <cellStyle name="40% - Accent2 3 2 4 4" xfId="10028" xr:uid="{4535AEB4-8F24-4C85-B208-556CA8FE9A77}"/>
    <cellStyle name="40% - Accent2 3 2 5" xfId="1913" xr:uid="{00000000-0005-0000-0000-0000C0040000}"/>
    <cellStyle name="40% - Accent2 3 2 5 2" xfId="4142" xr:uid="{00000000-0005-0000-0000-0000C1040000}"/>
    <cellStyle name="40% - Accent2 3 2 5 2 2" xfId="8365" xr:uid="{00000000-0005-0000-0000-0000C2040000}"/>
    <cellStyle name="40% - Accent2 3 2 5 2 2 2" xfId="16804" xr:uid="{51781D14-5A41-495C-8B18-BF645B4580FA}"/>
    <cellStyle name="40% - Accent2 3 2 5 2 3" xfId="12586" xr:uid="{436437C4-2B9D-4BF9-A85A-E9B86983BB34}"/>
    <cellStyle name="40% - Accent2 3 2 5 3" xfId="6220" xr:uid="{00000000-0005-0000-0000-0000C3040000}"/>
    <cellStyle name="40% - Accent2 3 2 5 3 2" xfId="14659" xr:uid="{4B2D07AF-125D-4F04-A636-02F83117A7C3}"/>
    <cellStyle name="40% - Accent2 3 2 5 4" xfId="10441" xr:uid="{52F597E9-9E19-4159-89C9-0D7035582D8E}"/>
    <cellStyle name="40% - Accent2 3 2 6" xfId="2326" xr:uid="{00000000-0005-0000-0000-0000C4040000}"/>
    <cellStyle name="40% - Accent2 3 2 6 2" xfId="6633" xr:uid="{00000000-0005-0000-0000-0000C5040000}"/>
    <cellStyle name="40% - Accent2 3 2 6 2 2" xfId="15072" xr:uid="{1E4BEBC5-261D-433D-BB40-502BF5FC4C01}"/>
    <cellStyle name="40% - Accent2 3 2 6 3" xfId="10854" xr:uid="{4753514E-BBF4-4A7D-A2DC-E37D4284690E}"/>
    <cellStyle name="40% - Accent2 3 2 7" xfId="4567" xr:uid="{00000000-0005-0000-0000-0000C6040000}"/>
    <cellStyle name="40% - Accent2 3 2 7 2" xfId="13006" xr:uid="{406118F2-4102-47B7-9B82-061111732BF0}"/>
    <cellStyle name="40% - Accent2 3 2 8" xfId="8788" xr:uid="{9F55CACC-E8CB-495F-B966-E137F3732D5E}"/>
    <cellStyle name="40% - Accent2 3 3" xfId="631" xr:uid="{00000000-0005-0000-0000-0000C7040000}"/>
    <cellStyle name="40% - Accent2 3 3 2" xfId="2902" xr:uid="{00000000-0005-0000-0000-0000C8040000}"/>
    <cellStyle name="40% - Accent2 3 3 2 2" xfId="7125" xr:uid="{00000000-0005-0000-0000-0000C9040000}"/>
    <cellStyle name="40% - Accent2 3 3 2 2 2" xfId="15564" xr:uid="{7DB07487-B07E-43D6-9F14-AD2D9EC33D36}"/>
    <cellStyle name="40% - Accent2 3 3 2 3" xfId="11346" xr:uid="{70B08D6B-DB42-47B9-9FDE-C46BB7126D1F}"/>
    <cellStyle name="40% - Accent2 3 3 3" xfId="4980" xr:uid="{00000000-0005-0000-0000-0000CA040000}"/>
    <cellStyle name="40% - Accent2 3 3 3 2" xfId="13419" xr:uid="{54754544-88A1-4875-B02E-C29FB9B40DF1}"/>
    <cellStyle name="40% - Accent2 3 3 4" xfId="9201" xr:uid="{F1E3F11B-40F3-49C9-A12C-71E19A822E6A}"/>
    <cellStyle name="40% - Accent2 3 4" xfId="1084" xr:uid="{00000000-0005-0000-0000-0000CB040000}"/>
    <cellStyle name="40% - Accent2 3 4 2" xfId="3315" xr:uid="{00000000-0005-0000-0000-0000CC040000}"/>
    <cellStyle name="40% - Accent2 3 4 2 2" xfId="7538" xr:uid="{00000000-0005-0000-0000-0000CD040000}"/>
    <cellStyle name="40% - Accent2 3 4 2 2 2" xfId="15977" xr:uid="{45D16D9E-53F5-446E-9448-393641F5CFC6}"/>
    <cellStyle name="40% - Accent2 3 4 2 3" xfId="11759" xr:uid="{C9226EB0-8510-4EE1-B0DD-347E115E8CAE}"/>
    <cellStyle name="40% - Accent2 3 4 3" xfId="5393" xr:uid="{00000000-0005-0000-0000-0000CE040000}"/>
    <cellStyle name="40% - Accent2 3 4 3 2" xfId="13832" xr:uid="{4DF5D7A8-0F12-43C0-87B7-6642EF274FF7}"/>
    <cellStyle name="40% - Accent2 3 4 4" xfId="9614" xr:uid="{E57AD674-23DA-44E0-9561-E4C49C577F50}"/>
    <cellStyle name="40% - Accent2 3 5" xfId="1498" xr:uid="{00000000-0005-0000-0000-0000CF040000}"/>
    <cellStyle name="40% - Accent2 3 5 2" xfId="3728" xr:uid="{00000000-0005-0000-0000-0000D0040000}"/>
    <cellStyle name="40% - Accent2 3 5 2 2" xfId="7951" xr:uid="{00000000-0005-0000-0000-0000D1040000}"/>
    <cellStyle name="40% - Accent2 3 5 2 2 2" xfId="16390" xr:uid="{64F2F8B5-D1F2-4EA8-A5BE-DA9F83A72B48}"/>
    <cellStyle name="40% - Accent2 3 5 2 3" xfId="12172" xr:uid="{83D92EFC-0B06-4A11-9B91-AE0782A9F576}"/>
    <cellStyle name="40% - Accent2 3 5 3" xfId="5806" xr:uid="{00000000-0005-0000-0000-0000D2040000}"/>
    <cellStyle name="40% - Accent2 3 5 3 2" xfId="14245" xr:uid="{A925CCC9-1B39-4694-B982-B6297991DF7D}"/>
    <cellStyle name="40% - Accent2 3 5 4" xfId="10027" xr:uid="{6B4E4CEB-1C36-4DAF-965E-54E818C0BCD9}"/>
    <cellStyle name="40% - Accent2 3 6" xfId="1912" xr:uid="{00000000-0005-0000-0000-0000D3040000}"/>
    <cellStyle name="40% - Accent2 3 6 2" xfId="4141" xr:uid="{00000000-0005-0000-0000-0000D4040000}"/>
    <cellStyle name="40% - Accent2 3 6 2 2" xfId="8364" xr:uid="{00000000-0005-0000-0000-0000D5040000}"/>
    <cellStyle name="40% - Accent2 3 6 2 2 2" xfId="16803" xr:uid="{D2810422-A5E7-4D39-AED7-50F11FF5207B}"/>
    <cellStyle name="40% - Accent2 3 6 2 3" xfId="12585" xr:uid="{5E92B34C-F6FF-401D-A2F8-9ED94FB646B1}"/>
    <cellStyle name="40% - Accent2 3 6 3" xfId="6219" xr:uid="{00000000-0005-0000-0000-0000D6040000}"/>
    <cellStyle name="40% - Accent2 3 6 3 2" xfId="14658" xr:uid="{B7B0DF1C-C327-4C3E-8474-10250FCDAA4E}"/>
    <cellStyle name="40% - Accent2 3 6 4" xfId="10440" xr:uid="{974167DF-B08C-4BF0-9497-40498C8B3E5F}"/>
    <cellStyle name="40% - Accent2 3 7" xfId="2325" xr:uid="{00000000-0005-0000-0000-0000D7040000}"/>
    <cellStyle name="40% - Accent2 3 7 2" xfId="6632" xr:uid="{00000000-0005-0000-0000-0000D8040000}"/>
    <cellStyle name="40% - Accent2 3 7 2 2" xfId="15071" xr:uid="{714D95EE-F72B-4AC7-8388-CDC1ADFF27E1}"/>
    <cellStyle name="40% - Accent2 3 7 3" xfId="10853" xr:uid="{84C11C87-677B-495E-A556-4FAC97B6A894}"/>
    <cellStyle name="40% - Accent2 3 8" xfId="4566" xr:uid="{00000000-0005-0000-0000-0000D9040000}"/>
    <cellStyle name="40% - Accent2 3 8 2" xfId="13005" xr:uid="{903D8815-13B1-4465-97C1-20DCFCAAD09A}"/>
    <cellStyle name="40% - Accent2 3 9" xfId="8787" xr:uid="{630C55B5-20DF-4E90-93D0-39006CFAA5C9}"/>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2 2 2" xfId="15566" xr:uid="{CB2D72C1-9AA6-499C-A61A-626DBF7C2E96}"/>
    <cellStyle name="40% - Accent2 4 2 2 3" xfId="11348" xr:uid="{EA1C7297-257D-4D05-A5EE-805F4CA5DFB9}"/>
    <cellStyle name="40% - Accent2 4 2 3" xfId="4982" xr:uid="{00000000-0005-0000-0000-0000DE040000}"/>
    <cellStyle name="40% - Accent2 4 2 3 2" xfId="13421" xr:uid="{E666CF59-EE9D-4EE5-9351-C175541DA80D}"/>
    <cellStyle name="40% - Accent2 4 2 4" xfId="9203" xr:uid="{80D0DBF4-7E51-482A-A874-D83CB5C54BEE}"/>
    <cellStyle name="40% - Accent2 4 3" xfId="1086" xr:uid="{00000000-0005-0000-0000-0000DF040000}"/>
    <cellStyle name="40% - Accent2 4 3 2" xfId="3317" xr:uid="{00000000-0005-0000-0000-0000E0040000}"/>
    <cellStyle name="40% - Accent2 4 3 2 2" xfId="7540" xr:uid="{00000000-0005-0000-0000-0000E1040000}"/>
    <cellStyle name="40% - Accent2 4 3 2 2 2" xfId="15979" xr:uid="{153A86C7-5E8D-430E-995E-1DA314CC5CCE}"/>
    <cellStyle name="40% - Accent2 4 3 2 3" xfId="11761" xr:uid="{43316E60-06CD-4B7A-B2F5-907526767A22}"/>
    <cellStyle name="40% - Accent2 4 3 3" xfId="5395" xr:uid="{00000000-0005-0000-0000-0000E2040000}"/>
    <cellStyle name="40% - Accent2 4 3 3 2" xfId="13834" xr:uid="{CA10B72F-AF57-46B5-BDCF-2275C03D054E}"/>
    <cellStyle name="40% - Accent2 4 3 4" xfId="9616" xr:uid="{E652E108-4BAF-4E75-98AF-82E857CA29DE}"/>
    <cellStyle name="40% - Accent2 4 4" xfId="1500" xr:uid="{00000000-0005-0000-0000-0000E3040000}"/>
    <cellStyle name="40% - Accent2 4 4 2" xfId="3730" xr:uid="{00000000-0005-0000-0000-0000E4040000}"/>
    <cellStyle name="40% - Accent2 4 4 2 2" xfId="7953" xr:uid="{00000000-0005-0000-0000-0000E5040000}"/>
    <cellStyle name="40% - Accent2 4 4 2 2 2" xfId="16392" xr:uid="{73C2D20B-5ED7-490A-9C65-621AC8B31F0A}"/>
    <cellStyle name="40% - Accent2 4 4 2 3" xfId="12174" xr:uid="{E7BBF465-B543-46A9-BB6B-03FAAC71C784}"/>
    <cellStyle name="40% - Accent2 4 4 3" xfId="5808" xr:uid="{00000000-0005-0000-0000-0000E6040000}"/>
    <cellStyle name="40% - Accent2 4 4 3 2" xfId="14247" xr:uid="{16AC8731-5079-43F0-AB0E-05A33D388AA3}"/>
    <cellStyle name="40% - Accent2 4 4 4" xfId="10029" xr:uid="{94BC3B73-7BCA-4233-B977-903ED8146B17}"/>
    <cellStyle name="40% - Accent2 4 5" xfId="1914" xr:uid="{00000000-0005-0000-0000-0000E7040000}"/>
    <cellStyle name="40% - Accent2 4 5 2" xfId="4143" xr:uid="{00000000-0005-0000-0000-0000E8040000}"/>
    <cellStyle name="40% - Accent2 4 5 2 2" xfId="8366" xr:uid="{00000000-0005-0000-0000-0000E9040000}"/>
    <cellStyle name="40% - Accent2 4 5 2 2 2" xfId="16805" xr:uid="{0C00D91E-868F-4D0F-BD59-A3490A45C5F7}"/>
    <cellStyle name="40% - Accent2 4 5 2 3" xfId="12587" xr:uid="{8BB9B09C-0012-4A5D-B353-D5E279CFFFF4}"/>
    <cellStyle name="40% - Accent2 4 5 3" xfId="6221" xr:uid="{00000000-0005-0000-0000-0000EA040000}"/>
    <cellStyle name="40% - Accent2 4 5 3 2" xfId="14660" xr:uid="{C008F1CB-0EF4-4986-8839-95647A0DE2DC}"/>
    <cellStyle name="40% - Accent2 4 5 4" xfId="10442" xr:uid="{C4586CA6-5AF5-4843-BFB3-A584EF091098}"/>
    <cellStyle name="40% - Accent2 4 6" xfId="2327" xr:uid="{00000000-0005-0000-0000-0000EB040000}"/>
    <cellStyle name="40% - Accent2 4 6 2" xfId="6634" xr:uid="{00000000-0005-0000-0000-0000EC040000}"/>
    <cellStyle name="40% - Accent2 4 6 2 2" xfId="15073" xr:uid="{B662210E-0F48-466A-8CC2-4464A1EB0EAD}"/>
    <cellStyle name="40% - Accent2 4 6 3" xfId="10855" xr:uid="{7932F0F1-81ED-4CE2-BA63-5611C841EE17}"/>
    <cellStyle name="40% - Accent2 4 7" xfId="4568" xr:uid="{00000000-0005-0000-0000-0000ED040000}"/>
    <cellStyle name="40% - Accent2 4 7 2" xfId="13007" xr:uid="{DD0CFB3B-CC7A-4409-91F1-7554965C7AD9}"/>
    <cellStyle name="40% - Accent2 4 8" xfId="8789" xr:uid="{A771B630-3662-4C59-A2DE-96A2B942C89F}"/>
    <cellStyle name="40% - Accent2 5" xfId="626" xr:uid="{00000000-0005-0000-0000-0000EE040000}"/>
    <cellStyle name="40% - Accent2 5 2" xfId="2897" xr:uid="{00000000-0005-0000-0000-0000EF040000}"/>
    <cellStyle name="40% - Accent2 5 2 2" xfId="7120" xr:uid="{00000000-0005-0000-0000-0000F0040000}"/>
    <cellStyle name="40% - Accent2 5 2 2 2" xfId="15559" xr:uid="{C829E3E4-F830-467C-A704-39D549E40BF3}"/>
    <cellStyle name="40% - Accent2 5 2 3" xfId="11341" xr:uid="{45A2BC25-F14F-4456-9420-4E276F77C8F6}"/>
    <cellStyle name="40% - Accent2 5 3" xfId="4975" xr:uid="{00000000-0005-0000-0000-0000F1040000}"/>
    <cellStyle name="40% - Accent2 5 3 2" xfId="13414" xr:uid="{D7826382-48E8-47FD-B72D-7F5B982F1A84}"/>
    <cellStyle name="40% - Accent2 5 4" xfId="9196" xr:uid="{0BC1891E-2E19-4DFE-8BCE-4F491C62B6F6}"/>
    <cellStyle name="40% - Accent2 6" xfId="1079" xr:uid="{00000000-0005-0000-0000-0000F2040000}"/>
    <cellStyle name="40% - Accent2 6 2" xfId="3310" xr:uid="{00000000-0005-0000-0000-0000F3040000}"/>
    <cellStyle name="40% - Accent2 6 2 2" xfId="7533" xr:uid="{00000000-0005-0000-0000-0000F4040000}"/>
    <cellStyle name="40% - Accent2 6 2 2 2" xfId="15972" xr:uid="{5432F538-7CB8-4379-AE0F-14E3E9850FFB}"/>
    <cellStyle name="40% - Accent2 6 2 3" xfId="11754" xr:uid="{95A13D24-CBE6-444C-86CD-DAEDD2484DC0}"/>
    <cellStyle name="40% - Accent2 6 3" xfId="5388" xr:uid="{00000000-0005-0000-0000-0000F5040000}"/>
    <cellStyle name="40% - Accent2 6 3 2" xfId="13827" xr:uid="{3F60C29E-31BF-4D00-B777-44DB460A0CD4}"/>
    <cellStyle name="40% - Accent2 6 4" xfId="9609" xr:uid="{73146D99-FF79-436A-91F1-94701D0EAC5C}"/>
    <cellStyle name="40% - Accent2 7" xfId="1493" xr:uid="{00000000-0005-0000-0000-0000F6040000}"/>
    <cellStyle name="40% - Accent2 7 2" xfId="3723" xr:uid="{00000000-0005-0000-0000-0000F7040000}"/>
    <cellStyle name="40% - Accent2 7 2 2" xfId="7946" xr:uid="{00000000-0005-0000-0000-0000F8040000}"/>
    <cellStyle name="40% - Accent2 7 2 2 2" xfId="16385" xr:uid="{FD699786-816D-446A-B528-A8843CB388E9}"/>
    <cellStyle name="40% - Accent2 7 2 3" xfId="12167" xr:uid="{9405E824-FB1F-421D-B38C-5234C1CB6352}"/>
    <cellStyle name="40% - Accent2 7 3" xfId="5801" xr:uid="{00000000-0005-0000-0000-0000F9040000}"/>
    <cellStyle name="40% - Accent2 7 3 2" xfId="14240" xr:uid="{45110BF8-55DC-4FFA-B2B7-952AFD8F15B0}"/>
    <cellStyle name="40% - Accent2 7 4" xfId="10022" xr:uid="{010A4E20-40E5-46F4-AC8E-6A4B20B16691}"/>
    <cellStyle name="40% - Accent2 8" xfId="1907" xr:uid="{00000000-0005-0000-0000-0000FA040000}"/>
    <cellStyle name="40% - Accent2 8 2" xfId="4136" xr:uid="{00000000-0005-0000-0000-0000FB040000}"/>
    <cellStyle name="40% - Accent2 8 2 2" xfId="8359" xr:uid="{00000000-0005-0000-0000-0000FC040000}"/>
    <cellStyle name="40% - Accent2 8 2 2 2" xfId="16798" xr:uid="{F510810F-7D81-47DC-AA3E-50DDA5366D25}"/>
    <cellStyle name="40% - Accent2 8 2 3" xfId="12580" xr:uid="{D3EAD8C8-3177-4F2D-893A-84DE066C2AE9}"/>
    <cellStyle name="40% - Accent2 8 3" xfId="6214" xr:uid="{00000000-0005-0000-0000-0000FD040000}"/>
    <cellStyle name="40% - Accent2 8 3 2" xfId="14653" xr:uid="{E889AA1C-FAD0-4BE7-A65F-3661F54DEBF4}"/>
    <cellStyle name="40% - Accent2 8 4" xfId="10435" xr:uid="{E0264BA6-244C-4368-953B-D9AD1B0675CD}"/>
    <cellStyle name="40% - Accent2 9" xfId="2320" xr:uid="{00000000-0005-0000-0000-0000FE040000}"/>
    <cellStyle name="40% - Accent2 9 2" xfId="6627" xr:uid="{00000000-0005-0000-0000-0000FF040000}"/>
    <cellStyle name="40% - Accent2 9 2 2" xfId="15066" xr:uid="{B133A5D2-ACCA-4E84-A0B1-C51FCE36DF62}"/>
    <cellStyle name="40% - Accent2 9 3" xfId="10848" xr:uid="{3C13A0B5-6372-4E46-9B6E-1BF0ADC486DC}"/>
    <cellStyle name="40% - Accent3" xfId="65" builtinId="39" customBuiltin="1"/>
    <cellStyle name="40% - Accent3 10" xfId="4569" xr:uid="{00000000-0005-0000-0000-000001050000}"/>
    <cellStyle name="40% - Accent3 10 2" xfId="13008" xr:uid="{94453864-8CF8-4430-8C01-DEF8FCAD0686}"/>
    <cellStyle name="40% - Accent3 11" xfId="8790" xr:uid="{003D6F8B-1136-4DAC-B0C6-5A3DAAB5505F}"/>
    <cellStyle name="40% - Accent3 2" xfId="66" xr:uid="{00000000-0005-0000-0000-000002050000}"/>
    <cellStyle name="40% - Accent3 2 10" xfId="8791" xr:uid="{9903F7B0-635C-45DF-961F-73853541C973}"/>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15570" xr:uid="{F4E71C78-E0A7-44E8-B53C-9D7882AE7FC7}"/>
    <cellStyle name="40% - Accent3 2 2 2 2 2 3" xfId="11352" xr:uid="{13192464-4EAC-488B-ABC6-1D427DEF6EF9}"/>
    <cellStyle name="40% - Accent3 2 2 2 2 3" xfId="4986" xr:uid="{00000000-0005-0000-0000-000008050000}"/>
    <cellStyle name="40% - Accent3 2 2 2 2 3 2" xfId="13425" xr:uid="{9FC346BD-D980-4CAC-88C7-39DB6D5C882F}"/>
    <cellStyle name="40% - Accent3 2 2 2 2 4" xfId="9207" xr:uid="{471C9545-C284-474C-AA66-2D19BC5C0C94}"/>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2 2" xfId="15983" xr:uid="{87F2C5AC-3A2E-43E2-904E-F44BCBA230B5}"/>
    <cellStyle name="40% - Accent3 2 2 2 3 2 3" xfId="11765" xr:uid="{45F482D5-7C84-4673-93D2-BBF5F5F6B648}"/>
    <cellStyle name="40% - Accent3 2 2 2 3 3" xfId="5399" xr:uid="{00000000-0005-0000-0000-00000C050000}"/>
    <cellStyle name="40% - Accent3 2 2 2 3 3 2" xfId="13838" xr:uid="{9855A29E-EC14-43DC-91DD-02C859E44D12}"/>
    <cellStyle name="40% - Accent3 2 2 2 3 4" xfId="9620" xr:uid="{FFAEB9D8-B415-49CA-9803-C05EFED710AB}"/>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2 2 2" xfId="16396" xr:uid="{7E0A5FE4-B400-471E-B5ED-E48D67E9C51B}"/>
    <cellStyle name="40% - Accent3 2 2 2 4 2 3" xfId="12178" xr:uid="{7546082B-C45B-40BE-B717-5D5F086D266E}"/>
    <cellStyle name="40% - Accent3 2 2 2 4 3" xfId="5812" xr:uid="{00000000-0005-0000-0000-000010050000}"/>
    <cellStyle name="40% - Accent3 2 2 2 4 3 2" xfId="14251" xr:uid="{ED708B30-0DCE-464F-A87E-290BA8768BF5}"/>
    <cellStyle name="40% - Accent3 2 2 2 4 4" xfId="10033" xr:uid="{8ED3BC60-0F5A-4BB6-9780-56DC5CDF927A}"/>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2 2 2" xfId="16809" xr:uid="{CB642511-5003-438C-93FF-DF9C27E47B6B}"/>
    <cellStyle name="40% - Accent3 2 2 2 5 2 3" xfId="12591" xr:uid="{C0C6D09D-AAA0-40F4-B8CC-1E376B5F9AA7}"/>
    <cellStyle name="40% - Accent3 2 2 2 5 3" xfId="6225" xr:uid="{00000000-0005-0000-0000-000014050000}"/>
    <cellStyle name="40% - Accent3 2 2 2 5 3 2" xfId="14664" xr:uid="{340126D5-1262-45C7-A224-9FA39D03EACF}"/>
    <cellStyle name="40% - Accent3 2 2 2 5 4" xfId="10446" xr:uid="{20F3F87F-09C5-4066-9ED7-302B3C46744B}"/>
    <cellStyle name="40% - Accent3 2 2 2 6" xfId="2331" xr:uid="{00000000-0005-0000-0000-000015050000}"/>
    <cellStyle name="40% - Accent3 2 2 2 6 2" xfId="6638" xr:uid="{00000000-0005-0000-0000-000016050000}"/>
    <cellStyle name="40% - Accent3 2 2 2 6 2 2" xfId="15077" xr:uid="{D0A960AB-8184-4638-8A10-1939805A1E84}"/>
    <cellStyle name="40% - Accent3 2 2 2 6 3" xfId="10859" xr:uid="{E9AC372D-231A-4804-A7B0-2E848617C25C}"/>
    <cellStyle name="40% - Accent3 2 2 2 7" xfId="4572" xr:uid="{00000000-0005-0000-0000-000017050000}"/>
    <cellStyle name="40% - Accent3 2 2 2 7 2" xfId="13011" xr:uid="{52E7DFD5-DBD8-468C-97F0-982B33022541}"/>
    <cellStyle name="40% - Accent3 2 2 2 8" xfId="8793" xr:uid="{A4B991FA-0C36-4A7E-9D0C-1D5E8EFD59B6}"/>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15569" xr:uid="{BBDA7CC5-6E08-444E-B625-B00078666EAD}"/>
    <cellStyle name="40% - Accent3 2 2 3 2 3" xfId="11351" xr:uid="{D1BFF29A-6DDB-4F14-B3A7-4D931E631F45}"/>
    <cellStyle name="40% - Accent3 2 2 3 3" xfId="4985" xr:uid="{00000000-0005-0000-0000-00001B050000}"/>
    <cellStyle name="40% - Accent3 2 2 3 3 2" xfId="13424" xr:uid="{7AC3A12E-B853-4E61-95EA-8143FCAF0CBD}"/>
    <cellStyle name="40% - Accent3 2 2 3 4" xfId="9206" xr:uid="{61FC00B8-05C3-4A60-9EE4-0174F4DE6B69}"/>
    <cellStyle name="40% - Accent3 2 2 4" xfId="1089" xr:uid="{00000000-0005-0000-0000-00001C050000}"/>
    <cellStyle name="40% - Accent3 2 2 4 2" xfId="3320" xr:uid="{00000000-0005-0000-0000-00001D050000}"/>
    <cellStyle name="40% - Accent3 2 2 4 2 2" xfId="7543" xr:uid="{00000000-0005-0000-0000-00001E050000}"/>
    <cellStyle name="40% - Accent3 2 2 4 2 2 2" xfId="15982" xr:uid="{DAA6A9B2-A020-4ACC-A85B-47D625563252}"/>
    <cellStyle name="40% - Accent3 2 2 4 2 3" xfId="11764" xr:uid="{E2373180-008B-452F-B417-8A999565E5B1}"/>
    <cellStyle name="40% - Accent3 2 2 4 3" xfId="5398" xr:uid="{00000000-0005-0000-0000-00001F050000}"/>
    <cellStyle name="40% - Accent3 2 2 4 3 2" xfId="13837" xr:uid="{76B713E2-E3EE-4CA7-991A-690A2C76ABC3}"/>
    <cellStyle name="40% - Accent3 2 2 4 4" xfId="9619" xr:uid="{6FB38931-4368-465E-8265-FCEF04F21E2E}"/>
    <cellStyle name="40% - Accent3 2 2 5" xfId="1503" xr:uid="{00000000-0005-0000-0000-000020050000}"/>
    <cellStyle name="40% - Accent3 2 2 5 2" xfId="3733" xr:uid="{00000000-0005-0000-0000-000021050000}"/>
    <cellStyle name="40% - Accent3 2 2 5 2 2" xfId="7956" xr:uid="{00000000-0005-0000-0000-000022050000}"/>
    <cellStyle name="40% - Accent3 2 2 5 2 2 2" xfId="16395" xr:uid="{28EFBDD8-7B53-42F1-8886-07F16FAA4F6A}"/>
    <cellStyle name="40% - Accent3 2 2 5 2 3" xfId="12177" xr:uid="{EE094D95-1C5A-411D-B5B9-4E5F48765811}"/>
    <cellStyle name="40% - Accent3 2 2 5 3" xfId="5811" xr:uid="{00000000-0005-0000-0000-000023050000}"/>
    <cellStyle name="40% - Accent3 2 2 5 3 2" xfId="14250" xr:uid="{5B232103-9C59-4CF5-8FCD-3D8B57258E00}"/>
    <cellStyle name="40% - Accent3 2 2 5 4" xfId="10032" xr:uid="{642645F9-3E03-4916-97C6-AF3D9B891979}"/>
    <cellStyle name="40% - Accent3 2 2 6" xfId="1917" xr:uid="{00000000-0005-0000-0000-000024050000}"/>
    <cellStyle name="40% - Accent3 2 2 6 2" xfId="4146" xr:uid="{00000000-0005-0000-0000-000025050000}"/>
    <cellStyle name="40% - Accent3 2 2 6 2 2" xfId="8369" xr:uid="{00000000-0005-0000-0000-000026050000}"/>
    <cellStyle name="40% - Accent3 2 2 6 2 2 2" xfId="16808" xr:uid="{3BEEADF4-B591-4C4D-BD46-AE136E831603}"/>
    <cellStyle name="40% - Accent3 2 2 6 2 3" xfId="12590" xr:uid="{53CE9FD0-E4C0-48FC-9F5A-C3970859BA02}"/>
    <cellStyle name="40% - Accent3 2 2 6 3" xfId="6224" xr:uid="{00000000-0005-0000-0000-000027050000}"/>
    <cellStyle name="40% - Accent3 2 2 6 3 2" xfId="14663" xr:uid="{D5555F55-C939-4DAA-AF4B-CFC9D5E6BD1D}"/>
    <cellStyle name="40% - Accent3 2 2 6 4" xfId="10445" xr:uid="{4E1D50E3-5041-4E7D-9403-AD8129C8363D}"/>
    <cellStyle name="40% - Accent3 2 2 7" xfId="2330" xr:uid="{00000000-0005-0000-0000-000028050000}"/>
    <cellStyle name="40% - Accent3 2 2 7 2" xfId="6637" xr:uid="{00000000-0005-0000-0000-000029050000}"/>
    <cellStyle name="40% - Accent3 2 2 7 2 2" xfId="15076" xr:uid="{E0C83EB5-3F44-414E-86EB-21AA705575D6}"/>
    <cellStyle name="40% - Accent3 2 2 7 3" xfId="10858" xr:uid="{FDBCBEFA-7271-4FAA-B5A6-B030F5BFC6DD}"/>
    <cellStyle name="40% - Accent3 2 2 8" xfId="4571" xr:uid="{00000000-0005-0000-0000-00002A050000}"/>
    <cellStyle name="40% - Accent3 2 2 8 2" xfId="13010" xr:uid="{F94D2A17-F5EA-4A52-99BE-8CE59039FD4D}"/>
    <cellStyle name="40% - Accent3 2 2 9" xfId="8792" xr:uid="{13A5C686-C438-48EB-BF9B-29C17F1535DA}"/>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15571" xr:uid="{768F8713-A577-43D8-80A2-DD847B8DFC15}"/>
    <cellStyle name="40% - Accent3 2 3 2 2 3" xfId="11353" xr:uid="{B8289558-BA20-407B-84FC-58B4418109BC}"/>
    <cellStyle name="40% - Accent3 2 3 2 3" xfId="4987" xr:uid="{00000000-0005-0000-0000-00002F050000}"/>
    <cellStyle name="40% - Accent3 2 3 2 3 2" xfId="13426" xr:uid="{AEE5B965-A971-44DE-9AA6-020E185506AE}"/>
    <cellStyle name="40% - Accent3 2 3 2 4" xfId="9208" xr:uid="{C45F5D0B-8A89-4986-995B-284AC509216E}"/>
    <cellStyle name="40% - Accent3 2 3 3" xfId="1091" xr:uid="{00000000-0005-0000-0000-000030050000}"/>
    <cellStyle name="40% - Accent3 2 3 3 2" xfId="3322" xr:uid="{00000000-0005-0000-0000-000031050000}"/>
    <cellStyle name="40% - Accent3 2 3 3 2 2" xfId="7545" xr:uid="{00000000-0005-0000-0000-000032050000}"/>
    <cellStyle name="40% - Accent3 2 3 3 2 2 2" xfId="15984" xr:uid="{3E589D32-93D6-4126-9354-541B4A911DE1}"/>
    <cellStyle name="40% - Accent3 2 3 3 2 3" xfId="11766" xr:uid="{68ED1E88-1A11-44B1-B3F9-20BACD36F24D}"/>
    <cellStyle name="40% - Accent3 2 3 3 3" xfId="5400" xr:uid="{00000000-0005-0000-0000-000033050000}"/>
    <cellStyle name="40% - Accent3 2 3 3 3 2" xfId="13839" xr:uid="{632F56C6-DCB8-4D55-B57D-D1A92CF05D56}"/>
    <cellStyle name="40% - Accent3 2 3 3 4" xfId="9621" xr:uid="{4C592E9F-2FCC-4499-ABE7-D629AD988503}"/>
    <cellStyle name="40% - Accent3 2 3 4" xfId="1505" xr:uid="{00000000-0005-0000-0000-000034050000}"/>
    <cellStyle name="40% - Accent3 2 3 4 2" xfId="3735" xr:uid="{00000000-0005-0000-0000-000035050000}"/>
    <cellStyle name="40% - Accent3 2 3 4 2 2" xfId="7958" xr:uid="{00000000-0005-0000-0000-000036050000}"/>
    <cellStyle name="40% - Accent3 2 3 4 2 2 2" xfId="16397" xr:uid="{2B1097E6-B25E-41BB-9F87-2028EC7509D7}"/>
    <cellStyle name="40% - Accent3 2 3 4 2 3" xfId="12179" xr:uid="{8F118222-AE91-47D9-AB54-349E7FFCF5AC}"/>
    <cellStyle name="40% - Accent3 2 3 4 3" xfId="5813" xr:uid="{00000000-0005-0000-0000-000037050000}"/>
    <cellStyle name="40% - Accent3 2 3 4 3 2" xfId="14252" xr:uid="{3680FE0C-6F84-4251-B9F8-EA3CB125FDD0}"/>
    <cellStyle name="40% - Accent3 2 3 4 4" xfId="10034" xr:uid="{6CB7AF50-BB34-453D-84CA-C98CA949B782}"/>
    <cellStyle name="40% - Accent3 2 3 5" xfId="1919" xr:uid="{00000000-0005-0000-0000-000038050000}"/>
    <cellStyle name="40% - Accent3 2 3 5 2" xfId="4148" xr:uid="{00000000-0005-0000-0000-000039050000}"/>
    <cellStyle name="40% - Accent3 2 3 5 2 2" xfId="8371" xr:uid="{00000000-0005-0000-0000-00003A050000}"/>
    <cellStyle name="40% - Accent3 2 3 5 2 2 2" xfId="16810" xr:uid="{D2A54A1C-5438-4109-A882-A52797B93479}"/>
    <cellStyle name="40% - Accent3 2 3 5 2 3" xfId="12592" xr:uid="{A4D6A922-2FA2-45E3-A66C-9FB31799D677}"/>
    <cellStyle name="40% - Accent3 2 3 5 3" xfId="6226" xr:uid="{00000000-0005-0000-0000-00003B050000}"/>
    <cellStyle name="40% - Accent3 2 3 5 3 2" xfId="14665" xr:uid="{921F48C0-4D21-4490-9AD9-EFA8C4A44EED}"/>
    <cellStyle name="40% - Accent3 2 3 5 4" xfId="10447" xr:uid="{6F9ADB8F-4BE7-41C5-A9D1-406453E4E608}"/>
    <cellStyle name="40% - Accent3 2 3 6" xfId="2332" xr:uid="{00000000-0005-0000-0000-00003C050000}"/>
    <cellStyle name="40% - Accent3 2 3 6 2" xfId="6639" xr:uid="{00000000-0005-0000-0000-00003D050000}"/>
    <cellStyle name="40% - Accent3 2 3 6 2 2" xfId="15078" xr:uid="{71D8E7BB-D0B6-412F-A790-E2FB0FFBC6E1}"/>
    <cellStyle name="40% - Accent3 2 3 6 3" xfId="10860" xr:uid="{DD1AC734-96C6-44C5-B3EC-C117315EFBC8}"/>
    <cellStyle name="40% - Accent3 2 3 7" xfId="4573" xr:uid="{00000000-0005-0000-0000-00003E050000}"/>
    <cellStyle name="40% - Accent3 2 3 7 2" xfId="13012" xr:uid="{D7999929-7F68-4943-BB29-6FD70D728385}"/>
    <cellStyle name="40% - Accent3 2 3 8" xfId="8794" xr:uid="{77E27A5D-B583-46CE-80DC-41465DD57033}"/>
    <cellStyle name="40% - Accent3 2 4" xfId="635" xr:uid="{00000000-0005-0000-0000-00003F050000}"/>
    <cellStyle name="40% - Accent3 2 4 2" xfId="2906" xr:uid="{00000000-0005-0000-0000-000040050000}"/>
    <cellStyle name="40% - Accent3 2 4 2 2" xfId="7129" xr:uid="{00000000-0005-0000-0000-000041050000}"/>
    <cellStyle name="40% - Accent3 2 4 2 2 2" xfId="15568" xr:uid="{8637282D-4D44-4EEB-AA40-531C51774699}"/>
    <cellStyle name="40% - Accent3 2 4 2 3" xfId="11350" xr:uid="{14388CDD-018E-485B-B2CC-846DDB2017A7}"/>
    <cellStyle name="40% - Accent3 2 4 3" xfId="4984" xr:uid="{00000000-0005-0000-0000-000042050000}"/>
    <cellStyle name="40% - Accent3 2 4 3 2" xfId="13423" xr:uid="{E1CAA806-2542-4811-A814-5B34C6D19F36}"/>
    <cellStyle name="40% - Accent3 2 4 4" xfId="9205" xr:uid="{154CFA24-36E4-44E7-B21A-9CB1C009D36A}"/>
    <cellStyle name="40% - Accent3 2 5" xfId="1088" xr:uid="{00000000-0005-0000-0000-000043050000}"/>
    <cellStyle name="40% - Accent3 2 5 2" xfId="3319" xr:uid="{00000000-0005-0000-0000-000044050000}"/>
    <cellStyle name="40% - Accent3 2 5 2 2" xfId="7542" xr:uid="{00000000-0005-0000-0000-000045050000}"/>
    <cellStyle name="40% - Accent3 2 5 2 2 2" xfId="15981" xr:uid="{08FD7AD5-E72E-4E91-9B2E-708C2FE4808A}"/>
    <cellStyle name="40% - Accent3 2 5 2 3" xfId="11763" xr:uid="{2705D900-975E-4CDB-A5F7-7A7093FE1AF0}"/>
    <cellStyle name="40% - Accent3 2 5 3" xfId="5397" xr:uid="{00000000-0005-0000-0000-000046050000}"/>
    <cellStyle name="40% - Accent3 2 5 3 2" xfId="13836" xr:uid="{99D4A970-0EA4-4C89-83E4-2B7A66BBC159}"/>
    <cellStyle name="40% - Accent3 2 5 4" xfId="9618" xr:uid="{B745D441-2E1A-42DE-8541-7715426C4FC0}"/>
    <cellStyle name="40% - Accent3 2 6" xfId="1502" xr:uid="{00000000-0005-0000-0000-000047050000}"/>
    <cellStyle name="40% - Accent3 2 6 2" xfId="3732" xr:uid="{00000000-0005-0000-0000-000048050000}"/>
    <cellStyle name="40% - Accent3 2 6 2 2" xfId="7955" xr:uid="{00000000-0005-0000-0000-000049050000}"/>
    <cellStyle name="40% - Accent3 2 6 2 2 2" xfId="16394" xr:uid="{6E4137C5-F360-4C1F-84FA-36698A185CB2}"/>
    <cellStyle name="40% - Accent3 2 6 2 3" xfId="12176" xr:uid="{679F8077-932E-4069-8187-57841BDC5702}"/>
    <cellStyle name="40% - Accent3 2 6 3" xfId="5810" xr:uid="{00000000-0005-0000-0000-00004A050000}"/>
    <cellStyle name="40% - Accent3 2 6 3 2" xfId="14249" xr:uid="{FB7FD9B5-0228-4AF7-9A66-4902488F3714}"/>
    <cellStyle name="40% - Accent3 2 6 4" xfId="10031" xr:uid="{BAD4A2D8-3CDF-47C2-B5C0-75322ABC0A57}"/>
    <cellStyle name="40% - Accent3 2 7" xfId="1916" xr:uid="{00000000-0005-0000-0000-00004B050000}"/>
    <cellStyle name="40% - Accent3 2 7 2" xfId="4145" xr:uid="{00000000-0005-0000-0000-00004C050000}"/>
    <cellStyle name="40% - Accent3 2 7 2 2" xfId="8368" xr:uid="{00000000-0005-0000-0000-00004D050000}"/>
    <cellStyle name="40% - Accent3 2 7 2 2 2" xfId="16807" xr:uid="{EAC808D9-78E6-409C-9A24-F9400E9C698F}"/>
    <cellStyle name="40% - Accent3 2 7 2 3" xfId="12589" xr:uid="{74B1926C-3EF4-404D-9866-712585BA5397}"/>
    <cellStyle name="40% - Accent3 2 7 3" xfId="6223" xr:uid="{00000000-0005-0000-0000-00004E050000}"/>
    <cellStyle name="40% - Accent3 2 7 3 2" xfId="14662" xr:uid="{6A5F4AC9-B2D2-4ADE-A446-CDFBA1E656E8}"/>
    <cellStyle name="40% - Accent3 2 7 4" xfId="10444" xr:uid="{8F3FC210-960C-4A86-A671-C6D9C88499B5}"/>
    <cellStyle name="40% - Accent3 2 8" xfId="2329" xr:uid="{00000000-0005-0000-0000-00004F050000}"/>
    <cellStyle name="40% - Accent3 2 8 2" xfId="6636" xr:uid="{00000000-0005-0000-0000-000050050000}"/>
    <cellStyle name="40% - Accent3 2 8 2 2" xfId="15075" xr:uid="{16980EA2-E932-4C44-9D33-E478B63777DC}"/>
    <cellStyle name="40% - Accent3 2 8 3" xfId="10857" xr:uid="{EED9D6DE-77A0-41A5-8704-29EE16C001B4}"/>
    <cellStyle name="40% - Accent3 2 9" xfId="4570" xr:uid="{00000000-0005-0000-0000-000051050000}"/>
    <cellStyle name="40% - Accent3 2 9 2" xfId="13009" xr:uid="{CFF15DB0-0CA4-4EFB-8033-08A99EE29CFC}"/>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15573" xr:uid="{A3673D98-FB8B-4860-BFBF-A38E728D32BD}"/>
    <cellStyle name="40% - Accent3 3 2 2 2 3" xfId="11355" xr:uid="{BE12CF90-678E-462F-A8D6-39FE68C956C7}"/>
    <cellStyle name="40% - Accent3 3 2 2 3" xfId="4989" xr:uid="{00000000-0005-0000-0000-000057050000}"/>
    <cellStyle name="40% - Accent3 3 2 2 3 2" xfId="13428" xr:uid="{B2B5894F-96DD-4222-B88A-DF1BDF25B92A}"/>
    <cellStyle name="40% - Accent3 3 2 2 4" xfId="9210" xr:uid="{72460178-FF10-4070-A664-D468DCD8B9A1}"/>
    <cellStyle name="40% - Accent3 3 2 3" xfId="1093" xr:uid="{00000000-0005-0000-0000-000058050000}"/>
    <cellStyle name="40% - Accent3 3 2 3 2" xfId="3324" xr:uid="{00000000-0005-0000-0000-000059050000}"/>
    <cellStyle name="40% - Accent3 3 2 3 2 2" xfId="7547" xr:uid="{00000000-0005-0000-0000-00005A050000}"/>
    <cellStyle name="40% - Accent3 3 2 3 2 2 2" xfId="15986" xr:uid="{4B227C2B-AA17-4FE6-B088-1620AA416966}"/>
    <cellStyle name="40% - Accent3 3 2 3 2 3" xfId="11768" xr:uid="{9F4C3F4F-B9C3-486C-8DEA-E66555B747F2}"/>
    <cellStyle name="40% - Accent3 3 2 3 3" xfId="5402" xr:uid="{00000000-0005-0000-0000-00005B050000}"/>
    <cellStyle name="40% - Accent3 3 2 3 3 2" xfId="13841" xr:uid="{26526FDA-362D-4E25-B6C6-815DFA392931}"/>
    <cellStyle name="40% - Accent3 3 2 3 4" xfId="9623" xr:uid="{14FFA4F9-7BAC-4345-860A-FF428435752D}"/>
    <cellStyle name="40% - Accent3 3 2 4" xfId="1507" xr:uid="{00000000-0005-0000-0000-00005C050000}"/>
    <cellStyle name="40% - Accent3 3 2 4 2" xfId="3737" xr:uid="{00000000-0005-0000-0000-00005D050000}"/>
    <cellStyle name="40% - Accent3 3 2 4 2 2" xfId="7960" xr:uid="{00000000-0005-0000-0000-00005E050000}"/>
    <cellStyle name="40% - Accent3 3 2 4 2 2 2" xfId="16399" xr:uid="{A9F4082B-76F7-49CE-A0BE-CEDBF7A5E613}"/>
    <cellStyle name="40% - Accent3 3 2 4 2 3" xfId="12181" xr:uid="{561B9CA9-1871-4098-A8F3-30961C3ED70C}"/>
    <cellStyle name="40% - Accent3 3 2 4 3" xfId="5815" xr:uid="{00000000-0005-0000-0000-00005F050000}"/>
    <cellStyle name="40% - Accent3 3 2 4 3 2" xfId="14254" xr:uid="{E654139D-9F58-43B9-8138-470A32523C0A}"/>
    <cellStyle name="40% - Accent3 3 2 4 4" xfId="10036" xr:uid="{FFE70C4E-B5CB-4F08-BDC7-9F39C2B5E14E}"/>
    <cellStyle name="40% - Accent3 3 2 5" xfId="1921" xr:uid="{00000000-0005-0000-0000-000060050000}"/>
    <cellStyle name="40% - Accent3 3 2 5 2" xfId="4150" xr:uid="{00000000-0005-0000-0000-000061050000}"/>
    <cellStyle name="40% - Accent3 3 2 5 2 2" xfId="8373" xr:uid="{00000000-0005-0000-0000-000062050000}"/>
    <cellStyle name="40% - Accent3 3 2 5 2 2 2" xfId="16812" xr:uid="{B329B75C-A0BD-4DE9-AF20-901425921001}"/>
    <cellStyle name="40% - Accent3 3 2 5 2 3" xfId="12594" xr:uid="{7DC37042-916D-42B2-9773-6418CE4F6E63}"/>
    <cellStyle name="40% - Accent3 3 2 5 3" xfId="6228" xr:uid="{00000000-0005-0000-0000-000063050000}"/>
    <cellStyle name="40% - Accent3 3 2 5 3 2" xfId="14667" xr:uid="{FFB1A38D-34D1-41E7-BB03-13796644B121}"/>
    <cellStyle name="40% - Accent3 3 2 5 4" xfId="10449" xr:uid="{E1CB8913-6788-44DB-8706-A3F5F3295F5E}"/>
    <cellStyle name="40% - Accent3 3 2 6" xfId="2334" xr:uid="{00000000-0005-0000-0000-000064050000}"/>
    <cellStyle name="40% - Accent3 3 2 6 2" xfId="6641" xr:uid="{00000000-0005-0000-0000-000065050000}"/>
    <cellStyle name="40% - Accent3 3 2 6 2 2" xfId="15080" xr:uid="{EEA96E0A-978C-43A0-ACB0-AC21A03D6DD7}"/>
    <cellStyle name="40% - Accent3 3 2 6 3" xfId="10862" xr:uid="{FAE79F64-86E2-4214-8674-C814720925AB}"/>
    <cellStyle name="40% - Accent3 3 2 7" xfId="4575" xr:uid="{00000000-0005-0000-0000-000066050000}"/>
    <cellStyle name="40% - Accent3 3 2 7 2" xfId="13014" xr:uid="{516878AC-EF69-4F90-8C7A-A8307BC758A2}"/>
    <cellStyle name="40% - Accent3 3 2 8" xfId="8796" xr:uid="{660454CB-A002-4661-A4D1-29CD157F3E65}"/>
    <cellStyle name="40% - Accent3 3 3" xfId="639" xr:uid="{00000000-0005-0000-0000-000067050000}"/>
    <cellStyle name="40% - Accent3 3 3 2" xfId="2910" xr:uid="{00000000-0005-0000-0000-000068050000}"/>
    <cellStyle name="40% - Accent3 3 3 2 2" xfId="7133" xr:uid="{00000000-0005-0000-0000-000069050000}"/>
    <cellStyle name="40% - Accent3 3 3 2 2 2" xfId="15572" xr:uid="{C850F321-B61D-4418-9EEF-643F88E6FEE4}"/>
    <cellStyle name="40% - Accent3 3 3 2 3" xfId="11354" xr:uid="{6114740A-D319-4454-8146-2AE2ACB90612}"/>
    <cellStyle name="40% - Accent3 3 3 3" xfId="4988" xr:uid="{00000000-0005-0000-0000-00006A050000}"/>
    <cellStyle name="40% - Accent3 3 3 3 2" xfId="13427" xr:uid="{59441443-2447-49C2-AE4E-E4B4F187E5BA}"/>
    <cellStyle name="40% - Accent3 3 3 4" xfId="9209" xr:uid="{8BFC368B-3173-43F4-8388-A7B9A89CAD85}"/>
    <cellStyle name="40% - Accent3 3 4" xfId="1092" xr:uid="{00000000-0005-0000-0000-00006B050000}"/>
    <cellStyle name="40% - Accent3 3 4 2" xfId="3323" xr:uid="{00000000-0005-0000-0000-00006C050000}"/>
    <cellStyle name="40% - Accent3 3 4 2 2" xfId="7546" xr:uid="{00000000-0005-0000-0000-00006D050000}"/>
    <cellStyle name="40% - Accent3 3 4 2 2 2" xfId="15985" xr:uid="{082E6D7C-9844-4D4F-981C-491DB1CE7B1F}"/>
    <cellStyle name="40% - Accent3 3 4 2 3" xfId="11767" xr:uid="{ED4E6C96-E179-4693-BACF-63F418DE5CE8}"/>
    <cellStyle name="40% - Accent3 3 4 3" xfId="5401" xr:uid="{00000000-0005-0000-0000-00006E050000}"/>
    <cellStyle name="40% - Accent3 3 4 3 2" xfId="13840" xr:uid="{ED9D54B4-D3BC-4E1E-A889-1A23E2585C8C}"/>
    <cellStyle name="40% - Accent3 3 4 4" xfId="9622" xr:uid="{E085EDC6-5799-4CCC-B58D-C6CEB46CD583}"/>
    <cellStyle name="40% - Accent3 3 5" xfId="1506" xr:uid="{00000000-0005-0000-0000-00006F050000}"/>
    <cellStyle name="40% - Accent3 3 5 2" xfId="3736" xr:uid="{00000000-0005-0000-0000-000070050000}"/>
    <cellStyle name="40% - Accent3 3 5 2 2" xfId="7959" xr:uid="{00000000-0005-0000-0000-000071050000}"/>
    <cellStyle name="40% - Accent3 3 5 2 2 2" xfId="16398" xr:uid="{5D0036F4-A1D2-48E0-80FD-9BC78F190ED7}"/>
    <cellStyle name="40% - Accent3 3 5 2 3" xfId="12180" xr:uid="{AF1112CF-1C7C-4B1C-8C48-D42F1E9AD62B}"/>
    <cellStyle name="40% - Accent3 3 5 3" xfId="5814" xr:uid="{00000000-0005-0000-0000-000072050000}"/>
    <cellStyle name="40% - Accent3 3 5 3 2" xfId="14253" xr:uid="{F93D5659-2D7F-4DF0-B8DF-EE921B1F0226}"/>
    <cellStyle name="40% - Accent3 3 5 4" xfId="10035" xr:uid="{783C8855-849F-4742-BBB9-2D896C5A296A}"/>
    <cellStyle name="40% - Accent3 3 6" xfId="1920" xr:uid="{00000000-0005-0000-0000-000073050000}"/>
    <cellStyle name="40% - Accent3 3 6 2" xfId="4149" xr:uid="{00000000-0005-0000-0000-000074050000}"/>
    <cellStyle name="40% - Accent3 3 6 2 2" xfId="8372" xr:uid="{00000000-0005-0000-0000-000075050000}"/>
    <cellStyle name="40% - Accent3 3 6 2 2 2" xfId="16811" xr:uid="{36B0344D-65A1-4EEB-A24B-7EC475731DA6}"/>
    <cellStyle name="40% - Accent3 3 6 2 3" xfId="12593" xr:uid="{C0874059-14C4-43A0-A00F-9D3B60FF3AA9}"/>
    <cellStyle name="40% - Accent3 3 6 3" xfId="6227" xr:uid="{00000000-0005-0000-0000-000076050000}"/>
    <cellStyle name="40% - Accent3 3 6 3 2" xfId="14666" xr:uid="{F4517DF3-F910-44E4-BBE5-0CF7439593C0}"/>
    <cellStyle name="40% - Accent3 3 6 4" xfId="10448" xr:uid="{0871C988-0856-455E-B22F-6809812AB3B9}"/>
    <cellStyle name="40% - Accent3 3 7" xfId="2333" xr:uid="{00000000-0005-0000-0000-000077050000}"/>
    <cellStyle name="40% - Accent3 3 7 2" xfId="6640" xr:uid="{00000000-0005-0000-0000-000078050000}"/>
    <cellStyle name="40% - Accent3 3 7 2 2" xfId="15079" xr:uid="{A9137649-FC34-4143-9030-0AAE3C86CC98}"/>
    <cellStyle name="40% - Accent3 3 7 3" xfId="10861" xr:uid="{89FED2DB-E1BB-4EFC-87EC-E6974EF2ECF3}"/>
    <cellStyle name="40% - Accent3 3 8" xfId="4574" xr:uid="{00000000-0005-0000-0000-000079050000}"/>
    <cellStyle name="40% - Accent3 3 8 2" xfId="13013" xr:uid="{AB18DB32-9DCF-4D5B-9B57-2A0DF0ADEFF0}"/>
    <cellStyle name="40% - Accent3 3 9" xfId="8795" xr:uid="{20812EA5-2C3A-4BAA-8B70-D55ECA4922E7}"/>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2 2 2" xfId="15574" xr:uid="{F0D0D3B5-45A4-4B8B-9456-0601A3A45620}"/>
    <cellStyle name="40% - Accent3 4 2 2 3" xfId="11356" xr:uid="{599FFF35-0963-4DCD-9DC5-A192CCF6DAFA}"/>
    <cellStyle name="40% - Accent3 4 2 3" xfId="4990" xr:uid="{00000000-0005-0000-0000-00007E050000}"/>
    <cellStyle name="40% - Accent3 4 2 3 2" xfId="13429" xr:uid="{6B3BA51A-F2BD-4869-B3F6-68E620266B03}"/>
    <cellStyle name="40% - Accent3 4 2 4" xfId="9211" xr:uid="{3A16DD1D-977C-4A44-AC54-A756614B5C60}"/>
    <cellStyle name="40% - Accent3 4 3" xfId="1094" xr:uid="{00000000-0005-0000-0000-00007F050000}"/>
    <cellStyle name="40% - Accent3 4 3 2" xfId="3325" xr:uid="{00000000-0005-0000-0000-000080050000}"/>
    <cellStyle name="40% - Accent3 4 3 2 2" xfId="7548" xr:uid="{00000000-0005-0000-0000-000081050000}"/>
    <cellStyle name="40% - Accent3 4 3 2 2 2" xfId="15987" xr:uid="{B9E8220E-5DC8-4770-B1C7-CEEF356D74EA}"/>
    <cellStyle name="40% - Accent3 4 3 2 3" xfId="11769" xr:uid="{4AE03D7F-8B34-46C1-AE5D-504EA6CCC345}"/>
    <cellStyle name="40% - Accent3 4 3 3" xfId="5403" xr:uid="{00000000-0005-0000-0000-000082050000}"/>
    <cellStyle name="40% - Accent3 4 3 3 2" xfId="13842" xr:uid="{A9851BA2-EEDE-48BC-A623-A410BC09BE50}"/>
    <cellStyle name="40% - Accent3 4 3 4" xfId="9624" xr:uid="{FFE3FDE8-7D74-442F-833F-A4C17D9E08C6}"/>
    <cellStyle name="40% - Accent3 4 4" xfId="1508" xr:uid="{00000000-0005-0000-0000-000083050000}"/>
    <cellStyle name="40% - Accent3 4 4 2" xfId="3738" xr:uid="{00000000-0005-0000-0000-000084050000}"/>
    <cellStyle name="40% - Accent3 4 4 2 2" xfId="7961" xr:uid="{00000000-0005-0000-0000-000085050000}"/>
    <cellStyle name="40% - Accent3 4 4 2 2 2" xfId="16400" xr:uid="{25587EA3-534D-46BA-9726-217A272532E7}"/>
    <cellStyle name="40% - Accent3 4 4 2 3" xfId="12182" xr:uid="{B8B35DBF-3034-498C-BE65-54AE3116D431}"/>
    <cellStyle name="40% - Accent3 4 4 3" xfId="5816" xr:uid="{00000000-0005-0000-0000-000086050000}"/>
    <cellStyle name="40% - Accent3 4 4 3 2" xfId="14255" xr:uid="{A66AB955-09E7-49D4-97B3-308A4F005736}"/>
    <cellStyle name="40% - Accent3 4 4 4" xfId="10037" xr:uid="{C523083A-BD51-4BF6-8470-09840C5C4AAC}"/>
    <cellStyle name="40% - Accent3 4 5" xfId="1922" xr:uid="{00000000-0005-0000-0000-000087050000}"/>
    <cellStyle name="40% - Accent3 4 5 2" xfId="4151" xr:uid="{00000000-0005-0000-0000-000088050000}"/>
    <cellStyle name="40% - Accent3 4 5 2 2" xfId="8374" xr:uid="{00000000-0005-0000-0000-000089050000}"/>
    <cellStyle name="40% - Accent3 4 5 2 2 2" xfId="16813" xr:uid="{9F6C8437-BA10-45C6-98DD-E94DA183B544}"/>
    <cellStyle name="40% - Accent3 4 5 2 3" xfId="12595" xr:uid="{FF006852-2BFE-4E68-8B0C-D9CBAF8BE77B}"/>
    <cellStyle name="40% - Accent3 4 5 3" xfId="6229" xr:uid="{00000000-0005-0000-0000-00008A050000}"/>
    <cellStyle name="40% - Accent3 4 5 3 2" xfId="14668" xr:uid="{569857C2-4AB6-471C-B454-0BF25F196C72}"/>
    <cellStyle name="40% - Accent3 4 5 4" xfId="10450" xr:uid="{19D2E76C-A67A-4893-AF4E-026CDB24995A}"/>
    <cellStyle name="40% - Accent3 4 6" xfId="2335" xr:uid="{00000000-0005-0000-0000-00008B050000}"/>
    <cellStyle name="40% - Accent3 4 6 2" xfId="6642" xr:uid="{00000000-0005-0000-0000-00008C050000}"/>
    <cellStyle name="40% - Accent3 4 6 2 2" xfId="15081" xr:uid="{AF1D37F0-047F-4E33-8262-5F0FEF551103}"/>
    <cellStyle name="40% - Accent3 4 6 3" xfId="10863" xr:uid="{49C269AD-AC42-4513-B156-E6B7BA558089}"/>
    <cellStyle name="40% - Accent3 4 7" xfId="4576" xr:uid="{00000000-0005-0000-0000-00008D050000}"/>
    <cellStyle name="40% - Accent3 4 7 2" xfId="13015" xr:uid="{1E39BA0D-6279-468A-AD30-CBF521F9F878}"/>
    <cellStyle name="40% - Accent3 4 8" xfId="8797" xr:uid="{7EC39D25-6191-4FCE-892C-8B5988B40BB0}"/>
    <cellStyle name="40% - Accent3 5" xfId="634" xr:uid="{00000000-0005-0000-0000-00008E050000}"/>
    <cellStyle name="40% - Accent3 5 2" xfId="2905" xr:uid="{00000000-0005-0000-0000-00008F050000}"/>
    <cellStyle name="40% - Accent3 5 2 2" xfId="7128" xr:uid="{00000000-0005-0000-0000-000090050000}"/>
    <cellStyle name="40% - Accent3 5 2 2 2" xfId="15567" xr:uid="{05D8213D-2221-47D6-AF07-6E9A55CDF42D}"/>
    <cellStyle name="40% - Accent3 5 2 3" xfId="11349" xr:uid="{EF02710F-C8A0-46DF-B88A-8049ECB16B28}"/>
    <cellStyle name="40% - Accent3 5 3" xfId="4983" xr:uid="{00000000-0005-0000-0000-000091050000}"/>
    <cellStyle name="40% - Accent3 5 3 2" xfId="13422" xr:uid="{A61956F0-5ACA-4C58-996F-E3C5B021B1B7}"/>
    <cellStyle name="40% - Accent3 5 4" xfId="9204" xr:uid="{EF46B23E-66CC-4EEB-BBD3-7410F0AF87C1}"/>
    <cellStyle name="40% - Accent3 6" xfId="1087" xr:uid="{00000000-0005-0000-0000-000092050000}"/>
    <cellStyle name="40% - Accent3 6 2" xfId="3318" xr:uid="{00000000-0005-0000-0000-000093050000}"/>
    <cellStyle name="40% - Accent3 6 2 2" xfId="7541" xr:uid="{00000000-0005-0000-0000-000094050000}"/>
    <cellStyle name="40% - Accent3 6 2 2 2" xfId="15980" xr:uid="{E16CA4D5-6FD8-4414-A70F-213911797868}"/>
    <cellStyle name="40% - Accent3 6 2 3" xfId="11762" xr:uid="{0B23B063-5D70-4E5A-BB2F-729D3F51858E}"/>
    <cellStyle name="40% - Accent3 6 3" xfId="5396" xr:uid="{00000000-0005-0000-0000-000095050000}"/>
    <cellStyle name="40% - Accent3 6 3 2" xfId="13835" xr:uid="{1611D697-D0B6-4142-A02C-E1BB82E12C2B}"/>
    <cellStyle name="40% - Accent3 6 4" xfId="9617" xr:uid="{E4BA6C24-58C8-4D53-9B27-3D6CC5C65BA3}"/>
    <cellStyle name="40% - Accent3 7" xfId="1501" xr:uid="{00000000-0005-0000-0000-000096050000}"/>
    <cellStyle name="40% - Accent3 7 2" xfId="3731" xr:uid="{00000000-0005-0000-0000-000097050000}"/>
    <cellStyle name="40% - Accent3 7 2 2" xfId="7954" xr:uid="{00000000-0005-0000-0000-000098050000}"/>
    <cellStyle name="40% - Accent3 7 2 2 2" xfId="16393" xr:uid="{8D1F304F-4A27-4B8A-B6F0-6A5301B90F4D}"/>
    <cellStyle name="40% - Accent3 7 2 3" xfId="12175" xr:uid="{3FC89DA1-6811-4C3E-AA1D-9B7F37918267}"/>
    <cellStyle name="40% - Accent3 7 3" xfId="5809" xr:uid="{00000000-0005-0000-0000-000099050000}"/>
    <cellStyle name="40% - Accent3 7 3 2" xfId="14248" xr:uid="{E657053E-DA93-4ECE-99E8-619C29C1A86B}"/>
    <cellStyle name="40% - Accent3 7 4" xfId="10030" xr:uid="{8DFA04C2-F0E6-41F6-9233-980E49D01196}"/>
    <cellStyle name="40% - Accent3 8" xfId="1915" xr:uid="{00000000-0005-0000-0000-00009A050000}"/>
    <cellStyle name="40% - Accent3 8 2" xfId="4144" xr:uid="{00000000-0005-0000-0000-00009B050000}"/>
    <cellStyle name="40% - Accent3 8 2 2" xfId="8367" xr:uid="{00000000-0005-0000-0000-00009C050000}"/>
    <cellStyle name="40% - Accent3 8 2 2 2" xfId="16806" xr:uid="{9806FFDD-2F51-4639-9EEB-71FA102591E6}"/>
    <cellStyle name="40% - Accent3 8 2 3" xfId="12588" xr:uid="{3DCB8324-6E1B-442D-ADEE-C69C1EE0CC74}"/>
    <cellStyle name="40% - Accent3 8 3" xfId="6222" xr:uid="{00000000-0005-0000-0000-00009D050000}"/>
    <cellStyle name="40% - Accent3 8 3 2" xfId="14661" xr:uid="{DCF0BC13-A013-4F98-A31D-AB7314BB2BA8}"/>
    <cellStyle name="40% - Accent3 8 4" xfId="10443" xr:uid="{14972A4D-0276-4994-A2BC-CAA24E4A7235}"/>
    <cellStyle name="40% - Accent3 9" xfId="2328" xr:uid="{00000000-0005-0000-0000-00009E050000}"/>
    <cellStyle name="40% - Accent3 9 2" xfId="6635" xr:uid="{00000000-0005-0000-0000-00009F050000}"/>
    <cellStyle name="40% - Accent3 9 2 2" xfId="15074" xr:uid="{BCA8C33E-386D-433D-9979-7A6413C20375}"/>
    <cellStyle name="40% - Accent3 9 3" xfId="10856" xr:uid="{3AFEF943-256E-40CD-927D-A08643D62CD9}"/>
    <cellStyle name="40% - Accent4" xfId="73" builtinId="43" customBuiltin="1"/>
    <cellStyle name="40% - Accent4 10" xfId="4577" xr:uid="{00000000-0005-0000-0000-0000A1050000}"/>
    <cellStyle name="40% - Accent4 10 2" xfId="13016" xr:uid="{C7AA5AF5-B048-4AF1-9D0A-E7984CB81186}"/>
    <cellStyle name="40% - Accent4 11" xfId="8798" xr:uid="{0BB5CF36-A42D-49EE-9977-809A59A67A40}"/>
    <cellStyle name="40% - Accent4 2" xfId="74" xr:uid="{00000000-0005-0000-0000-0000A2050000}"/>
    <cellStyle name="40% - Accent4 2 10" xfId="8799" xr:uid="{81F7D23D-78AC-4D11-B2A7-F2950DEE87A9}"/>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15578" xr:uid="{F34E0E7B-2BED-4C08-9667-90460AEC6838}"/>
    <cellStyle name="40% - Accent4 2 2 2 2 2 3" xfId="11360" xr:uid="{CD677A5D-0C75-44C3-8410-B442D29E6730}"/>
    <cellStyle name="40% - Accent4 2 2 2 2 3" xfId="4994" xr:uid="{00000000-0005-0000-0000-0000A8050000}"/>
    <cellStyle name="40% - Accent4 2 2 2 2 3 2" xfId="13433" xr:uid="{28C3F642-D8E9-4D2E-9147-217A6C2037A4}"/>
    <cellStyle name="40% - Accent4 2 2 2 2 4" xfId="9215" xr:uid="{3F018F8E-EB78-4840-A84E-18643C37CAEC}"/>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2 2" xfId="15991" xr:uid="{54F94B18-10E5-4B69-B70C-B5067E7AD42A}"/>
    <cellStyle name="40% - Accent4 2 2 2 3 2 3" xfId="11773" xr:uid="{0E771666-8634-49DA-A034-A535CE9C66E3}"/>
    <cellStyle name="40% - Accent4 2 2 2 3 3" xfId="5407" xr:uid="{00000000-0005-0000-0000-0000AC050000}"/>
    <cellStyle name="40% - Accent4 2 2 2 3 3 2" xfId="13846" xr:uid="{2ABB29F8-0DCE-482A-BD6D-CC348702A1BC}"/>
    <cellStyle name="40% - Accent4 2 2 2 3 4" xfId="9628" xr:uid="{8FDFFE4E-1167-4058-8CB6-1EDAF65C6E79}"/>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2 2 2" xfId="16404" xr:uid="{6FD85F48-37EB-4FF6-9544-0D7140FE6101}"/>
    <cellStyle name="40% - Accent4 2 2 2 4 2 3" xfId="12186" xr:uid="{EEDE3CCB-63AA-4981-BAA1-6FE01BDC382C}"/>
    <cellStyle name="40% - Accent4 2 2 2 4 3" xfId="5820" xr:uid="{00000000-0005-0000-0000-0000B0050000}"/>
    <cellStyle name="40% - Accent4 2 2 2 4 3 2" xfId="14259" xr:uid="{162F225F-BDD4-49A9-A8D1-C15BC7306B5D}"/>
    <cellStyle name="40% - Accent4 2 2 2 4 4" xfId="10041" xr:uid="{02FB2AB0-75A7-4051-AC66-12230A1150C8}"/>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2 2 2" xfId="16817" xr:uid="{17D7A497-3F50-4649-8E6F-82DABD81A5F6}"/>
    <cellStyle name="40% - Accent4 2 2 2 5 2 3" xfId="12599" xr:uid="{62C3FDD1-0DB3-48E7-AA08-E9B1E1A9706D}"/>
    <cellStyle name="40% - Accent4 2 2 2 5 3" xfId="6233" xr:uid="{00000000-0005-0000-0000-0000B4050000}"/>
    <cellStyle name="40% - Accent4 2 2 2 5 3 2" xfId="14672" xr:uid="{96132537-37D2-473E-A823-26BA7A438DF6}"/>
    <cellStyle name="40% - Accent4 2 2 2 5 4" xfId="10454" xr:uid="{5E073969-9BC1-4CBB-A581-A86E7B4B4F8F}"/>
    <cellStyle name="40% - Accent4 2 2 2 6" xfId="2339" xr:uid="{00000000-0005-0000-0000-0000B5050000}"/>
    <cellStyle name="40% - Accent4 2 2 2 6 2" xfId="6646" xr:uid="{00000000-0005-0000-0000-0000B6050000}"/>
    <cellStyle name="40% - Accent4 2 2 2 6 2 2" xfId="15085" xr:uid="{68BCCF8C-776E-4571-8F9E-123CC0F959A7}"/>
    <cellStyle name="40% - Accent4 2 2 2 6 3" xfId="10867" xr:uid="{E5889F9D-6D58-4BE5-BEC2-C3DB10C2856E}"/>
    <cellStyle name="40% - Accent4 2 2 2 7" xfId="4580" xr:uid="{00000000-0005-0000-0000-0000B7050000}"/>
    <cellStyle name="40% - Accent4 2 2 2 7 2" xfId="13019" xr:uid="{DE522238-0EA6-4D9A-A309-239653C1F163}"/>
    <cellStyle name="40% - Accent4 2 2 2 8" xfId="8801" xr:uid="{8E5BBE34-6760-4B02-B893-1B6B1221FA2A}"/>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15577" xr:uid="{81F75DEE-CE40-4098-A72B-1FB5BF6F221F}"/>
    <cellStyle name="40% - Accent4 2 2 3 2 3" xfId="11359" xr:uid="{FFCE0D99-B0F3-4387-822C-33B4832F1C58}"/>
    <cellStyle name="40% - Accent4 2 2 3 3" xfId="4993" xr:uid="{00000000-0005-0000-0000-0000BB050000}"/>
    <cellStyle name="40% - Accent4 2 2 3 3 2" xfId="13432" xr:uid="{DEBD9846-034E-4CCF-A682-502C64B12C52}"/>
    <cellStyle name="40% - Accent4 2 2 3 4" xfId="9214" xr:uid="{F57ABCFB-6070-4C25-A1E2-338229BBF31A}"/>
    <cellStyle name="40% - Accent4 2 2 4" xfId="1097" xr:uid="{00000000-0005-0000-0000-0000BC050000}"/>
    <cellStyle name="40% - Accent4 2 2 4 2" xfId="3328" xr:uid="{00000000-0005-0000-0000-0000BD050000}"/>
    <cellStyle name="40% - Accent4 2 2 4 2 2" xfId="7551" xr:uid="{00000000-0005-0000-0000-0000BE050000}"/>
    <cellStyle name="40% - Accent4 2 2 4 2 2 2" xfId="15990" xr:uid="{75FA40F8-B5F6-4E76-B413-EB7E1022B649}"/>
    <cellStyle name="40% - Accent4 2 2 4 2 3" xfId="11772" xr:uid="{74C5B6E1-09E7-4E1C-B6FA-2252CACBA30B}"/>
    <cellStyle name="40% - Accent4 2 2 4 3" xfId="5406" xr:uid="{00000000-0005-0000-0000-0000BF050000}"/>
    <cellStyle name="40% - Accent4 2 2 4 3 2" xfId="13845" xr:uid="{72332E19-E8D0-4738-80FB-EA17F1A68540}"/>
    <cellStyle name="40% - Accent4 2 2 4 4" xfId="9627" xr:uid="{CA2F7237-A121-4A2F-A41E-8575E6F61814}"/>
    <cellStyle name="40% - Accent4 2 2 5" xfId="1511" xr:uid="{00000000-0005-0000-0000-0000C0050000}"/>
    <cellStyle name="40% - Accent4 2 2 5 2" xfId="3741" xr:uid="{00000000-0005-0000-0000-0000C1050000}"/>
    <cellStyle name="40% - Accent4 2 2 5 2 2" xfId="7964" xr:uid="{00000000-0005-0000-0000-0000C2050000}"/>
    <cellStyle name="40% - Accent4 2 2 5 2 2 2" xfId="16403" xr:uid="{6AB96749-3A25-488E-9B54-45B414D9F613}"/>
    <cellStyle name="40% - Accent4 2 2 5 2 3" xfId="12185" xr:uid="{7EAE47D5-EB88-4360-919E-E9C900A84026}"/>
    <cellStyle name="40% - Accent4 2 2 5 3" xfId="5819" xr:uid="{00000000-0005-0000-0000-0000C3050000}"/>
    <cellStyle name="40% - Accent4 2 2 5 3 2" xfId="14258" xr:uid="{213B0D9F-9D35-482E-A11A-35C01FC9D7A7}"/>
    <cellStyle name="40% - Accent4 2 2 5 4" xfId="10040" xr:uid="{6B494589-F735-49B8-BD83-C2E453F148E8}"/>
    <cellStyle name="40% - Accent4 2 2 6" xfId="1925" xr:uid="{00000000-0005-0000-0000-0000C4050000}"/>
    <cellStyle name="40% - Accent4 2 2 6 2" xfId="4154" xr:uid="{00000000-0005-0000-0000-0000C5050000}"/>
    <cellStyle name="40% - Accent4 2 2 6 2 2" xfId="8377" xr:uid="{00000000-0005-0000-0000-0000C6050000}"/>
    <cellStyle name="40% - Accent4 2 2 6 2 2 2" xfId="16816" xr:uid="{22B15F28-FE4D-4B98-AD90-412052A8085B}"/>
    <cellStyle name="40% - Accent4 2 2 6 2 3" xfId="12598" xr:uid="{A00C2021-7C87-4B92-9FCB-3C7E59A627ED}"/>
    <cellStyle name="40% - Accent4 2 2 6 3" xfId="6232" xr:uid="{00000000-0005-0000-0000-0000C7050000}"/>
    <cellStyle name="40% - Accent4 2 2 6 3 2" xfId="14671" xr:uid="{44D2DECF-0803-4138-B696-5F5C20721827}"/>
    <cellStyle name="40% - Accent4 2 2 6 4" xfId="10453" xr:uid="{7AC3ED2B-FB5A-4EEE-8C1C-A703AEC60660}"/>
    <cellStyle name="40% - Accent4 2 2 7" xfId="2338" xr:uid="{00000000-0005-0000-0000-0000C8050000}"/>
    <cellStyle name="40% - Accent4 2 2 7 2" xfId="6645" xr:uid="{00000000-0005-0000-0000-0000C9050000}"/>
    <cellStyle name="40% - Accent4 2 2 7 2 2" xfId="15084" xr:uid="{313B527D-659B-4DB6-BBB9-AD46AA65CF49}"/>
    <cellStyle name="40% - Accent4 2 2 7 3" xfId="10866" xr:uid="{B913056C-6AA1-4735-AA89-EA8FCB639F03}"/>
    <cellStyle name="40% - Accent4 2 2 8" xfId="4579" xr:uid="{00000000-0005-0000-0000-0000CA050000}"/>
    <cellStyle name="40% - Accent4 2 2 8 2" xfId="13018" xr:uid="{5F207268-FCF5-43F8-A1D2-6F5498425B54}"/>
    <cellStyle name="40% - Accent4 2 2 9" xfId="8800" xr:uid="{8F17EF8E-2A94-4ADE-A144-4D9894A6B3ED}"/>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15579" xr:uid="{A1910DFA-2B6D-4D6C-BE53-D6ACD3A14661}"/>
    <cellStyle name="40% - Accent4 2 3 2 2 3" xfId="11361" xr:uid="{CF5AE0F8-239D-492F-9332-8B7E56F15235}"/>
    <cellStyle name="40% - Accent4 2 3 2 3" xfId="4995" xr:uid="{00000000-0005-0000-0000-0000CF050000}"/>
    <cellStyle name="40% - Accent4 2 3 2 3 2" xfId="13434" xr:uid="{6F66CEF4-F4C2-41A4-B806-9121769F083F}"/>
    <cellStyle name="40% - Accent4 2 3 2 4" xfId="9216" xr:uid="{B369945E-A775-480A-80DB-2F763C1113A6}"/>
    <cellStyle name="40% - Accent4 2 3 3" xfId="1099" xr:uid="{00000000-0005-0000-0000-0000D0050000}"/>
    <cellStyle name="40% - Accent4 2 3 3 2" xfId="3330" xr:uid="{00000000-0005-0000-0000-0000D1050000}"/>
    <cellStyle name="40% - Accent4 2 3 3 2 2" xfId="7553" xr:uid="{00000000-0005-0000-0000-0000D2050000}"/>
    <cellStyle name="40% - Accent4 2 3 3 2 2 2" xfId="15992" xr:uid="{D531C8BA-6766-4A73-A952-D5EDF923D74A}"/>
    <cellStyle name="40% - Accent4 2 3 3 2 3" xfId="11774" xr:uid="{78FFAAAC-B1C8-4A60-9C37-C5B322EE13FC}"/>
    <cellStyle name="40% - Accent4 2 3 3 3" xfId="5408" xr:uid="{00000000-0005-0000-0000-0000D3050000}"/>
    <cellStyle name="40% - Accent4 2 3 3 3 2" xfId="13847" xr:uid="{F6F6F667-DF77-43BC-B51D-520741AEC63A}"/>
    <cellStyle name="40% - Accent4 2 3 3 4" xfId="9629" xr:uid="{78EE2591-72F7-4AD4-8D51-227F97F22C51}"/>
    <cellStyle name="40% - Accent4 2 3 4" xfId="1513" xr:uid="{00000000-0005-0000-0000-0000D4050000}"/>
    <cellStyle name="40% - Accent4 2 3 4 2" xfId="3743" xr:uid="{00000000-0005-0000-0000-0000D5050000}"/>
    <cellStyle name="40% - Accent4 2 3 4 2 2" xfId="7966" xr:uid="{00000000-0005-0000-0000-0000D6050000}"/>
    <cellStyle name="40% - Accent4 2 3 4 2 2 2" xfId="16405" xr:uid="{1A9C0804-32E7-4FA2-8504-6AB5004AD347}"/>
    <cellStyle name="40% - Accent4 2 3 4 2 3" xfId="12187" xr:uid="{94140F11-3CB4-41BA-98BA-84789B7A8ACE}"/>
    <cellStyle name="40% - Accent4 2 3 4 3" xfId="5821" xr:uid="{00000000-0005-0000-0000-0000D7050000}"/>
    <cellStyle name="40% - Accent4 2 3 4 3 2" xfId="14260" xr:uid="{7382C190-D196-4FB8-820B-A7B07838C93C}"/>
    <cellStyle name="40% - Accent4 2 3 4 4" xfId="10042" xr:uid="{99695341-08CC-4D79-A5E5-C64EDF517ADD}"/>
    <cellStyle name="40% - Accent4 2 3 5" xfId="1927" xr:uid="{00000000-0005-0000-0000-0000D8050000}"/>
    <cellStyle name="40% - Accent4 2 3 5 2" xfId="4156" xr:uid="{00000000-0005-0000-0000-0000D9050000}"/>
    <cellStyle name="40% - Accent4 2 3 5 2 2" xfId="8379" xr:uid="{00000000-0005-0000-0000-0000DA050000}"/>
    <cellStyle name="40% - Accent4 2 3 5 2 2 2" xfId="16818" xr:uid="{09BF3530-BB63-4529-AAFF-A94435D02B24}"/>
    <cellStyle name="40% - Accent4 2 3 5 2 3" xfId="12600" xr:uid="{76FCBEF7-3DD9-45CD-AED7-E7307A9BADDF}"/>
    <cellStyle name="40% - Accent4 2 3 5 3" xfId="6234" xr:uid="{00000000-0005-0000-0000-0000DB050000}"/>
    <cellStyle name="40% - Accent4 2 3 5 3 2" xfId="14673" xr:uid="{EFF22677-8D66-4E83-98F5-43B9CFF06F12}"/>
    <cellStyle name="40% - Accent4 2 3 5 4" xfId="10455" xr:uid="{19359863-4D9F-4EDF-AF1A-34FBF7A2CC22}"/>
    <cellStyle name="40% - Accent4 2 3 6" xfId="2340" xr:uid="{00000000-0005-0000-0000-0000DC050000}"/>
    <cellStyle name="40% - Accent4 2 3 6 2" xfId="6647" xr:uid="{00000000-0005-0000-0000-0000DD050000}"/>
    <cellStyle name="40% - Accent4 2 3 6 2 2" xfId="15086" xr:uid="{8FC2043A-DC11-479F-9701-72F90DE1B4C7}"/>
    <cellStyle name="40% - Accent4 2 3 6 3" xfId="10868" xr:uid="{FC09D564-7EA0-444A-AD48-6A7E533D70AF}"/>
    <cellStyle name="40% - Accent4 2 3 7" xfId="4581" xr:uid="{00000000-0005-0000-0000-0000DE050000}"/>
    <cellStyle name="40% - Accent4 2 3 7 2" xfId="13020" xr:uid="{8F18DCE9-4DEC-4AB9-A1C8-B894894A78D8}"/>
    <cellStyle name="40% - Accent4 2 3 8" xfId="8802" xr:uid="{AFF025D1-F7FE-468A-99C9-C632AD398039}"/>
    <cellStyle name="40% - Accent4 2 4" xfId="643" xr:uid="{00000000-0005-0000-0000-0000DF050000}"/>
    <cellStyle name="40% - Accent4 2 4 2" xfId="2914" xr:uid="{00000000-0005-0000-0000-0000E0050000}"/>
    <cellStyle name="40% - Accent4 2 4 2 2" xfId="7137" xr:uid="{00000000-0005-0000-0000-0000E1050000}"/>
    <cellStyle name="40% - Accent4 2 4 2 2 2" xfId="15576" xr:uid="{7AEFB586-0034-4440-8A5F-C5B07E0F711A}"/>
    <cellStyle name="40% - Accent4 2 4 2 3" xfId="11358" xr:uid="{482F915C-3125-4A18-86BE-C17AF03A9EAD}"/>
    <cellStyle name="40% - Accent4 2 4 3" xfId="4992" xr:uid="{00000000-0005-0000-0000-0000E2050000}"/>
    <cellStyle name="40% - Accent4 2 4 3 2" xfId="13431" xr:uid="{FEFDE56E-51C9-4614-8877-FCA12C2F6BD5}"/>
    <cellStyle name="40% - Accent4 2 4 4" xfId="9213" xr:uid="{3DFF29F4-E82C-48FF-86D3-57508FBE6272}"/>
    <cellStyle name="40% - Accent4 2 5" xfId="1096" xr:uid="{00000000-0005-0000-0000-0000E3050000}"/>
    <cellStyle name="40% - Accent4 2 5 2" xfId="3327" xr:uid="{00000000-0005-0000-0000-0000E4050000}"/>
    <cellStyle name="40% - Accent4 2 5 2 2" xfId="7550" xr:uid="{00000000-0005-0000-0000-0000E5050000}"/>
    <cellStyle name="40% - Accent4 2 5 2 2 2" xfId="15989" xr:uid="{157EA85C-78F2-4C63-ADE9-A53AAECA67C8}"/>
    <cellStyle name="40% - Accent4 2 5 2 3" xfId="11771" xr:uid="{1E9F87D4-10CE-4A75-A99D-05A41CB4B60C}"/>
    <cellStyle name="40% - Accent4 2 5 3" xfId="5405" xr:uid="{00000000-0005-0000-0000-0000E6050000}"/>
    <cellStyle name="40% - Accent4 2 5 3 2" xfId="13844" xr:uid="{77DB4BFB-A104-4C6A-BCBA-FA68EE92AD2F}"/>
    <cellStyle name="40% - Accent4 2 5 4" xfId="9626" xr:uid="{136ABEAB-EA86-4007-80B7-2DE8B3A8AEEC}"/>
    <cellStyle name="40% - Accent4 2 6" xfId="1510" xr:uid="{00000000-0005-0000-0000-0000E7050000}"/>
    <cellStyle name="40% - Accent4 2 6 2" xfId="3740" xr:uid="{00000000-0005-0000-0000-0000E8050000}"/>
    <cellStyle name="40% - Accent4 2 6 2 2" xfId="7963" xr:uid="{00000000-0005-0000-0000-0000E9050000}"/>
    <cellStyle name="40% - Accent4 2 6 2 2 2" xfId="16402" xr:uid="{8020DD2F-0ECB-4BB2-B15E-B40481183893}"/>
    <cellStyle name="40% - Accent4 2 6 2 3" xfId="12184" xr:uid="{DBA52197-CA32-449C-91D5-8617E5C2E951}"/>
    <cellStyle name="40% - Accent4 2 6 3" xfId="5818" xr:uid="{00000000-0005-0000-0000-0000EA050000}"/>
    <cellStyle name="40% - Accent4 2 6 3 2" xfId="14257" xr:uid="{850AA108-B3CC-4242-8D87-743638A78B60}"/>
    <cellStyle name="40% - Accent4 2 6 4" xfId="10039" xr:uid="{EFDC4A36-33EE-4868-A737-4FADE969D988}"/>
    <cellStyle name="40% - Accent4 2 7" xfId="1924" xr:uid="{00000000-0005-0000-0000-0000EB050000}"/>
    <cellStyle name="40% - Accent4 2 7 2" xfId="4153" xr:uid="{00000000-0005-0000-0000-0000EC050000}"/>
    <cellStyle name="40% - Accent4 2 7 2 2" xfId="8376" xr:uid="{00000000-0005-0000-0000-0000ED050000}"/>
    <cellStyle name="40% - Accent4 2 7 2 2 2" xfId="16815" xr:uid="{EB8EF654-BD5E-45AC-938D-EBCAAA441C00}"/>
    <cellStyle name="40% - Accent4 2 7 2 3" xfId="12597" xr:uid="{8EF8BD8F-A1BC-4DC3-83BA-9BEFAA44F841}"/>
    <cellStyle name="40% - Accent4 2 7 3" xfId="6231" xr:uid="{00000000-0005-0000-0000-0000EE050000}"/>
    <cellStyle name="40% - Accent4 2 7 3 2" xfId="14670" xr:uid="{B1C19843-FA6C-4ADA-9765-3626CF718967}"/>
    <cellStyle name="40% - Accent4 2 7 4" xfId="10452" xr:uid="{B5CD8601-55F8-4C96-9170-D7532AEB0C2B}"/>
    <cellStyle name="40% - Accent4 2 8" xfId="2337" xr:uid="{00000000-0005-0000-0000-0000EF050000}"/>
    <cellStyle name="40% - Accent4 2 8 2" xfId="6644" xr:uid="{00000000-0005-0000-0000-0000F0050000}"/>
    <cellStyle name="40% - Accent4 2 8 2 2" xfId="15083" xr:uid="{83CE754F-B2F0-4FDC-AB7F-11F3B084F6BA}"/>
    <cellStyle name="40% - Accent4 2 8 3" xfId="10865" xr:uid="{58C52915-361D-4C0C-B226-6F937B800A92}"/>
    <cellStyle name="40% - Accent4 2 9" xfId="4578" xr:uid="{00000000-0005-0000-0000-0000F1050000}"/>
    <cellStyle name="40% - Accent4 2 9 2" xfId="13017" xr:uid="{F1D2FB58-4A98-49A4-A9FA-4266BC4EDC67}"/>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15581" xr:uid="{671E0989-6EB0-42A0-8900-3D68E4F3A6AE}"/>
    <cellStyle name="40% - Accent4 3 2 2 2 3" xfId="11363" xr:uid="{DEFBB1C2-6E7F-45B5-8692-335ED34CABD8}"/>
    <cellStyle name="40% - Accent4 3 2 2 3" xfId="4997" xr:uid="{00000000-0005-0000-0000-0000F7050000}"/>
    <cellStyle name="40% - Accent4 3 2 2 3 2" xfId="13436" xr:uid="{31AF6DD6-2D68-49EB-8299-0E2115097E86}"/>
    <cellStyle name="40% - Accent4 3 2 2 4" xfId="9218" xr:uid="{D3C0E06A-301A-4B34-ADB3-156ED0FE5134}"/>
    <cellStyle name="40% - Accent4 3 2 3" xfId="1101" xr:uid="{00000000-0005-0000-0000-0000F8050000}"/>
    <cellStyle name="40% - Accent4 3 2 3 2" xfId="3332" xr:uid="{00000000-0005-0000-0000-0000F9050000}"/>
    <cellStyle name="40% - Accent4 3 2 3 2 2" xfId="7555" xr:uid="{00000000-0005-0000-0000-0000FA050000}"/>
    <cellStyle name="40% - Accent4 3 2 3 2 2 2" xfId="15994" xr:uid="{6100FA5E-B59B-438D-8BA0-30571E89D9D0}"/>
    <cellStyle name="40% - Accent4 3 2 3 2 3" xfId="11776" xr:uid="{D66157BE-D805-4B0D-99F4-8E56F905BD1E}"/>
    <cellStyle name="40% - Accent4 3 2 3 3" xfId="5410" xr:uid="{00000000-0005-0000-0000-0000FB050000}"/>
    <cellStyle name="40% - Accent4 3 2 3 3 2" xfId="13849" xr:uid="{D1844067-0339-48BE-AC58-C5664F369D52}"/>
    <cellStyle name="40% - Accent4 3 2 3 4" xfId="9631" xr:uid="{30E0CF62-EFE1-44B6-867A-6812287A17E7}"/>
    <cellStyle name="40% - Accent4 3 2 4" xfId="1515" xr:uid="{00000000-0005-0000-0000-0000FC050000}"/>
    <cellStyle name="40% - Accent4 3 2 4 2" xfId="3745" xr:uid="{00000000-0005-0000-0000-0000FD050000}"/>
    <cellStyle name="40% - Accent4 3 2 4 2 2" xfId="7968" xr:uid="{00000000-0005-0000-0000-0000FE050000}"/>
    <cellStyle name="40% - Accent4 3 2 4 2 2 2" xfId="16407" xr:uid="{7AEF1CF1-CBE5-4100-B654-C0C1D1461EAA}"/>
    <cellStyle name="40% - Accent4 3 2 4 2 3" xfId="12189" xr:uid="{7E233254-BDC2-484B-98D8-7591AFD9B0E6}"/>
    <cellStyle name="40% - Accent4 3 2 4 3" xfId="5823" xr:uid="{00000000-0005-0000-0000-0000FF050000}"/>
    <cellStyle name="40% - Accent4 3 2 4 3 2" xfId="14262" xr:uid="{0216BEB4-5004-4B17-A7DD-2AD06AC47455}"/>
    <cellStyle name="40% - Accent4 3 2 4 4" xfId="10044" xr:uid="{73360B84-7200-41CE-83D2-913D81D16E0A}"/>
    <cellStyle name="40% - Accent4 3 2 5" xfId="1929" xr:uid="{00000000-0005-0000-0000-000000060000}"/>
    <cellStyle name="40% - Accent4 3 2 5 2" xfId="4158" xr:uid="{00000000-0005-0000-0000-000001060000}"/>
    <cellStyle name="40% - Accent4 3 2 5 2 2" xfId="8381" xr:uid="{00000000-0005-0000-0000-000002060000}"/>
    <cellStyle name="40% - Accent4 3 2 5 2 2 2" xfId="16820" xr:uid="{748BE91E-EA1A-41F0-90DF-D35A744DDCE3}"/>
    <cellStyle name="40% - Accent4 3 2 5 2 3" xfId="12602" xr:uid="{FA7E4C37-2B40-4387-B0AB-AD22476BF60A}"/>
    <cellStyle name="40% - Accent4 3 2 5 3" xfId="6236" xr:uid="{00000000-0005-0000-0000-000003060000}"/>
    <cellStyle name="40% - Accent4 3 2 5 3 2" xfId="14675" xr:uid="{28B8EB4F-09BC-4B34-AD9D-172F6FA90C1C}"/>
    <cellStyle name="40% - Accent4 3 2 5 4" xfId="10457" xr:uid="{B9D5A860-38CB-45B2-B6FB-47E86F9FDF98}"/>
    <cellStyle name="40% - Accent4 3 2 6" xfId="2342" xr:uid="{00000000-0005-0000-0000-000004060000}"/>
    <cellStyle name="40% - Accent4 3 2 6 2" xfId="6649" xr:uid="{00000000-0005-0000-0000-000005060000}"/>
    <cellStyle name="40% - Accent4 3 2 6 2 2" xfId="15088" xr:uid="{99705561-C82E-4A46-A220-A6AE3983FD75}"/>
    <cellStyle name="40% - Accent4 3 2 6 3" xfId="10870" xr:uid="{EF5646FC-AEED-46CF-853D-6B55A78649BD}"/>
    <cellStyle name="40% - Accent4 3 2 7" xfId="4583" xr:uid="{00000000-0005-0000-0000-000006060000}"/>
    <cellStyle name="40% - Accent4 3 2 7 2" xfId="13022" xr:uid="{03C25754-71CD-40A7-96C0-94A19B459EDE}"/>
    <cellStyle name="40% - Accent4 3 2 8" xfId="8804" xr:uid="{433A8D3F-73A1-4395-96A9-2FF89B5A9D10}"/>
    <cellStyle name="40% - Accent4 3 3" xfId="647" xr:uid="{00000000-0005-0000-0000-000007060000}"/>
    <cellStyle name="40% - Accent4 3 3 2" xfId="2918" xr:uid="{00000000-0005-0000-0000-000008060000}"/>
    <cellStyle name="40% - Accent4 3 3 2 2" xfId="7141" xr:uid="{00000000-0005-0000-0000-000009060000}"/>
    <cellStyle name="40% - Accent4 3 3 2 2 2" xfId="15580" xr:uid="{5E206625-A5F8-4AAA-905F-5646CC948E01}"/>
    <cellStyle name="40% - Accent4 3 3 2 3" xfId="11362" xr:uid="{370E0A8E-E39F-47D2-AD43-DF54EF84E617}"/>
    <cellStyle name="40% - Accent4 3 3 3" xfId="4996" xr:uid="{00000000-0005-0000-0000-00000A060000}"/>
    <cellStyle name="40% - Accent4 3 3 3 2" xfId="13435" xr:uid="{7E79025E-5415-46CD-BD93-80731B2AA7A7}"/>
    <cellStyle name="40% - Accent4 3 3 4" xfId="9217" xr:uid="{ED8CA14B-D3BD-427D-997F-8F621109B8CF}"/>
    <cellStyle name="40% - Accent4 3 4" xfId="1100" xr:uid="{00000000-0005-0000-0000-00000B060000}"/>
    <cellStyle name="40% - Accent4 3 4 2" xfId="3331" xr:uid="{00000000-0005-0000-0000-00000C060000}"/>
    <cellStyle name="40% - Accent4 3 4 2 2" xfId="7554" xr:uid="{00000000-0005-0000-0000-00000D060000}"/>
    <cellStyle name="40% - Accent4 3 4 2 2 2" xfId="15993" xr:uid="{D5CDD9D8-BF89-467B-859D-DEC374EACAB2}"/>
    <cellStyle name="40% - Accent4 3 4 2 3" xfId="11775" xr:uid="{586CA53B-F2D8-42D8-BD4C-107E2928688F}"/>
    <cellStyle name="40% - Accent4 3 4 3" xfId="5409" xr:uid="{00000000-0005-0000-0000-00000E060000}"/>
    <cellStyle name="40% - Accent4 3 4 3 2" xfId="13848" xr:uid="{5FEBE06A-CF82-4DBF-A356-7F92A852CC21}"/>
    <cellStyle name="40% - Accent4 3 4 4" xfId="9630" xr:uid="{68FB8D5D-FB59-4F60-9E31-E31FEF930B9A}"/>
    <cellStyle name="40% - Accent4 3 5" xfId="1514" xr:uid="{00000000-0005-0000-0000-00000F060000}"/>
    <cellStyle name="40% - Accent4 3 5 2" xfId="3744" xr:uid="{00000000-0005-0000-0000-000010060000}"/>
    <cellStyle name="40% - Accent4 3 5 2 2" xfId="7967" xr:uid="{00000000-0005-0000-0000-000011060000}"/>
    <cellStyle name="40% - Accent4 3 5 2 2 2" xfId="16406" xr:uid="{B40BB9BD-F460-40B9-A7FA-A5245D0A6218}"/>
    <cellStyle name="40% - Accent4 3 5 2 3" xfId="12188" xr:uid="{F34C8E51-DBBF-4728-8C99-663D7203DAD1}"/>
    <cellStyle name="40% - Accent4 3 5 3" xfId="5822" xr:uid="{00000000-0005-0000-0000-000012060000}"/>
    <cellStyle name="40% - Accent4 3 5 3 2" xfId="14261" xr:uid="{FC7DBCC3-B877-42B2-A994-A2432AAF2E7C}"/>
    <cellStyle name="40% - Accent4 3 5 4" xfId="10043" xr:uid="{02D5D968-F842-4922-BD0A-B76616396445}"/>
    <cellStyle name="40% - Accent4 3 6" xfId="1928" xr:uid="{00000000-0005-0000-0000-000013060000}"/>
    <cellStyle name="40% - Accent4 3 6 2" xfId="4157" xr:uid="{00000000-0005-0000-0000-000014060000}"/>
    <cellStyle name="40% - Accent4 3 6 2 2" xfId="8380" xr:uid="{00000000-0005-0000-0000-000015060000}"/>
    <cellStyle name="40% - Accent4 3 6 2 2 2" xfId="16819" xr:uid="{6EB7953F-A096-4C4D-87A4-CAC17234623B}"/>
    <cellStyle name="40% - Accent4 3 6 2 3" xfId="12601" xr:uid="{7F281879-B167-464F-ABD9-62CF5C17556D}"/>
    <cellStyle name="40% - Accent4 3 6 3" xfId="6235" xr:uid="{00000000-0005-0000-0000-000016060000}"/>
    <cellStyle name="40% - Accent4 3 6 3 2" xfId="14674" xr:uid="{6B43A68C-3897-44E9-8BB6-A1F1E7C86659}"/>
    <cellStyle name="40% - Accent4 3 6 4" xfId="10456" xr:uid="{E5A87394-23DA-4E82-8233-617A9FE0118B}"/>
    <cellStyle name="40% - Accent4 3 7" xfId="2341" xr:uid="{00000000-0005-0000-0000-000017060000}"/>
    <cellStyle name="40% - Accent4 3 7 2" xfId="6648" xr:uid="{00000000-0005-0000-0000-000018060000}"/>
    <cellStyle name="40% - Accent4 3 7 2 2" xfId="15087" xr:uid="{1D9218FA-9E07-4821-818F-4D89083DE65F}"/>
    <cellStyle name="40% - Accent4 3 7 3" xfId="10869" xr:uid="{ADBE3E2F-FB06-4B0D-80A6-51C1D983A33F}"/>
    <cellStyle name="40% - Accent4 3 8" xfId="4582" xr:uid="{00000000-0005-0000-0000-000019060000}"/>
    <cellStyle name="40% - Accent4 3 8 2" xfId="13021" xr:uid="{24DF25FF-C25A-4B19-A264-57105397E3A2}"/>
    <cellStyle name="40% - Accent4 3 9" xfId="8803" xr:uid="{3AA9C3AC-36DE-4EE6-BDF7-A863F310486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2 2 2" xfId="15582" xr:uid="{A6BEA99A-D08E-4100-8608-B7258C8B1BE1}"/>
    <cellStyle name="40% - Accent4 4 2 2 3" xfId="11364" xr:uid="{7B191492-A52C-4BA1-9E54-854D9ED46254}"/>
    <cellStyle name="40% - Accent4 4 2 3" xfId="4998" xr:uid="{00000000-0005-0000-0000-00001E060000}"/>
    <cellStyle name="40% - Accent4 4 2 3 2" xfId="13437" xr:uid="{0A1F64D5-1AD8-49E0-9040-961D2E630A34}"/>
    <cellStyle name="40% - Accent4 4 2 4" xfId="9219" xr:uid="{BA1F564C-69E6-444B-9E9D-7E703495D9D1}"/>
    <cellStyle name="40% - Accent4 4 3" xfId="1102" xr:uid="{00000000-0005-0000-0000-00001F060000}"/>
    <cellStyle name="40% - Accent4 4 3 2" xfId="3333" xr:uid="{00000000-0005-0000-0000-000020060000}"/>
    <cellStyle name="40% - Accent4 4 3 2 2" xfId="7556" xr:uid="{00000000-0005-0000-0000-000021060000}"/>
    <cellStyle name="40% - Accent4 4 3 2 2 2" xfId="15995" xr:uid="{AFE77546-0DD4-4193-A164-68419839D0F6}"/>
    <cellStyle name="40% - Accent4 4 3 2 3" xfId="11777" xr:uid="{88C73A85-53F8-45A0-8CC0-6D4F15A2FF89}"/>
    <cellStyle name="40% - Accent4 4 3 3" xfId="5411" xr:uid="{00000000-0005-0000-0000-000022060000}"/>
    <cellStyle name="40% - Accent4 4 3 3 2" xfId="13850" xr:uid="{6D26EA23-0A17-4958-967B-9921E41ECE3A}"/>
    <cellStyle name="40% - Accent4 4 3 4" xfId="9632" xr:uid="{C46E23A3-C5CC-42C5-9574-AD15DEA52090}"/>
    <cellStyle name="40% - Accent4 4 4" xfId="1516" xr:uid="{00000000-0005-0000-0000-000023060000}"/>
    <cellStyle name="40% - Accent4 4 4 2" xfId="3746" xr:uid="{00000000-0005-0000-0000-000024060000}"/>
    <cellStyle name="40% - Accent4 4 4 2 2" xfId="7969" xr:uid="{00000000-0005-0000-0000-000025060000}"/>
    <cellStyle name="40% - Accent4 4 4 2 2 2" xfId="16408" xr:uid="{5036261B-9846-4FB0-A331-DF7DB55B6908}"/>
    <cellStyle name="40% - Accent4 4 4 2 3" xfId="12190" xr:uid="{65AD5B95-FC60-40B0-85D3-226E7C53807E}"/>
    <cellStyle name="40% - Accent4 4 4 3" xfId="5824" xr:uid="{00000000-0005-0000-0000-000026060000}"/>
    <cellStyle name="40% - Accent4 4 4 3 2" xfId="14263" xr:uid="{81797472-24C9-4516-863F-1C4BF594FA7E}"/>
    <cellStyle name="40% - Accent4 4 4 4" xfId="10045" xr:uid="{F738CFFE-8336-499F-A828-5B682812859B}"/>
    <cellStyle name="40% - Accent4 4 5" xfId="1930" xr:uid="{00000000-0005-0000-0000-000027060000}"/>
    <cellStyle name="40% - Accent4 4 5 2" xfId="4159" xr:uid="{00000000-0005-0000-0000-000028060000}"/>
    <cellStyle name="40% - Accent4 4 5 2 2" xfId="8382" xr:uid="{00000000-0005-0000-0000-000029060000}"/>
    <cellStyle name="40% - Accent4 4 5 2 2 2" xfId="16821" xr:uid="{10AA00D9-D5A2-41E9-9C5F-DA9148CB9E76}"/>
    <cellStyle name="40% - Accent4 4 5 2 3" xfId="12603" xr:uid="{3557B0FF-B30B-4F93-9801-7C4FC78FCC6C}"/>
    <cellStyle name="40% - Accent4 4 5 3" xfId="6237" xr:uid="{00000000-0005-0000-0000-00002A060000}"/>
    <cellStyle name="40% - Accent4 4 5 3 2" xfId="14676" xr:uid="{0133131B-B6D2-47D7-B7A4-AC0B6EA3518B}"/>
    <cellStyle name="40% - Accent4 4 5 4" xfId="10458" xr:uid="{CCCA3CAF-C16A-4AFB-BAF5-CEE07F4AA269}"/>
    <cellStyle name="40% - Accent4 4 6" xfId="2343" xr:uid="{00000000-0005-0000-0000-00002B060000}"/>
    <cellStyle name="40% - Accent4 4 6 2" xfId="6650" xr:uid="{00000000-0005-0000-0000-00002C060000}"/>
    <cellStyle name="40% - Accent4 4 6 2 2" xfId="15089" xr:uid="{DE95EA55-7008-4DA2-AF8C-399DDD143CC5}"/>
    <cellStyle name="40% - Accent4 4 6 3" xfId="10871" xr:uid="{60D3881E-D5BB-4804-8E2D-B01A584E0447}"/>
    <cellStyle name="40% - Accent4 4 7" xfId="4584" xr:uid="{00000000-0005-0000-0000-00002D060000}"/>
    <cellStyle name="40% - Accent4 4 7 2" xfId="13023" xr:uid="{E6822957-3683-417A-B8C2-1F65C23F9C28}"/>
    <cellStyle name="40% - Accent4 4 8" xfId="8805" xr:uid="{3D5AC71B-CA85-4110-8632-2267B44D2832}"/>
    <cellStyle name="40% - Accent4 5" xfId="642" xr:uid="{00000000-0005-0000-0000-00002E060000}"/>
    <cellStyle name="40% - Accent4 5 2" xfId="2913" xr:uid="{00000000-0005-0000-0000-00002F060000}"/>
    <cellStyle name="40% - Accent4 5 2 2" xfId="7136" xr:uid="{00000000-0005-0000-0000-000030060000}"/>
    <cellStyle name="40% - Accent4 5 2 2 2" xfId="15575" xr:uid="{44CBEBB4-3A92-4372-9A70-18A133C946A6}"/>
    <cellStyle name="40% - Accent4 5 2 3" xfId="11357" xr:uid="{AD62FF7B-0F09-4448-8A45-CE9C4EF21D0B}"/>
    <cellStyle name="40% - Accent4 5 3" xfId="4991" xr:uid="{00000000-0005-0000-0000-000031060000}"/>
    <cellStyle name="40% - Accent4 5 3 2" xfId="13430" xr:uid="{99F2D801-3E97-4531-AE82-402573AFB5D3}"/>
    <cellStyle name="40% - Accent4 5 4" xfId="9212" xr:uid="{B48FA646-4E12-4865-9C78-65D6AAB1A549}"/>
    <cellStyle name="40% - Accent4 6" xfId="1095" xr:uid="{00000000-0005-0000-0000-000032060000}"/>
    <cellStyle name="40% - Accent4 6 2" xfId="3326" xr:uid="{00000000-0005-0000-0000-000033060000}"/>
    <cellStyle name="40% - Accent4 6 2 2" xfId="7549" xr:uid="{00000000-0005-0000-0000-000034060000}"/>
    <cellStyle name="40% - Accent4 6 2 2 2" xfId="15988" xr:uid="{72959584-6E97-4862-A3B9-20E64AE69B59}"/>
    <cellStyle name="40% - Accent4 6 2 3" xfId="11770" xr:uid="{33DEFFDA-8920-4D19-81C9-3A82FEC2881B}"/>
    <cellStyle name="40% - Accent4 6 3" xfId="5404" xr:uid="{00000000-0005-0000-0000-000035060000}"/>
    <cellStyle name="40% - Accent4 6 3 2" xfId="13843" xr:uid="{2003BF18-3F7B-41FD-9391-D35B2CBD7712}"/>
    <cellStyle name="40% - Accent4 6 4" xfId="9625" xr:uid="{F239DBE7-9759-413E-A367-9F1DB722360C}"/>
    <cellStyle name="40% - Accent4 7" xfId="1509" xr:uid="{00000000-0005-0000-0000-000036060000}"/>
    <cellStyle name="40% - Accent4 7 2" xfId="3739" xr:uid="{00000000-0005-0000-0000-000037060000}"/>
    <cellStyle name="40% - Accent4 7 2 2" xfId="7962" xr:uid="{00000000-0005-0000-0000-000038060000}"/>
    <cellStyle name="40% - Accent4 7 2 2 2" xfId="16401" xr:uid="{5FABFA58-E2D7-4073-8FC1-187AE5F8686E}"/>
    <cellStyle name="40% - Accent4 7 2 3" xfId="12183" xr:uid="{C5991334-6460-49CD-8A5D-4A32B12A61EB}"/>
    <cellStyle name="40% - Accent4 7 3" xfId="5817" xr:uid="{00000000-0005-0000-0000-000039060000}"/>
    <cellStyle name="40% - Accent4 7 3 2" xfId="14256" xr:uid="{68091FF5-DBF6-4FF4-B421-D13D54F1DF5C}"/>
    <cellStyle name="40% - Accent4 7 4" xfId="10038" xr:uid="{B4F55E8A-ABA6-42BE-9A22-7AFB2CA964AA}"/>
    <cellStyle name="40% - Accent4 8" xfId="1923" xr:uid="{00000000-0005-0000-0000-00003A060000}"/>
    <cellStyle name="40% - Accent4 8 2" xfId="4152" xr:uid="{00000000-0005-0000-0000-00003B060000}"/>
    <cellStyle name="40% - Accent4 8 2 2" xfId="8375" xr:uid="{00000000-0005-0000-0000-00003C060000}"/>
    <cellStyle name="40% - Accent4 8 2 2 2" xfId="16814" xr:uid="{3AD7C102-8380-44B4-B9B8-F9AC154CBEE5}"/>
    <cellStyle name="40% - Accent4 8 2 3" xfId="12596" xr:uid="{8C298565-3103-458E-A7AE-B4FA7D5312B6}"/>
    <cellStyle name="40% - Accent4 8 3" xfId="6230" xr:uid="{00000000-0005-0000-0000-00003D060000}"/>
    <cellStyle name="40% - Accent4 8 3 2" xfId="14669" xr:uid="{133C685F-2580-431C-8099-9434C2B24FCC}"/>
    <cellStyle name="40% - Accent4 8 4" xfId="10451" xr:uid="{38110D18-26B6-4100-873F-FD8B2941283C}"/>
    <cellStyle name="40% - Accent4 9" xfId="2336" xr:uid="{00000000-0005-0000-0000-00003E060000}"/>
    <cellStyle name="40% - Accent4 9 2" xfId="6643" xr:uid="{00000000-0005-0000-0000-00003F060000}"/>
    <cellStyle name="40% - Accent4 9 2 2" xfId="15082" xr:uid="{EC18E45E-3699-4593-8D16-96089BD321FF}"/>
    <cellStyle name="40% - Accent4 9 3" xfId="10864" xr:uid="{BACA0EF7-2BF9-4A39-8AAF-47BFF455FBA5}"/>
    <cellStyle name="40% - Accent5" xfId="81" builtinId="47" customBuiltin="1"/>
    <cellStyle name="40% - Accent5 10" xfId="4585" xr:uid="{00000000-0005-0000-0000-000041060000}"/>
    <cellStyle name="40% - Accent5 10 2" xfId="13024" xr:uid="{706819BF-6E75-47E0-9FAF-61232DA9F1CF}"/>
    <cellStyle name="40% - Accent5 11" xfId="8806" xr:uid="{C88861A0-0472-4E27-96B0-AACF550B4E03}"/>
    <cellStyle name="40% - Accent5 2" xfId="82" xr:uid="{00000000-0005-0000-0000-000042060000}"/>
    <cellStyle name="40% - Accent5 2 10" xfId="8807" xr:uid="{2482D8E3-6785-4081-88A7-4A475221B351}"/>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15586" xr:uid="{E0BAAD92-9D87-4CF9-BD3F-829489DF8B4E}"/>
    <cellStyle name="40% - Accent5 2 2 2 2 2 3" xfId="11368" xr:uid="{360218DC-E9F2-4272-8B35-738DF93887E5}"/>
    <cellStyle name="40% - Accent5 2 2 2 2 3" xfId="5002" xr:uid="{00000000-0005-0000-0000-000048060000}"/>
    <cellStyle name="40% - Accent5 2 2 2 2 3 2" xfId="13441" xr:uid="{2022E52F-F113-468E-A9A3-98B24F1FE736}"/>
    <cellStyle name="40% - Accent5 2 2 2 2 4" xfId="9223" xr:uid="{F902F820-5EBA-413E-ACB1-0FD5F2729765}"/>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2 2" xfId="15999" xr:uid="{22EAB746-7F3B-41C2-9D92-B9542BF67560}"/>
    <cellStyle name="40% - Accent5 2 2 2 3 2 3" xfId="11781" xr:uid="{B9AE2F97-9B64-41AA-BB1A-CAAB77296158}"/>
    <cellStyle name="40% - Accent5 2 2 2 3 3" xfId="5415" xr:uid="{00000000-0005-0000-0000-00004C060000}"/>
    <cellStyle name="40% - Accent5 2 2 2 3 3 2" xfId="13854" xr:uid="{8E8A6563-166C-41C9-8DA1-4B0EB25C8EF3}"/>
    <cellStyle name="40% - Accent5 2 2 2 3 4" xfId="9636" xr:uid="{9B76A65A-B4E0-4B8F-9467-57A0B1DD90B1}"/>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2 2 2" xfId="16412" xr:uid="{CB1D5F3D-3EFB-4D41-BCA8-5B4A2D625136}"/>
    <cellStyle name="40% - Accent5 2 2 2 4 2 3" xfId="12194" xr:uid="{AD8D8A74-6F1D-4134-9202-EF99C1F0CAD1}"/>
    <cellStyle name="40% - Accent5 2 2 2 4 3" xfId="5828" xr:uid="{00000000-0005-0000-0000-000050060000}"/>
    <cellStyle name="40% - Accent5 2 2 2 4 3 2" xfId="14267" xr:uid="{D5E66037-A883-4DCD-ABB5-F12A8FF31B5C}"/>
    <cellStyle name="40% - Accent5 2 2 2 4 4" xfId="10049" xr:uid="{5937585E-23E2-471A-9043-E5B5246C3BD2}"/>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2 2 2" xfId="16825" xr:uid="{D4AD8FA6-111C-44C4-B97A-9B7707ED00D8}"/>
    <cellStyle name="40% - Accent5 2 2 2 5 2 3" xfId="12607" xr:uid="{D594F00E-AC44-4C45-AAE1-982834E49C5E}"/>
    <cellStyle name="40% - Accent5 2 2 2 5 3" xfId="6241" xr:uid="{00000000-0005-0000-0000-000054060000}"/>
    <cellStyle name="40% - Accent5 2 2 2 5 3 2" xfId="14680" xr:uid="{2BB2A0A5-CEA7-4F34-9664-B1C5FB87CAD6}"/>
    <cellStyle name="40% - Accent5 2 2 2 5 4" xfId="10462" xr:uid="{CACAC443-C8B7-4DEB-B8AE-77A10C52ADE0}"/>
    <cellStyle name="40% - Accent5 2 2 2 6" xfId="2347" xr:uid="{00000000-0005-0000-0000-000055060000}"/>
    <cellStyle name="40% - Accent5 2 2 2 6 2" xfId="6654" xr:uid="{00000000-0005-0000-0000-000056060000}"/>
    <cellStyle name="40% - Accent5 2 2 2 6 2 2" xfId="15093" xr:uid="{5C8B1605-266D-484A-BAF0-C9DF33086175}"/>
    <cellStyle name="40% - Accent5 2 2 2 6 3" xfId="10875" xr:uid="{976B28FD-7BBE-4D9E-A9F2-5498AAC33B4F}"/>
    <cellStyle name="40% - Accent5 2 2 2 7" xfId="4588" xr:uid="{00000000-0005-0000-0000-000057060000}"/>
    <cellStyle name="40% - Accent5 2 2 2 7 2" xfId="13027" xr:uid="{A730322C-F9CD-4F56-A33A-287D7986041B}"/>
    <cellStyle name="40% - Accent5 2 2 2 8" xfId="8809" xr:uid="{6260F5C8-5AC2-4BFE-88AE-1AEACAEE4F83}"/>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15585" xr:uid="{A36BA472-240D-4AB2-8F4A-8CE8FE08C3CF}"/>
    <cellStyle name="40% - Accent5 2 2 3 2 3" xfId="11367" xr:uid="{71712D1E-1425-44BC-9CEC-CE0C39D15C5B}"/>
    <cellStyle name="40% - Accent5 2 2 3 3" xfId="5001" xr:uid="{00000000-0005-0000-0000-00005B060000}"/>
    <cellStyle name="40% - Accent5 2 2 3 3 2" xfId="13440" xr:uid="{BC075364-D7D0-4355-A71C-6C2ACB79BE4E}"/>
    <cellStyle name="40% - Accent5 2 2 3 4" xfId="9222" xr:uid="{ABA075FE-B1F6-498C-B763-64CAD84EA602}"/>
    <cellStyle name="40% - Accent5 2 2 4" xfId="1105" xr:uid="{00000000-0005-0000-0000-00005C060000}"/>
    <cellStyle name="40% - Accent5 2 2 4 2" xfId="3336" xr:uid="{00000000-0005-0000-0000-00005D060000}"/>
    <cellStyle name="40% - Accent5 2 2 4 2 2" xfId="7559" xr:uid="{00000000-0005-0000-0000-00005E060000}"/>
    <cellStyle name="40% - Accent5 2 2 4 2 2 2" xfId="15998" xr:uid="{35ADE687-4C2E-425E-AFF8-B27C72697C50}"/>
    <cellStyle name="40% - Accent5 2 2 4 2 3" xfId="11780" xr:uid="{7748175E-DB1F-464D-BD33-9AE041C4452B}"/>
    <cellStyle name="40% - Accent5 2 2 4 3" xfId="5414" xr:uid="{00000000-0005-0000-0000-00005F060000}"/>
    <cellStyle name="40% - Accent5 2 2 4 3 2" xfId="13853" xr:uid="{16FD2F63-BCBE-4C88-B08A-33C138E00974}"/>
    <cellStyle name="40% - Accent5 2 2 4 4" xfId="9635" xr:uid="{848934D7-4F27-4EB0-9D3D-2262A0578AF8}"/>
    <cellStyle name="40% - Accent5 2 2 5" xfId="1519" xr:uid="{00000000-0005-0000-0000-000060060000}"/>
    <cellStyle name="40% - Accent5 2 2 5 2" xfId="3749" xr:uid="{00000000-0005-0000-0000-000061060000}"/>
    <cellStyle name="40% - Accent5 2 2 5 2 2" xfId="7972" xr:uid="{00000000-0005-0000-0000-000062060000}"/>
    <cellStyle name="40% - Accent5 2 2 5 2 2 2" xfId="16411" xr:uid="{8F1338F2-27E3-4863-A3C9-018568A96F56}"/>
    <cellStyle name="40% - Accent5 2 2 5 2 3" xfId="12193" xr:uid="{3B58D816-3176-48D9-AB70-D1221292C55F}"/>
    <cellStyle name="40% - Accent5 2 2 5 3" xfId="5827" xr:uid="{00000000-0005-0000-0000-000063060000}"/>
    <cellStyle name="40% - Accent5 2 2 5 3 2" xfId="14266" xr:uid="{9B975D38-57E4-498D-91C0-7CFD3BEEE882}"/>
    <cellStyle name="40% - Accent5 2 2 5 4" xfId="10048" xr:uid="{3C32E290-6AF2-44BD-BA6D-E58EBF052623}"/>
    <cellStyle name="40% - Accent5 2 2 6" xfId="1933" xr:uid="{00000000-0005-0000-0000-000064060000}"/>
    <cellStyle name="40% - Accent5 2 2 6 2" xfId="4162" xr:uid="{00000000-0005-0000-0000-000065060000}"/>
    <cellStyle name="40% - Accent5 2 2 6 2 2" xfId="8385" xr:uid="{00000000-0005-0000-0000-000066060000}"/>
    <cellStyle name="40% - Accent5 2 2 6 2 2 2" xfId="16824" xr:uid="{9D177AA3-4724-4444-BF3B-6851C9C674CA}"/>
    <cellStyle name="40% - Accent5 2 2 6 2 3" xfId="12606" xr:uid="{CB56A598-8678-4CA3-8C49-BE730C070DBE}"/>
    <cellStyle name="40% - Accent5 2 2 6 3" xfId="6240" xr:uid="{00000000-0005-0000-0000-000067060000}"/>
    <cellStyle name="40% - Accent5 2 2 6 3 2" xfId="14679" xr:uid="{B4E514FA-2FBE-4C9B-937F-EB4EEEF0ABEA}"/>
    <cellStyle name="40% - Accent5 2 2 6 4" xfId="10461" xr:uid="{98BEF904-6E91-4E64-A4BA-B4B59DB4A0B5}"/>
    <cellStyle name="40% - Accent5 2 2 7" xfId="2346" xr:uid="{00000000-0005-0000-0000-000068060000}"/>
    <cellStyle name="40% - Accent5 2 2 7 2" xfId="6653" xr:uid="{00000000-0005-0000-0000-000069060000}"/>
    <cellStyle name="40% - Accent5 2 2 7 2 2" xfId="15092" xr:uid="{431EC409-1210-4EC7-B72B-127199F4EAF8}"/>
    <cellStyle name="40% - Accent5 2 2 7 3" xfId="10874" xr:uid="{C4EECF04-645D-4D03-850D-ED2348DD68FC}"/>
    <cellStyle name="40% - Accent5 2 2 8" xfId="4587" xr:uid="{00000000-0005-0000-0000-00006A060000}"/>
    <cellStyle name="40% - Accent5 2 2 8 2" xfId="13026" xr:uid="{97D70929-6F79-4686-A75A-DD0022D7E8BE}"/>
    <cellStyle name="40% - Accent5 2 2 9" xfId="8808" xr:uid="{9B12B8DE-4051-4BD2-A3BC-BAD85C1B3AE8}"/>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15587" xr:uid="{00950AE5-A01D-4FEB-BD89-F192CC6A69BB}"/>
    <cellStyle name="40% - Accent5 2 3 2 2 3" xfId="11369" xr:uid="{2DC4314A-A507-42CC-90AA-1EB06ACF81B3}"/>
    <cellStyle name="40% - Accent5 2 3 2 3" xfId="5003" xr:uid="{00000000-0005-0000-0000-00006F060000}"/>
    <cellStyle name="40% - Accent5 2 3 2 3 2" xfId="13442" xr:uid="{67607790-54E5-40E0-8C38-E1690BDC46B8}"/>
    <cellStyle name="40% - Accent5 2 3 2 4" xfId="9224" xr:uid="{C827F4F4-B211-4830-A554-4E4780CD9E57}"/>
    <cellStyle name="40% - Accent5 2 3 3" xfId="1107" xr:uid="{00000000-0005-0000-0000-000070060000}"/>
    <cellStyle name="40% - Accent5 2 3 3 2" xfId="3338" xr:uid="{00000000-0005-0000-0000-000071060000}"/>
    <cellStyle name="40% - Accent5 2 3 3 2 2" xfId="7561" xr:uid="{00000000-0005-0000-0000-000072060000}"/>
    <cellStyle name="40% - Accent5 2 3 3 2 2 2" xfId="16000" xr:uid="{333F7521-1739-434F-9204-7CB4EAD3A882}"/>
    <cellStyle name="40% - Accent5 2 3 3 2 3" xfId="11782" xr:uid="{C4F5DD3B-2885-44E8-B214-9ACDC3F1145D}"/>
    <cellStyle name="40% - Accent5 2 3 3 3" xfId="5416" xr:uid="{00000000-0005-0000-0000-000073060000}"/>
    <cellStyle name="40% - Accent5 2 3 3 3 2" xfId="13855" xr:uid="{2DACEA4C-83ED-42B7-8099-643F107E7799}"/>
    <cellStyle name="40% - Accent5 2 3 3 4" xfId="9637" xr:uid="{CCA709E2-0139-4209-BC57-7C125428C02C}"/>
    <cellStyle name="40% - Accent5 2 3 4" xfId="1521" xr:uid="{00000000-0005-0000-0000-000074060000}"/>
    <cellStyle name="40% - Accent5 2 3 4 2" xfId="3751" xr:uid="{00000000-0005-0000-0000-000075060000}"/>
    <cellStyle name="40% - Accent5 2 3 4 2 2" xfId="7974" xr:uid="{00000000-0005-0000-0000-000076060000}"/>
    <cellStyle name="40% - Accent5 2 3 4 2 2 2" xfId="16413" xr:uid="{19079CF7-DB04-4662-862E-CBE6ECCDC881}"/>
    <cellStyle name="40% - Accent5 2 3 4 2 3" xfId="12195" xr:uid="{91197326-3B26-459E-AB34-F96680F48F9E}"/>
    <cellStyle name="40% - Accent5 2 3 4 3" xfId="5829" xr:uid="{00000000-0005-0000-0000-000077060000}"/>
    <cellStyle name="40% - Accent5 2 3 4 3 2" xfId="14268" xr:uid="{6E3B1747-BDE8-47FF-8F67-D6E1661670C2}"/>
    <cellStyle name="40% - Accent5 2 3 4 4" xfId="10050" xr:uid="{10DE5AC1-1260-4D4C-A58E-E2E7497F3B8B}"/>
    <cellStyle name="40% - Accent5 2 3 5" xfId="1935" xr:uid="{00000000-0005-0000-0000-000078060000}"/>
    <cellStyle name="40% - Accent5 2 3 5 2" xfId="4164" xr:uid="{00000000-0005-0000-0000-000079060000}"/>
    <cellStyle name="40% - Accent5 2 3 5 2 2" xfId="8387" xr:uid="{00000000-0005-0000-0000-00007A060000}"/>
    <cellStyle name="40% - Accent5 2 3 5 2 2 2" xfId="16826" xr:uid="{665AE4FC-6A0A-486E-9DE9-EDB1D75BCE88}"/>
    <cellStyle name="40% - Accent5 2 3 5 2 3" xfId="12608" xr:uid="{0C76790C-BBF9-4552-BB14-C24B5E472801}"/>
    <cellStyle name="40% - Accent5 2 3 5 3" xfId="6242" xr:uid="{00000000-0005-0000-0000-00007B060000}"/>
    <cellStyle name="40% - Accent5 2 3 5 3 2" xfId="14681" xr:uid="{263AE2CF-3C82-49DC-A723-89FDEF03BA64}"/>
    <cellStyle name="40% - Accent5 2 3 5 4" xfId="10463" xr:uid="{7E05E3C7-0B0C-4907-9069-76515E995EA6}"/>
    <cellStyle name="40% - Accent5 2 3 6" xfId="2348" xr:uid="{00000000-0005-0000-0000-00007C060000}"/>
    <cellStyle name="40% - Accent5 2 3 6 2" xfId="6655" xr:uid="{00000000-0005-0000-0000-00007D060000}"/>
    <cellStyle name="40% - Accent5 2 3 6 2 2" xfId="15094" xr:uid="{7D978422-D2A4-4EC1-8CF2-BB75740A171D}"/>
    <cellStyle name="40% - Accent5 2 3 6 3" xfId="10876" xr:uid="{86FF4EA7-ED46-4429-9065-F8FF62FE9F17}"/>
    <cellStyle name="40% - Accent5 2 3 7" xfId="4589" xr:uid="{00000000-0005-0000-0000-00007E060000}"/>
    <cellStyle name="40% - Accent5 2 3 7 2" xfId="13028" xr:uid="{A7608DA0-3B48-4787-9884-64C9D87F1C90}"/>
    <cellStyle name="40% - Accent5 2 3 8" xfId="8810" xr:uid="{56689A27-E81C-4A8E-8066-17564EBC6565}"/>
    <cellStyle name="40% - Accent5 2 4" xfId="651" xr:uid="{00000000-0005-0000-0000-00007F060000}"/>
    <cellStyle name="40% - Accent5 2 4 2" xfId="2922" xr:uid="{00000000-0005-0000-0000-000080060000}"/>
    <cellStyle name="40% - Accent5 2 4 2 2" xfId="7145" xr:uid="{00000000-0005-0000-0000-000081060000}"/>
    <cellStyle name="40% - Accent5 2 4 2 2 2" xfId="15584" xr:uid="{78F9CE71-C1C7-4756-8340-8FA199B7265E}"/>
    <cellStyle name="40% - Accent5 2 4 2 3" xfId="11366" xr:uid="{9171AAA1-56F5-41D4-8A51-385DF1CF08A5}"/>
    <cellStyle name="40% - Accent5 2 4 3" xfId="5000" xr:uid="{00000000-0005-0000-0000-000082060000}"/>
    <cellStyle name="40% - Accent5 2 4 3 2" xfId="13439" xr:uid="{81D78402-91B0-4F13-9F0D-AA1F04681618}"/>
    <cellStyle name="40% - Accent5 2 4 4" xfId="9221" xr:uid="{13AEE2B4-F1F5-4FBF-A299-59D5A2B0D935}"/>
    <cellStyle name="40% - Accent5 2 5" xfId="1104" xr:uid="{00000000-0005-0000-0000-000083060000}"/>
    <cellStyle name="40% - Accent5 2 5 2" xfId="3335" xr:uid="{00000000-0005-0000-0000-000084060000}"/>
    <cellStyle name="40% - Accent5 2 5 2 2" xfId="7558" xr:uid="{00000000-0005-0000-0000-000085060000}"/>
    <cellStyle name="40% - Accent5 2 5 2 2 2" xfId="15997" xr:uid="{B64CB064-02A4-484A-BACD-0DBEC184113F}"/>
    <cellStyle name="40% - Accent5 2 5 2 3" xfId="11779" xr:uid="{DF25CBD2-05EE-42F7-B083-7318A73EF5F5}"/>
    <cellStyle name="40% - Accent5 2 5 3" xfId="5413" xr:uid="{00000000-0005-0000-0000-000086060000}"/>
    <cellStyle name="40% - Accent5 2 5 3 2" xfId="13852" xr:uid="{77E23DA1-19D8-445D-A2E5-569F889949D9}"/>
    <cellStyle name="40% - Accent5 2 5 4" xfId="9634" xr:uid="{A7E01FAD-C53C-4507-BE37-122FCC3B9ABC}"/>
    <cellStyle name="40% - Accent5 2 6" xfId="1518" xr:uid="{00000000-0005-0000-0000-000087060000}"/>
    <cellStyle name="40% - Accent5 2 6 2" xfId="3748" xr:uid="{00000000-0005-0000-0000-000088060000}"/>
    <cellStyle name="40% - Accent5 2 6 2 2" xfId="7971" xr:uid="{00000000-0005-0000-0000-000089060000}"/>
    <cellStyle name="40% - Accent5 2 6 2 2 2" xfId="16410" xr:uid="{4C367CBA-B056-4402-A327-225DDDED3847}"/>
    <cellStyle name="40% - Accent5 2 6 2 3" xfId="12192" xr:uid="{1F5FD446-4186-4921-BF30-DA436DFEB78B}"/>
    <cellStyle name="40% - Accent5 2 6 3" xfId="5826" xr:uid="{00000000-0005-0000-0000-00008A060000}"/>
    <cellStyle name="40% - Accent5 2 6 3 2" xfId="14265" xr:uid="{5E9195D9-EBB2-454F-B364-36FD99B6FAFF}"/>
    <cellStyle name="40% - Accent5 2 6 4" xfId="10047" xr:uid="{C8C1F123-2697-438C-AD40-5E7E420409B3}"/>
    <cellStyle name="40% - Accent5 2 7" xfId="1932" xr:uid="{00000000-0005-0000-0000-00008B060000}"/>
    <cellStyle name="40% - Accent5 2 7 2" xfId="4161" xr:uid="{00000000-0005-0000-0000-00008C060000}"/>
    <cellStyle name="40% - Accent5 2 7 2 2" xfId="8384" xr:uid="{00000000-0005-0000-0000-00008D060000}"/>
    <cellStyle name="40% - Accent5 2 7 2 2 2" xfId="16823" xr:uid="{865E11DD-A5BD-4ECF-BFA1-BF567F3F7B3E}"/>
    <cellStyle name="40% - Accent5 2 7 2 3" xfId="12605" xr:uid="{E557FA4D-1290-4203-9EB9-E1CAAEDD0BBB}"/>
    <cellStyle name="40% - Accent5 2 7 3" xfId="6239" xr:uid="{00000000-0005-0000-0000-00008E060000}"/>
    <cellStyle name="40% - Accent5 2 7 3 2" xfId="14678" xr:uid="{E2F7D899-1748-4D40-B604-06CE0F459EB1}"/>
    <cellStyle name="40% - Accent5 2 7 4" xfId="10460" xr:uid="{1C95B0C3-56E1-4B01-8F85-7F53093B8E76}"/>
    <cellStyle name="40% - Accent5 2 8" xfId="2345" xr:uid="{00000000-0005-0000-0000-00008F060000}"/>
    <cellStyle name="40% - Accent5 2 8 2" xfId="6652" xr:uid="{00000000-0005-0000-0000-000090060000}"/>
    <cellStyle name="40% - Accent5 2 8 2 2" xfId="15091" xr:uid="{3015F954-3B08-4EB9-8A0F-C462422C012C}"/>
    <cellStyle name="40% - Accent5 2 8 3" xfId="10873" xr:uid="{DFA38D77-5C33-4B27-8530-A44EA0D4F1A2}"/>
    <cellStyle name="40% - Accent5 2 9" xfId="4586" xr:uid="{00000000-0005-0000-0000-000091060000}"/>
    <cellStyle name="40% - Accent5 2 9 2" xfId="13025" xr:uid="{78CE366D-B9B0-4A9B-8A52-44A6CF25931F}"/>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15589" xr:uid="{A0E7343D-B362-443D-9BAB-F8F2730EB499}"/>
    <cellStyle name="40% - Accent5 3 2 2 2 3" xfId="11371" xr:uid="{956AF9E2-DF27-4908-88F8-6E3FDAC19E19}"/>
    <cellStyle name="40% - Accent5 3 2 2 3" xfId="5005" xr:uid="{00000000-0005-0000-0000-000097060000}"/>
    <cellStyle name="40% - Accent5 3 2 2 3 2" xfId="13444" xr:uid="{0EF892B1-9547-4A6C-9406-9749BF1D5970}"/>
    <cellStyle name="40% - Accent5 3 2 2 4" xfId="9226" xr:uid="{D7B945CB-137A-4832-A7C3-8DE2926F9144}"/>
    <cellStyle name="40% - Accent5 3 2 3" xfId="1109" xr:uid="{00000000-0005-0000-0000-000098060000}"/>
    <cellStyle name="40% - Accent5 3 2 3 2" xfId="3340" xr:uid="{00000000-0005-0000-0000-000099060000}"/>
    <cellStyle name="40% - Accent5 3 2 3 2 2" xfId="7563" xr:uid="{00000000-0005-0000-0000-00009A060000}"/>
    <cellStyle name="40% - Accent5 3 2 3 2 2 2" xfId="16002" xr:uid="{E1C478C2-90B2-4DED-91DB-9A75742F5C33}"/>
    <cellStyle name="40% - Accent5 3 2 3 2 3" xfId="11784" xr:uid="{F3E47B06-E9AE-482B-9EA6-6145666B5C44}"/>
    <cellStyle name="40% - Accent5 3 2 3 3" xfId="5418" xr:uid="{00000000-0005-0000-0000-00009B060000}"/>
    <cellStyle name="40% - Accent5 3 2 3 3 2" xfId="13857" xr:uid="{C9ECED28-63C7-47F8-BF6B-9C4D0F4571C1}"/>
    <cellStyle name="40% - Accent5 3 2 3 4" xfId="9639" xr:uid="{03158442-FBC9-465F-AB18-7D7C6A9B6DE0}"/>
    <cellStyle name="40% - Accent5 3 2 4" xfId="1523" xr:uid="{00000000-0005-0000-0000-00009C060000}"/>
    <cellStyle name="40% - Accent5 3 2 4 2" xfId="3753" xr:uid="{00000000-0005-0000-0000-00009D060000}"/>
    <cellStyle name="40% - Accent5 3 2 4 2 2" xfId="7976" xr:uid="{00000000-0005-0000-0000-00009E060000}"/>
    <cellStyle name="40% - Accent5 3 2 4 2 2 2" xfId="16415" xr:uid="{AE47B2A8-B2F0-4911-B8A5-3DE23925A247}"/>
    <cellStyle name="40% - Accent5 3 2 4 2 3" xfId="12197" xr:uid="{1EDC0995-8BB3-4E95-A000-74E3946E99AB}"/>
    <cellStyle name="40% - Accent5 3 2 4 3" xfId="5831" xr:uid="{00000000-0005-0000-0000-00009F060000}"/>
    <cellStyle name="40% - Accent5 3 2 4 3 2" xfId="14270" xr:uid="{613C6845-F65A-4E35-BC0C-BF2D709A558E}"/>
    <cellStyle name="40% - Accent5 3 2 4 4" xfId="10052" xr:uid="{5D6A552D-0B6F-4910-8AFD-9DADF63DB9F0}"/>
    <cellStyle name="40% - Accent5 3 2 5" xfId="1937" xr:uid="{00000000-0005-0000-0000-0000A0060000}"/>
    <cellStyle name="40% - Accent5 3 2 5 2" xfId="4166" xr:uid="{00000000-0005-0000-0000-0000A1060000}"/>
    <cellStyle name="40% - Accent5 3 2 5 2 2" xfId="8389" xr:uid="{00000000-0005-0000-0000-0000A2060000}"/>
    <cellStyle name="40% - Accent5 3 2 5 2 2 2" xfId="16828" xr:uid="{2112FF8D-DC57-404F-8CEB-8C4EDCCEF8DD}"/>
    <cellStyle name="40% - Accent5 3 2 5 2 3" xfId="12610" xr:uid="{7D3E1F69-9C3B-4745-9552-C3C6E812786C}"/>
    <cellStyle name="40% - Accent5 3 2 5 3" xfId="6244" xr:uid="{00000000-0005-0000-0000-0000A3060000}"/>
    <cellStyle name="40% - Accent5 3 2 5 3 2" xfId="14683" xr:uid="{03100194-E12B-4438-B6DD-5491374BC618}"/>
    <cellStyle name="40% - Accent5 3 2 5 4" xfId="10465" xr:uid="{594E8BFB-DA85-4312-BFE1-1F39E992CB70}"/>
    <cellStyle name="40% - Accent5 3 2 6" xfId="2350" xr:uid="{00000000-0005-0000-0000-0000A4060000}"/>
    <cellStyle name="40% - Accent5 3 2 6 2" xfId="6657" xr:uid="{00000000-0005-0000-0000-0000A5060000}"/>
    <cellStyle name="40% - Accent5 3 2 6 2 2" xfId="15096" xr:uid="{6F797C1C-047B-4C0B-805B-45B8C6E33D16}"/>
    <cellStyle name="40% - Accent5 3 2 6 3" xfId="10878" xr:uid="{0D5A7A48-E75F-4C2B-9226-2A7E71223673}"/>
    <cellStyle name="40% - Accent5 3 2 7" xfId="4591" xr:uid="{00000000-0005-0000-0000-0000A6060000}"/>
    <cellStyle name="40% - Accent5 3 2 7 2" xfId="13030" xr:uid="{1C656678-FB5A-49AA-8583-3B7D9515DDE7}"/>
    <cellStyle name="40% - Accent5 3 2 8" xfId="8812" xr:uid="{0ED406F9-E79F-42A6-81E6-13032B668556}"/>
    <cellStyle name="40% - Accent5 3 3" xfId="655" xr:uid="{00000000-0005-0000-0000-0000A7060000}"/>
    <cellStyle name="40% - Accent5 3 3 2" xfId="2926" xr:uid="{00000000-0005-0000-0000-0000A8060000}"/>
    <cellStyle name="40% - Accent5 3 3 2 2" xfId="7149" xr:uid="{00000000-0005-0000-0000-0000A9060000}"/>
    <cellStyle name="40% - Accent5 3 3 2 2 2" xfId="15588" xr:uid="{9FF94C27-69A6-4BE4-88AC-481163AD1B3A}"/>
    <cellStyle name="40% - Accent5 3 3 2 3" xfId="11370" xr:uid="{DD1AC834-A2A3-47A8-8CEA-168442A506F5}"/>
    <cellStyle name="40% - Accent5 3 3 3" xfId="5004" xr:uid="{00000000-0005-0000-0000-0000AA060000}"/>
    <cellStyle name="40% - Accent5 3 3 3 2" xfId="13443" xr:uid="{813AE945-A36E-4462-B778-63382CBE7053}"/>
    <cellStyle name="40% - Accent5 3 3 4" xfId="9225" xr:uid="{DCB22EB2-42E0-48E2-B2F0-D50C8B2BA8D1}"/>
    <cellStyle name="40% - Accent5 3 4" xfId="1108" xr:uid="{00000000-0005-0000-0000-0000AB060000}"/>
    <cellStyle name="40% - Accent5 3 4 2" xfId="3339" xr:uid="{00000000-0005-0000-0000-0000AC060000}"/>
    <cellStyle name="40% - Accent5 3 4 2 2" xfId="7562" xr:uid="{00000000-0005-0000-0000-0000AD060000}"/>
    <cellStyle name="40% - Accent5 3 4 2 2 2" xfId="16001" xr:uid="{911D1632-43CD-4DA1-9696-9266F696D1BB}"/>
    <cellStyle name="40% - Accent5 3 4 2 3" xfId="11783" xr:uid="{FA7255CA-0CD0-47D3-A5F4-956707236962}"/>
    <cellStyle name="40% - Accent5 3 4 3" xfId="5417" xr:uid="{00000000-0005-0000-0000-0000AE060000}"/>
    <cellStyle name="40% - Accent5 3 4 3 2" xfId="13856" xr:uid="{9F28C17A-98D6-4202-AA4A-CDF42496BE7C}"/>
    <cellStyle name="40% - Accent5 3 4 4" xfId="9638" xr:uid="{A48C26EA-21FD-498F-AB4D-890C500DA31A}"/>
    <cellStyle name="40% - Accent5 3 5" xfId="1522" xr:uid="{00000000-0005-0000-0000-0000AF060000}"/>
    <cellStyle name="40% - Accent5 3 5 2" xfId="3752" xr:uid="{00000000-0005-0000-0000-0000B0060000}"/>
    <cellStyle name="40% - Accent5 3 5 2 2" xfId="7975" xr:uid="{00000000-0005-0000-0000-0000B1060000}"/>
    <cellStyle name="40% - Accent5 3 5 2 2 2" xfId="16414" xr:uid="{6C22F5C1-E43F-4065-9A31-EA1B6036E710}"/>
    <cellStyle name="40% - Accent5 3 5 2 3" xfId="12196" xr:uid="{50178884-86E7-413D-A064-D7D8C756AD8E}"/>
    <cellStyle name="40% - Accent5 3 5 3" xfId="5830" xr:uid="{00000000-0005-0000-0000-0000B2060000}"/>
    <cellStyle name="40% - Accent5 3 5 3 2" xfId="14269" xr:uid="{395FD3BE-E8DF-459E-B539-508A1CBAEDAA}"/>
    <cellStyle name="40% - Accent5 3 5 4" xfId="10051" xr:uid="{E9CEC5E6-A4A9-42AF-ACF0-74AA9A8AFCA3}"/>
    <cellStyle name="40% - Accent5 3 6" xfId="1936" xr:uid="{00000000-0005-0000-0000-0000B3060000}"/>
    <cellStyle name="40% - Accent5 3 6 2" xfId="4165" xr:uid="{00000000-0005-0000-0000-0000B4060000}"/>
    <cellStyle name="40% - Accent5 3 6 2 2" xfId="8388" xr:uid="{00000000-0005-0000-0000-0000B5060000}"/>
    <cellStyle name="40% - Accent5 3 6 2 2 2" xfId="16827" xr:uid="{45BEEB09-7063-482C-A427-9D0C118DB852}"/>
    <cellStyle name="40% - Accent5 3 6 2 3" xfId="12609" xr:uid="{402F0C7A-DA11-485A-AAB6-0D9C0E18CBF7}"/>
    <cellStyle name="40% - Accent5 3 6 3" xfId="6243" xr:uid="{00000000-0005-0000-0000-0000B6060000}"/>
    <cellStyle name="40% - Accent5 3 6 3 2" xfId="14682" xr:uid="{88ABF3B5-8527-46A5-A34B-E59C3CC6EF00}"/>
    <cellStyle name="40% - Accent5 3 6 4" xfId="10464" xr:uid="{06EB09D5-A3F7-4F98-8B4D-71E5929CA066}"/>
    <cellStyle name="40% - Accent5 3 7" xfId="2349" xr:uid="{00000000-0005-0000-0000-0000B7060000}"/>
    <cellStyle name="40% - Accent5 3 7 2" xfId="6656" xr:uid="{00000000-0005-0000-0000-0000B8060000}"/>
    <cellStyle name="40% - Accent5 3 7 2 2" xfId="15095" xr:uid="{0B2E4B53-23C4-40C1-A7B3-6EBDA430DF4B}"/>
    <cellStyle name="40% - Accent5 3 7 3" xfId="10877" xr:uid="{A2877886-D388-4A97-B937-60D742D4942E}"/>
    <cellStyle name="40% - Accent5 3 8" xfId="4590" xr:uid="{00000000-0005-0000-0000-0000B9060000}"/>
    <cellStyle name="40% - Accent5 3 8 2" xfId="13029" xr:uid="{263FFADC-092C-4D14-9E3E-0C51FF07D4BA}"/>
    <cellStyle name="40% - Accent5 3 9" xfId="8811" xr:uid="{E78499E8-216B-4AB4-AF50-823CB91D1C33}"/>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2 2 2" xfId="15590" xr:uid="{F034B465-308B-47CF-8112-2A6B5C28238B}"/>
    <cellStyle name="40% - Accent5 4 2 2 3" xfId="11372" xr:uid="{3508AAEC-0639-4178-91EE-22E7B2979F49}"/>
    <cellStyle name="40% - Accent5 4 2 3" xfId="5006" xr:uid="{00000000-0005-0000-0000-0000BE060000}"/>
    <cellStyle name="40% - Accent5 4 2 3 2" xfId="13445" xr:uid="{E10BCC4C-718B-43E4-A8AF-ADEAD4A26C15}"/>
    <cellStyle name="40% - Accent5 4 2 4" xfId="9227" xr:uid="{732891C4-64BB-436D-990A-AED0003455D5}"/>
    <cellStyle name="40% - Accent5 4 3" xfId="1110" xr:uid="{00000000-0005-0000-0000-0000BF060000}"/>
    <cellStyle name="40% - Accent5 4 3 2" xfId="3341" xr:uid="{00000000-0005-0000-0000-0000C0060000}"/>
    <cellStyle name="40% - Accent5 4 3 2 2" xfId="7564" xr:uid="{00000000-0005-0000-0000-0000C1060000}"/>
    <cellStyle name="40% - Accent5 4 3 2 2 2" xfId="16003" xr:uid="{9AB44919-C0C5-48C6-A3F7-E5C314ABF708}"/>
    <cellStyle name="40% - Accent5 4 3 2 3" xfId="11785" xr:uid="{1C4041C3-551C-4930-B0DB-1C3E93E663D5}"/>
    <cellStyle name="40% - Accent5 4 3 3" xfId="5419" xr:uid="{00000000-0005-0000-0000-0000C2060000}"/>
    <cellStyle name="40% - Accent5 4 3 3 2" xfId="13858" xr:uid="{83741AD4-F4D1-4CD2-B88A-B0421425683E}"/>
    <cellStyle name="40% - Accent5 4 3 4" xfId="9640" xr:uid="{0564F310-7912-48A1-A41E-B40253ADB0BB}"/>
    <cellStyle name="40% - Accent5 4 4" xfId="1524" xr:uid="{00000000-0005-0000-0000-0000C3060000}"/>
    <cellStyle name="40% - Accent5 4 4 2" xfId="3754" xr:uid="{00000000-0005-0000-0000-0000C4060000}"/>
    <cellStyle name="40% - Accent5 4 4 2 2" xfId="7977" xr:uid="{00000000-0005-0000-0000-0000C5060000}"/>
    <cellStyle name="40% - Accent5 4 4 2 2 2" xfId="16416" xr:uid="{ECC151CE-67E4-4D85-8435-C94EBAF3A02E}"/>
    <cellStyle name="40% - Accent5 4 4 2 3" xfId="12198" xr:uid="{426A8D8B-0BCC-4609-AF1B-98F1C2373873}"/>
    <cellStyle name="40% - Accent5 4 4 3" xfId="5832" xr:uid="{00000000-0005-0000-0000-0000C6060000}"/>
    <cellStyle name="40% - Accent5 4 4 3 2" xfId="14271" xr:uid="{C8FD4EDB-B772-4EFC-8872-B1CB130C7EFA}"/>
    <cellStyle name="40% - Accent5 4 4 4" xfId="10053" xr:uid="{DE7B4A6E-B6BF-448F-80AC-5E6A7AC29274}"/>
    <cellStyle name="40% - Accent5 4 5" xfId="1938" xr:uid="{00000000-0005-0000-0000-0000C7060000}"/>
    <cellStyle name="40% - Accent5 4 5 2" xfId="4167" xr:uid="{00000000-0005-0000-0000-0000C8060000}"/>
    <cellStyle name="40% - Accent5 4 5 2 2" xfId="8390" xr:uid="{00000000-0005-0000-0000-0000C9060000}"/>
    <cellStyle name="40% - Accent5 4 5 2 2 2" xfId="16829" xr:uid="{C0829887-F891-4064-97F9-8EA6E831BE7E}"/>
    <cellStyle name="40% - Accent5 4 5 2 3" xfId="12611" xr:uid="{43F27412-3ACD-445F-9DF7-3318BD30014A}"/>
    <cellStyle name="40% - Accent5 4 5 3" xfId="6245" xr:uid="{00000000-0005-0000-0000-0000CA060000}"/>
    <cellStyle name="40% - Accent5 4 5 3 2" xfId="14684" xr:uid="{69D026DC-0234-46AB-8D78-6A3F9419A2BF}"/>
    <cellStyle name="40% - Accent5 4 5 4" xfId="10466" xr:uid="{782DD98C-783E-4310-8BFA-CE0415F76743}"/>
    <cellStyle name="40% - Accent5 4 6" xfId="2351" xr:uid="{00000000-0005-0000-0000-0000CB060000}"/>
    <cellStyle name="40% - Accent5 4 6 2" xfId="6658" xr:uid="{00000000-0005-0000-0000-0000CC060000}"/>
    <cellStyle name="40% - Accent5 4 6 2 2" xfId="15097" xr:uid="{9044B8CA-74C8-4F25-976C-CEB46CE0B546}"/>
    <cellStyle name="40% - Accent5 4 6 3" xfId="10879" xr:uid="{C3F90F94-7216-41B3-B950-82C1CE4DDCCE}"/>
    <cellStyle name="40% - Accent5 4 7" xfId="4592" xr:uid="{00000000-0005-0000-0000-0000CD060000}"/>
    <cellStyle name="40% - Accent5 4 7 2" xfId="13031" xr:uid="{B64154A0-D0ED-4619-849C-56AF6A312985}"/>
    <cellStyle name="40% - Accent5 4 8" xfId="8813" xr:uid="{088D9853-6B1D-40C7-95BE-25DFA3CDB8CF}"/>
    <cellStyle name="40% - Accent5 5" xfId="650" xr:uid="{00000000-0005-0000-0000-0000CE060000}"/>
    <cellStyle name="40% - Accent5 5 2" xfId="2921" xr:uid="{00000000-0005-0000-0000-0000CF060000}"/>
    <cellStyle name="40% - Accent5 5 2 2" xfId="7144" xr:uid="{00000000-0005-0000-0000-0000D0060000}"/>
    <cellStyle name="40% - Accent5 5 2 2 2" xfId="15583" xr:uid="{C442EFA8-01C3-4E37-A636-5E3FB2F56FF7}"/>
    <cellStyle name="40% - Accent5 5 2 3" xfId="11365" xr:uid="{7195F436-CDDA-4F2E-9F4E-B30E65ADDC75}"/>
    <cellStyle name="40% - Accent5 5 3" xfId="4999" xr:uid="{00000000-0005-0000-0000-0000D1060000}"/>
    <cellStyle name="40% - Accent5 5 3 2" xfId="13438" xr:uid="{48DFCF74-2326-4FF9-8D16-0840EE1E3AF4}"/>
    <cellStyle name="40% - Accent5 5 4" xfId="9220" xr:uid="{15F1B87F-CEE0-4597-9E37-8F99745F797F}"/>
    <cellStyle name="40% - Accent5 6" xfId="1103" xr:uid="{00000000-0005-0000-0000-0000D2060000}"/>
    <cellStyle name="40% - Accent5 6 2" xfId="3334" xr:uid="{00000000-0005-0000-0000-0000D3060000}"/>
    <cellStyle name="40% - Accent5 6 2 2" xfId="7557" xr:uid="{00000000-0005-0000-0000-0000D4060000}"/>
    <cellStyle name="40% - Accent5 6 2 2 2" xfId="15996" xr:uid="{94F98C54-88B2-40C3-BEAA-900D3795A15F}"/>
    <cellStyle name="40% - Accent5 6 2 3" xfId="11778" xr:uid="{BD188223-123F-493B-9309-DAB2734FB23A}"/>
    <cellStyle name="40% - Accent5 6 3" xfId="5412" xr:uid="{00000000-0005-0000-0000-0000D5060000}"/>
    <cellStyle name="40% - Accent5 6 3 2" xfId="13851" xr:uid="{C3D2B384-EEDB-4AAD-B867-563BD0F5ECF9}"/>
    <cellStyle name="40% - Accent5 6 4" xfId="9633" xr:uid="{B5BD2A5C-B1BC-491B-865C-34695014A85A}"/>
    <cellStyle name="40% - Accent5 7" xfId="1517" xr:uid="{00000000-0005-0000-0000-0000D6060000}"/>
    <cellStyle name="40% - Accent5 7 2" xfId="3747" xr:uid="{00000000-0005-0000-0000-0000D7060000}"/>
    <cellStyle name="40% - Accent5 7 2 2" xfId="7970" xr:uid="{00000000-0005-0000-0000-0000D8060000}"/>
    <cellStyle name="40% - Accent5 7 2 2 2" xfId="16409" xr:uid="{D36DB1BC-EA0C-475F-BB7F-27531E265C46}"/>
    <cellStyle name="40% - Accent5 7 2 3" xfId="12191" xr:uid="{4A1CF5FE-E192-48C8-A968-028D93305735}"/>
    <cellStyle name="40% - Accent5 7 3" xfId="5825" xr:uid="{00000000-0005-0000-0000-0000D9060000}"/>
    <cellStyle name="40% - Accent5 7 3 2" xfId="14264" xr:uid="{2F8C8868-3B02-4D5E-B814-BB926A310610}"/>
    <cellStyle name="40% - Accent5 7 4" xfId="10046" xr:uid="{4C90DD81-E787-478A-955D-BDB81B1DFB70}"/>
    <cellStyle name="40% - Accent5 8" xfId="1931" xr:uid="{00000000-0005-0000-0000-0000DA060000}"/>
    <cellStyle name="40% - Accent5 8 2" xfId="4160" xr:uid="{00000000-0005-0000-0000-0000DB060000}"/>
    <cellStyle name="40% - Accent5 8 2 2" xfId="8383" xr:uid="{00000000-0005-0000-0000-0000DC060000}"/>
    <cellStyle name="40% - Accent5 8 2 2 2" xfId="16822" xr:uid="{EA690A6C-654B-4D82-A227-33ED2C3E591B}"/>
    <cellStyle name="40% - Accent5 8 2 3" xfId="12604" xr:uid="{44DB64FC-A665-403C-8BED-F85A872BF383}"/>
    <cellStyle name="40% - Accent5 8 3" xfId="6238" xr:uid="{00000000-0005-0000-0000-0000DD060000}"/>
    <cellStyle name="40% - Accent5 8 3 2" xfId="14677" xr:uid="{86389223-E412-4B21-9578-E7090B5809DF}"/>
    <cellStyle name="40% - Accent5 8 4" xfId="10459" xr:uid="{A06FB820-5DBC-4028-AF1D-5227536E2AE6}"/>
    <cellStyle name="40% - Accent5 9" xfId="2344" xr:uid="{00000000-0005-0000-0000-0000DE060000}"/>
    <cellStyle name="40% - Accent5 9 2" xfId="6651" xr:uid="{00000000-0005-0000-0000-0000DF060000}"/>
    <cellStyle name="40% - Accent5 9 2 2" xfId="15090" xr:uid="{921B76CA-D294-4507-A417-963776C09219}"/>
    <cellStyle name="40% - Accent5 9 3" xfId="10872" xr:uid="{DF9431F5-AFB8-4C26-8B89-4067F6DED59D}"/>
    <cellStyle name="40% - Accent6" xfId="89" builtinId="51" customBuiltin="1"/>
    <cellStyle name="40% - Accent6 10" xfId="4593" xr:uid="{00000000-0005-0000-0000-0000E1060000}"/>
    <cellStyle name="40% - Accent6 10 2" xfId="13032" xr:uid="{BD091AC1-7552-43D5-B62E-E7728E66B55E}"/>
    <cellStyle name="40% - Accent6 11" xfId="8814" xr:uid="{D82E143F-250C-4CC7-A8C3-09FC76E6ADA3}"/>
    <cellStyle name="40% - Accent6 2" xfId="90" xr:uid="{00000000-0005-0000-0000-0000E2060000}"/>
    <cellStyle name="40% - Accent6 2 10" xfId="8815" xr:uid="{E5B4F284-BBF9-4483-8E52-0A3ADE783708}"/>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15594" xr:uid="{703C1CB8-2768-48B0-9601-601B964C7838}"/>
    <cellStyle name="40% - Accent6 2 2 2 2 2 3" xfId="11376" xr:uid="{8D82F2CD-2B75-4603-91D2-EB4FAF3E0746}"/>
    <cellStyle name="40% - Accent6 2 2 2 2 3" xfId="5010" xr:uid="{00000000-0005-0000-0000-0000E8060000}"/>
    <cellStyle name="40% - Accent6 2 2 2 2 3 2" xfId="13449" xr:uid="{504D65E1-6646-4859-A72E-FDC880EFD520}"/>
    <cellStyle name="40% - Accent6 2 2 2 2 4" xfId="9231" xr:uid="{14FAB506-08DB-4360-9494-A1C6AA19CA7F}"/>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2 2" xfId="16007" xr:uid="{8CB13B05-25C8-4388-9051-4E6F23BC1A20}"/>
    <cellStyle name="40% - Accent6 2 2 2 3 2 3" xfId="11789" xr:uid="{623F6C49-303F-4752-A353-0FC03619DD91}"/>
    <cellStyle name="40% - Accent6 2 2 2 3 3" xfId="5423" xr:uid="{00000000-0005-0000-0000-0000EC060000}"/>
    <cellStyle name="40% - Accent6 2 2 2 3 3 2" xfId="13862" xr:uid="{7979BB0D-9681-424C-B63A-88FA4C1B8D59}"/>
    <cellStyle name="40% - Accent6 2 2 2 3 4" xfId="9644" xr:uid="{8C3D821E-C05B-422A-82DB-2FE6D2ED2FEE}"/>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2 2 2" xfId="16420" xr:uid="{52BF850A-998F-464A-9E95-8F5CC39B42DE}"/>
    <cellStyle name="40% - Accent6 2 2 2 4 2 3" xfId="12202" xr:uid="{D1B37661-7E00-47B3-91DE-A2632566596D}"/>
    <cellStyle name="40% - Accent6 2 2 2 4 3" xfId="5836" xr:uid="{00000000-0005-0000-0000-0000F0060000}"/>
    <cellStyle name="40% - Accent6 2 2 2 4 3 2" xfId="14275" xr:uid="{857D0ADF-35EF-40D9-94DD-01D98701860F}"/>
    <cellStyle name="40% - Accent6 2 2 2 4 4" xfId="10057" xr:uid="{9A43CD2F-0599-49EF-90C1-387FD1D8D2DB}"/>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2 2 2" xfId="16833" xr:uid="{6E6ADB0F-5697-4565-823A-B42A94131957}"/>
    <cellStyle name="40% - Accent6 2 2 2 5 2 3" xfId="12615" xr:uid="{A3331B29-D647-4BD0-8846-6ADED3CBFEC7}"/>
    <cellStyle name="40% - Accent6 2 2 2 5 3" xfId="6249" xr:uid="{00000000-0005-0000-0000-0000F4060000}"/>
    <cellStyle name="40% - Accent6 2 2 2 5 3 2" xfId="14688" xr:uid="{5AF1DF0B-6FAB-4905-91E4-16D21D3FCF56}"/>
    <cellStyle name="40% - Accent6 2 2 2 5 4" xfId="10470" xr:uid="{EAE06462-3762-47DB-9642-7E9BA9DA924B}"/>
    <cellStyle name="40% - Accent6 2 2 2 6" xfId="2355" xr:uid="{00000000-0005-0000-0000-0000F5060000}"/>
    <cellStyle name="40% - Accent6 2 2 2 6 2" xfId="6662" xr:uid="{00000000-0005-0000-0000-0000F6060000}"/>
    <cellStyle name="40% - Accent6 2 2 2 6 2 2" xfId="15101" xr:uid="{E18A06CA-B072-4242-9543-DF0E97BD49D3}"/>
    <cellStyle name="40% - Accent6 2 2 2 6 3" xfId="10883" xr:uid="{D02B9894-8D09-492A-8876-13AA856E9E4E}"/>
    <cellStyle name="40% - Accent6 2 2 2 7" xfId="4596" xr:uid="{00000000-0005-0000-0000-0000F7060000}"/>
    <cellStyle name="40% - Accent6 2 2 2 7 2" xfId="13035" xr:uid="{25A818ED-436A-41A7-83B7-2110B96E59BB}"/>
    <cellStyle name="40% - Accent6 2 2 2 8" xfId="8817" xr:uid="{2BECECB8-927B-4D56-809D-0A55D7F297F4}"/>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15593" xr:uid="{C5611047-A59E-455F-AF45-FA7D7CAC0E54}"/>
    <cellStyle name="40% - Accent6 2 2 3 2 3" xfId="11375" xr:uid="{0C1BA456-6EAB-427D-814C-250C64E61EB5}"/>
    <cellStyle name="40% - Accent6 2 2 3 3" xfId="5009" xr:uid="{00000000-0005-0000-0000-0000FB060000}"/>
    <cellStyle name="40% - Accent6 2 2 3 3 2" xfId="13448" xr:uid="{F51F7E2C-35E0-4DD2-AE78-E8DD02144A79}"/>
    <cellStyle name="40% - Accent6 2 2 3 4" xfId="9230" xr:uid="{8847FF39-5F00-421C-8958-1E376F8FFD0D}"/>
    <cellStyle name="40% - Accent6 2 2 4" xfId="1113" xr:uid="{00000000-0005-0000-0000-0000FC060000}"/>
    <cellStyle name="40% - Accent6 2 2 4 2" xfId="3344" xr:uid="{00000000-0005-0000-0000-0000FD060000}"/>
    <cellStyle name="40% - Accent6 2 2 4 2 2" xfId="7567" xr:uid="{00000000-0005-0000-0000-0000FE060000}"/>
    <cellStyle name="40% - Accent6 2 2 4 2 2 2" xfId="16006" xr:uid="{90FBAED6-9378-4D59-9959-CD77221C684E}"/>
    <cellStyle name="40% - Accent6 2 2 4 2 3" xfId="11788" xr:uid="{3D29C29F-2D28-49EC-8B20-24C278D63891}"/>
    <cellStyle name="40% - Accent6 2 2 4 3" xfId="5422" xr:uid="{00000000-0005-0000-0000-0000FF060000}"/>
    <cellStyle name="40% - Accent6 2 2 4 3 2" xfId="13861" xr:uid="{D94B0AFF-AAD9-4509-B42D-B6E97B757669}"/>
    <cellStyle name="40% - Accent6 2 2 4 4" xfId="9643" xr:uid="{B9D79AA3-B97E-42A2-A975-E8AD139F91CB}"/>
    <cellStyle name="40% - Accent6 2 2 5" xfId="1527" xr:uid="{00000000-0005-0000-0000-000000070000}"/>
    <cellStyle name="40% - Accent6 2 2 5 2" xfId="3757" xr:uid="{00000000-0005-0000-0000-000001070000}"/>
    <cellStyle name="40% - Accent6 2 2 5 2 2" xfId="7980" xr:uid="{00000000-0005-0000-0000-000002070000}"/>
    <cellStyle name="40% - Accent6 2 2 5 2 2 2" xfId="16419" xr:uid="{25E89A1C-E90A-4A6D-8897-064F7AA2806A}"/>
    <cellStyle name="40% - Accent6 2 2 5 2 3" xfId="12201" xr:uid="{3E1CF862-5001-4CA7-B440-D5F35EB237D7}"/>
    <cellStyle name="40% - Accent6 2 2 5 3" xfId="5835" xr:uid="{00000000-0005-0000-0000-000003070000}"/>
    <cellStyle name="40% - Accent6 2 2 5 3 2" xfId="14274" xr:uid="{30708D36-B342-4C9D-B0E3-23462D17FD72}"/>
    <cellStyle name="40% - Accent6 2 2 5 4" xfId="10056" xr:uid="{E6A971AF-D9F6-4B37-83A0-6DBC1D5BB5A5}"/>
    <cellStyle name="40% - Accent6 2 2 6" xfId="1941" xr:uid="{00000000-0005-0000-0000-000004070000}"/>
    <cellStyle name="40% - Accent6 2 2 6 2" xfId="4170" xr:uid="{00000000-0005-0000-0000-000005070000}"/>
    <cellStyle name="40% - Accent6 2 2 6 2 2" xfId="8393" xr:uid="{00000000-0005-0000-0000-000006070000}"/>
    <cellStyle name="40% - Accent6 2 2 6 2 2 2" xfId="16832" xr:uid="{54FA7C7D-3A92-4A5D-BB0D-3869A025AAF5}"/>
    <cellStyle name="40% - Accent6 2 2 6 2 3" xfId="12614" xr:uid="{A2636A0B-94AA-4EBF-9CA0-9BC80A14E5F7}"/>
    <cellStyle name="40% - Accent6 2 2 6 3" xfId="6248" xr:uid="{00000000-0005-0000-0000-000007070000}"/>
    <cellStyle name="40% - Accent6 2 2 6 3 2" xfId="14687" xr:uid="{D392FA7A-C807-498A-AFAF-C335E48A1EE8}"/>
    <cellStyle name="40% - Accent6 2 2 6 4" xfId="10469" xr:uid="{EFB1F4B6-4C4E-4B6E-8B5C-6B870F17FE4F}"/>
    <cellStyle name="40% - Accent6 2 2 7" xfId="2354" xr:uid="{00000000-0005-0000-0000-000008070000}"/>
    <cellStyle name="40% - Accent6 2 2 7 2" xfId="6661" xr:uid="{00000000-0005-0000-0000-000009070000}"/>
    <cellStyle name="40% - Accent6 2 2 7 2 2" xfId="15100" xr:uid="{1AFB083B-0C90-4C0D-A43D-D6CF3A7C81EA}"/>
    <cellStyle name="40% - Accent6 2 2 7 3" xfId="10882" xr:uid="{C88E67E7-3DB2-4AC9-A1AD-FAB7823E74D3}"/>
    <cellStyle name="40% - Accent6 2 2 8" xfId="4595" xr:uid="{00000000-0005-0000-0000-00000A070000}"/>
    <cellStyle name="40% - Accent6 2 2 8 2" xfId="13034" xr:uid="{D9B2A9A3-D198-46A8-9744-DA0F72559E19}"/>
    <cellStyle name="40% - Accent6 2 2 9" xfId="8816" xr:uid="{D4190BE1-C1E1-422A-A707-9E13A9F96648}"/>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15595" xr:uid="{E0D9152E-ED72-4CDC-90AE-0CEE70B53B77}"/>
    <cellStyle name="40% - Accent6 2 3 2 2 3" xfId="11377" xr:uid="{4F4F71B1-957C-4F8C-85E6-449CAF6D789C}"/>
    <cellStyle name="40% - Accent6 2 3 2 3" xfId="5011" xr:uid="{00000000-0005-0000-0000-00000F070000}"/>
    <cellStyle name="40% - Accent6 2 3 2 3 2" xfId="13450" xr:uid="{1DC22C6C-93E1-43C7-AB13-E6F6B4624BFC}"/>
    <cellStyle name="40% - Accent6 2 3 2 4" xfId="9232" xr:uid="{F516BF64-9CC5-46C8-BE86-976181ABF587}"/>
    <cellStyle name="40% - Accent6 2 3 3" xfId="1115" xr:uid="{00000000-0005-0000-0000-000010070000}"/>
    <cellStyle name="40% - Accent6 2 3 3 2" xfId="3346" xr:uid="{00000000-0005-0000-0000-000011070000}"/>
    <cellStyle name="40% - Accent6 2 3 3 2 2" xfId="7569" xr:uid="{00000000-0005-0000-0000-000012070000}"/>
    <cellStyle name="40% - Accent6 2 3 3 2 2 2" xfId="16008" xr:uid="{F844D031-FA5F-4446-85BC-4CB9C1A9BA4F}"/>
    <cellStyle name="40% - Accent6 2 3 3 2 3" xfId="11790" xr:uid="{C640E036-2EE4-42A3-9725-83F310AD8917}"/>
    <cellStyle name="40% - Accent6 2 3 3 3" xfId="5424" xr:uid="{00000000-0005-0000-0000-000013070000}"/>
    <cellStyle name="40% - Accent6 2 3 3 3 2" xfId="13863" xr:uid="{AA34D11B-B63A-4C6D-8A15-9A576A7A530F}"/>
    <cellStyle name="40% - Accent6 2 3 3 4" xfId="9645" xr:uid="{DB628A12-6630-49DE-B23A-ECE786E7DB1E}"/>
    <cellStyle name="40% - Accent6 2 3 4" xfId="1529" xr:uid="{00000000-0005-0000-0000-000014070000}"/>
    <cellStyle name="40% - Accent6 2 3 4 2" xfId="3759" xr:uid="{00000000-0005-0000-0000-000015070000}"/>
    <cellStyle name="40% - Accent6 2 3 4 2 2" xfId="7982" xr:uid="{00000000-0005-0000-0000-000016070000}"/>
    <cellStyle name="40% - Accent6 2 3 4 2 2 2" xfId="16421" xr:uid="{46BFA081-D65F-46BB-BED1-646A5F2FF8A0}"/>
    <cellStyle name="40% - Accent6 2 3 4 2 3" xfId="12203" xr:uid="{BD8B9A15-AD9F-4DFD-BF23-8575D1DCE0D3}"/>
    <cellStyle name="40% - Accent6 2 3 4 3" xfId="5837" xr:uid="{00000000-0005-0000-0000-000017070000}"/>
    <cellStyle name="40% - Accent6 2 3 4 3 2" xfId="14276" xr:uid="{294BB0F4-05F3-4F80-A89C-635A19558D1C}"/>
    <cellStyle name="40% - Accent6 2 3 4 4" xfId="10058" xr:uid="{5D753CC2-6DD2-40B4-8D11-2B38645AC70B}"/>
    <cellStyle name="40% - Accent6 2 3 5" xfId="1943" xr:uid="{00000000-0005-0000-0000-000018070000}"/>
    <cellStyle name="40% - Accent6 2 3 5 2" xfId="4172" xr:uid="{00000000-0005-0000-0000-000019070000}"/>
    <cellStyle name="40% - Accent6 2 3 5 2 2" xfId="8395" xr:uid="{00000000-0005-0000-0000-00001A070000}"/>
    <cellStyle name="40% - Accent6 2 3 5 2 2 2" xfId="16834" xr:uid="{9AE6F2FB-0AA4-4933-9C01-4138D2584E6E}"/>
    <cellStyle name="40% - Accent6 2 3 5 2 3" xfId="12616" xr:uid="{61E34327-771A-43AB-97C1-8537D694B6C7}"/>
    <cellStyle name="40% - Accent6 2 3 5 3" xfId="6250" xr:uid="{00000000-0005-0000-0000-00001B070000}"/>
    <cellStyle name="40% - Accent6 2 3 5 3 2" xfId="14689" xr:uid="{07D3954A-4718-4176-9B96-6C63290F128C}"/>
    <cellStyle name="40% - Accent6 2 3 5 4" xfId="10471" xr:uid="{5AC785CA-9F6A-4358-A951-1559931FBCE6}"/>
    <cellStyle name="40% - Accent6 2 3 6" xfId="2356" xr:uid="{00000000-0005-0000-0000-00001C070000}"/>
    <cellStyle name="40% - Accent6 2 3 6 2" xfId="6663" xr:uid="{00000000-0005-0000-0000-00001D070000}"/>
    <cellStyle name="40% - Accent6 2 3 6 2 2" xfId="15102" xr:uid="{DBBF01A4-6A9F-4737-A790-CD9BC5514F9F}"/>
    <cellStyle name="40% - Accent6 2 3 6 3" xfId="10884" xr:uid="{C14752A4-5B9F-45FA-9243-7E5DE52B22A9}"/>
    <cellStyle name="40% - Accent6 2 3 7" xfId="4597" xr:uid="{00000000-0005-0000-0000-00001E070000}"/>
    <cellStyle name="40% - Accent6 2 3 7 2" xfId="13036" xr:uid="{1FBB5311-85C1-42A7-9D20-F54E61F43AD2}"/>
    <cellStyle name="40% - Accent6 2 3 8" xfId="8818" xr:uid="{002E10D1-565C-47F4-9420-C1EDA89E10BD}"/>
    <cellStyle name="40% - Accent6 2 4" xfId="659" xr:uid="{00000000-0005-0000-0000-00001F070000}"/>
    <cellStyle name="40% - Accent6 2 4 2" xfId="2930" xr:uid="{00000000-0005-0000-0000-000020070000}"/>
    <cellStyle name="40% - Accent6 2 4 2 2" xfId="7153" xr:uid="{00000000-0005-0000-0000-000021070000}"/>
    <cellStyle name="40% - Accent6 2 4 2 2 2" xfId="15592" xr:uid="{FD21205B-88B9-4ACB-8845-6745E57D0A1C}"/>
    <cellStyle name="40% - Accent6 2 4 2 3" xfId="11374" xr:uid="{9931E4E8-3FCC-4960-8293-D29F993005B1}"/>
    <cellStyle name="40% - Accent6 2 4 3" xfId="5008" xr:uid="{00000000-0005-0000-0000-000022070000}"/>
    <cellStyle name="40% - Accent6 2 4 3 2" xfId="13447" xr:uid="{B4904925-E8B2-4933-92C7-E9CA18D1C10E}"/>
    <cellStyle name="40% - Accent6 2 4 4" xfId="9229" xr:uid="{7608282A-3E60-449A-A849-CC8F3EE14B3C}"/>
    <cellStyle name="40% - Accent6 2 5" xfId="1112" xr:uid="{00000000-0005-0000-0000-000023070000}"/>
    <cellStyle name="40% - Accent6 2 5 2" xfId="3343" xr:uid="{00000000-0005-0000-0000-000024070000}"/>
    <cellStyle name="40% - Accent6 2 5 2 2" xfId="7566" xr:uid="{00000000-0005-0000-0000-000025070000}"/>
    <cellStyle name="40% - Accent6 2 5 2 2 2" xfId="16005" xr:uid="{3F2E279F-5567-4D68-9D29-9F0717DDB9AE}"/>
    <cellStyle name="40% - Accent6 2 5 2 3" xfId="11787" xr:uid="{BB5B3448-617A-4C4D-99F9-D256BFE52E51}"/>
    <cellStyle name="40% - Accent6 2 5 3" xfId="5421" xr:uid="{00000000-0005-0000-0000-000026070000}"/>
    <cellStyle name="40% - Accent6 2 5 3 2" xfId="13860" xr:uid="{B28EC379-395F-4B1A-BB63-9F3E877495BC}"/>
    <cellStyle name="40% - Accent6 2 5 4" xfId="9642" xr:uid="{219FA708-0C27-4E64-8B74-3A9DA05AF511}"/>
    <cellStyle name="40% - Accent6 2 6" xfId="1526" xr:uid="{00000000-0005-0000-0000-000027070000}"/>
    <cellStyle name="40% - Accent6 2 6 2" xfId="3756" xr:uid="{00000000-0005-0000-0000-000028070000}"/>
    <cellStyle name="40% - Accent6 2 6 2 2" xfId="7979" xr:uid="{00000000-0005-0000-0000-000029070000}"/>
    <cellStyle name="40% - Accent6 2 6 2 2 2" xfId="16418" xr:uid="{DDFD6A7F-E903-45DF-80A1-A221D13178FE}"/>
    <cellStyle name="40% - Accent6 2 6 2 3" xfId="12200" xr:uid="{564C359F-E44E-41F8-AA5F-56032A6401F1}"/>
    <cellStyle name="40% - Accent6 2 6 3" xfId="5834" xr:uid="{00000000-0005-0000-0000-00002A070000}"/>
    <cellStyle name="40% - Accent6 2 6 3 2" xfId="14273" xr:uid="{5C538A5F-5854-4992-9E3F-0850832191E4}"/>
    <cellStyle name="40% - Accent6 2 6 4" xfId="10055" xr:uid="{918EDAAE-7E99-4D03-9386-E957FE2A7974}"/>
    <cellStyle name="40% - Accent6 2 7" xfId="1940" xr:uid="{00000000-0005-0000-0000-00002B070000}"/>
    <cellStyle name="40% - Accent6 2 7 2" xfId="4169" xr:uid="{00000000-0005-0000-0000-00002C070000}"/>
    <cellStyle name="40% - Accent6 2 7 2 2" xfId="8392" xr:uid="{00000000-0005-0000-0000-00002D070000}"/>
    <cellStyle name="40% - Accent6 2 7 2 2 2" xfId="16831" xr:uid="{E7340275-BBA3-4EB6-808B-EBDA8A08E3C6}"/>
    <cellStyle name="40% - Accent6 2 7 2 3" xfId="12613" xr:uid="{3FFC4F75-19BB-49EA-BF10-3C167E927783}"/>
    <cellStyle name="40% - Accent6 2 7 3" xfId="6247" xr:uid="{00000000-0005-0000-0000-00002E070000}"/>
    <cellStyle name="40% - Accent6 2 7 3 2" xfId="14686" xr:uid="{162F1916-872A-4D74-9627-4A2EE8E43379}"/>
    <cellStyle name="40% - Accent6 2 7 4" xfId="10468" xr:uid="{F7AC99EA-8C0B-424D-A4A5-359456C3FFEC}"/>
    <cellStyle name="40% - Accent6 2 8" xfId="2353" xr:uid="{00000000-0005-0000-0000-00002F070000}"/>
    <cellStyle name="40% - Accent6 2 8 2" xfId="6660" xr:uid="{00000000-0005-0000-0000-000030070000}"/>
    <cellStyle name="40% - Accent6 2 8 2 2" xfId="15099" xr:uid="{0CB8DA6E-8205-4BFD-BC0A-3ACBA0E96898}"/>
    <cellStyle name="40% - Accent6 2 8 3" xfId="10881" xr:uid="{4FA37AA8-83E8-4B54-8552-A3A6AC2CB69C}"/>
    <cellStyle name="40% - Accent6 2 9" xfId="4594" xr:uid="{00000000-0005-0000-0000-000031070000}"/>
    <cellStyle name="40% - Accent6 2 9 2" xfId="13033" xr:uid="{BED63369-B4DC-46B9-9997-8F89721EBE99}"/>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15597" xr:uid="{A3508D60-25A8-4355-B3C2-25342090784F}"/>
    <cellStyle name="40% - Accent6 3 2 2 2 3" xfId="11379" xr:uid="{0CF9A71E-513D-4C0F-A347-7267FB99328B}"/>
    <cellStyle name="40% - Accent6 3 2 2 3" xfId="5013" xr:uid="{00000000-0005-0000-0000-000037070000}"/>
    <cellStyle name="40% - Accent6 3 2 2 3 2" xfId="13452" xr:uid="{9EE9DBE6-9177-49ED-86F8-E21F489CC92F}"/>
    <cellStyle name="40% - Accent6 3 2 2 4" xfId="9234" xr:uid="{110354C4-8CDD-4C09-8F73-BFF2A64CCEFB}"/>
    <cellStyle name="40% - Accent6 3 2 3" xfId="1117" xr:uid="{00000000-0005-0000-0000-000038070000}"/>
    <cellStyle name="40% - Accent6 3 2 3 2" xfId="3348" xr:uid="{00000000-0005-0000-0000-000039070000}"/>
    <cellStyle name="40% - Accent6 3 2 3 2 2" xfId="7571" xr:uid="{00000000-0005-0000-0000-00003A070000}"/>
    <cellStyle name="40% - Accent6 3 2 3 2 2 2" xfId="16010" xr:uid="{DE7E756C-6251-483C-BB14-6534A86323F6}"/>
    <cellStyle name="40% - Accent6 3 2 3 2 3" xfId="11792" xr:uid="{26DD84E3-6C1A-49D5-AC57-9521BBE8245D}"/>
    <cellStyle name="40% - Accent6 3 2 3 3" xfId="5426" xr:uid="{00000000-0005-0000-0000-00003B070000}"/>
    <cellStyle name="40% - Accent6 3 2 3 3 2" xfId="13865" xr:uid="{E6F241C6-7B99-463A-BAC1-5050909ACA87}"/>
    <cellStyle name="40% - Accent6 3 2 3 4" xfId="9647" xr:uid="{2D5706BE-B08B-4C33-9464-345C86DA16CB}"/>
    <cellStyle name="40% - Accent6 3 2 4" xfId="1531" xr:uid="{00000000-0005-0000-0000-00003C070000}"/>
    <cellStyle name="40% - Accent6 3 2 4 2" xfId="3761" xr:uid="{00000000-0005-0000-0000-00003D070000}"/>
    <cellStyle name="40% - Accent6 3 2 4 2 2" xfId="7984" xr:uid="{00000000-0005-0000-0000-00003E070000}"/>
    <cellStyle name="40% - Accent6 3 2 4 2 2 2" xfId="16423" xr:uid="{447A7BCC-AE13-42E3-88C7-BB64DFB6592E}"/>
    <cellStyle name="40% - Accent6 3 2 4 2 3" xfId="12205" xr:uid="{9AB0D9DB-2E38-431E-808E-76DFC1C2A311}"/>
    <cellStyle name="40% - Accent6 3 2 4 3" xfId="5839" xr:uid="{00000000-0005-0000-0000-00003F070000}"/>
    <cellStyle name="40% - Accent6 3 2 4 3 2" xfId="14278" xr:uid="{7609A26B-ADFE-466E-A7EB-6BF678555959}"/>
    <cellStyle name="40% - Accent6 3 2 4 4" xfId="10060" xr:uid="{65CBC625-E542-4A84-9DFE-67A4DC6B53FA}"/>
    <cellStyle name="40% - Accent6 3 2 5" xfId="1945" xr:uid="{00000000-0005-0000-0000-000040070000}"/>
    <cellStyle name="40% - Accent6 3 2 5 2" xfId="4174" xr:uid="{00000000-0005-0000-0000-000041070000}"/>
    <cellStyle name="40% - Accent6 3 2 5 2 2" xfId="8397" xr:uid="{00000000-0005-0000-0000-000042070000}"/>
    <cellStyle name="40% - Accent6 3 2 5 2 2 2" xfId="16836" xr:uid="{00FE4E79-3731-41CD-A323-D635A8B4433D}"/>
    <cellStyle name="40% - Accent6 3 2 5 2 3" xfId="12618" xr:uid="{097EF6D5-0233-4697-8502-D3C9DC8DDE68}"/>
    <cellStyle name="40% - Accent6 3 2 5 3" xfId="6252" xr:uid="{00000000-0005-0000-0000-000043070000}"/>
    <cellStyle name="40% - Accent6 3 2 5 3 2" xfId="14691" xr:uid="{F70B6410-178C-4DBC-B46C-9DEAD5D352B8}"/>
    <cellStyle name="40% - Accent6 3 2 5 4" xfId="10473" xr:uid="{29421149-EAC9-49E3-BB97-ED32D3D2A036}"/>
    <cellStyle name="40% - Accent6 3 2 6" xfId="2358" xr:uid="{00000000-0005-0000-0000-000044070000}"/>
    <cellStyle name="40% - Accent6 3 2 6 2" xfId="6665" xr:uid="{00000000-0005-0000-0000-000045070000}"/>
    <cellStyle name="40% - Accent6 3 2 6 2 2" xfId="15104" xr:uid="{536F986F-5FD8-462B-B297-52A802938C2A}"/>
    <cellStyle name="40% - Accent6 3 2 6 3" xfId="10886" xr:uid="{92642CDF-AA05-4CC8-B789-FAFED2E21E74}"/>
    <cellStyle name="40% - Accent6 3 2 7" xfId="4599" xr:uid="{00000000-0005-0000-0000-000046070000}"/>
    <cellStyle name="40% - Accent6 3 2 7 2" xfId="13038" xr:uid="{3C5EDE75-CECE-4C49-8B29-D99CE5B5EFB5}"/>
    <cellStyle name="40% - Accent6 3 2 8" xfId="8820" xr:uid="{DE2D0A58-62AC-4183-82D4-E4A40EC6D94E}"/>
    <cellStyle name="40% - Accent6 3 3" xfId="663" xr:uid="{00000000-0005-0000-0000-000047070000}"/>
    <cellStyle name="40% - Accent6 3 3 2" xfId="2934" xr:uid="{00000000-0005-0000-0000-000048070000}"/>
    <cellStyle name="40% - Accent6 3 3 2 2" xfId="7157" xr:uid="{00000000-0005-0000-0000-000049070000}"/>
    <cellStyle name="40% - Accent6 3 3 2 2 2" xfId="15596" xr:uid="{58ED93C3-337B-4E0A-B4CF-E752EEFAC4EF}"/>
    <cellStyle name="40% - Accent6 3 3 2 3" xfId="11378" xr:uid="{DAA7EC00-0956-45C9-BC3F-D9493BFA936C}"/>
    <cellStyle name="40% - Accent6 3 3 3" xfId="5012" xr:uid="{00000000-0005-0000-0000-00004A070000}"/>
    <cellStyle name="40% - Accent6 3 3 3 2" xfId="13451" xr:uid="{0347820A-A3A2-4053-8EB9-5BD711701CD4}"/>
    <cellStyle name="40% - Accent6 3 3 4" xfId="9233" xr:uid="{B1BB2E9B-8124-4E44-BD67-25C78AA9492E}"/>
    <cellStyle name="40% - Accent6 3 4" xfId="1116" xr:uid="{00000000-0005-0000-0000-00004B070000}"/>
    <cellStyle name="40% - Accent6 3 4 2" xfId="3347" xr:uid="{00000000-0005-0000-0000-00004C070000}"/>
    <cellStyle name="40% - Accent6 3 4 2 2" xfId="7570" xr:uid="{00000000-0005-0000-0000-00004D070000}"/>
    <cellStyle name="40% - Accent6 3 4 2 2 2" xfId="16009" xr:uid="{FA2C304E-B136-4D91-8060-537C31CA4A00}"/>
    <cellStyle name="40% - Accent6 3 4 2 3" xfId="11791" xr:uid="{8110BF84-A8B5-4961-9103-DE569B1246DF}"/>
    <cellStyle name="40% - Accent6 3 4 3" xfId="5425" xr:uid="{00000000-0005-0000-0000-00004E070000}"/>
    <cellStyle name="40% - Accent6 3 4 3 2" xfId="13864" xr:uid="{70F101BB-325A-4E51-849B-16E614100975}"/>
    <cellStyle name="40% - Accent6 3 4 4" xfId="9646" xr:uid="{AA3413B3-8AB5-41B3-9CB4-6C488E0DF08A}"/>
    <cellStyle name="40% - Accent6 3 5" xfId="1530" xr:uid="{00000000-0005-0000-0000-00004F070000}"/>
    <cellStyle name="40% - Accent6 3 5 2" xfId="3760" xr:uid="{00000000-0005-0000-0000-000050070000}"/>
    <cellStyle name="40% - Accent6 3 5 2 2" xfId="7983" xr:uid="{00000000-0005-0000-0000-000051070000}"/>
    <cellStyle name="40% - Accent6 3 5 2 2 2" xfId="16422" xr:uid="{62BF1A37-B23E-4582-9C9E-6589CA20ABCB}"/>
    <cellStyle name="40% - Accent6 3 5 2 3" xfId="12204" xr:uid="{73773E42-37AF-4673-BB5C-0CFD9A4A2AEB}"/>
    <cellStyle name="40% - Accent6 3 5 3" xfId="5838" xr:uid="{00000000-0005-0000-0000-000052070000}"/>
    <cellStyle name="40% - Accent6 3 5 3 2" xfId="14277" xr:uid="{5379A9A3-D856-4D70-8DCF-96FC0416A3BD}"/>
    <cellStyle name="40% - Accent6 3 5 4" xfId="10059" xr:uid="{A0A9FA1F-AF4D-41C1-9943-B8381948AE84}"/>
    <cellStyle name="40% - Accent6 3 6" xfId="1944" xr:uid="{00000000-0005-0000-0000-000053070000}"/>
    <cellStyle name="40% - Accent6 3 6 2" xfId="4173" xr:uid="{00000000-0005-0000-0000-000054070000}"/>
    <cellStyle name="40% - Accent6 3 6 2 2" xfId="8396" xr:uid="{00000000-0005-0000-0000-000055070000}"/>
    <cellStyle name="40% - Accent6 3 6 2 2 2" xfId="16835" xr:uid="{B3B5946F-8AD0-4E8E-B3CE-4322970D4BFF}"/>
    <cellStyle name="40% - Accent6 3 6 2 3" xfId="12617" xr:uid="{1AF0E284-CB89-4B33-AA70-883EC0316A05}"/>
    <cellStyle name="40% - Accent6 3 6 3" xfId="6251" xr:uid="{00000000-0005-0000-0000-000056070000}"/>
    <cellStyle name="40% - Accent6 3 6 3 2" xfId="14690" xr:uid="{44FF8A04-68DC-4231-B1FA-E4921B941128}"/>
    <cellStyle name="40% - Accent6 3 6 4" xfId="10472" xr:uid="{B1CC0F3F-1BD8-4DF0-BE5F-4D5F8DA9D1D1}"/>
    <cellStyle name="40% - Accent6 3 7" xfId="2357" xr:uid="{00000000-0005-0000-0000-000057070000}"/>
    <cellStyle name="40% - Accent6 3 7 2" xfId="6664" xr:uid="{00000000-0005-0000-0000-000058070000}"/>
    <cellStyle name="40% - Accent6 3 7 2 2" xfId="15103" xr:uid="{EA3BCA2D-D797-4008-8E66-4AAF15A29EA2}"/>
    <cellStyle name="40% - Accent6 3 7 3" xfId="10885" xr:uid="{24611DB7-B623-44E1-978F-D17AD138D71E}"/>
    <cellStyle name="40% - Accent6 3 8" xfId="4598" xr:uid="{00000000-0005-0000-0000-000059070000}"/>
    <cellStyle name="40% - Accent6 3 8 2" xfId="13037" xr:uid="{A0B7F8C1-A16E-4D58-9FEE-2E6A29065315}"/>
    <cellStyle name="40% - Accent6 3 9" xfId="8819" xr:uid="{7FC03D93-486F-4C06-9230-F4D3A3DDB37F}"/>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2 2 2" xfId="15598" xr:uid="{A567771F-1954-417B-B3CE-57A921D98DB8}"/>
    <cellStyle name="40% - Accent6 4 2 2 3" xfId="11380" xr:uid="{D8D6CCAF-56BD-4300-BBF8-98D2116F4E49}"/>
    <cellStyle name="40% - Accent6 4 2 3" xfId="5014" xr:uid="{00000000-0005-0000-0000-00005E070000}"/>
    <cellStyle name="40% - Accent6 4 2 3 2" xfId="13453" xr:uid="{FC6C93E1-168D-4A6D-9E42-C4D7327C8648}"/>
    <cellStyle name="40% - Accent6 4 2 4" xfId="9235" xr:uid="{FACF43B1-EC90-4D92-A0B5-C00CB2385EE1}"/>
    <cellStyle name="40% - Accent6 4 3" xfId="1118" xr:uid="{00000000-0005-0000-0000-00005F070000}"/>
    <cellStyle name="40% - Accent6 4 3 2" xfId="3349" xr:uid="{00000000-0005-0000-0000-000060070000}"/>
    <cellStyle name="40% - Accent6 4 3 2 2" xfId="7572" xr:uid="{00000000-0005-0000-0000-000061070000}"/>
    <cellStyle name="40% - Accent6 4 3 2 2 2" xfId="16011" xr:uid="{666A105A-5EBA-4961-BFFA-DC7D4E411F1E}"/>
    <cellStyle name="40% - Accent6 4 3 2 3" xfId="11793" xr:uid="{53CA1CEB-D6F3-44C1-B441-4A467C5254D6}"/>
    <cellStyle name="40% - Accent6 4 3 3" xfId="5427" xr:uid="{00000000-0005-0000-0000-000062070000}"/>
    <cellStyle name="40% - Accent6 4 3 3 2" xfId="13866" xr:uid="{5691BAE4-059E-4050-AEC6-A81664039D70}"/>
    <cellStyle name="40% - Accent6 4 3 4" xfId="9648" xr:uid="{293F4626-BE0A-450F-B582-AE327BB53472}"/>
    <cellStyle name="40% - Accent6 4 4" xfId="1532" xr:uid="{00000000-0005-0000-0000-000063070000}"/>
    <cellStyle name="40% - Accent6 4 4 2" xfId="3762" xr:uid="{00000000-0005-0000-0000-000064070000}"/>
    <cellStyle name="40% - Accent6 4 4 2 2" xfId="7985" xr:uid="{00000000-0005-0000-0000-000065070000}"/>
    <cellStyle name="40% - Accent6 4 4 2 2 2" xfId="16424" xr:uid="{0F3025CA-4944-48B2-B2C5-EAD5EFB5B87D}"/>
    <cellStyle name="40% - Accent6 4 4 2 3" xfId="12206" xr:uid="{7FD9150F-9919-48ED-BAFE-37614948129C}"/>
    <cellStyle name="40% - Accent6 4 4 3" xfId="5840" xr:uid="{00000000-0005-0000-0000-000066070000}"/>
    <cellStyle name="40% - Accent6 4 4 3 2" xfId="14279" xr:uid="{886FCBEB-14F7-4251-B590-E7334B9C8A20}"/>
    <cellStyle name="40% - Accent6 4 4 4" xfId="10061" xr:uid="{B2EBE62B-AD9F-483D-9D7A-5F0F8F6BF5A0}"/>
    <cellStyle name="40% - Accent6 4 5" xfId="1946" xr:uid="{00000000-0005-0000-0000-000067070000}"/>
    <cellStyle name="40% - Accent6 4 5 2" xfId="4175" xr:uid="{00000000-0005-0000-0000-000068070000}"/>
    <cellStyle name="40% - Accent6 4 5 2 2" xfId="8398" xr:uid="{00000000-0005-0000-0000-000069070000}"/>
    <cellStyle name="40% - Accent6 4 5 2 2 2" xfId="16837" xr:uid="{F95496D4-2F7F-4CFA-83C4-677C453CB880}"/>
    <cellStyle name="40% - Accent6 4 5 2 3" xfId="12619" xr:uid="{2F7C23A9-6076-40B8-8135-C5E78065C86B}"/>
    <cellStyle name="40% - Accent6 4 5 3" xfId="6253" xr:uid="{00000000-0005-0000-0000-00006A070000}"/>
    <cellStyle name="40% - Accent6 4 5 3 2" xfId="14692" xr:uid="{D639DE53-C79B-461A-902B-4B883E47576E}"/>
    <cellStyle name="40% - Accent6 4 5 4" xfId="10474" xr:uid="{F245CD51-46D9-4090-A3BA-8EB7BEC7713F}"/>
    <cellStyle name="40% - Accent6 4 6" xfId="2359" xr:uid="{00000000-0005-0000-0000-00006B070000}"/>
    <cellStyle name="40% - Accent6 4 6 2" xfId="6666" xr:uid="{00000000-0005-0000-0000-00006C070000}"/>
    <cellStyle name="40% - Accent6 4 6 2 2" xfId="15105" xr:uid="{57F01E71-5370-404A-993C-32BA99D37C6D}"/>
    <cellStyle name="40% - Accent6 4 6 3" xfId="10887" xr:uid="{2107FD95-F7B0-4D41-8DDE-A503DBB52413}"/>
    <cellStyle name="40% - Accent6 4 7" xfId="4600" xr:uid="{00000000-0005-0000-0000-00006D070000}"/>
    <cellStyle name="40% - Accent6 4 7 2" xfId="13039" xr:uid="{DBB86A5B-EFA0-4AA4-AC6D-87917E304C83}"/>
    <cellStyle name="40% - Accent6 4 8" xfId="8821" xr:uid="{20191396-28D1-4A37-B0B4-77DF89C019C6}"/>
    <cellStyle name="40% - Accent6 5" xfId="658" xr:uid="{00000000-0005-0000-0000-00006E070000}"/>
    <cellStyle name="40% - Accent6 5 2" xfId="2929" xr:uid="{00000000-0005-0000-0000-00006F070000}"/>
    <cellStyle name="40% - Accent6 5 2 2" xfId="7152" xr:uid="{00000000-0005-0000-0000-000070070000}"/>
    <cellStyle name="40% - Accent6 5 2 2 2" xfId="15591" xr:uid="{B3A5CF04-2CCB-4F9D-87AC-5A2408A1304C}"/>
    <cellStyle name="40% - Accent6 5 2 3" xfId="11373" xr:uid="{69188778-4506-4EBC-829B-AAE252A9C480}"/>
    <cellStyle name="40% - Accent6 5 3" xfId="5007" xr:uid="{00000000-0005-0000-0000-000071070000}"/>
    <cellStyle name="40% - Accent6 5 3 2" xfId="13446" xr:uid="{5A0ECD31-3271-4989-B049-6D37EA9888C3}"/>
    <cellStyle name="40% - Accent6 5 4" xfId="9228" xr:uid="{DFE82682-C7AE-453A-BCC3-28E882FE16E0}"/>
    <cellStyle name="40% - Accent6 6" xfId="1111" xr:uid="{00000000-0005-0000-0000-000072070000}"/>
    <cellStyle name="40% - Accent6 6 2" xfId="3342" xr:uid="{00000000-0005-0000-0000-000073070000}"/>
    <cellStyle name="40% - Accent6 6 2 2" xfId="7565" xr:uid="{00000000-0005-0000-0000-000074070000}"/>
    <cellStyle name="40% - Accent6 6 2 2 2" xfId="16004" xr:uid="{778202A2-68F3-47CF-B8FC-F62CDB194446}"/>
    <cellStyle name="40% - Accent6 6 2 3" xfId="11786" xr:uid="{C43E860D-AD3D-44EB-ACD3-ED2B522D5C27}"/>
    <cellStyle name="40% - Accent6 6 3" xfId="5420" xr:uid="{00000000-0005-0000-0000-000075070000}"/>
    <cellStyle name="40% - Accent6 6 3 2" xfId="13859" xr:uid="{701D1BD2-76AC-485F-ADFF-18BBD00B39FB}"/>
    <cellStyle name="40% - Accent6 6 4" xfId="9641" xr:uid="{49E27E51-0219-4078-9C32-6853159A5197}"/>
    <cellStyle name="40% - Accent6 7" xfId="1525" xr:uid="{00000000-0005-0000-0000-000076070000}"/>
    <cellStyle name="40% - Accent6 7 2" xfId="3755" xr:uid="{00000000-0005-0000-0000-000077070000}"/>
    <cellStyle name="40% - Accent6 7 2 2" xfId="7978" xr:uid="{00000000-0005-0000-0000-000078070000}"/>
    <cellStyle name="40% - Accent6 7 2 2 2" xfId="16417" xr:uid="{5FE33FB0-7323-4628-95F3-041CE4015EA7}"/>
    <cellStyle name="40% - Accent6 7 2 3" xfId="12199" xr:uid="{1989BD28-EDF9-4C75-B6DA-2CE0ACE16C76}"/>
    <cellStyle name="40% - Accent6 7 3" xfId="5833" xr:uid="{00000000-0005-0000-0000-000079070000}"/>
    <cellStyle name="40% - Accent6 7 3 2" xfId="14272" xr:uid="{49A5AAD8-F682-4C3D-89EF-9714F17AAAEA}"/>
    <cellStyle name="40% - Accent6 7 4" xfId="10054" xr:uid="{4164BC1A-1741-44BA-AB32-0E65EA21592E}"/>
    <cellStyle name="40% - Accent6 8" xfId="1939" xr:uid="{00000000-0005-0000-0000-00007A070000}"/>
    <cellStyle name="40% - Accent6 8 2" xfId="4168" xr:uid="{00000000-0005-0000-0000-00007B070000}"/>
    <cellStyle name="40% - Accent6 8 2 2" xfId="8391" xr:uid="{00000000-0005-0000-0000-00007C070000}"/>
    <cellStyle name="40% - Accent6 8 2 2 2" xfId="16830" xr:uid="{AB31FC83-DF25-44F7-9DD8-69549011EC13}"/>
    <cellStyle name="40% - Accent6 8 2 3" xfId="12612" xr:uid="{43591F60-3029-4574-BFCE-9AEDA5123F7E}"/>
    <cellStyle name="40% - Accent6 8 3" xfId="6246" xr:uid="{00000000-0005-0000-0000-00007D070000}"/>
    <cellStyle name="40% - Accent6 8 3 2" xfId="14685" xr:uid="{A987F70E-4762-453F-90CB-1EC2A456D2F8}"/>
    <cellStyle name="40% - Accent6 8 4" xfId="10467" xr:uid="{E23A4387-7311-4F57-A241-B0F7395ECCBE}"/>
    <cellStyle name="40% - Accent6 9" xfId="2352" xr:uid="{00000000-0005-0000-0000-00007E070000}"/>
    <cellStyle name="40% - Accent6 9 2" xfId="6659" xr:uid="{00000000-0005-0000-0000-00007F070000}"/>
    <cellStyle name="40% - Accent6 9 2 2" xfId="15098" xr:uid="{1BD6B57B-34D0-41C6-8839-384B8B7AFE48}"/>
    <cellStyle name="40% - Accent6 9 3" xfId="10880" xr:uid="{F7DEFA4B-ECCD-4360-BF23-EEB529A8B745}"/>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0 2 2" xfId="15423" xr:uid="{DCE33114-0465-41D8-9217-9BC6393C2E97}"/>
    <cellStyle name="Comma 4 2 2 2 10 3" xfId="11205" xr:uid="{2FBB97D3-DDD4-4E3A-8B92-3B29D551152A}"/>
    <cellStyle name="Comma 4 2 2 2 11" xfId="4601" xr:uid="{00000000-0005-0000-0000-0000A3070000}"/>
    <cellStyle name="Comma 4 2 2 2 11 2" xfId="13040" xr:uid="{95946F3B-737A-406F-9FA6-6B63BF2DCF06}"/>
    <cellStyle name="Comma 4 2 2 2 12" xfId="8822" xr:uid="{587A2113-15D7-4D07-B094-389ACA05F611}"/>
    <cellStyle name="Comma 4 2 2 2 2" xfId="129" xr:uid="{00000000-0005-0000-0000-0000A4070000}"/>
    <cellStyle name="Comma 4 2 2 2 2 10" xfId="4602" xr:uid="{00000000-0005-0000-0000-0000A5070000}"/>
    <cellStyle name="Comma 4 2 2 2 2 10 2" xfId="13041" xr:uid="{8832A3BB-636C-438F-9F2E-D8C74AB069C3}"/>
    <cellStyle name="Comma 4 2 2 2 2 11" xfId="8823" xr:uid="{4447F37A-8E6F-4D17-A011-5F07856D7BF0}"/>
    <cellStyle name="Comma 4 2 2 2 2 2" xfId="130" xr:uid="{00000000-0005-0000-0000-0000A6070000}"/>
    <cellStyle name="Comma 4 2 2 2 2 2 10" xfId="8824" xr:uid="{CECB4809-F9F3-4A70-9D0E-7AD35B2606B8}"/>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15601" xr:uid="{9FD1B90A-22D9-4F8A-A495-79CA1AFD2FDD}"/>
    <cellStyle name="Comma 4 2 2 2 2 2 2 2 3" xfId="11383" xr:uid="{B683F130-9AB9-4748-A0C4-7A0FCDEB25C7}"/>
    <cellStyle name="Comma 4 2 2 2 2 2 2 3" xfId="5017" xr:uid="{00000000-0005-0000-0000-0000AA070000}"/>
    <cellStyle name="Comma 4 2 2 2 2 2 2 3 2" xfId="13456" xr:uid="{4FC50EE6-F35D-4291-8F3A-9FCADD935707}"/>
    <cellStyle name="Comma 4 2 2 2 2 2 2 4" xfId="9238" xr:uid="{6B8DFD8A-0258-4493-81FD-2759C6E06EC2}"/>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2 2" xfId="16014" xr:uid="{3060E260-3189-4F15-BA72-E0324F8A490C}"/>
    <cellStyle name="Comma 4 2 2 2 2 2 3 2 3" xfId="11796" xr:uid="{AC68F576-D5C2-44D5-87E9-39EC31D12F68}"/>
    <cellStyle name="Comma 4 2 2 2 2 2 3 3" xfId="5430" xr:uid="{00000000-0005-0000-0000-0000AE070000}"/>
    <cellStyle name="Comma 4 2 2 2 2 2 3 3 2" xfId="13869" xr:uid="{416E449F-10A4-403B-B785-A673F4998016}"/>
    <cellStyle name="Comma 4 2 2 2 2 2 3 4" xfId="9651" xr:uid="{3CFD9384-AF47-4EC9-B061-B02DB18BE08A}"/>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2 2 2" xfId="16427" xr:uid="{71034538-54C7-4254-AFAA-FFC46A1D31FE}"/>
    <cellStyle name="Comma 4 2 2 2 2 2 4 2 3" xfId="12209" xr:uid="{D0101A44-2F98-4134-B786-D0A9D9512F45}"/>
    <cellStyle name="Comma 4 2 2 2 2 2 4 3" xfId="5843" xr:uid="{00000000-0005-0000-0000-0000B2070000}"/>
    <cellStyle name="Comma 4 2 2 2 2 2 4 3 2" xfId="14282" xr:uid="{68D12FC7-D794-426A-97EE-345B5137965F}"/>
    <cellStyle name="Comma 4 2 2 2 2 2 4 4" xfId="10064" xr:uid="{152341EC-9BD7-434C-9E0C-8A5D0C902D8B}"/>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2 2 2" xfId="16840" xr:uid="{515FAA8A-974D-4722-A95E-9FA4F2908720}"/>
    <cellStyle name="Comma 4 2 2 2 2 2 5 2 3" xfId="12622" xr:uid="{AF17D997-C549-4AB8-BC3C-B16F8A48610A}"/>
    <cellStyle name="Comma 4 2 2 2 2 2 5 3" xfId="6256" xr:uid="{00000000-0005-0000-0000-0000B6070000}"/>
    <cellStyle name="Comma 4 2 2 2 2 2 5 3 2" xfId="14695" xr:uid="{55CA1CB0-6211-45E5-A701-50D6D9E72A20}"/>
    <cellStyle name="Comma 4 2 2 2 2 2 5 4" xfId="10477" xr:uid="{144250CA-4845-4876-AE77-0952B19E3D22}"/>
    <cellStyle name="Comma 4 2 2 2 2 2 6" xfId="2384" xr:uid="{00000000-0005-0000-0000-0000B7070000}"/>
    <cellStyle name="Comma 4 2 2 2 2 2 6 2" xfId="6669" xr:uid="{00000000-0005-0000-0000-0000B8070000}"/>
    <cellStyle name="Comma 4 2 2 2 2 2 6 2 2" xfId="15108" xr:uid="{810E5AD6-17F8-4871-A3D5-E508598A5DA7}"/>
    <cellStyle name="Comma 4 2 2 2 2 2 6 3" xfId="10890" xr:uid="{019AAC47-7C90-4842-8BE1-4197020066DA}"/>
    <cellStyle name="Comma 4 2 2 2 2 2 7" xfId="2379" xr:uid="{00000000-0005-0000-0000-0000B9070000}"/>
    <cellStyle name="Comma 4 2 2 2 2 2 8" xfId="2762" xr:uid="{00000000-0005-0000-0000-0000BA070000}"/>
    <cellStyle name="Comma 4 2 2 2 2 2 8 2" xfId="6986" xr:uid="{00000000-0005-0000-0000-0000BB070000}"/>
    <cellStyle name="Comma 4 2 2 2 2 2 8 2 2" xfId="15425" xr:uid="{B18F77BE-07A3-4857-A3BF-4A9F8D198E65}"/>
    <cellStyle name="Comma 4 2 2 2 2 2 8 3" xfId="11207" xr:uid="{D3B9BDAC-A0B5-4984-98AE-E1B2D3F26930}"/>
    <cellStyle name="Comma 4 2 2 2 2 2 9" xfId="4603" xr:uid="{00000000-0005-0000-0000-0000BC070000}"/>
    <cellStyle name="Comma 4 2 2 2 2 2 9 2" xfId="13042" xr:uid="{858F8A0A-4E59-490D-B818-51C26F3AC6C7}"/>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15600" xr:uid="{D4DAC8B0-BF97-4406-9288-5F58DD914860}"/>
    <cellStyle name="Comma 4 2 2 2 2 3 2 3" xfId="11382" xr:uid="{5DE04AE2-2FAA-4C17-B1CF-3ED82AEF9D61}"/>
    <cellStyle name="Comma 4 2 2 2 2 3 3" xfId="5016" xr:uid="{00000000-0005-0000-0000-0000C0070000}"/>
    <cellStyle name="Comma 4 2 2 2 2 3 3 2" xfId="13455" xr:uid="{A0C21C7A-A23C-4F76-8D7C-5C6307538533}"/>
    <cellStyle name="Comma 4 2 2 2 2 3 4" xfId="9237" xr:uid="{AAD51073-0FC5-4B60-A82B-90FDF203D210}"/>
    <cellStyle name="Comma 4 2 2 2 2 4" xfId="1120" xr:uid="{00000000-0005-0000-0000-0000C1070000}"/>
    <cellStyle name="Comma 4 2 2 2 2 4 2" xfId="3351" xr:uid="{00000000-0005-0000-0000-0000C2070000}"/>
    <cellStyle name="Comma 4 2 2 2 2 4 2 2" xfId="7574" xr:uid="{00000000-0005-0000-0000-0000C3070000}"/>
    <cellStyle name="Comma 4 2 2 2 2 4 2 2 2" xfId="16013" xr:uid="{1ECF9218-87CB-45A1-9095-6CB9F6D6BD7C}"/>
    <cellStyle name="Comma 4 2 2 2 2 4 2 3" xfId="11795" xr:uid="{A7CFF9FE-87BC-4FA9-846F-C05369CB331A}"/>
    <cellStyle name="Comma 4 2 2 2 2 4 3" xfId="5429" xr:uid="{00000000-0005-0000-0000-0000C4070000}"/>
    <cellStyle name="Comma 4 2 2 2 2 4 3 2" xfId="13868" xr:uid="{2BE13462-0705-4222-ADD6-8E9A6B335138}"/>
    <cellStyle name="Comma 4 2 2 2 2 4 4" xfId="9650" xr:uid="{21DC6A71-C737-493E-906B-ED44BBB04D5A}"/>
    <cellStyle name="Comma 4 2 2 2 2 5" xfId="1534" xr:uid="{00000000-0005-0000-0000-0000C5070000}"/>
    <cellStyle name="Comma 4 2 2 2 2 5 2" xfId="3764" xr:uid="{00000000-0005-0000-0000-0000C6070000}"/>
    <cellStyle name="Comma 4 2 2 2 2 5 2 2" xfId="7987" xr:uid="{00000000-0005-0000-0000-0000C7070000}"/>
    <cellStyle name="Comma 4 2 2 2 2 5 2 2 2" xfId="16426" xr:uid="{F8C27AF5-5357-4360-BF73-723EB6F56F83}"/>
    <cellStyle name="Comma 4 2 2 2 2 5 2 3" xfId="12208" xr:uid="{E307D05A-442B-4193-BD8D-DBC3D249E4E5}"/>
    <cellStyle name="Comma 4 2 2 2 2 5 3" xfId="5842" xr:uid="{00000000-0005-0000-0000-0000C8070000}"/>
    <cellStyle name="Comma 4 2 2 2 2 5 3 2" xfId="14281" xr:uid="{EC9B641B-1DE6-45E2-A816-C33C4376691F}"/>
    <cellStyle name="Comma 4 2 2 2 2 5 4" xfId="10063" xr:uid="{A0DEBC62-EC6C-42D5-9157-A7776A3BA000}"/>
    <cellStyle name="Comma 4 2 2 2 2 6" xfId="1948" xr:uid="{00000000-0005-0000-0000-0000C9070000}"/>
    <cellStyle name="Comma 4 2 2 2 2 6 2" xfId="4177" xr:uid="{00000000-0005-0000-0000-0000CA070000}"/>
    <cellStyle name="Comma 4 2 2 2 2 6 2 2" xfId="8400" xr:uid="{00000000-0005-0000-0000-0000CB070000}"/>
    <cellStyle name="Comma 4 2 2 2 2 6 2 2 2" xfId="16839" xr:uid="{203DEAB7-8F54-4569-987A-90140A9803E4}"/>
    <cellStyle name="Comma 4 2 2 2 2 6 2 3" xfId="12621" xr:uid="{930BB571-895B-4968-9A12-2C6FCF9F5A15}"/>
    <cellStyle name="Comma 4 2 2 2 2 6 3" xfId="6255" xr:uid="{00000000-0005-0000-0000-0000CC070000}"/>
    <cellStyle name="Comma 4 2 2 2 2 6 3 2" xfId="14694" xr:uid="{6FAED881-B68D-4984-93DC-80D9180C0C38}"/>
    <cellStyle name="Comma 4 2 2 2 2 6 4" xfId="10476" xr:uid="{740B3136-FE18-4409-9739-39F26D80CAF3}"/>
    <cellStyle name="Comma 4 2 2 2 2 7" xfId="2383" xr:uid="{00000000-0005-0000-0000-0000CD070000}"/>
    <cellStyle name="Comma 4 2 2 2 2 7 2" xfId="6668" xr:uid="{00000000-0005-0000-0000-0000CE070000}"/>
    <cellStyle name="Comma 4 2 2 2 2 7 2 2" xfId="15107" xr:uid="{99F06753-2D32-4F72-9599-C5E84A3B51DF}"/>
    <cellStyle name="Comma 4 2 2 2 2 7 3" xfId="10889" xr:uid="{29A2CE26-E608-4238-BCBC-10941FC99CAB}"/>
    <cellStyle name="Comma 4 2 2 2 2 8" xfId="2380" xr:uid="{00000000-0005-0000-0000-0000CF070000}"/>
    <cellStyle name="Comma 4 2 2 2 2 9" xfId="2761" xr:uid="{00000000-0005-0000-0000-0000D0070000}"/>
    <cellStyle name="Comma 4 2 2 2 2 9 2" xfId="6985" xr:uid="{00000000-0005-0000-0000-0000D1070000}"/>
    <cellStyle name="Comma 4 2 2 2 2 9 2 2" xfId="15424" xr:uid="{982C51BF-7146-4208-AE86-F2A4AF3FC287}"/>
    <cellStyle name="Comma 4 2 2 2 2 9 3" xfId="11206" xr:uid="{A12CF1EC-803B-4F1D-B175-02EC2F5BFE98}"/>
    <cellStyle name="Comma 4 2 2 2 3" xfId="131" xr:uid="{00000000-0005-0000-0000-0000D2070000}"/>
    <cellStyle name="Comma 4 2 2 2 3 10" xfId="8825" xr:uid="{94E57EF0-153C-4F91-9EC5-2CCD71053720}"/>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15602" xr:uid="{CCED2986-8DB1-4FEF-9FE9-1A616FF50738}"/>
    <cellStyle name="Comma 4 2 2 2 3 2 2 3" xfId="11384" xr:uid="{C02CDFE3-EA8D-4B93-A0D9-FA571998B2B5}"/>
    <cellStyle name="Comma 4 2 2 2 3 2 3" xfId="5018" xr:uid="{00000000-0005-0000-0000-0000D6070000}"/>
    <cellStyle name="Comma 4 2 2 2 3 2 3 2" xfId="13457" xr:uid="{0E98AFEA-5658-41A7-9575-E6CBBB000FB4}"/>
    <cellStyle name="Comma 4 2 2 2 3 2 4" xfId="9239" xr:uid="{DD29A1F7-C25E-4CEE-AEDC-81599558E25B}"/>
    <cellStyle name="Comma 4 2 2 2 3 3" xfId="1122" xr:uid="{00000000-0005-0000-0000-0000D7070000}"/>
    <cellStyle name="Comma 4 2 2 2 3 3 2" xfId="3353" xr:uid="{00000000-0005-0000-0000-0000D8070000}"/>
    <cellStyle name="Comma 4 2 2 2 3 3 2 2" xfId="7576" xr:uid="{00000000-0005-0000-0000-0000D9070000}"/>
    <cellStyle name="Comma 4 2 2 2 3 3 2 2 2" xfId="16015" xr:uid="{2AF5FE35-965A-43BC-9EDC-37C82E5A3261}"/>
    <cellStyle name="Comma 4 2 2 2 3 3 2 3" xfId="11797" xr:uid="{4C9FAF70-8D8D-426F-8974-33E7C11738D7}"/>
    <cellStyle name="Comma 4 2 2 2 3 3 3" xfId="5431" xr:uid="{00000000-0005-0000-0000-0000DA070000}"/>
    <cellStyle name="Comma 4 2 2 2 3 3 3 2" xfId="13870" xr:uid="{37C6918A-103C-44D4-B8A5-B0074B1108C1}"/>
    <cellStyle name="Comma 4 2 2 2 3 3 4" xfId="9652" xr:uid="{EA9D0C8A-6EB7-456E-930C-5B0EAC000837}"/>
    <cellStyle name="Comma 4 2 2 2 3 4" xfId="1536" xr:uid="{00000000-0005-0000-0000-0000DB070000}"/>
    <cellStyle name="Comma 4 2 2 2 3 4 2" xfId="3766" xr:uid="{00000000-0005-0000-0000-0000DC070000}"/>
    <cellStyle name="Comma 4 2 2 2 3 4 2 2" xfId="7989" xr:uid="{00000000-0005-0000-0000-0000DD070000}"/>
    <cellStyle name="Comma 4 2 2 2 3 4 2 2 2" xfId="16428" xr:uid="{0AFFE8A4-3583-4443-B0DD-16D21D246F46}"/>
    <cellStyle name="Comma 4 2 2 2 3 4 2 3" xfId="12210" xr:uid="{6156A07B-218F-41F4-8F92-8BA081AD3161}"/>
    <cellStyle name="Comma 4 2 2 2 3 4 3" xfId="5844" xr:uid="{00000000-0005-0000-0000-0000DE070000}"/>
    <cellStyle name="Comma 4 2 2 2 3 4 3 2" xfId="14283" xr:uid="{F4C441AE-37CE-47E5-A09E-73C77DE85F52}"/>
    <cellStyle name="Comma 4 2 2 2 3 4 4" xfId="10065" xr:uid="{45BB8F71-5C1A-42EF-8F81-CAC9C93C11CF}"/>
    <cellStyle name="Comma 4 2 2 2 3 5" xfId="1950" xr:uid="{00000000-0005-0000-0000-0000DF070000}"/>
    <cellStyle name="Comma 4 2 2 2 3 5 2" xfId="4179" xr:uid="{00000000-0005-0000-0000-0000E0070000}"/>
    <cellStyle name="Comma 4 2 2 2 3 5 2 2" xfId="8402" xr:uid="{00000000-0005-0000-0000-0000E1070000}"/>
    <cellStyle name="Comma 4 2 2 2 3 5 2 2 2" xfId="16841" xr:uid="{0EEF36A4-A40C-4F0C-8A43-6F785337866E}"/>
    <cellStyle name="Comma 4 2 2 2 3 5 2 3" xfId="12623" xr:uid="{DC3B50E7-536A-4C1C-8F01-6FEB3E02274D}"/>
    <cellStyle name="Comma 4 2 2 2 3 5 3" xfId="6257" xr:uid="{00000000-0005-0000-0000-0000E2070000}"/>
    <cellStyle name="Comma 4 2 2 2 3 5 3 2" xfId="14696" xr:uid="{78AAF6F0-60BF-4A27-B480-DF9020947B71}"/>
    <cellStyle name="Comma 4 2 2 2 3 5 4" xfId="10478" xr:uid="{1F412FA2-69E1-4A47-94B5-40C891CCC651}"/>
    <cellStyle name="Comma 4 2 2 2 3 6" xfId="2385" xr:uid="{00000000-0005-0000-0000-0000E3070000}"/>
    <cellStyle name="Comma 4 2 2 2 3 6 2" xfId="6670" xr:uid="{00000000-0005-0000-0000-0000E4070000}"/>
    <cellStyle name="Comma 4 2 2 2 3 6 2 2" xfId="15109" xr:uid="{A09D41E9-F8D5-4B9C-9868-3FBB7C59BDAD}"/>
    <cellStyle name="Comma 4 2 2 2 3 6 3" xfId="10891" xr:uid="{AB19E8C6-E297-41A9-8F46-9DE0468290F8}"/>
    <cellStyle name="Comma 4 2 2 2 3 7" xfId="2378" xr:uid="{00000000-0005-0000-0000-0000E5070000}"/>
    <cellStyle name="Comma 4 2 2 2 3 8" xfId="2763" xr:uid="{00000000-0005-0000-0000-0000E6070000}"/>
    <cellStyle name="Comma 4 2 2 2 3 8 2" xfId="6987" xr:uid="{00000000-0005-0000-0000-0000E7070000}"/>
    <cellStyle name="Comma 4 2 2 2 3 8 2 2" xfId="15426" xr:uid="{37EEDF4F-E709-44BF-940C-5C71246B4EE8}"/>
    <cellStyle name="Comma 4 2 2 2 3 8 3" xfId="11208" xr:uid="{F36969BE-988A-4CB4-80BF-565A31EC199D}"/>
    <cellStyle name="Comma 4 2 2 2 3 9" xfId="4604" xr:uid="{00000000-0005-0000-0000-0000E8070000}"/>
    <cellStyle name="Comma 4 2 2 2 3 9 2" xfId="13043" xr:uid="{189CE4EF-C0FE-4C28-BE71-C8901C9E29E3}"/>
    <cellStyle name="Comma 4 2 2 2 4" xfId="666" xr:uid="{00000000-0005-0000-0000-0000E9070000}"/>
    <cellStyle name="Comma 4 2 2 2 4 2" xfId="2937" xr:uid="{00000000-0005-0000-0000-0000EA070000}"/>
    <cellStyle name="Comma 4 2 2 2 4 2 2" xfId="7160" xr:uid="{00000000-0005-0000-0000-0000EB070000}"/>
    <cellStyle name="Comma 4 2 2 2 4 2 2 2" xfId="15599" xr:uid="{93147A5A-8954-4EC7-AB86-AF1E4B4AA75C}"/>
    <cellStyle name="Comma 4 2 2 2 4 2 3" xfId="11381" xr:uid="{DB2D0DD5-5F57-4CFB-8103-329999478752}"/>
    <cellStyle name="Comma 4 2 2 2 4 3" xfId="5015" xr:uid="{00000000-0005-0000-0000-0000EC070000}"/>
    <cellStyle name="Comma 4 2 2 2 4 3 2" xfId="13454" xr:uid="{10599A09-B69D-4504-9802-3F84A8F4B73D}"/>
    <cellStyle name="Comma 4 2 2 2 4 4" xfId="9236" xr:uid="{9B3D0A38-30F8-4AA6-AE68-CDAF950FFEE9}"/>
    <cellStyle name="Comma 4 2 2 2 5" xfId="1119" xr:uid="{00000000-0005-0000-0000-0000ED070000}"/>
    <cellStyle name="Comma 4 2 2 2 5 2" xfId="3350" xr:uid="{00000000-0005-0000-0000-0000EE070000}"/>
    <cellStyle name="Comma 4 2 2 2 5 2 2" xfId="7573" xr:uid="{00000000-0005-0000-0000-0000EF070000}"/>
    <cellStyle name="Comma 4 2 2 2 5 2 2 2" xfId="16012" xr:uid="{A976F20B-0160-45F8-B2AE-6E12CDBBF14F}"/>
    <cellStyle name="Comma 4 2 2 2 5 2 3" xfId="11794" xr:uid="{54B554B1-66ED-4675-AAD7-03D56793966C}"/>
    <cellStyle name="Comma 4 2 2 2 5 3" xfId="5428" xr:uid="{00000000-0005-0000-0000-0000F0070000}"/>
    <cellStyle name="Comma 4 2 2 2 5 3 2" xfId="13867" xr:uid="{F52F05CD-54B5-4BC0-9630-04FF43CE7F05}"/>
    <cellStyle name="Comma 4 2 2 2 5 4" xfId="9649" xr:uid="{6D233B93-68DE-479A-8FCB-342AFE6C1B20}"/>
    <cellStyle name="Comma 4 2 2 2 6" xfId="1533" xr:uid="{00000000-0005-0000-0000-0000F1070000}"/>
    <cellStyle name="Comma 4 2 2 2 6 2" xfId="3763" xr:uid="{00000000-0005-0000-0000-0000F2070000}"/>
    <cellStyle name="Comma 4 2 2 2 6 2 2" xfId="7986" xr:uid="{00000000-0005-0000-0000-0000F3070000}"/>
    <cellStyle name="Comma 4 2 2 2 6 2 2 2" xfId="16425" xr:uid="{30F26E22-30B4-4555-B831-DF901E9BC6D5}"/>
    <cellStyle name="Comma 4 2 2 2 6 2 3" xfId="12207" xr:uid="{353004E9-2323-4344-9028-2DCEAF070818}"/>
    <cellStyle name="Comma 4 2 2 2 6 3" xfId="5841" xr:uid="{00000000-0005-0000-0000-0000F4070000}"/>
    <cellStyle name="Comma 4 2 2 2 6 3 2" xfId="14280" xr:uid="{C168BBBA-3536-442A-9D25-A43574EE80AC}"/>
    <cellStyle name="Comma 4 2 2 2 6 4" xfId="10062" xr:uid="{E909A319-7082-4961-A543-9DEFCE11C1CD}"/>
    <cellStyle name="Comma 4 2 2 2 7" xfId="1947" xr:uid="{00000000-0005-0000-0000-0000F5070000}"/>
    <cellStyle name="Comma 4 2 2 2 7 2" xfId="4176" xr:uid="{00000000-0005-0000-0000-0000F6070000}"/>
    <cellStyle name="Comma 4 2 2 2 7 2 2" xfId="8399" xr:uid="{00000000-0005-0000-0000-0000F7070000}"/>
    <cellStyle name="Comma 4 2 2 2 7 2 2 2" xfId="16838" xr:uid="{01080AC9-49B2-4CAC-9441-742585E338F5}"/>
    <cellStyle name="Comma 4 2 2 2 7 2 3" xfId="12620" xr:uid="{3C03449B-799A-4823-B4D5-31E6BA7FEA6E}"/>
    <cellStyle name="Comma 4 2 2 2 7 3" xfId="6254" xr:uid="{00000000-0005-0000-0000-0000F8070000}"/>
    <cellStyle name="Comma 4 2 2 2 7 3 2" xfId="14693" xr:uid="{DF16D898-D4D2-4F23-ADB4-F004F4EDEDE3}"/>
    <cellStyle name="Comma 4 2 2 2 7 4" xfId="10475" xr:uid="{B6146D36-9460-4005-8E75-D8D7248D14D6}"/>
    <cellStyle name="Comma 4 2 2 2 8" xfId="2382" xr:uid="{00000000-0005-0000-0000-0000F9070000}"/>
    <cellStyle name="Comma 4 2 2 2 8 2" xfId="6667" xr:uid="{00000000-0005-0000-0000-0000FA070000}"/>
    <cellStyle name="Comma 4 2 2 2 8 2 2" xfId="15106" xr:uid="{3DF990D8-EC8E-4AB3-9D5E-09923178FF13}"/>
    <cellStyle name="Comma 4 2 2 2 8 3" xfId="10888" xr:uid="{DE1B7F97-EED0-470C-8E30-B43261FC998B}"/>
    <cellStyle name="Comma 4 2 2 2 9" xfId="2381" xr:uid="{00000000-0005-0000-0000-0000FB070000}"/>
    <cellStyle name="Comma 4 2 2 3" xfId="132" xr:uid="{00000000-0005-0000-0000-0000FC070000}"/>
    <cellStyle name="Comma 4 2 2 3 10" xfId="4605" xr:uid="{00000000-0005-0000-0000-0000FD070000}"/>
    <cellStyle name="Comma 4 2 2 3 10 2" xfId="13044" xr:uid="{AADDAB50-919B-476D-90C1-D9145712861A}"/>
    <cellStyle name="Comma 4 2 2 3 11" xfId="8826" xr:uid="{5D133296-25BA-4471-AF77-7B44E8856392}"/>
    <cellStyle name="Comma 4 2 2 3 2" xfId="133" xr:uid="{00000000-0005-0000-0000-0000FE070000}"/>
    <cellStyle name="Comma 4 2 2 3 2 10" xfId="8827" xr:uid="{BA5D9B4E-4451-4DE4-89E3-B36740DDC3C2}"/>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15604" xr:uid="{FD5E191B-1D15-4357-8641-26468788441A}"/>
    <cellStyle name="Comma 4 2 2 3 2 2 2 3" xfId="11386" xr:uid="{F49AC17C-29E2-4B32-B7D2-0604611978E6}"/>
    <cellStyle name="Comma 4 2 2 3 2 2 3" xfId="5020" xr:uid="{00000000-0005-0000-0000-000002080000}"/>
    <cellStyle name="Comma 4 2 2 3 2 2 3 2" xfId="13459" xr:uid="{A78ADEC2-D18A-4EA4-87F2-4F890AD1F814}"/>
    <cellStyle name="Comma 4 2 2 3 2 2 4" xfId="9241" xr:uid="{3F78E48F-7CD5-4F95-AA2A-129594766650}"/>
    <cellStyle name="Comma 4 2 2 3 2 3" xfId="1124" xr:uid="{00000000-0005-0000-0000-000003080000}"/>
    <cellStyle name="Comma 4 2 2 3 2 3 2" xfId="3355" xr:uid="{00000000-0005-0000-0000-000004080000}"/>
    <cellStyle name="Comma 4 2 2 3 2 3 2 2" xfId="7578" xr:uid="{00000000-0005-0000-0000-000005080000}"/>
    <cellStyle name="Comma 4 2 2 3 2 3 2 2 2" xfId="16017" xr:uid="{9DB14461-B175-4799-BCA0-99913F678B9A}"/>
    <cellStyle name="Comma 4 2 2 3 2 3 2 3" xfId="11799" xr:uid="{E92B3198-2375-46FA-92A1-6FDC578B51D3}"/>
    <cellStyle name="Comma 4 2 2 3 2 3 3" xfId="5433" xr:uid="{00000000-0005-0000-0000-000006080000}"/>
    <cellStyle name="Comma 4 2 2 3 2 3 3 2" xfId="13872" xr:uid="{92B9CE62-BB3C-48BF-A660-1CDF7291BD37}"/>
    <cellStyle name="Comma 4 2 2 3 2 3 4" xfId="9654" xr:uid="{844F9805-617D-4681-B792-403D81BCDC8F}"/>
    <cellStyle name="Comma 4 2 2 3 2 4" xfId="1538" xr:uid="{00000000-0005-0000-0000-000007080000}"/>
    <cellStyle name="Comma 4 2 2 3 2 4 2" xfId="3768" xr:uid="{00000000-0005-0000-0000-000008080000}"/>
    <cellStyle name="Comma 4 2 2 3 2 4 2 2" xfId="7991" xr:uid="{00000000-0005-0000-0000-000009080000}"/>
    <cellStyle name="Comma 4 2 2 3 2 4 2 2 2" xfId="16430" xr:uid="{A1AE4A88-1B1E-466C-9B6C-2D1C437BD7D9}"/>
    <cellStyle name="Comma 4 2 2 3 2 4 2 3" xfId="12212" xr:uid="{B28F1A18-F6A8-4847-9BFE-75195EEFA2E2}"/>
    <cellStyle name="Comma 4 2 2 3 2 4 3" xfId="5846" xr:uid="{00000000-0005-0000-0000-00000A080000}"/>
    <cellStyle name="Comma 4 2 2 3 2 4 3 2" xfId="14285" xr:uid="{E4AAD130-6E0B-4B1F-8455-ACA1A60CC230}"/>
    <cellStyle name="Comma 4 2 2 3 2 4 4" xfId="10067" xr:uid="{F47E0D56-8BC4-4EFC-8A57-8DB765D9AD1E}"/>
    <cellStyle name="Comma 4 2 2 3 2 5" xfId="1952" xr:uid="{00000000-0005-0000-0000-00000B080000}"/>
    <cellStyle name="Comma 4 2 2 3 2 5 2" xfId="4181" xr:uid="{00000000-0005-0000-0000-00000C080000}"/>
    <cellStyle name="Comma 4 2 2 3 2 5 2 2" xfId="8404" xr:uid="{00000000-0005-0000-0000-00000D080000}"/>
    <cellStyle name="Comma 4 2 2 3 2 5 2 2 2" xfId="16843" xr:uid="{58CFD1AF-B33D-4542-BE56-DC1CCDB45F28}"/>
    <cellStyle name="Comma 4 2 2 3 2 5 2 3" xfId="12625" xr:uid="{E4A9249F-5BEE-4E43-83A0-8B4D0BAFD34E}"/>
    <cellStyle name="Comma 4 2 2 3 2 5 3" xfId="6259" xr:uid="{00000000-0005-0000-0000-00000E080000}"/>
    <cellStyle name="Comma 4 2 2 3 2 5 3 2" xfId="14698" xr:uid="{00989648-2808-4C14-8CAD-37891D2A343A}"/>
    <cellStyle name="Comma 4 2 2 3 2 5 4" xfId="10480" xr:uid="{E5FCDA4E-9A03-489B-8E27-7CA3265BEBD0}"/>
    <cellStyle name="Comma 4 2 2 3 2 6" xfId="2387" xr:uid="{00000000-0005-0000-0000-00000F080000}"/>
    <cellStyle name="Comma 4 2 2 3 2 6 2" xfId="6672" xr:uid="{00000000-0005-0000-0000-000010080000}"/>
    <cellStyle name="Comma 4 2 2 3 2 6 2 2" xfId="15111" xr:uid="{AC9A40A1-C0A9-4ECC-8C46-C503A511D81F}"/>
    <cellStyle name="Comma 4 2 2 3 2 6 3" xfId="10893" xr:uid="{3793D763-36D0-42BC-B469-57E0D765ED14}"/>
    <cellStyle name="Comma 4 2 2 3 2 7" xfId="2376" xr:uid="{00000000-0005-0000-0000-000011080000}"/>
    <cellStyle name="Comma 4 2 2 3 2 8" xfId="2765" xr:uid="{00000000-0005-0000-0000-000012080000}"/>
    <cellStyle name="Comma 4 2 2 3 2 8 2" xfId="6989" xr:uid="{00000000-0005-0000-0000-000013080000}"/>
    <cellStyle name="Comma 4 2 2 3 2 8 2 2" xfId="15428" xr:uid="{EB802CCB-D1E8-406F-83C6-423EECD0704E}"/>
    <cellStyle name="Comma 4 2 2 3 2 8 3" xfId="11210" xr:uid="{5D347963-1D66-4CB8-AC27-9E07BF2C16B6}"/>
    <cellStyle name="Comma 4 2 2 3 2 9" xfId="4606" xr:uid="{00000000-0005-0000-0000-000014080000}"/>
    <cellStyle name="Comma 4 2 2 3 2 9 2" xfId="13045" xr:uid="{73D152A4-888A-4970-9F46-A711300698C0}"/>
    <cellStyle name="Comma 4 2 2 3 3" xfId="670" xr:uid="{00000000-0005-0000-0000-000015080000}"/>
    <cellStyle name="Comma 4 2 2 3 3 2" xfId="2941" xr:uid="{00000000-0005-0000-0000-000016080000}"/>
    <cellStyle name="Comma 4 2 2 3 3 2 2" xfId="7164" xr:uid="{00000000-0005-0000-0000-000017080000}"/>
    <cellStyle name="Comma 4 2 2 3 3 2 2 2" xfId="15603" xr:uid="{917D3156-737C-4F29-ACAE-1A2CAB6A0977}"/>
    <cellStyle name="Comma 4 2 2 3 3 2 3" xfId="11385" xr:uid="{0BA7D1AC-1317-4FDD-B2FE-A00E89DCA43E}"/>
    <cellStyle name="Comma 4 2 2 3 3 3" xfId="5019" xr:uid="{00000000-0005-0000-0000-000018080000}"/>
    <cellStyle name="Comma 4 2 2 3 3 3 2" xfId="13458" xr:uid="{110D0B52-B1E1-4E1D-A728-9CBE1CB07B5C}"/>
    <cellStyle name="Comma 4 2 2 3 3 4" xfId="9240" xr:uid="{6BE79429-8DD6-4451-8145-ABB33F30F614}"/>
    <cellStyle name="Comma 4 2 2 3 4" xfId="1123" xr:uid="{00000000-0005-0000-0000-000019080000}"/>
    <cellStyle name="Comma 4 2 2 3 4 2" xfId="3354" xr:uid="{00000000-0005-0000-0000-00001A080000}"/>
    <cellStyle name="Comma 4 2 2 3 4 2 2" xfId="7577" xr:uid="{00000000-0005-0000-0000-00001B080000}"/>
    <cellStyle name="Comma 4 2 2 3 4 2 2 2" xfId="16016" xr:uid="{C6C2CA75-A0C5-4AEF-A605-D5AAD650AB02}"/>
    <cellStyle name="Comma 4 2 2 3 4 2 3" xfId="11798" xr:uid="{52D11DB0-65BD-4882-981F-FF8FCE4F3CFA}"/>
    <cellStyle name="Comma 4 2 2 3 4 3" xfId="5432" xr:uid="{00000000-0005-0000-0000-00001C080000}"/>
    <cellStyle name="Comma 4 2 2 3 4 3 2" xfId="13871" xr:uid="{A9546960-44D0-47AB-8BE7-C4976E7E3649}"/>
    <cellStyle name="Comma 4 2 2 3 4 4" xfId="9653" xr:uid="{20712591-331B-4525-ACD5-C3606CC33BB8}"/>
    <cellStyle name="Comma 4 2 2 3 5" xfId="1537" xr:uid="{00000000-0005-0000-0000-00001D080000}"/>
    <cellStyle name="Comma 4 2 2 3 5 2" xfId="3767" xr:uid="{00000000-0005-0000-0000-00001E080000}"/>
    <cellStyle name="Comma 4 2 2 3 5 2 2" xfId="7990" xr:uid="{00000000-0005-0000-0000-00001F080000}"/>
    <cellStyle name="Comma 4 2 2 3 5 2 2 2" xfId="16429" xr:uid="{BADCC6FB-5714-4F29-82EB-1CBA84BB4488}"/>
    <cellStyle name="Comma 4 2 2 3 5 2 3" xfId="12211" xr:uid="{E106B38D-D656-495E-88F4-4483DF6B276B}"/>
    <cellStyle name="Comma 4 2 2 3 5 3" xfId="5845" xr:uid="{00000000-0005-0000-0000-000020080000}"/>
    <cellStyle name="Comma 4 2 2 3 5 3 2" xfId="14284" xr:uid="{5CE38EB9-CC0D-4951-B90B-332EA6940F51}"/>
    <cellStyle name="Comma 4 2 2 3 5 4" xfId="10066" xr:uid="{50474E39-C8C3-4239-8171-EFEDC56C6727}"/>
    <cellStyle name="Comma 4 2 2 3 6" xfId="1951" xr:uid="{00000000-0005-0000-0000-000021080000}"/>
    <cellStyle name="Comma 4 2 2 3 6 2" xfId="4180" xr:uid="{00000000-0005-0000-0000-000022080000}"/>
    <cellStyle name="Comma 4 2 2 3 6 2 2" xfId="8403" xr:uid="{00000000-0005-0000-0000-000023080000}"/>
    <cellStyle name="Comma 4 2 2 3 6 2 2 2" xfId="16842" xr:uid="{8180A371-71B6-4577-AF69-535E96D79E71}"/>
    <cellStyle name="Comma 4 2 2 3 6 2 3" xfId="12624" xr:uid="{4A8B57D4-060F-4198-BC79-8E744AF960BF}"/>
    <cellStyle name="Comma 4 2 2 3 6 3" xfId="6258" xr:uid="{00000000-0005-0000-0000-000024080000}"/>
    <cellStyle name="Comma 4 2 2 3 6 3 2" xfId="14697" xr:uid="{0E9C1245-FF81-4367-B45E-9364110E5EC0}"/>
    <cellStyle name="Comma 4 2 2 3 6 4" xfId="10479" xr:uid="{B0D34A61-61BC-4258-96C4-A16D8285A151}"/>
    <cellStyle name="Comma 4 2 2 3 7" xfId="2386" xr:uid="{00000000-0005-0000-0000-000025080000}"/>
    <cellStyle name="Comma 4 2 2 3 7 2" xfId="6671" xr:uid="{00000000-0005-0000-0000-000026080000}"/>
    <cellStyle name="Comma 4 2 2 3 7 2 2" xfId="15110" xr:uid="{3FE77DBC-C2B6-4A83-BB72-6508EB8E482B}"/>
    <cellStyle name="Comma 4 2 2 3 7 3" xfId="10892" xr:uid="{4B88DF9D-E075-4073-B32F-BEC738B080A5}"/>
    <cellStyle name="Comma 4 2 2 3 8" xfId="2377" xr:uid="{00000000-0005-0000-0000-000027080000}"/>
    <cellStyle name="Comma 4 2 2 3 9" xfId="2764" xr:uid="{00000000-0005-0000-0000-000028080000}"/>
    <cellStyle name="Comma 4 2 2 3 9 2" xfId="6988" xr:uid="{00000000-0005-0000-0000-000029080000}"/>
    <cellStyle name="Comma 4 2 2 3 9 2 2" xfId="15427" xr:uid="{7F069FE2-15FF-49CD-AD69-EB22AB616E70}"/>
    <cellStyle name="Comma 4 2 2 3 9 3" xfId="11209" xr:uid="{9DA1F6F5-1B36-4579-9CAA-98A2850956C1}"/>
    <cellStyle name="Comma 4 2 2 4" xfId="134" xr:uid="{00000000-0005-0000-0000-00002A080000}"/>
    <cellStyle name="Comma 4 2 2 4 10" xfId="8828" xr:uid="{8DD21C38-EF5B-40AB-95E2-0487C0BE4FDC}"/>
    <cellStyle name="Comma 4 2 2 4 2" xfId="672" xr:uid="{00000000-0005-0000-0000-00002B080000}"/>
    <cellStyle name="Comma 4 2 2 4 2 2" xfId="2943" xr:uid="{00000000-0005-0000-0000-00002C080000}"/>
    <cellStyle name="Comma 4 2 2 4 2 2 2" xfId="7166" xr:uid="{00000000-0005-0000-0000-00002D080000}"/>
    <cellStyle name="Comma 4 2 2 4 2 2 2 2" xfId="15605" xr:uid="{5495F803-7D37-454E-9527-6ED5B58C5C8C}"/>
    <cellStyle name="Comma 4 2 2 4 2 2 3" xfId="11387" xr:uid="{F2A20D57-8068-4D00-9BD0-69658BD8278B}"/>
    <cellStyle name="Comma 4 2 2 4 2 3" xfId="5021" xr:uid="{00000000-0005-0000-0000-00002E080000}"/>
    <cellStyle name="Comma 4 2 2 4 2 3 2" xfId="13460" xr:uid="{53AF36F6-C632-459D-AA4B-BB480B4B38AC}"/>
    <cellStyle name="Comma 4 2 2 4 2 4" xfId="9242" xr:uid="{60D0F753-1BAC-4EBA-A5F0-24CF5576138D}"/>
    <cellStyle name="Comma 4 2 2 4 3" xfId="1125" xr:uid="{00000000-0005-0000-0000-00002F080000}"/>
    <cellStyle name="Comma 4 2 2 4 3 2" xfId="3356" xr:uid="{00000000-0005-0000-0000-000030080000}"/>
    <cellStyle name="Comma 4 2 2 4 3 2 2" xfId="7579" xr:uid="{00000000-0005-0000-0000-000031080000}"/>
    <cellStyle name="Comma 4 2 2 4 3 2 2 2" xfId="16018" xr:uid="{00C27AFA-BC04-46B5-A8AE-BC2AF96F3F9A}"/>
    <cellStyle name="Comma 4 2 2 4 3 2 3" xfId="11800" xr:uid="{D3999CB7-CB18-4989-B86E-6620EF7011C0}"/>
    <cellStyle name="Comma 4 2 2 4 3 3" xfId="5434" xr:uid="{00000000-0005-0000-0000-000032080000}"/>
    <cellStyle name="Comma 4 2 2 4 3 3 2" xfId="13873" xr:uid="{B667ABCC-1AAB-4741-B396-8F8750BB8BA8}"/>
    <cellStyle name="Comma 4 2 2 4 3 4" xfId="9655" xr:uid="{A2B464C4-4679-481B-A873-86AC87108D0E}"/>
    <cellStyle name="Comma 4 2 2 4 4" xfId="1539" xr:uid="{00000000-0005-0000-0000-000033080000}"/>
    <cellStyle name="Comma 4 2 2 4 4 2" xfId="3769" xr:uid="{00000000-0005-0000-0000-000034080000}"/>
    <cellStyle name="Comma 4 2 2 4 4 2 2" xfId="7992" xr:uid="{00000000-0005-0000-0000-000035080000}"/>
    <cellStyle name="Comma 4 2 2 4 4 2 2 2" xfId="16431" xr:uid="{15C3898A-E7C4-4A97-938B-D62B821F08D8}"/>
    <cellStyle name="Comma 4 2 2 4 4 2 3" xfId="12213" xr:uid="{D18B970E-A69F-4D61-ADE6-D40E5541E688}"/>
    <cellStyle name="Comma 4 2 2 4 4 3" xfId="5847" xr:uid="{00000000-0005-0000-0000-000036080000}"/>
    <cellStyle name="Comma 4 2 2 4 4 3 2" xfId="14286" xr:uid="{6721675D-49D9-41BF-A41C-8FE9DA6203DF}"/>
    <cellStyle name="Comma 4 2 2 4 4 4" xfId="10068" xr:uid="{1807BDC9-E6AB-4C7B-8FBF-8AC54157935D}"/>
    <cellStyle name="Comma 4 2 2 4 5" xfId="1953" xr:uid="{00000000-0005-0000-0000-000037080000}"/>
    <cellStyle name="Comma 4 2 2 4 5 2" xfId="4182" xr:uid="{00000000-0005-0000-0000-000038080000}"/>
    <cellStyle name="Comma 4 2 2 4 5 2 2" xfId="8405" xr:uid="{00000000-0005-0000-0000-000039080000}"/>
    <cellStyle name="Comma 4 2 2 4 5 2 2 2" xfId="16844" xr:uid="{3207BC39-8E2B-4BB9-8E08-20D516B06370}"/>
    <cellStyle name="Comma 4 2 2 4 5 2 3" xfId="12626" xr:uid="{466461E9-1F51-449D-B374-C844F45F2649}"/>
    <cellStyle name="Comma 4 2 2 4 5 3" xfId="6260" xr:uid="{00000000-0005-0000-0000-00003A080000}"/>
    <cellStyle name="Comma 4 2 2 4 5 3 2" xfId="14699" xr:uid="{6889CB8C-33F7-4627-A476-216FFE1DF73B}"/>
    <cellStyle name="Comma 4 2 2 4 5 4" xfId="10481" xr:uid="{A445E7AC-CBB4-446B-879E-1AFE5AB38F8D}"/>
    <cellStyle name="Comma 4 2 2 4 6" xfId="2388" xr:uid="{00000000-0005-0000-0000-00003B080000}"/>
    <cellStyle name="Comma 4 2 2 4 6 2" xfId="6673" xr:uid="{00000000-0005-0000-0000-00003C080000}"/>
    <cellStyle name="Comma 4 2 2 4 6 2 2" xfId="15112" xr:uid="{4AC9413A-7857-4690-82DB-39ED1E28D46C}"/>
    <cellStyle name="Comma 4 2 2 4 6 3" xfId="10894" xr:uid="{2903CB8A-C95A-435D-8FE9-C3644CCEB871}"/>
    <cellStyle name="Comma 4 2 2 4 7" xfId="2375" xr:uid="{00000000-0005-0000-0000-00003D080000}"/>
    <cellStyle name="Comma 4 2 2 4 8" xfId="2766" xr:uid="{00000000-0005-0000-0000-00003E080000}"/>
    <cellStyle name="Comma 4 2 2 4 8 2" xfId="6990" xr:uid="{00000000-0005-0000-0000-00003F080000}"/>
    <cellStyle name="Comma 4 2 2 4 8 2 2" xfId="15429" xr:uid="{4290FCBC-6D50-4405-9869-997D1BEE6BA4}"/>
    <cellStyle name="Comma 4 2 2 4 8 3" xfId="11211" xr:uid="{430B41F2-2995-4C92-A584-782F201E3219}"/>
    <cellStyle name="Comma 4 2 2 4 9" xfId="4607" xr:uid="{00000000-0005-0000-0000-000040080000}"/>
    <cellStyle name="Comma 4 2 2 4 9 2" xfId="13046" xr:uid="{655058F7-EC06-4502-8E7C-F7715E425233}"/>
    <cellStyle name="Comma 4 2 2 5" xfId="135" xr:uid="{00000000-0005-0000-0000-000041080000}"/>
    <cellStyle name="Comma 4 2 2 5 10" xfId="8829" xr:uid="{891AC659-9013-489A-B751-B7AAE8468BCA}"/>
    <cellStyle name="Comma 4 2 2 5 2" xfId="673" xr:uid="{00000000-0005-0000-0000-000042080000}"/>
    <cellStyle name="Comma 4 2 2 5 2 2" xfId="2944" xr:uid="{00000000-0005-0000-0000-000043080000}"/>
    <cellStyle name="Comma 4 2 2 5 2 2 2" xfId="7167" xr:uid="{00000000-0005-0000-0000-000044080000}"/>
    <cellStyle name="Comma 4 2 2 5 2 2 2 2" xfId="15606" xr:uid="{DF7D7750-E3D2-4189-9B1E-C027803CFE64}"/>
    <cellStyle name="Comma 4 2 2 5 2 2 3" xfId="11388" xr:uid="{94F9BA55-6B9F-4B2E-A21A-27752DA4805B}"/>
    <cellStyle name="Comma 4 2 2 5 2 3" xfId="5022" xr:uid="{00000000-0005-0000-0000-000045080000}"/>
    <cellStyle name="Comma 4 2 2 5 2 3 2" xfId="13461" xr:uid="{D6313712-A2EB-4932-9652-802F5B66EC67}"/>
    <cellStyle name="Comma 4 2 2 5 2 4" xfId="9243" xr:uid="{724FB4BD-C63B-4BB7-9578-FBD3E5BA6064}"/>
    <cellStyle name="Comma 4 2 2 5 3" xfId="1126" xr:uid="{00000000-0005-0000-0000-000046080000}"/>
    <cellStyle name="Comma 4 2 2 5 3 2" xfId="3357" xr:uid="{00000000-0005-0000-0000-000047080000}"/>
    <cellStyle name="Comma 4 2 2 5 3 2 2" xfId="7580" xr:uid="{00000000-0005-0000-0000-000048080000}"/>
    <cellStyle name="Comma 4 2 2 5 3 2 2 2" xfId="16019" xr:uid="{1179C88A-CB24-4536-93D0-90E2B08B450B}"/>
    <cellStyle name="Comma 4 2 2 5 3 2 3" xfId="11801" xr:uid="{275B43AC-4A0A-4D7F-B2B2-DF3B21932DF5}"/>
    <cellStyle name="Comma 4 2 2 5 3 3" xfId="5435" xr:uid="{00000000-0005-0000-0000-000049080000}"/>
    <cellStyle name="Comma 4 2 2 5 3 3 2" xfId="13874" xr:uid="{B37D547D-AAAF-4F10-8CEE-8424AA928F44}"/>
    <cellStyle name="Comma 4 2 2 5 3 4" xfId="9656" xr:uid="{0E1D261B-3F48-4EB8-B45F-DF7F78102198}"/>
    <cellStyle name="Comma 4 2 2 5 4" xfId="1540" xr:uid="{00000000-0005-0000-0000-00004A080000}"/>
    <cellStyle name="Comma 4 2 2 5 4 2" xfId="3770" xr:uid="{00000000-0005-0000-0000-00004B080000}"/>
    <cellStyle name="Comma 4 2 2 5 4 2 2" xfId="7993" xr:uid="{00000000-0005-0000-0000-00004C080000}"/>
    <cellStyle name="Comma 4 2 2 5 4 2 2 2" xfId="16432" xr:uid="{2CD5B3E9-42E4-4F11-9374-7F1EA934FE60}"/>
    <cellStyle name="Comma 4 2 2 5 4 2 3" xfId="12214" xr:uid="{289F5D3E-347C-4C83-B78A-EC0486608367}"/>
    <cellStyle name="Comma 4 2 2 5 4 3" xfId="5848" xr:uid="{00000000-0005-0000-0000-00004D080000}"/>
    <cellStyle name="Comma 4 2 2 5 4 3 2" xfId="14287" xr:uid="{116546C3-04CC-4EBC-AFC9-BF86519DA932}"/>
    <cellStyle name="Comma 4 2 2 5 4 4" xfId="10069" xr:uid="{B7A8CE68-93A0-4CCC-9EBF-764FF6C8B506}"/>
    <cellStyle name="Comma 4 2 2 5 5" xfId="1954" xr:uid="{00000000-0005-0000-0000-00004E080000}"/>
    <cellStyle name="Comma 4 2 2 5 5 2" xfId="4183" xr:uid="{00000000-0005-0000-0000-00004F080000}"/>
    <cellStyle name="Comma 4 2 2 5 5 2 2" xfId="8406" xr:uid="{00000000-0005-0000-0000-000050080000}"/>
    <cellStyle name="Comma 4 2 2 5 5 2 2 2" xfId="16845" xr:uid="{7B2F078E-4D43-49E8-98EC-21D009249507}"/>
    <cellStyle name="Comma 4 2 2 5 5 2 3" xfId="12627" xr:uid="{172FD76F-11E8-4DF4-A81A-3D256B73CE6A}"/>
    <cellStyle name="Comma 4 2 2 5 5 3" xfId="6261" xr:uid="{00000000-0005-0000-0000-000051080000}"/>
    <cellStyle name="Comma 4 2 2 5 5 3 2" xfId="14700" xr:uid="{FACAE02A-C354-4BAA-8306-28C87C29B43C}"/>
    <cellStyle name="Comma 4 2 2 5 5 4" xfId="10482" xr:uid="{9FADE0A0-4AC9-42FE-819E-B0E46AEAA100}"/>
    <cellStyle name="Comma 4 2 2 5 6" xfId="2389" xr:uid="{00000000-0005-0000-0000-000052080000}"/>
    <cellStyle name="Comma 4 2 2 5 6 2" xfId="6674" xr:uid="{00000000-0005-0000-0000-000053080000}"/>
    <cellStyle name="Comma 4 2 2 5 6 2 2" xfId="15113" xr:uid="{9110713D-ABE9-4D24-8688-CC6E6BAE1562}"/>
    <cellStyle name="Comma 4 2 2 5 6 3" xfId="10895" xr:uid="{1DBB3417-64EA-4DC3-8F1D-80D9702CE982}"/>
    <cellStyle name="Comma 4 2 2 5 7" xfId="2374" xr:uid="{00000000-0005-0000-0000-000054080000}"/>
    <cellStyle name="Comma 4 2 2 5 8" xfId="2767" xr:uid="{00000000-0005-0000-0000-000055080000}"/>
    <cellStyle name="Comma 4 2 2 5 8 2" xfId="6991" xr:uid="{00000000-0005-0000-0000-000056080000}"/>
    <cellStyle name="Comma 4 2 2 5 8 2 2" xfId="15430" xr:uid="{085A47B8-3182-40D4-A30F-2D83DDFE97FD}"/>
    <cellStyle name="Comma 4 2 2 5 8 3" xfId="11212" xr:uid="{8CFFD735-02E5-43F4-96BF-CDDC8D79F960}"/>
    <cellStyle name="Comma 4 2 2 5 9" xfId="4608" xr:uid="{00000000-0005-0000-0000-000057080000}"/>
    <cellStyle name="Comma 4 2 2 5 9 2" xfId="13047" xr:uid="{EDD1707F-04B6-473B-8EA7-525C77EEC2F2}"/>
    <cellStyle name="Comma 4 2 3" xfId="136" xr:uid="{00000000-0005-0000-0000-000058080000}"/>
    <cellStyle name="Comma 4 2 3 10" xfId="2768" xr:uid="{00000000-0005-0000-0000-000059080000}"/>
    <cellStyle name="Comma 4 2 3 10 2" xfId="6992" xr:uid="{00000000-0005-0000-0000-00005A080000}"/>
    <cellStyle name="Comma 4 2 3 10 2 2" xfId="15431" xr:uid="{61C76A95-CA20-4342-A86B-78D05CA6A298}"/>
    <cellStyle name="Comma 4 2 3 10 3" xfId="11213" xr:uid="{9A4E44B4-2FD7-4330-B8C4-23A62B82C539}"/>
    <cellStyle name="Comma 4 2 3 11" xfId="4609" xr:uid="{00000000-0005-0000-0000-00005B080000}"/>
    <cellStyle name="Comma 4 2 3 11 2" xfId="13048" xr:uid="{6ECFE276-EB1D-4369-A20E-00026C540639}"/>
    <cellStyle name="Comma 4 2 3 12" xfId="8830" xr:uid="{3CD8A2B8-59AB-4F9C-9762-4415E58B4DD1}"/>
    <cellStyle name="Comma 4 2 3 2" xfId="137" xr:uid="{00000000-0005-0000-0000-00005C080000}"/>
    <cellStyle name="Comma 4 2 3 2 10" xfId="4610" xr:uid="{00000000-0005-0000-0000-00005D080000}"/>
    <cellStyle name="Comma 4 2 3 2 10 2" xfId="13049" xr:uid="{9AB64754-365E-4EED-A4AA-3D3DB36ACF38}"/>
    <cellStyle name="Comma 4 2 3 2 11" xfId="8831" xr:uid="{777C9264-9D6A-4415-AB94-5109DC81DF72}"/>
    <cellStyle name="Comma 4 2 3 2 2" xfId="138" xr:uid="{00000000-0005-0000-0000-00005E080000}"/>
    <cellStyle name="Comma 4 2 3 2 2 10" xfId="8832" xr:uid="{CCFADE90-C817-4D63-8A19-34EB9127A462}"/>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15609" xr:uid="{FC728E98-06ED-40A5-94EE-3505B135FEE2}"/>
    <cellStyle name="Comma 4 2 3 2 2 2 2 3" xfId="11391" xr:uid="{81D7D3D3-E3F9-41C7-82B7-8068C0D3B8A0}"/>
    <cellStyle name="Comma 4 2 3 2 2 2 3" xfId="5025" xr:uid="{00000000-0005-0000-0000-000062080000}"/>
    <cellStyle name="Comma 4 2 3 2 2 2 3 2" xfId="13464" xr:uid="{F58E16A9-9B32-4C03-89D0-DBE6A8A4BF80}"/>
    <cellStyle name="Comma 4 2 3 2 2 2 4" xfId="9246" xr:uid="{E40850DD-8980-433E-A4C7-A9BEC2424793}"/>
    <cellStyle name="Comma 4 2 3 2 2 3" xfId="1129" xr:uid="{00000000-0005-0000-0000-000063080000}"/>
    <cellStyle name="Comma 4 2 3 2 2 3 2" xfId="3360" xr:uid="{00000000-0005-0000-0000-000064080000}"/>
    <cellStyle name="Comma 4 2 3 2 2 3 2 2" xfId="7583" xr:uid="{00000000-0005-0000-0000-000065080000}"/>
    <cellStyle name="Comma 4 2 3 2 2 3 2 2 2" xfId="16022" xr:uid="{70488B88-214D-4EFA-B156-4FE07E954B57}"/>
    <cellStyle name="Comma 4 2 3 2 2 3 2 3" xfId="11804" xr:uid="{AC07721A-7FCE-4815-BCEB-F7E22078D973}"/>
    <cellStyle name="Comma 4 2 3 2 2 3 3" xfId="5438" xr:uid="{00000000-0005-0000-0000-000066080000}"/>
    <cellStyle name="Comma 4 2 3 2 2 3 3 2" xfId="13877" xr:uid="{3AF26319-D271-44CA-9ED0-A00976170418}"/>
    <cellStyle name="Comma 4 2 3 2 2 3 4" xfId="9659" xr:uid="{7442C461-70C0-4393-9130-39AF7495119E}"/>
    <cellStyle name="Comma 4 2 3 2 2 4" xfId="1543" xr:uid="{00000000-0005-0000-0000-000067080000}"/>
    <cellStyle name="Comma 4 2 3 2 2 4 2" xfId="3773" xr:uid="{00000000-0005-0000-0000-000068080000}"/>
    <cellStyle name="Comma 4 2 3 2 2 4 2 2" xfId="7996" xr:uid="{00000000-0005-0000-0000-000069080000}"/>
    <cellStyle name="Comma 4 2 3 2 2 4 2 2 2" xfId="16435" xr:uid="{99F1DA55-D39A-441F-B5FC-2B5648B2CD51}"/>
    <cellStyle name="Comma 4 2 3 2 2 4 2 3" xfId="12217" xr:uid="{B0324E18-FDD3-4A78-A8DA-368FBB174121}"/>
    <cellStyle name="Comma 4 2 3 2 2 4 3" xfId="5851" xr:uid="{00000000-0005-0000-0000-00006A080000}"/>
    <cellStyle name="Comma 4 2 3 2 2 4 3 2" xfId="14290" xr:uid="{1C352B68-60B3-4C55-BB46-F0826E1DC3D8}"/>
    <cellStyle name="Comma 4 2 3 2 2 4 4" xfId="10072" xr:uid="{5495E076-60AB-4DF7-B59A-702AB812D139}"/>
    <cellStyle name="Comma 4 2 3 2 2 5" xfId="1957" xr:uid="{00000000-0005-0000-0000-00006B080000}"/>
    <cellStyle name="Comma 4 2 3 2 2 5 2" xfId="4186" xr:uid="{00000000-0005-0000-0000-00006C080000}"/>
    <cellStyle name="Comma 4 2 3 2 2 5 2 2" xfId="8409" xr:uid="{00000000-0005-0000-0000-00006D080000}"/>
    <cellStyle name="Comma 4 2 3 2 2 5 2 2 2" xfId="16848" xr:uid="{073ADA85-00AF-4D3A-A677-9C8B3B2EBBB3}"/>
    <cellStyle name="Comma 4 2 3 2 2 5 2 3" xfId="12630" xr:uid="{ADBAFBFC-D13E-444C-B530-8E6E3F13DB85}"/>
    <cellStyle name="Comma 4 2 3 2 2 5 3" xfId="6264" xr:uid="{00000000-0005-0000-0000-00006E080000}"/>
    <cellStyle name="Comma 4 2 3 2 2 5 3 2" xfId="14703" xr:uid="{DDC99BA7-DB92-4C97-9C11-AF510EE91281}"/>
    <cellStyle name="Comma 4 2 3 2 2 5 4" xfId="10485" xr:uid="{D2185B73-B481-473E-9F11-72449654B8D6}"/>
    <cellStyle name="Comma 4 2 3 2 2 6" xfId="2392" xr:uid="{00000000-0005-0000-0000-00006F080000}"/>
    <cellStyle name="Comma 4 2 3 2 2 6 2" xfId="6677" xr:uid="{00000000-0005-0000-0000-000070080000}"/>
    <cellStyle name="Comma 4 2 3 2 2 6 2 2" xfId="15116" xr:uid="{5BFC7B6C-8CD8-46E8-8F12-D47F6F1B84B6}"/>
    <cellStyle name="Comma 4 2 3 2 2 6 3" xfId="10898" xr:uid="{AD0974F8-2587-4E02-B1BF-564FFFBC45DE}"/>
    <cellStyle name="Comma 4 2 3 2 2 7" xfId="2371" xr:uid="{00000000-0005-0000-0000-000071080000}"/>
    <cellStyle name="Comma 4 2 3 2 2 8" xfId="2770" xr:uid="{00000000-0005-0000-0000-000072080000}"/>
    <cellStyle name="Comma 4 2 3 2 2 8 2" xfId="6994" xr:uid="{00000000-0005-0000-0000-000073080000}"/>
    <cellStyle name="Comma 4 2 3 2 2 8 2 2" xfId="15433" xr:uid="{E4C08DAE-FA0B-4D7B-9289-A03D2CAC2ACE}"/>
    <cellStyle name="Comma 4 2 3 2 2 8 3" xfId="11215" xr:uid="{601D5B52-5F93-4845-B012-D29A27AF5D4A}"/>
    <cellStyle name="Comma 4 2 3 2 2 9" xfId="4611" xr:uid="{00000000-0005-0000-0000-000074080000}"/>
    <cellStyle name="Comma 4 2 3 2 2 9 2" xfId="13050" xr:uid="{2873FEFF-4B2A-406E-AAEA-41D097F51A77}"/>
    <cellStyle name="Comma 4 2 3 2 3" xfId="675" xr:uid="{00000000-0005-0000-0000-000075080000}"/>
    <cellStyle name="Comma 4 2 3 2 3 2" xfId="2946" xr:uid="{00000000-0005-0000-0000-000076080000}"/>
    <cellStyle name="Comma 4 2 3 2 3 2 2" xfId="7169" xr:uid="{00000000-0005-0000-0000-000077080000}"/>
    <cellStyle name="Comma 4 2 3 2 3 2 2 2" xfId="15608" xr:uid="{EE720674-05C8-41AB-8FE7-4978F6360E05}"/>
    <cellStyle name="Comma 4 2 3 2 3 2 3" xfId="11390" xr:uid="{EEAD9439-9ED4-4134-A94C-B7EE574D0974}"/>
    <cellStyle name="Comma 4 2 3 2 3 3" xfId="5024" xr:uid="{00000000-0005-0000-0000-000078080000}"/>
    <cellStyle name="Comma 4 2 3 2 3 3 2" xfId="13463" xr:uid="{9628577B-FBD9-4E47-B283-1109E2D5C4A1}"/>
    <cellStyle name="Comma 4 2 3 2 3 4" xfId="9245" xr:uid="{11EA6F37-65DC-4387-9CB8-AB60AF16139D}"/>
    <cellStyle name="Comma 4 2 3 2 4" xfId="1128" xr:uid="{00000000-0005-0000-0000-000079080000}"/>
    <cellStyle name="Comma 4 2 3 2 4 2" xfId="3359" xr:uid="{00000000-0005-0000-0000-00007A080000}"/>
    <cellStyle name="Comma 4 2 3 2 4 2 2" xfId="7582" xr:uid="{00000000-0005-0000-0000-00007B080000}"/>
    <cellStyle name="Comma 4 2 3 2 4 2 2 2" xfId="16021" xr:uid="{734952FE-9CFA-4EB1-A61A-4DF0274EF223}"/>
    <cellStyle name="Comma 4 2 3 2 4 2 3" xfId="11803" xr:uid="{038F39A6-3E86-4064-8989-0B75E6779F06}"/>
    <cellStyle name="Comma 4 2 3 2 4 3" xfId="5437" xr:uid="{00000000-0005-0000-0000-00007C080000}"/>
    <cellStyle name="Comma 4 2 3 2 4 3 2" xfId="13876" xr:uid="{187886E1-7329-436B-9F25-8C5B7A81F5AA}"/>
    <cellStyle name="Comma 4 2 3 2 4 4" xfId="9658" xr:uid="{455BD0C2-4F16-437F-B7B8-E3271D7E9561}"/>
    <cellStyle name="Comma 4 2 3 2 5" xfId="1542" xr:uid="{00000000-0005-0000-0000-00007D080000}"/>
    <cellStyle name="Comma 4 2 3 2 5 2" xfId="3772" xr:uid="{00000000-0005-0000-0000-00007E080000}"/>
    <cellStyle name="Comma 4 2 3 2 5 2 2" xfId="7995" xr:uid="{00000000-0005-0000-0000-00007F080000}"/>
    <cellStyle name="Comma 4 2 3 2 5 2 2 2" xfId="16434" xr:uid="{7184CCD2-F89E-468D-9BFF-3B914441449B}"/>
    <cellStyle name="Comma 4 2 3 2 5 2 3" xfId="12216" xr:uid="{5860C964-DDD9-4AF2-84FF-521D014EB2CF}"/>
    <cellStyle name="Comma 4 2 3 2 5 3" xfId="5850" xr:uid="{00000000-0005-0000-0000-000080080000}"/>
    <cellStyle name="Comma 4 2 3 2 5 3 2" xfId="14289" xr:uid="{825CC8F3-B43B-4E0A-A98E-CCF8E62A9062}"/>
    <cellStyle name="Comma 4 2 3 2 5 4" xfId="10071" xr:uid="{A4054D2B-18F7-41AA-84AB-4B11A8BBB97D}"/>
    <cellStyle name="Comma 4 2 3 2 6" xfId="1956" xr:uid="{00000000-0005-0000-0000-000081080000}"/>
    <cellStyle name="Comma 4 2 3 2 6 2" xfId="4185" xr:uid="{00000000-0005-0000-0000-000082080000}"/>
    <cellStyle name="Comma 4 2 3 2 6 2 2" xfId="8408" xr:uid="{00000000-0005-0000-0000-000083080000}"/>
    <cellStyle name="Comma 4 2 3 2 6 2 2 2" xfId="16847" xr:uid="{9CB48CD6-7C16-4EC2-B480-9E1285DA6BA4}"/>
    <cellStyle name="Comma 4 2 3 2 6 2 3" xfId="12629" xr:uid="{B7C39167-6F7E-48ED-BE45-AC0771F840A2}"/>
    <cellStyle name="Comma 4 2 3 2 6 3" xfId="6263" xr:uid="{00000000-0005-0000-0000-000084080000}"/>
    <cellStyle name="Comma 4 2 3 2 6 3 2" xfId="14702" xr:uid="{590C78CD-BA2A-454D-B522-A3AC7839133A}"/>
    <cellStyle name="Comma 4 2 3 2 6 4" xfId="10484" xr:uid="{9ED47059-FB38-408F-99D6-80301AE5468B}"/>
    <cellStyle name="Comma 4 2 3 2 7" xfId="2391" xr:uid="{00000000-0005-0000-0000-000085080000}"/>
    <cellStyle name="Comma 4 2 3 2 7 2" xfId="6676" xr:uid="{00000000-0005-0000-0000-000086080000}"/>
    <cellStyle name="Comma 4 2 3 2 7 2 2" xfId="15115" xr:uid="{0D2AEE7C-24B6-483C-9DCB-736C1B673D3F}"/>
    <cellStyle name="Comma 4 2 3 2 7 3" xfId="10897" xr:uid="{CF46C9F8-89CD-402F-B35F-A9DFC9A366B6}"/>
    <cellStyle name="Comma 4 2 3 2 8" xfId="2372" xr:uid="{00000000-0005-0000-0000-000087080000}"/>
    <cellStyle name="Comma 4 2 3 2 9" xfId="2769" xr:uid="{00000000-0005-0000-0000-000088080000}"/>
    <cellStyle name="Comma 4 2 3 2 9 2" xfId="6993" xr:uid="{00000000-0005-0000-0000-000089080000}"/>
    <cellStyle name="Comma 4 2 3 2 9 2 2" xfId="15432" xr:uid="{B5AB2977-F8E1-4D89-A503-F73FB721CDB4}"/>
    <cellStyle name="Comma 4 2 3 2 9 3" xfId="11214" xr:uid="{9BB2FA62-86FE-4E85-91EA-B49DF049FD33}"/>
    <cellStyle name="Comma 4 2 3 3" xfId="139" xr:uid="{00000000-0005-0000-0000-00008A080000}"/>
    <cellStyle name="Comma 4 2 3 3 10" xfId="8833" xr:uid="{B8905646-3D7A-4309-921F-A42397C65A8E}"/>
    <cellStyle name="Comma 4 2 3 3 2" xfId="677" xr:uid="{00000000-0005-0000-0000-00008B080000}"/>
    <cellStyle name="Comma 4 2 3 3 2 2" xfId="2948" xr:uid="{00000000-0005-0000-0000-00008C080000}"/>
    <cellStyle name="Comma 4 2 3 3 2 2 2" xfId="7171" xr:uid="{00000000-0005-0000-0000-00008D080000}"/>
    <cellStyle name="Comma 4 2 3 3 2 2 2 2" xfId="15610" xr:uid="{2BBDAC87-5F4C-4493-9A60-E981DAB55698}"/>
    <cellStyle name="Comma 4 2 3 3 2 2 3" xfId="11392" xr:uid="{C5298170-00A4-46A5-989C-B699502F9E9E}"/>
    <cellStyle name="Comma 4 2 3 3 2 3" xfId="5026" xr:uid="{00000000-0005-0000-0000-00008E080000}"/>
    <cellStyle name="Comma 4 2 3 3 2 3 2" xfId="13465" xr:uid="{C12B214A-59D2-46FD-AB62-CBA2C4E09D17}"/>
    <cellStyle name="Comma 4 2 3 3 2 4" xfId="9247" xr:uid="{BA93BEC5-9427-42C7-AC09-082B5479C040}"/>
    <cellStyle name="Comma 4 2 3 3 3" xfId="1130" xr:uid="{00000000-0005-0000-0000-00008F080000}"/>
    <cellStyle name="Comma 4 2 3 3 3 2" xfId="3361" xr:uid="{00000000-0005-0000-0000-000090080000}"/>
    <cellStyle name="Comma 4 2 3 3 3 2 2" xfId="7584" xr:uid="{00000000-0005-0000-0000-000091080000}"/>
    <cellStyle name="Comma 4 2 3 3 3 2 2 2" xfId="16023" xr:uid="{6B233001-FC9D-4983-87FE-B3D1EB495172}"/>
    <cellStyle name="Comma 4 2 3 3 3 2 3" xfId="11805" xr:uid="{12E66992-3733-4612-9CE7-D9C4447B8DC1}"/>
    <cellStyle name="Comma 4 2 3 3 3 3" xfId="5439" xr:uid="{00000000-0005-0000-0000-000092080000}"/>
    <cellStyle name="Comma 4 2 3 3 3 3 2" xfId="13878" xr:uid="{24FEEA5B-41BF-4C3D-A7CE-B132D0BE0897}"/>
    <cellStyle name="Comma 4 2 3 3 3 4" xfId="9660" xr:uid="{64BC9778-38AC-49AF-B91A-233F5FF95138}"/>
    <cellStyle name="Comma 4 2 3 3 4" xfId="1544" xr:uid="{00000000-0005-0000-0000-000093080000}"/>
    <cellStyle name="Comma 4 2 3 3 4 2" xfId="3774" xr:uid="{00000000-0005-0000-0000-000094080000}"/>
    <cellStyle name="Comma 4 2 3 3 4 2 2" xfId="7997" xr:uid="{00000000-0005-0000-0000-000095080000}"/>
    <cellStyle name="Comma 4 2 3 3 4 2 2 2" xfId="16436" xr:uid="{0571A644-9EF2-4F98-B952-A85438B11E7A}"/>
    <cellStyle name="Comma 4 2 3 3 4 2 3" xfId="12218" xr:uid="{29A8DA80-8164-4B4A-A477-3C6E42EDFC72}"/>
    <cellStyle name="Comma 4 2 3 3 4 3" xfId="5852" xr:uid="{00000000-0005-0000-0000-000096080000}"/>
    <cellStyle name="Comma 4 2 3 3 4 3 2" xfId="14291" xr:uid="{51A4C137-858F-4005-A0C1-A448CAD97441}"/>
    <cellStyle name="Comma 4 2 3 3 4 4" xfId="10073" xr:uid="{19572CD2-03F1-4655-8BCD-A764020BE918}"/>
    <cellStyle name="Comma 4 2 3 3 5" xfId="1958" xr:uid="{00000000-0005-0000-0000-000097080000}"/>
    <cellStyle name="Comma 4 2 3 3 5 2" xfId="4187" xr:uid="{00000000-0005-0000-0000-000098080000}"/>
    <cellStyle name="Comma 4 2 3 3 5 2 2" xfId="8410" xr:uid="{00000000-0005-0000-0000-000099080000}"/>
    <cellStyle name="Comma 4 2 3 3 5 2 2 2" xfId="16849" xr:uid="{C4571FD3-D5A4-4FF9-8943-63CB46843E26}"/>
    <cellStyle name="Comma 4 2 3 3 5 2 3" xfId="12631" xr:uid="{16FEF31D-ADF4-4F1D-98AA-2B769C2DB1B9}"/>
    <cellStyle name="Comma 4 2 3 3 5 3" xfId="6265" xr:uid="{00000000-0005-0000-0000-00009A080000}"/>
    <cellStyle name="Comma 4 2 3 3 5 3 2" xfId="14704" xr:uid="{606020FF-DC0F-4D73-89B5-D427EA870124}"/>
    <cellStyle name="Comma 4 2 3 3 5 4" xfId="10486" xr:uid="{01700CF2-E33B-4161-B51A-118B27853CAC}"/>
    <cellStyle name="Comma 4 2 3 3 6" xfId="2393" xr:uid="{00000000-0005-0000-0000-00009B080000}"/>
    <cellStyle name="Comma 4 2 3 3 6 2" xfId="6678" xr:uid="{00000000-0005-0000-0000-00009C080000}"/>
    <cellStyle name="Comma 4 2 3 3 6 2 2" xfId="15117" xr:uid="{4799C383-A86A-4C9D-B033-49C3108DA254}"/>
    <cellStyle name="Comma 4 2 3 3 6 3" xfId="10899" xr:uid="{FE9A3BE3-F2E7-44D6-8BD0-618BE683F592}"/>
    <cellStyle name="Comma 4 2 3 3 7" xfId="2370" xr:uid="{00000000-0005-0000-0000-00009D080000}"/>
    <cellStyle name="Comma 4 2 3 3 8" xfId="2771" xr:uid="{00000000-0005-0000-0000-00009E080000}"/>
    <cellStyle name="Comma 4 2 3 3 8 2" xfId="6995" xr:uid="{00000000-0005-0000-0000-00009F080000}"/>
    <cellStyle name="Comma 4 2 3 3 8 2 2" xfId="15434" xr:uid="{3334A681-4D29-4A29-9400-508CE5F985A3}"/>
    <cellStyle name="Comma 4 2 3 3 8 3" xfId="11216" xr:uid="{BAC9FAA0-84B1-44DB-AB29-0A601EC5588D}"/>
    <cellStyle name="Comma 4 2 3 3 9" xfId="4612" xr:uid="{00000000-0005-0000-0000-0000A0080000}"/>
    <cellStyle name="Comma 4 2 3 3 9 2" xfId="13051" xr:uid="{89B59FE6-7E16-43AC-9D22-9D1723684FD0}"/>
    <cellStyle name="Comma 4 2 3 4" xfId="674" xr:uid="{00000000-0005-0000-0000-0000A1080000}"/>
    <cellStyle name="Comma 4 2 3 4 2" xfId="2945" xr:uid="{00000000-0005-0000-0000-0000A2080000}"/>
    <cellStyle name="Comma 4 2 3 4 2 2" xfId="7168" xr:uid="{00000000-0005-0000-0000-0000A3080000}"/>
    <cellStyle name="Comma 4 2 3 4 2 2 2" xfId="15607" xr:uid="{25923968-4EED-450D-9CC9-46206CA6316A}"/>
    <cellStyle name="Comma 4 2 3 4 2 3" xfId="11389" xr:uid="{2ED22540-6E39-416C-9DCD-4C1DF587CA8C}"/>
    <cellStyle name="Comma 4 2 3 4 3" xfId="5023" xr:uid="{00000000-0005-0000-0000-0000A4080000}"/>
    <cellStyle name="Comma 4 2 3 4 3 2" xfId="13462" xr:uid="{F62A4E44-B5E6-441A-B7CB-87A3F85580D6}"/>
    <cellStyle name="Comma 4 2 3 4 4" xfId="9244" xr:uid="{44199B14-545D-4F92-A871-38027ECE7617}"/>
    <cellStyle name="Comma 4 2 3 5" xfId="1127" xr:uid="{00000000-0005-0000-0000-0000A5080000}"/>
    <cellStyle name="Comma 4 2 3 5 2" xfId="3358" xr:uid="{00000000-0005-0000-0000-0000A6080000}"/>
    <cellStyle name="Comma 4 2 3 5 2 2" xfId="7581" xr:uid="{00000000-0005-0000-0000-0000A7080000}"/>
    <cellStyle name="Comma 4 2 3 5 2 2 2" xfId="16020" xr:uid="{B333351C-794E-45CB-9F22-76D0D8985444}"/>
    <cellStyle name="Comma 4 2 3 5 2 3" xfId="11802" xr:uid="{9AD685DC-7A8D-48E3-B2AA-D0ABA04517A7}"/>
    <cellStyle name="Comma 4 2 3 5 3" xfId="5436" xr:uid="{00000000-0005-0000-0000-0000A8080000}"/>
    <cellStyle name="Comma 4 2 3 5 3 2" xfId="13875" xr:uid="{63ED2B9C-5D5A-429F-A3DA-5C1390E2A8CD}"/>
    <cellStyle name="Comma 4 2 3 5 4" xfId="9657" xr:uid="{9F693626-A881-441B-80DD-4A7327A41F5B}"/>
    <cellStyle name="Comma 4 2 3 6" xfId="1541" xr:uid="{00000000-0005-0000-0000-0000A9080000}"/>
    <cellStyle name="Comma 4 2 3 6 2" xfId="3771" xr:uid="{00000000-0005-0000-0000-0000AA080000}"/>
    <cellStyle name="Comma 4 2 3 6 2 2" xfId="7994" xr:uid="{00000000-0005-0000-0000-0000AB080000}"/>
    <cellStyle name="Comma 4 2 3 6 2 2 2" xfId="16433" xr:uid="{1CBDEAAB-6D33-468A-88D0-56047CF9DC67}"/>
    <cellStyle name="Comma 4 2 3 6 2 3" xfId="12215" xr:uid="{BC0CE7EA-80AD-4A02-A2A1-F7EE7ED3D94B}"/>
    <cellStyle name="Comma 4 2 3 6 3" xfId="5849" xr:uid="{00000000-0005-0000-0000-0000AC080000}"/>
    <cellStyle name="Comma 4 2 3 6 3 2" xfId="14288" xr:uid="{B4072EAE-AA6A-4729-9342-6182C1169C94}"/>
    <cellStyle name="Comma 4 2 3 6 4" xfId="10070" xr:uid="{4735251D-8D02-4FEF-99E9-AF303EF6D4E9}"/>
    <cellStyle name="Comma 4 2 3 7" xfId="1955" xr:uid="{00000000-0005-0000-0000-0000AD080000}"/>
    <cellStyle name="Comma 4 2 3 7 2" xfId="4184" xr:uid="{00000000-0005-0000-0000-0000AE080000}"/>
    <cellStyle name="Comma 4 2 3 7 2 2" xfId="8407" xr:uid="{00000000-0005-0000-0000-0000AF080000}"/>
    <cellStyle name="Comma 4 2 3 7 2 2 2" xfId="16846" xr:uid="{A1208086-03C6-4916-8774-2478481E1B39}"/>
    <cellStyle name="Comma 4 2 3 7 2 3" xfId="12628" xr:uid="{BB20CCEE-CF32-47DC-A655-054435D8B7A1}"/>
    <cellStyle name="Comma 4 2 3 7 3" xfId="6262" xr:uid="{00000000-0005-0000-0000-0000B0080000}"/>
    <cellStyle name="Comma 4 2 3 7 3 2" xfId="14701" xr:uid="{4DA91F77-F7B9-41AE-96B5-4677CDCB6A63}"/>
    <cellStyle name="Comma 4 2 3 7 4" xfId="10483" xr:uid="{FBF64004-325C-464F-9A1C-A479F31F1346}"/>
    <cellStyle name="Comma 4 2 3 8" xfId="2390" xr:uid="{00000000-0005-0000-0000-0000B1080000}"/>
    <cellStyle name="Comma 4 2 3 8 2" xfId="6675" xr:uid="{00000000-0005-0000-0000-0000B2080000}"/>
    <cellStyle name="Comma 4 2 3 8 2 2" xfId="15114" xr:uid="{D6235E49-4DA1-4B18-BE01-60D61E88BCEE}"/>
    <cellStyle name="Comma 4 2 3 8 3" xfId="10896" xr:uid="{53E615A3-A929-4229-93ED-AAE2DA362F6E}"/>
    <cellStyle name="Comma 4 2 3 9" xfId="2373" xr:uid="{00000000-0005-0000-0000-0000B3080000}"/>
    <cellStyle name="Comma 4 2 4" xfId="140" xr:uid="{00000000-0005-0000-0000-0000B4080000}"/>
    <cellStyle name="Comma 4 2 4 10" xfId="4613" xr:uid="{00000000-0005-0000-0000-0000B5080000}"/>
    <cellStyle name="Comma 4 2 4 10 2" xfId="13052" xr:uid="{4D1EF956-A1EA-4BAB-A165-2E2D721FB4E3}"/>
    <cellStyle name="Comma 4 2 4 11" xfId="8834" xr:uid="{EEC0CB35-4BFE-406B-8331-31B1A0893F0C}"/>
    <cellStyle name="Comma 4 2 4 2" xfId="141" xr:uid="{00000000-0005-0000-0000-0000B6080000}"/>
    <cellStyle name="Comma 4 2 4 2 10" xfId="8835" xr:uid="{8867EC0A-0927-450D-9D22-96C861C92400}"/>
    <cellStyle name="Comma 4 2 4 2 2" xfId="679" xr:uid="{00000000-0005-0000-0000-0000B7080000}"/>
    <cellStyle name="Comma 4 2 4 2 2 2" xfId="2950" xr:uid="{00000000-0005-0000-0000-0000B8080000}"/>
    <cellStyle name="Comma 4 2 4 2 2 2 2" xfId="7173" xr:uid="{00000000-0005-0000-0000-0000B9080000}"/>
    <cellStyle name="Comma 4 2 4 2 2 2 2 2" xfId="15612" xr:uid="{50DF6510-DD7D-42B0-9E22-E64611D53F10}"/>
    <cellStyle name="Comma 4 2 4 2 2 2 3" xfId="11394" xr:uid="{87758766-E8BB-44A7-BEA5-0168832B70FE}"/>
    <cellStyle name="Comma 4 2 4 2 2 3" xfId="5028" xr:uid="{00000000-0005-0000-0000-0000BA080000}"/>
    <cellStyle name="Comma 4 2 4 2 2 3 2" xfId="13467" xr:uid="{11D75F96-16D8-4CD1-A3F3-2D29E3FF22C3}"/>
    <cellStyle name="Comma 4 2 4 2 2 4" xfId="9249" xr:uid="{EDD5AF71-1B3C-4E5C-AD0C-BEA5D8D12DD1}"/>
    <cellStyle name="Comma 4 2 4 2 3" xfId="1132" xr:uid="{00000000-0005-0000-0000-0000BB080000}"/>
    <cellStyle name="Comma 4 2 4 2 3 2" xfId="3363" xr:uid="{00000000-0005-0000-0000-0000BC080000}"/>
    <cellStyle name="Comma 4 2 4 2 3 2 2" xfId="7586" xr:uid="{00000000-0005-0000-0000-0000BD080000}"/>
    <cellStyle name="Comma 4 2 4 2 3 2 2 2" xfId="16025" xr:uid="{8F67FC81-FBA6-437E-81B9-0D5744403927}"/>
    <cellStyle name="Comma 4 2 4 2 3 2 3" xfId="11807" xr:uid="{6BDD695B-F4E5-4082-A7E5-6D575AFE383C}"/>
    <cellStyle name="Comma 4 2 4 2 3 3" xfId="5441" xr:uid="{00000000-0005-0000-0000-0000BE080000}"/>
    <cellStyle name="Comma 4 2 4 2 3 3 2" xfId="13880" xr:uid="{46B3D2A5-5F38-411E-A671-4AF23D42C036}"/>
    <cellStyle name="Comma 4 2 4 2 3 4" xfId="9662" xr:uid="{3C590287-1D8F-47F8-B221-93F78ACB0246}"/>
    <cellStyle name="Comma 4 2 4 2 4" xfId="1546" xr:uid="{00000000-0005-0000-0000-0000BF080000}"/>
    <cellStyle name="Comma 4 2 4 2 4 2" xfId="3776" xr:uid="{00000000-0005-0000-0000-0000C0080000}"/>
    <cellStyle name="Comma 4 2 4 2 4 2 2" xfId="7999" xr:uid="{00000000-0005-0000-0000-0000C1080000}"/>
    <cellStyle name="Comma 4 2 4 2 4 2 2 2" xfId="16438" xr:uid="{C0650B18-4EC5-4507-B64F-5918175EE5D9}"/>
    <cellStyle name="Comma 4 2 4 2 4 2 3" xfId="12220" xr:uid="{3AEF27F5-24FF-45F7-8DC6-DB43CE9E1F17}"/>
    <cellStyle name="Comma 4 2 4 2 4 3" xfId="5854" xr:uid="{00000000-0005-0000-0000-0000C2080000}"/>
    <cellStyle name="Comma 4 2 4 2 4 3 2" xfId="14293" xr:uid="{ABD05C35-48CA-44A4-A247-4F3E43628492}"/>
    <cellStyle name="Comma 4 2 4 2 4 4" xfId="10075" xr:uid="{1D881997-01A5-4303-A1FC-C536129745AE}"/>
    <cellStyle name="Comma 4 2 4 2 5" xfId="1960" xr:uid="{00000000-0005-0000-0000-0000C3080000}"/>
    <cellStyle name="Comma 4 2 4 2 5 2" xfId="4189" xr:uid="{00000000-0005-0000-0000-0000C4080000}"/>
    <cellStyle name="Comma 4 2 4 2 5 2 2" xfId="8412" xr:uid="{00000000-0005-0000-0000-0000C5080000}"/>
    <cellStyle name="Comma 4 2 4 2 5 2 2 2" xfId="16851" xr:uid="{6C559B2F-175A-4CA1-B339-4366A6A00E5E}"/>
    <cellStyle name="Comma 4 2 4 2 5 2 3" xfId="12633" xr:uid="{FFF26B08-9008-4DC5-962D-2D79DFAE89EE}"/>
    <cellStyle name="Comma 4 2 4 2 5 3" xfId="6267" xr:uid="{00000000-0005-0000-0000-0000C6080000}"/>
    <cellStyle name="Comma 4 2 4 2 5 3 2" xfId="14706" xr:uid="{668B07E0-A2CA-4684-B733-073E90E30FA4}"/>
    <cellStyle name="Comma 4 2 4 2 5 4" xfId="10488" xr:uid="{400D2BF5-D64B-4CAE-B88B-2E96B6698C82}"/>
    <cellStyle name="Comma 4 2 4 2 6" xfId="2395" xr:uid="{00000000-0005-0000-0000-0000C7080000}"/>
    <cellStyle name="Comma 4 2 4 2 6 2" xfId="6680" xr:uid="{00000000-0005-0000-0000-0000C8080000}"/>
    <cellStyle name="Comma 4 2 4 2 6 2 2" xfId="15119" xr:uid="{4FB9F9AE-0742-4AF1-A3BE-F4D7731B02F6}"/>
    <cellStyle name="Comma 4 2 4 2 6 3" xfId="10901" xr:uid="{FBC24587-5BEB-4C49-B7EB-12138CCA0CF0}"/>
    <cellStyle name="Comma 4 2 4 2 7" xfId="2368" xr:uid="{00000000-0005-0000-0000-0000C9080000}"/>
    <cellStyle name="Comma 4 2 4 2 8" xfId="2773" xr:uid="{00000000-0005-0000-0000-0000CA080000}"/>
    <cellStyle name="Comma 4 2 4 2 8 2" xfId="6997" xr:uid="{00000000-0005-0000-0000-0000CB080000}"/>
    <cellStyle name="Comma 4 2 4 2 8 2 2" xfId="15436" xr:uid="{8F8FE8DA-ADB9-4323-805C-B3433B4B58E6}"/>
    <cellStyle name="Comma 4 2 4 2 8 3" xfId="11218" xr:uid="{438B3FFA-38D2-48C4-9645-BAE746ED0230}"/>
    <cellStyle name="Comma 4 2 4 2 9" xfId="4614" xr:uid="{00000000-0005-0000-0000-0000CC080000}"/>
    <cellStyle name="Comma 4 2 4 2 9 2" xfId="13053" xr:uid="{54715E6D-21C6-4EEC-A03C-5C02D3C39BAD}"/>
    <cellStyle name="Comma 4 2 4 3" xfId="678" xr:uid="{00000000-0005-0000-0000-0000CD080000}"/>
    <cellStyle name="Comma 4 2 4 3 2" xfId="2949" xr:uid="{00000000-0005-0000-0000-0000CE080000}"/>
    <cellStyle name="Comma 4 2 4 3 2 2" xfId="7172" xr:uid="{00000000-0005-0000-0000-0000CF080000}"/>
    <cellStyle name="Comma 4 2 4 3 2 2 2" xfId="15611" xr:uid="{1C15711C-FD91-41F0-AFB1-821F07750C68}"/>
    <cellStyle name="Comma 4 2 4 3 2 3" xfId="11393" xr:uid="{ED9EA39E-C982-48D2-A71F-011766EF1F84}"/>
    <cellStyle name="Comma 4 2 4 3 3" xfId="5027" xr:uid="{00000000-0005-0000-0000-0000D0080000}"/>
    <cellStyle name="Comma 4 2 4 3 3 2" xfId="13466" xr:uid="{ADE272D3-16E0-472F-8320-610C4BD3A30A}"/>
    <cellStyle name="Comma 4 2 4 3 4" xfId="9248" xr:uid="{6587950A-8395-4597-9388-61A18AA140F2}"/>
    <cellStyle name="Comma 4 2 4 4" xfId="1131" xr:uid="{00000000-0005-0000-0000-0000D1080000}"/>
    <cellStyle name="Comma 4 2 4 4 2" xfId="3362" xr:uid="{00000000-0005-0000-0000-0000D2080000}"/>
    <cellStyle name="Comma 4 2 4 4 2 2" xfId="7585" xr:uid="{00000000-0005-0000-0000-0000D3080000}"/>
    <cellStyle name="Comma 4 2 4 4 2 2 2" xfId="16024" xr:uid="{4EB2E68E-FF1C-442C-8CC6-A06584ADCB20}"/>
    <cellStyle name="Comma 4 2 4 4 2 3" xfId="11806" xr:uid="{DCD7FB76-239E-4CAA-9C85-ED55B36A627C}"/>
    <cellStyle name="Comma 4 2 4 4 3" xfId="5440" xr:uid="{00000000-0005-0000-0000-0000D4080000}"/>
    <cellStyle name="Comma 4 2 4 4 3 2" xfId="13879" xr:uid="{ED0C2ED2-D942-4B46-B9B4-1C59FCBC1D19}"/>
    <cellStyle name="Comma 4 2 4 4 4" xfId="9661" xr:uid="{C8A20835-3D9E-4428-B024-5AEB9D8E83B2}"/>
    <cellStyle name="Comma 4 2 4 5" xfId="1545" xr:uid="{00000000-0005-0000-0000-0000D5080000}"/>
    <cellStyle name="Comma 4 2 4 5 2" xfId="3775" xr:uid="{00000000-0005-0000-0000-0000D6080000}"/>
    <cellStyle name="Comma 4 2 4 5 2 2" xfId="7998" xr:uid="{00000000-0005-0000-0000-0000D7080000}"/>
    <cellStyle name="Comma 4 2 4 5 2 2 2" xfId="16437" xr:uid="{E029B3B0-D393-434F-B03B-D8EE5854736B}"/>
    <cellStyle name="Comma 4 2 4 5 2 3" xfId="12219" xr:uid="{E0298C18-FECB-4641-8A28-844CEB3569E1}"/>
    <cellStyle name="Comma 4 2 4 5 3" xfId="5853" xr:uid="{00000000-0005-0000-0000-0000D8080000}"/>
    <cellStyle name="Comma 4 2 4 5 3 2" xfId="14292" xr:uid="{64C4A1DD-E025-4EFD-9B5B-3976C3F4D904}"/>
    <cellStyle name="Comma 4 2 4 5 4" xfId="10074" xr:uid="{CC45090A-61D3-4BCA-B199-5D2A9EB75FA3}"/>
    <cellStyle name="Comma 4 2 4 6" xfId="1959" xr:uid="{00000000-0005-0000-0000-0000D9080000}"/>
    <cellStyle name="Comma 4 2 4 6 2" xfId="4188" xr:uid="{00000000-0005-0000-0000-0000DA080000}"/>
    <cellStyle name="Comma 4 2 4 6 2 2" xfId="8411" xr:uid="{00000000-0005-0000-0000-0000DB080000}"/>
    <cellStyle name="Comma 4 2 4 6 2 2 2" xfId="16850" xr:uid="{DD4E73C1-43B3-4C85-A229-C23489CA8C36}"/>
    <cellStyle name="Comma 4 2 4 6 2 3" xfId="12632" xr:uid="{897BFBB3-F888-46B5-9551-F4B348E13C46}"/>
    <cellStyle name="Comma 4 2 4 6 3" xfId="6266" xr:uid="{00000000-0005-0000-0000-0000DC080000}"/>
    <cellStyle name="Comma 4 2 4 6 3 2" xfId="14705" xr:uid="{C6B9A8BE-C866-45BB-A269-C21368DE7FEE}"/>
    <cellStyle name="Comma 4 2 4 6 4" xfId="10487" xr:uid="{E0E0AC3B-E5EA-4448-AD7B-E23B6E23F079}"/>
    <cellStyle name="Comma 4 2 4 7" xfId="2394" xr:uid="{00000000-0005-0000-0000-0000DD080000}"/>
    <cellStyle name="Comma 4 2 4 7 2" xfId="6679" xr:uid="{00000000-0005-0000-0000-0000DE080000}"/>
    <cellStyle name="Comma 4 2 4 7 2 2" xfId="15118" xr:uid="{5C91C3DF-5FDA-4519-BCCE-F3DBB278E1E9}"/>
    <cellStyle name="Comma 4 2 4 7 3" xfId="10900" xr:uid="{029F0D01-01A1-461B-94FC-066F0A2B03E6}"/>
    <cellStyle name="Comma 4 2 4 8" xfId="2369" xr:uid="{00000000-0005-0000-0000-0000DF080000}"/>
    <cellStyle name="Comma 4 2 4 9" xfId="2772" xr:uid="{00000000-0005-0000-0000-0000E0080000}"/>
    <cellStyle name="Comma 4 2 4 9 2" xfId="6996" xr:uid="{00000000-0005-0000-0000-0000E1080000}"/>
    <cellStyle name="Comma 4 2 4 9 2 2" xfId="15435" xr:uid="{D29EACB5-20C1-4B8B-A3E7-CC5876BF1450}"/>
    <cellStyle name="Comma 4 2 4 9 3" xfId="11217" xr:uid="{30EB5714-2A4D-4FBB-A264-777CD98732B3}"/>
    <cellStyle name="Comma 4 2 5" xfId="142" xr:uid="{00000000-0005-0000-0000-0000E2080000}"/>
    <cellStyle name="Comma 4 2 5 10" xfId="8836" xr:uid="{2EF37975-72EA-420D-B878-9439201188F7}"/>
    <cellStyle name="Comma 4 2 5 2" xfId="680" xr:uid="{00000000-0005-0000-0000-0000E3080000}"/>
    <cellStyle name="Comma 4 2 5 2 2" xfId="2951" xr:uid="{00000000-0005-0000-0000-0000E4080000}"/>
    <cellStyle name="Comma 4 2 5 2 2 2" xfId="7174" xr:uid="{00000000-0005-0000-0000-0000E5080000}"/>
    <cellStyle name="Comma 4 2 5 2 2 2 2" xfId="15613" xr:uid="{73E68AE7-7143-4C44-A16C-0B1656BC8D27}"/>
    <cellStyle name="Comma 4 2 5 2 2 3" xfId="11395" xr:uid="{3B629D6B-E001-4C07-8676-877163E19952}"/>
    <cellStyle name="Comma 4 2 5 2 3" xfId="5029" xr:uid="{00000000-0005-0000-0000-0000E6080000}"/>
    <cellStyle name="Comma 4 2 5 2 3 2" xfId="13468" xr:uid="{CC38A454-2CEF-4A0E-A6DF-8D6098073667}"/>
    <cellStyle name="Comma 4 2 5 2 4" xfId="9250" xr:uid="{63D5CAE9-5DD8-495B-A449-9DB9260598EC}"/>
    <cellStyle name="Comma 4 2 5 3" xfId="1133" xr:uid="{00000000-0005-0000-0000-0000E7080000}"/>
    <cellStyle name="Comma 4 2 5 3 2" xfId="3364" xr:uid="{00000000-0005-0000-0000-0000E8080000}"/>
    <cellStyle name="Comma 4 2 5 3 2 2" xfId="7587" xr:uid="{00000000-0005-0000-0000-0000E9080000}"/>
    <cellStyle name="Comma 4 2 5 3 2 2 2" xfId="16026" xr:uid="{E6AF9D38-C4ED-4705-912C-E1C75F302C94}"/>
    <cellStyle name="Comma 4 2 5 3 2 3" xfId="11808" xr:uid="{6BB646A2-B33F-4BA7-B238-FA38C73F0F9D}"/>
    <cellStyle name="Comma 4 2 5 3 3" xfId="5442" xr:uid="{00000000-0005-0000-0000-0000EA080000}"/>
    <cellStyle name="Comma 4 2 5 3 3 2" xfId="13881" xr:uid="{C627C601-34D9-47DA-8A38-7ED3AAF94DAE}"/>
    <cellStyle name="Comma 4 2 5 3 4" xfId="9663" xr:uid="{2EB2EA87-6661-4BC3-B677-A40DC4E0C445}"/>
    <cellStyle name="Comma 4 2 5 4" xfId="1547" xr:uid="{00000000-0005-0000-0000-0000EB080000}"/>
    <cellStyle name="Comma 4 2 5 4 2" xfId="3777" xr:uid="{00000000-0005-0000-0000-0000EC080000}"/>
    <cellStyle name="Comma 4 2 5 4 2 2" xfId="8000" xr:uid="{00000000-0005-0000-0000-0000ED080000}"/>
    <cellStyle name="Comma 4 2 5 4 2 2 2" xfId="16439" xr:uid="{1495B80F-EF8A-4511-A656-BE88C19D3F18}"/>
    <cellStyle name="Comma 4 2 5 4 2 3" xfId="12221" xr:uid="{BD9AE823-E53B-4C87-BA62-0FDF52834A6E}"/>
    <cellStyle name="Comma 4 2 5 4 3" xfId="5855" xr:uid="{00000000-0005-0000-0000-0000EE080000}"/>
    <cellStyle name="Comma 4 2 5 4 3 2" xfId="14294" xr:uid="{DD694187-A996-432B-8D16-419E1B432263}"/>
    <cellStyle name="Comma 4 2 5 4 4" xfId="10076" xr:uid="{EF1F45FE-7519-4379-A260-2FC630916C95}"/>
    <cellStyle name="Comma 4 2 5 5" xfId="1961" xr:uid="{00000000-0005-0000-0000-0000EF080000}"/>
    <cellStyle name="Comma 4 2 5 5 2" xfId="4190" xr:uid="{00000000-0005-0000-0000-0000F0080000}"/>
    <cellStyle name="Comma 4 2 5 5 2 2" xfId="8413" xr:uid="{00000000-0005-0000-0000-0000F1080000}"/>
    <cellStyle name="Comma 4 2 5 5 2 2 2" xfId="16852" xr:uid="{266F1922-6C2D-4794-9866-C575579E1553}"/>
    <cellStyle name="Comma 4 2 5 5 2 3" xfId="12634" xr:uid="{1FFA8643-4F26-4407-B52C-A12444D8AB4B}"/>
    <cellStyle name="Comma 4 2 5 5 3" xfId="6268" xr:uid="{00000000-0005-0000-0000-0000F2080000}"/>
    <cellStyle name="Comma 4 2 5 5 3 2" xfId="14707" xr:uid="{4899CFF6-318A-46AE-8007-A33901B6C31E}"/>
    <cellStyle name="Comma 4 2 5 5 4" xfId="10489" xr:uid="{772FC93F-5588-4035-BBFA-C7D2088D2149}"/>
    <cellStyle name="Comma 4 2 5 6" xfId="2396" xr:uid="{00000000-0005-0000-0000-0000F3080000}"/>
    <cellStyle name="Comma 4 2 5 6 2" xfId="6681" xr:uid="{00000000-0005-0000-0000-0000F4080000}"/>
    <cellStyle name="Comma 4 2 5 6 2 2" xfId="15120" xr:uid="{64D57587-AF55-44BD-A93C-878F8C8AE9BA}"/>
    <cellStyle name="Comma 4 2 5 6 3" xfId="10902" xr:uid="{95D0B56A-45C7-477A-BB7A-FE6D426B359B}"/>
    <cellStyle name="Comma 4 2 5 7" xfId="2367" xr:uid="{00000000-0005-0000-0000-0000F5080000}"/>
    <cellStyle name="Comma 4 2 5 8" xfId="2774" xr:uid="{00000000-0005-0000-0000-0000F6080000}"/>
    <cellStyle name="Comma 4 2 5 8 2" xfId="6998" xr:uid="{00000000-0005-0000-0000-0000F7080000}"/>
    <cellStyle name="Comma 4 2 5 8 2 2" xfId="15437" xr:uid="{B1A59456-837B-464D-A154-E08AA525A327}"/>
    <cellStyle name="Comma 4 2 5 8 3" xfId="11219" xr:uid="{B010A7BC-F7DC-4FD2-9D8F-1F21B189AA5F}"/>
    <cellStyle name="Comma 4 2 5 9" xfId="4615" xr:uid="{00000000-0005-0000-0000-0000F8080000}"/>
    <cellStyle name="Comma 4 2 5 9 2" xfId="13054" xr:uid="{EACD0774-4CC4-4E2C-84BB-30A0C38445ED}"/>
    <cellStyle name="Comma 4 2 6" xfId="143" xr:uid="{00000000-0005-0000-0000-0000F9080000}"/>
    <cellStyle name="Comma 4 2 6 10" xfId="8837" xr:uid="{FC61A497-FFA9-48CC-8C39-A2ACD6A6DCEC}"/>
    <cellStyle name="Comma 4 2 6 2" xfId="681" xr:uid="{00000000-0005-0000-0000-0000FA080000}"/>
    <cellStyle name="Comma 4 2 6 2 2" xfId="2952" xr:uid="{00000000-0005-0000-0000-0000FB080000}"/>
    <cellStyle name="Comma 4 2 6 2 2 2" xfId="7175" xr:uid="{00000000-0005-0000-0000-0000FC080000}"/>
    <cellStyle name="Comma 4 2 6 2 2 2 2" xfId="15614" xr:uid="{4AAF525F-7229-459A-8547-4A3B6FF86D41}"/>
    <cellStyle name="Comma 4 2 6 2 2 3" xfId="11396" xr:uid="{B9387F58-8CA1-46B8-B7AD-CB963ABED1FE}"/>
    <cellStyle name="Comma 4 2 6 2 3" xfId="5030" xr:uid="{00000000-0005-0000-0000-0000FD080000}"/>
    <cellStyle name="Comma 4 2 6 2 3 2" xfId="13469" xr:uid="{CA788F37-2018-4910-B3F2-5AEE0A749ECE}"/>
    <cellStyle name="Comma 4 2 6 2 4" xfId="9251" xr:uid="{FBDDA5CC-CDD5-46F5-810B-1566CA803672}"/>
    <cellStyle name="Comma 4 2 6 3" xfId="1134" xr:uid="{00000000-0005-0000-0000-0000FE080000}"/>
    <cellStyle name="Comma 4 2 6 3 2" xfId="3365" xr:uid="{00000000-0005-0000-0000-0000FF080000}"/>
    <cellStyle name="Comma 4 2 6 3 2 2" xfId="7588" xr:uid="{00000000-0005-0000-0000-000000090000}"/>
    <cellStyle name="Comma 4 2 6 3 2 2 2" xfId="16027" xr:uid="{6D6AC7A7-B985-40E1-902B-60CA39A4667C}"/>
    <cellStyle name="Comma 4 2 6 3 2 3" xfId="11809" xr:uid="{C8672C60-F0AD-43AA-B624-9B3337995A98}"/>
    <cellStyle name="Comma 4 2 6 3 3" xfId="5443" xr:uid="{00000000-0005-0000-0000-000001090000}"/>
    <cellStyle name="Comma 4 2 6 3 3 2" xfId="13882" xr:uid="{D35EA5F0-D9B1-4456-A8AB-77198F158F95}"/>
    <cellStyle name="Comma 4 2 6 3 4" xfId="9664" xr:uid="{DF57BF39-1D59-4A00-900E-F25E9559B513}"/>
    <cellStyle name="Comma 4 2 6 4" xfId="1548" xr:uid="{00000000-0005-0000-0000-000002090000}"/>
    <cellStyle name="Comma 4 2 6 4 2" xfId="3778" xr:uid="{00000000-0005-0000-0000-000003090000}"/>
    <cellStyle name="Comma 4 2 6 4 2 2" xfId="8001" xr:uid="{00000000-0005-0000-0000-000004090000}"/>
    <cellStyle name="Comma 4 2 6 4 2 2 2" xfId="16440" xr:uid="{E0DF1865-688F-4745-B45D-5F5B8D205BB0}"/>
    <cellStyle name="Comma 4 2 6 4 2 3" xfId="12222" xr:uid="{80EAB87C-BCAD-4479-B467-8530320697E9}"/>
    <cellStyle name="Comma 4 2 6 4 3" xfId="5856" xr:uid="{00000000-0005-0000-0000-000005090000}"/>
    <cellStyle name="Comma 4 2 6 4 3 2" xfId="14295" xr:uid="{1A17BEDE-173B-40E6-A94A-E3BCA1B0E720}"/>
    <cellStyle name="Comma 4 2 6 4 4" xfId="10077" xr:uid="{CFDB8F30-10FF-461B-9B67-26C404C7470E}"/>
    <cellStyle name="Comma 4 2 6 5" xfId="1962" xr:uid="{00000000-0005-0000-0000-000006090000}"/>
    <cellStyle name="Comma 4 2 6 5 2" xfId="4191" xr:uid="{00000000-0005-0000-0000-000007090000}"/>
    <cellStyle name="Comma 4 2 6 5 2 2" xfId="8414" xr:uid="{00000000-0005-0000-0000-000008090000}"/>
    <cellStyle name="Comma 4 2 6 5 2 2 2" xfId="16853" xr:uid="{6E90D36E-963C-489F-A5E3-CE05514AABF6}"/>
    <cellStyle name="Comma 4 2 6 5 2 3" xfId="12635" xr:uid="{9B322A44-D6F9-4673-92B0-7935DF318AE1}"/>
    <cellStyle name="Comma 4 2 6 5 3" xfId="6269" xr:uid="{00000000-0005-0000-0000-000009090000}"/>
    <cellStyle name="Comma 4 2 6 5 3 2" xfId="14708" xr:uid="{D4DD7CD6-0A21-4DBD-8AAC-46DA3B22BABE}"/>
    <cellStyle name="Comma 4 2 6 5 4" xfId="10490" xr:uid="{8A4C4205-F8FA-48DE-939A-65412EC18C73}"/>
    <cellStyle name="Comma 4 2 6 6" xfId="2397" xr:uid="{00000000-0005-0000-0000-00000A090000}"/>
    <cellStyle name="Comma 4 2 6 6 2" xfId="6682" xr:uid="{00000000-0005-0000-0000-00000B090000}"/>
    <cellStyle name="Comma 4 2 6 6 2 2" xfId="15121" xr:uid="{999BAE78-3E22-4A5D-9E63-D7EF4ED16E9C}"/>
    <cellStyle name="Comma 4 2 6 6 3" xfId="10903" xr:uid="{6387A542-546D-49AC-BD6B-879E1CEC6E55}"/>
    <cellStyle name="Comma 4 2 6 7" xfId="2366" xr:uid="{00000000-0005-0000-0000-00000C090000}"/>
    <cellStyle name="Comma 4 2 6 8" xfId="2775" xr:uid="{00000000-0005-0000-0000-00000D090000}"/>
    <cellStyle name="Comma 4 2 6 8 2" xfId="6999" xr:uid="{00000000-0005-0000-0000-00000E090000}"/>
    <cellStyle name="Comma 4 2 6 8 2 2" xfId="15438" xr:uid="{1B8E8147-6C89-4E18-9A6D-9B847559FEA3}"/>
    <cellStyle name="Comma 4 2 6 8 3" xfId="11220" xr:uid="{7C598BD5-0CC1-4BDB-A9D1-ED81F00744C6}"/>
    <cellStyle name="Comma 4 2 6 9" xfId="4616" xr:uid="{00000000-0005-0000-0000-00000F090000}"/>
    <cellStyle name="Comma 4 2 6 9 2" xfId="13055" xr:uid="{F10BD4E6-1C73-468D-932B-2912F516BA78}"/>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0 2 2" xfId="15439" xr:uid="{31CA50EB-AC6D-4371-9CAC-121A917353D2}"/>
    <cellStyle name="Comma 4 3 2 10 3" xfId="11221" xr:uid="{30440091-AB0F-43C8-8368-1F7B8FE69BFD}"/>
    <cellStyle name="Comma 4 3 2 11" xfId="4617" xr:uid="{00000000-0005-0000-0000-000014090000}"/>
    <cellStyle name="Comma 4 3 2 11 2" xfId="13056" xr:uid="{26B09C27-E9FB-45D2-8818-23B3E46BCD92}"/>
    <cellStyle name="Comma 4 3 2 12" xfId="8838" xr:uid="{9A41C824-46C6-4FF4-B8F1-E2EB95A15BCE}"/>
    <cellStyle name="Comma 4 3 2 2" xfId="146" xr:uid="{00000000-0005-0000-0000-000015090000}"/>
    <cellStyle name="Comma 4 3 2 2 10" xfId="4618" xr:uid="{00000000-0005-0000-0000-000016090000}"/>
    <cellStyle name="Comma 4 3 2 2 10 2" xfId="13057" xr:uid="{8629816D-F5A7-42F8-938A-29590A5576CC}"/>
    <cellStyle name="Comma 4 3 2 2 11" xfId="8839" xr:uid="{13EE9BFB-FF65-46CA-B45D-9D4C78FA2181}"/>
    <cellStyle name="Comma 4 3 2 2 2" xfId="147" xr:uid="{00000000-0005-0000-0000-000017090000}"/>
    <cellStyle name="Comma 4 3 2 2 2 10" xfId="8840" xr:uid="{DC655216-84CB-4671-A33D-2D7DCFEC35A4}"/>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15617" xr:uid="{EA287EFB-6000-401B-9F0D-02F38D4C176A}"/>
    <cellStyle name="Comma 4 3 2 2 2 2 2 3" xfId="11399" xr:uid="{B9F97C13-29EA-4CF4-90CA-42180A5FC375}"/>
    <cellStyle name="Comma 4 3 2 2 2 2 3" xfId="5033" xr:uid="{00000000-0005-0000-0000-00001B090000}"/>
    <cellStyle name="Comma 4 3 2 2 2 2 3 2" xfId="13472" xr:uid="{36F65D22-9577-4FF3-B4A6-78BE390A5463}"/>
    <cellStyle name="Comma 4 3 2 2 2 2 4" xfId="9254" xr:uid="{FDE1373F-524B-4D2B-91E5-269579676B39}"/>
    <cellStyle name="Comma 4 3 2 2 2 3" xfId="1137" xr:uid="{00000000-0005-0000-0000-00001C090000}"/>
    <cellStyle name="Comma 4 3 2 2 2 3 2" xfId="3368" xr:uid="{00000000-0005-0000-0000-00001D090000}"/>
    <cellStyle name="Comma 4 3 2 2 2 3 2 2" xfId="7591" xr:uid="{00000000-0005-0000-0000-00001E090000}"/>
    <cellStyle name="Comma 4 3 2 2 2 3 2 2 2" xfId="16030" xr:uid="{FBFCF071-F7E5-4C49-9FE4-A26E58FD9BAE}"/>
    <cellStyle name="Comma 4 3 2 2 2 3 2 3" xfId="11812" xr:uid="{C418A79E-8CE0-4D9C-9D9E-8768BBFD58EA}"/>
    <cellStyle name="Comma 4 3 2 2 2 3 3" xfId="5446" xr:uid="{00000000-0005-0000-0000-00001F090000}"/>
    <cellStyle name="Comma 4 3 2 2 2 3 3 2" xfId="13885" xr:uid="{586C0FD4-1FBD-4C28-9199-4EF98BD08A95}"/>
    <cellStyle name="Comma 4 3 2 2 2 3 4" xfId="9667" xr:uid="{BE061584-DB40-4CEF-B8C1-CB8602662FE1}"/>
    <cellStyle name="Comma 4 3 2 2 2 4" xfId="1551" xr:uid="{00000000-0005-0000-0000-000020090000}"/>
    <cellStyle name="Comma 4 3 2 2 2 4 2" xfId="3781" xr:uid="{00000000-0005-0000-0000-000021090000}"/>
    <cellStyle name="Comma 4 3 2 2 2 4 2 2" xfId="8004" xr:uid="{00000000-0005-0000-0000-000022090000}"/>
    <cellStyle name="Comma 4 3 2 2 2 4 2 2 2" xfId="16443" xr:uid="{1D2686CF-DB18-408E-BF49-F2E4774AFFEE}"/>
    <cellStyle name="Comma 4 3 2 2 2 4 2 3" xfId="12225" xr:uid="{226FBC04-B0F5-4F57-87B9-C822C7E64070}"/>
    <cellStyle name="Comma 4 3 2 2 2 4 3" xfId="5859" xr:uid="{00000000-0005-0000-0000-000023090000}"/>
    <cellStyle name="Comma 4 3 2 2 2 4 3 2" xfId="14298" xr:uid="{42EE5A76-8030-4E64-84BC-3E52CBA5A67D}"/>
    <cellStyle name="Comma 4 3 2 2 2 4 4" xfId="10080" xr:uid="{F9477056-5A9B-4119-8BAE-17DD8FBA8CC1}"/>
    <cellStyle name="Comma 4 3 2 2 2 5" xfId="1965" xr:uid="{00000000-0005-0000-0000-000024090000}"/>
    <cellStyle name="Comma 4 3 2 2 2 5 2" xfId="4194" xr:uid="{00000000-0005-0000-0000-000025090000}"/>
    <cellStyle name="Comma 4 3 2 2 2 5 2 2" xfId="8417" xr:uid="{00000000-0005-0000-0000-000026090000}"/>
    <cellStyle name="Comma 4 3 2 2 2 5 2 2 2" xfId="16856" xr:uid="{C9324549-5BA0-4341-85F1-ECD4D9EA5AA9}"/>
    <cellStyle name="Comma 4 3 2 2 2 5 2 3" xfId="12638" xr:uid="{09883CD8-8452-4E0E-881E-2E593AD8F6D8}"/>
    <cellStyle name="Comma 4 3 2 2 2 5 3" xfId="6272" xr:uid="{00000000-0005-0000-0000-000027090000}"/>
    <cellStyle name="Comma 4 3 2 2 2 5 3 2" xfId="14711" xr:uid="{FFB17710-10CA-4441-A81E-6F4D1B2BCE8B}"/>
    <cellStyle name="Comma 4 3 2 2 2 5 4" xfId="10493" xr:uid="{1E5A1EE6-CEE3-4DAD-8F11-89494E2641F5}"/>
    <cellStyle name="Comma 4 3 2 2 2 6" xfId="2400" xr:uid="{00000000-0005-0000-0000-000028090000}"/>
    <cellStyle name="Comma 4 3 2 2 2 6 2" xfId="6685" xr:uid="{00000000-0005-0000-0000-000029090000}"/>
    <cellStyle name="Comma 4 3 2 2 2 6 2 2" xfId="15124" xr:uid="{19739DD3-57A5-449C-8FA7-802EC88A5B6F}"/>
    <cellStyle name="Comma 4 3 2 2 2 6 3" xfId="10906" xr:uid="{CBC61980-1B7C-4E4C-A3D1-BC540C2707A2}"/>
    <cellStyle name="Comma 4 3 2 2 2 7" xfId="2363" xr:uid="{00000000-0005-0000-0000-00002A090000}"/>
    <cellStyle name="Comma 4 3 2 2 2 8" xfId="2778" xr:uid="{00000000-0005-0000-0000-00002B090000}"/>
    <cellStyle name="Comma 4 3 2 2 2 8 2" xfId="7002" xr:uid="{00000000-0005-0000-0000-00002C090000}"/>
    <cellStyle name="Comma 4 3 2 2 2 8 2 2" xfId="15441" xr:uid="{5E3D2301-25AF-4C90-82E4-C6C865A7F126}"/>
    <cellStyle name="Comma 4 3 2 2 2 8 3" xfId="11223" xr:uid="{9EDD416C-1B1B-4DC6-945E-2AE3CE1DA135}"/>
    <cellStyle name="Comma 4 3 2 2 2 9" xfId="4619" xr:uid="{00000000-0005-0000-0000-00002D090000}"/>
    <cellStyle name="Comma 4 3 2 2 2 9 2" xfId="13058" xr:uid="{FB4F7B12-FF4C-46B3-AE87-D15AAAE204A3}"/>
    <cellStyle name="Comma 4 3 2 2 3" xfId="683" xr:uid="{00000000-0005-0000-0000-00002E090000}"/>
    <cellStyle name="Comma 4 3 2 2 3 2" xfId="2954" xr:uid="{00000000-0005-0000-0000-00002F090000}"/>
    <cellStyle name="Comma 4 3 2 2 3 2 2" xfId="7177" xr:uid="{00000000-0005-0000-0000-000030090000}"/>
    <cellStyle name="Comma 4 3 2 2 3 2 2 2" xfId="15616" xr:uid="{CCC90D30-89F5-464D-BA5C-FFC00BFF3670}"/>
    <cellStyle name="Comma 4 3 2 2 3 2 3" xfId="11398" xr:uid="{C0291CEA-A7C7-4D88-9B50-3BA8DC150272}"/>
    <cellStyle name="Comma 4 3 2 2 3 3" xfId="5032" xr:uid="{00000000-0005-0000-0000-000031090000}"/>
    <cellStyle name="Comma 4 3 2 2 3 3 2" xfId="13471" xr:uid="{CBD7015F-3584-48EB-9073-1DED82D9236A}"/>
    <cellStyle name="Comma 4 3 2 2 3 4" xfId="9253" xr:uid="{4FA9578E-A36F-42C0-8F6F-29BC24FAF149}"/>
    <cellStyle name="Comma 4 3 2 2 4" xfId="1136" xr:uid="{00000000-0005-0000-0000-000032090000}"/>
    <cellStyle name="Comma 4 3 2 2 4 2" xfId="3367" xr:uid="{00000000-0005-0000-0000-000033090000}"/>
    <cellStyle name="Comma 4 3 2 2 4 2 2" xfId="7590" xr:uid="{00000000-0005-0000-0000-000034090000}"/>
    <cellStyle name="Comma 4 3 2 2 4 2 2 2" xfId="16029" xr:uid="{75A4E076-08C3-42B8-8049-E8C5BB9B48A5}"/>
    <cellStyle name="Comma 4 3 2 2 4 2 3" xfId="11811" xr:uid="{F54D4494-7C6D-4CDB-913B-F9968AFA4F2D}"/>
    <cellStyle name="Comma 4 3 2 2 4 3" xfId="5445" xr:uid="{00000000-0005-0000-0000-000035090000}"/>
    <cellStyle name="Comma 4 3 2 2 4 3 2" xfId="13884" xr:uid="{74CFA177-1435-49DE-B81F-5A5D22AC95D6}"/>
    <cellStyle name="Comma 4 3 2 2 4 4" xfId="9666" xr:uid="{501E8F62-DCFF-4CE8-A103-34AEA49D1845}"/>
    <cellStyle name="Comma 4 3 2 2 5" xfId="1550" xr:uid="{00000000-0005-0000-0000-000036090000}"/>
    <cellStyle name="Comma 4 3 2 2 5 2" xfId="3780" xr:uid="{00000000-0005-0000-0000-000037090000}"/>
    <cellStyle name="Comma 4 3 2 2 5 2 2" xfId="8003" xr:uid="{00000000-0005-0000-0000-000038090000}"/>
    <cellStyle name="Comma 4 3 2 2 5 2 2 2" xfId="16442" xr:uid="{94426A1E-5F80-4B6A-B96B-966E117F1D7F}"/>
    <cellStyle name="Comma 4 3 2 2 5 2 3" xfId="12224" xr:uid="{50666851-2FA8-4E65-909A-C57A3F46901F}"/>
    <cellStyle name="Comma 4 3 2 2 5 3" xfId="5858" xr:uid="{00000000-0005-0000-0000-000039090000}"/>
    <cellStyle name="Comma 4 3 2 2 5 3 2" xfId="14297" xr:uid="{FD4A500B-DBDC-4BFC-ACF0-D9A70AD4AD29}"/>
    <cellStyle name="Comma 4 3 2 2 5 4" xfId="10079" xr:uid="{86CAED15-CD42-40F5-8F4F-85990357F69C}"/>
    <cellStyle name="Comma 4 3 2 2 6" xfId="1964" xr:uid="{00000000-0005-0000-0000-00003A090000}"/>
    <cellStyle name="Comma 4 3 2 2 6 2" xfId="4193" xr:uid="{00000000-0005-0000-0000-00003B090000}"/>
    <cellStyle name="Comma 4 3 2 2 6 2 2" xfId="8416" xr:uid="{00000000-0005-0000-0000-00003C090000}"/>
    <cellStyle name="Comma 4 3 2 2 6 2 2 2" xfId="16855" xr:uid="{156C6EB7-1161-46D4-9CA3-4A1A3F40C5BD}"/>
    <cellStyle name="Comma 4 3 2 2 6 2 3" xfId="12637" xr:uid="{68E27DB3-462F-4BB6-8AB4-A58B9EF472C8}"/>
    <cellStyle name="Comma 4 3 2 2 6 3" xfId="6271" xr:uid="{00000000-0005-0000-0000-00003D090000}"/>
    <cellStyle name="Comma 4 3 2 2 6 3 2" xfId="14710" xr:uid="{5DA2C3E4-F4A4-4A9D-B4C7-CE062FE0961F}"/>
    <cellStyle name="Comma 4 3 2 2 6 4" xfId="10492" xr:uid="{186770BF-4B22-4AEA-B5C7-49B3202DA322}"/>
    <cellStyle name="Comma 4 3 2 2 7" xfId="2399" xr:uid="{00000000-0005-0000-0000-00003E090000}"/>
    <cellStyle name="Comma 4 3 2 2 7 2" xfId="6684" xr:uid="{00000000-0005-0000-0000-00003F090000}"/>
    <cellStyle name="Comma 4 3 2 2 7 2 2" xfId="15123" xr:uid="{7B5E728D-85B1-412D-8119-5558E997CEFF}"/>
    <cellStyle name="Comma 4 3 2 2 7 3" xfId="10905" xr:uid="{A1614C45-F188-4F74-8CC3-377CBBFA1B91}"/>
    <cellStyle name="Comma 4 3 2 2 8" xfId="2364" xr:uid="{00000000-0005-0000-0000-000040090000}"/>
    <cellStyle name="Comma 4 3 2 2 9" xfId="2777" xr:uid="{00000000-0005-0000-0000-000041090000}"/>
    <cellStyle name="Comma 4 3 2 2 9 2" xfId="7001" xr:uid="{00000000-0005-0000-0000-000042090000}"/>
    <cellStyle name="Comma 4 3 2 2 9 2 2" xfId="15440" xr:uid="{948A91E2-AFCC-44CA-8E09-0DD387111AE1}"/>
    <cellStyle name="Comma 4 3 2 2 9 3" xfId="11222" xr:uid="{3C9DA29A-093C-4271-B376-B02A33E2E41A}"/>
    <cellStyle name="Comma 4 3 2 3" xfId="148" xr:uid="{00000000-0005-0000-0000-000043090000}"/>
    <cellStyle name="Comma 4 3 2 3 10" xfId="8841" xr:uid="{41304A67-B214-43D6-8F0C-B331AC15A2E8}"/>
    <cellStyle name="Comma 4 3 2 3 2" xfId="685" xr:uid="{00000000-0005-0000-0000-000044090000}"/>
    <cellStyle name="Comma 4 3 2 3 2 2" xfId="2956" xr:uid="{00000000-0005-0000-0000-000045090000}"/>
    <cellStyle name="Comma 4 3 2 3 2 2 2" xfId="7179" xr:uid="{00000000-0005-0000-0000-000046090000}"/>
    <cellStyle name="Comma 4 3 2 3 2 2 2 2" xfId="15618" xr:uid="{ACB49C2E-56F5-4B0E-A8D5-02715BAF2E36}"/>
    <cellStyle name="Comma 4 3 2 3 2 2 3" xfId="11400" xr:uid="{A39FB9B0-F340-4E03-AD42-36CFA8CF4D4B}"/>
    <cellStyle name="Comma 4 3 2 3 2 3" xfId="5034" xr:uid="{00000000-0005-0000-0000-000047090000}"/>
    <cellStyle name="Comma 4 3 2 3 2 3 2" xfId="13473" xr:uid="{F250E83B-C85B-42D1-9C75-BAF8710E8C17}"/>
    <cellStyle name="Comma 4 3 2 3 2 4" xfId="9255" xr:uid="{2379CA2B-D479-4CE7-9E8D-B0879E282D13}"/>
    <cellStyle name="Comma 4 3 2 3 3" xfId="1138" xr:uid="{00000000-0005-0000-0000-000048090000}"/>
    <cellStyle name="Comma 4 3 2 3 3 2" xfId="3369" xr:uid="{00000000-0005-0000-0000-000049090000}"/>
    <cellStyle name="Comma 4 3 2 3 3 2 2" xfId="7592" xr:uid="{00000000-0005-0000-0000-00004A090000}"/>
    <cellStyle name="Comma 4 3 2 3 3 2 2 2" xfId="16031" xr:uid="{F75BEB3B-951F-4ACA-82DE-04162A49D96C}"/>
    <cellStyle name="Comma 4 3 2 3 3 2 3" xfId="11813" xr:uid="{75A01C71-2FB9-449F-9043-346E46E5456E}"/>
    <cellStyle name="Comma 4 3 2 3 3 3" xfId="5447" xr:uid="{00000000-0005-0000-0000-00004B090000}"/>
    <cellStyle name="Comma 4 3 2 3 3 3 2" xfId="13886" xr:uid="{5553E226-1550-4918-8B1C-F99879735F68}"/>
    <cellStyle name="Comma 4 3 2 3 3 4" xfId="9668" xr:uid="{978E8F62-B944-45F9-82A2-763D44B59085}"/>
    <cellStyle name="Comma 4 3 2 3 4" xfId="1552" xr:uid="{00000000-0005-0000-0000-00004C090000}"/>
    <cellStyle name="Comma 4 3 2 3 4 2" xfId="3782" xr:uid="{00000000-0005-0000-0000-00004D090000}"/>
    <cellStyle name="Comma 4 3 2 3 4 2 2" xfId="8005" xr:uid="{00000000-0005-0000-0000-00004E090000}"/>
    <cellStyle name="Comma 4 3 2 3 4 2 2 2" xfId="16444" xr:uid="{FFA118DD-A9B2-4C75-8778-80C26E404738}"/>
    <cellStyle name="Comma 4 3 2 3 4 2 3" xfId="12226" xr:uid="{BC21D69B-416B-4A8A-AF25-01A5E12CF198}"/>
    <cellStyle name="Comma 4 3 2 3 4 3" xfId="5860" xr:uid="{00000000-0005-0000-0000-00004F090000}"/>
    <cellStyle name="Comma 4 3 2 3 4 3 2" xfId="14299" xr:uid="{CEA19369-4A1E-4C9F-BE45-510B82E661DD}"/>
    <cellStyle name="Comma 4 3 2 3 4 4" xfId="10081" xr:uid="{472D43DD-37E5-4A10-AAE8-D9F87C3B60DB}"/>
    <cellStyle name="Comma 4 3 2 3 5" xfId="1966" xr:uid="{00000000-0005-0000-0000-000050090000}"/>
    <cellStyle name="Comma 4 3 2 3 5 2" xfId="4195" xr:uid="{00000000-0005-0000-0000-000051090000}"/>
    <cellStyle name="Comma 4 3 2 3 5 2 2" xfId="8418" xr:uid="{00000000-0005-0000-0000-000052090000}"/>
    <cellStyle name="Comma 4 3 2 3 5 2 2 2" xfId="16857" xr:uid="{0BFF0FE8-C26C-4C54-83D2-4F2637F68523}"/>
    <cellStyle name="Comma 4 3 2 3 5 2 3" xfId="12639" xr:uid="{418584ED-FE02-4B7E-9D3E-E56A68A33490}"/>
    <cellStyle name="Comma 4 3 2 3 5 3" xfId="6273" xr:uid="{00000000-0005-0000-0000-000053090000}"/>
    <cellStyle name="Comma 4 3 2 3 5 3 2" xfId="14712" xr:uid="{CD271A26-6BFA-4DDF-8E07-1EB6B9F8E85E}"/>
    <cellStyle name="Comma 4 3 2 3 5 4" xfId="10494" xr:uid="{0231A958-2CFE-4590-AFFC-C1F61ECB8729}"/>
    <cellStyle name="Comma 4 3 2 3 6" xfId="2401" xr:uid="{00000000-0005-0000-0000-000054090000}"/>
    <cellStyle name="Comma 4 3 2 3 6 2" xfId="6686" xr:uid="{00000000-0005-0000-0000-000055090000}"/>
    <cellStyle name="Comma 4 3 2 3 6 2 2" xfId="15125" xr:uid="{F105E160-809A-4619-B6B7-D1F5DDC08E63}"/>
    <cellStyle name="Comma 4 3 2 3 6 3" xfId="10907" xr:uid="{39D028C2-28FD-4598-B44B-F9B0805B14CD}"/>
    <cellStyle name="Comma 4 3 2 3 7" xfId="2362" xr:uid="{00000000-0005-0000-0000-000056090000}"/>
    <cellStyle name="Comma 4 3 2 3 8" xfId="2779" xr:uid="{00000000-0005-0000-0000-000057090000}"/>
    <cellStyle name="Comma 4 3 2 3 8 2" xfId="7003" xr:uid="{00000000-0005-0000-0000-000058090000}"/>
    <cellStyle name="Comma 4 3 2 3 8 2 2" xfId="15442" xr:uid="{09083917-4838-4A24-9FF9-4BA30E585EF7}"/>
    <cellStyle name="Comma 4 3 2 3 8 3" xfId="11224" xr:uid="{8C14F5A4-4EE0-44F7-8F27-7B9855180458}"/>
    <cellStyle name="Comma 4 3 2 3 9" xfId="4620" xr:uid="{00000000-0005-0000-0000-000059090000}"/>
    <cellStyle name="Comma 4 3 2 3 9 2" xfId="13059" xr:uid="{EB431FA7-6ACB-4C62-8985-C69D17CA5209}"/>
    <cellStyle name="Comma 4 3 2 4" xfId="682" xr:uid="{00000000-0005-0000-0000-00005A090000}"/>
    <cellStyle name="Comma 4 3 2 4 2" xfId="2953" xr:uid="{00000000-0005-0000-0000-00005B090000}"/>
    <cellStyle name="Comma 4 3 2 4 2 2" xfId="7176" xr:uid="{00000000-0005-0000-0000-00005C090000}"/>
    <cellStyle name="Comma 4 3 2 4 2 2 2" xfId="15615" xr:uid="{1A57FA64-816D-4012-B68F-29D1B872EC04}"/>
    <cellStyle name="Comma 4 3 2 4 2 3" xfId="11397" xr:uid="{51DB0D5D-D8C0-40B7-B597-E6079FD2241B}"/>
    <cellStyle name="Comma 4 3 2 4 3" xfId="5031" xr:uid="{00000000-0005-0000-0000-00005D090000}"/>
    <cellStyle name="Comma 4 3 2 4 3 2" xfId="13470" xr:uid="{F4788E91-55E0-4C9D-BAC6-DBD9FB4F7FCD}"/>
    <cellStyle name="Comma 4 3 2 4 4" xfId="9252" xr:uid="{AFA30BFC-DFFD-453E-BECA-02FFC3BF52D1}"/>
    <cellStyle name="Comma 4 3 2 5" xfId="1135" xr:uid="{00000000-0005-0000-0000-00005E090000}"/>
    <cellStyle name="Comma 4 3 2 5 2" xfId="3366" xr:uid="{00000000-0005-0000-0000-00005F090000}"/>
    <cellStyle name="Comma 4 3 2 5 2 2" xfId="7589" xr:uid="{00000000-0005-0000-0000-000060090000}"/>
    <cellStyle name="Comma 4 3 2 5 2 2 2" xfId="16028" xr:uid="{3408351E-69B5-4149-A0B8-479407710F23}"/>
    <cellStyle name="Comma 4 3 2 5 2 3" xfId="11810" xr:uid="{125B9B96-FC11-4026-A818-1F5EC3238678}"/>
    <cellStyle name="Comma 4 3 2 5 3" xfId="5444" xr:uid="{00000000-0005-0000-0000-000061090000}"/>
    <cellStyle name="Comma 4 3 2 5 3 2" xfId="13883" xr:uid="{EB375A78-234A-4567-9536-3C1F9DFD7E10}"/>
    <cellStyle name="Comma 4 3 2 5 4" xfId="9665" xr:uid="{176A8D91-A787-4CAB-97E9-F766BC171CA6}"/>
    <cellStyle name="Comma 4 3 2 6" xfId="1549" xr:uid="{00000000-0005-0000-0000-000062090000}"/>
    <cellStyle name="Comma 4 3 2 6 2" xfId="3779" xr:uid="{00000000-0005-0000-0000-000063090000}"/>
    <cellStyle name="Comma 4 3 2 6 2 2" xfId="8002" xr:uid="{00000000-0005-0000-0000-000064090000}"/>
    <cellStyle name="Comma 4 3 2 6 2 2 2" xfId="16441" xr:uid="{F99EC19A-7343-459D-B235-21A1B7A0A736}"/>
    <cellStyle name="Comma 4 3 2 6 2 3" xfId="12223" xr:uid="{5F18481C-5FEE-4044-BB9E-4C06C69E24A7}"/>
    <cellStyle name="Comma 4 3 2 6 3" xfId="5857" xr:uid="{00000000-0005-0000-0000-000065090000}"/>
    <cellStyle name="Comma 4 3 2 6 3 2" xfId="14296" xr:uid="{CB8B9885-A039-4522-B947-23B3D9644BE0}"/>
    <cellStyle name="Comma 4 3 2 6 4" xfId="10078" xr:uid="{239B65C0-908E-4B4F-BE34-8F855819F2AA}"/>
    <cellStyle name="Comma 4 3 2 7" xfId="1963" xr:uid="{00000000-0005-0000-0000-000066090000}"/>
    <cellStyle name="Comma 4 3 2 7 2" xfId="4192" xr:uid="{00000000-0005-0000-0000-000067090000}"/>
    <cellStyle name="Comma 4 3 2 7 2 2" xfId="8415" xr:uid="{00000000-0005-0000-0000-000068090000}"/>
    <cellStyle name="Comma 4 3 2 7 2 2 2" xfId="16854" xr:uid="{8A701FCD-4810-4349-BD08-E0522073BD63}"/>
    <cellStyle name="Comma 4 3 2 7 2 3" xfId="12636" xr:uid="{1CA1AFEB-039E-48A2-AF08-74E921D7FA44}"/>
    <cellStyle name="Comma 4 3 2 7 3" xfId="6270" xr:uid="{00000000-0005-0000-0000-000069090000}"/>
    <cellStyle name="Comma 4 3 2 7 3 2" xfId="14709" xr:uid="{4B1C1FCF-B7AE-444F-BAC9-7A72B296CB54}"/>
    <cellStyle name="Comma 4 3 2 7 4" xfId="10491" xr:uid="{8716C0E0-2DEF-4732-A353-154F6CA579B6}"/>
    <cellStyle name="Comma 4 3 2 8" xfId="2398" xr:uid="{00000000-0005-0000-0000-00006A090000}"/>
    <cellStyle name="Comma 4 3 2 8 2" xfId="6683" xr:uid="{00000000-0005-0000-0000-00006B090000}"/>
    <cellStyle name="Comma 4 3 2 8 2 2" xfId="15122" xr:uid="{84FD2217-E686-4B15-9AC6-233F2312B3AA}"/>
    <cellStyle name="Comma 4 3 2 8 3" xfId="10904" xr:uid="{C9D12D15-98A6-44D0-874C-C844E5F76492}"/>
    <cellStyle name="Comma 4 3 2 9" xfId="2365" xr:uid="{00000000-0005-0000-0000-00006C090000}"/>
    <cellStyle name="Comma 4 3 3" xfId="149" xr:uid="{00000000-0005-0000-0000-00006D090000}"/>
    <cellStyle name="Comma 4 3 3 10" xfId="4621" xr:uid="{00000000-0005-0000-0000-00006E090000}"/>
    <cellStyle name="Comma 4 3 3 10 2" xfId="13060" xr:uid="{A04AABD3-4BFC-40BE-9CE2-BA8B0029337E}"/>
    <cellStyle name="Comma 4 3 3 11" xfId="8842" xr:uid="{B74D9E66-F8C6-4E1A-9D24-6105049823A7}"/>
    <cellStyle name="Comma 4 3 3 2" xfId="150" xr:uid="{00000000-0005-0000-0000-00006F090000}"/>
    <cellStyle name="Comma 4 3 3 2 10" xfId="8843" xr:uid="{37175082-9224-4E25-8547-0415C804F1FB}"/>
    <cellStyle name="Comma 4 3 3 2 2" xfId="687" xr:uid="{00000000-0005-0000-0000-000070090000}"/>
    <cellStyle name="Comma 4 3 3 2 2 2" xfId="2958" xr:uid="{00000000-0005-0000-0000-000071090000}"/>
    <cellStyle name="Comma 4 3 3 2 2 2 2" xfId="7181" xr:uid="{00000000-0005-0000-0000-000072090000}"/>
    <cellStyle name="Comma 4 3 3 2 2 2 2 2" xfId="15620" xr:uid="{97C5C608-B943-48EF-AFE1-287C7398DE09}"/>
    <cellStyle name="Comma 4 3 3 2 2 2 3" xfId="11402" xr:uid="{22EE7561-DC40-4A69-AFFB-8A58BF751607}"/>
    <cellStyle name="Comma 4 3 3 2 2 3" xfId="5036" xr:uid="{00000000-0005-0000-0000-000073090000}"/>
    <cellStyle name="Comma 4 3 3 2 2 3 2" xfId="13475" xr:uid="{3A12286F-B90D-451A-B104-5BB3F69028AC}"/>
    <cellStyle name="Comma 4 3 3 2 2 4" xfId="9257" xr:uid="{7FB4DA8F-0E46-43E5-9284-4E2CF3A08628}"/>
    <cellStyle name="Comma 4 3 3 2 3" xfId="1140" xr:uid="{00000000-0005-0000-0000-000074090000}"/>
    <cellStyle name="Comma 4 3 3 2 3 2" xfId="3371" xr:uid="{00000000-0005-0000-0000-000075090000}"/>
    <cellStyle name="Comma 4 3 3 2 3 2 2" xfId="7594" xr:uid="{00000000-0005-0000-0000-000076090000}"/>
    <cellStyle name="Comma 4 3 3 2 3 2 2 2" xfId="16033" xr:uid="{0DA39382-30E3-4CA8-844B-F9F1A669B05A}"/>
    <cellStyle name="Comma 4 3 3 2 3 2 3" xfId="11815" xr:uid="{4593FEF8-D6E3-480F-9276-B7D19A838536}"/>
    <cellStyle name="Comma 4 3 3 2 3 3" xfId="5449" xr:uid="{00000000-0005-0000-0000-000077090000}"/>
    <cellStyle name="Comma 4 3 3 2 3 3 2" xfId="13888" xr:uid="{225EE081-F9C0-4191-A42D-0D4DB7E41490}"/>
    <cellStyle name="Comma 4 3 3 2 3 4" xfId="9670" xr:uid="{FEEF24F4-34A0-4D31-AF36-DDC46BEEF733}"/>
    <cellStyle name="Comma 4 3 3 2 4" xfId="1554" xr:uid="{00000000-0005-0000-0000-000078090000}"/>
    <cellStyle name="Comma 4 3 3 2 4 2" xfId="3784" xr:uid="{00000000-0005-0000-0000-000079090000}"/>
    <cellStyle name="Comma 4 3 3 2 4 2 2" xfId="8007" xr:uid="{00000000-0005-0000-0000-00007A090000}"/>
    <cellStyle name="Comma 4 3 3 2 4 2 2 2" xfId="16446" xr:uid="{813B0D6C-D313-43FF-8082-C6AAB41728FF}"/>
    <cellStyle name="Comma 4 3 3 2 4 2 3" xfId="12228" xr:uid="{EA5706C1-1B0D-40E4-AD0E-8662FA714984}"/>
    <cellStyle name="Comma 4 3 3 2 4 3" xfId="5862" xr:uid="{00000000-0005-0000-0000-00007B090000}"/>
    <cellStyle name="Comma 4 3 3 2 4 3 2" xfId="14301" xr:uid="{E641C675-396D-4B48-9A12-108A2060C5CA}"/>
    <cellStyle name="Comma 4 3 3 2 4 4" xfId="10083" xr:uid="{6FE07B36-A968-4795-8FDF-42517950A0D7}"/>
    <cellStyle name="Comma 4 3 3 2 5" xfId="1968" xr:uid="{00000000-0005-0000-0000-00007C090000}"/>
    <cellStyle name="Comma 4 3 3 2 5 2" xfId="4197" xr:uid="{00000000-0005-0000-0000-00007D090000}"/>
    <cellStyle name="Comma 4 3 3 2 5 2 2" xfId="8420" xr:uid="{00000000-0005-0000-0000-00007E090000}"/>
    <cellStyle name="Comma 4 3 3 2 5 2 2 2" xfId="16859" xr:uid="{811048B4-8D31-4800-8DD4-D45C2C87D0C9}"/>
    <cellStyle name="Comma 4 3 3 2 5 2 3" xfId="12641" xr:uid="{A69A8671-7A8C-4BB3-AD48-E3C55444DC61}"/>
    <cellStyle name="Comma 4 3 3 2 5 3" xfId="6275" xr:uid="{00000000-0005-0000-0000-00007F090000}"/>
    <cellStyle name="Comma 4 3 3 2 5 3 2" xfId="14714" xr:uid="{5C61DA29-0B2C-4ECD-AFD6-F2CEBE7EBF3B}"/>
    <cellStyle name="Comma 4 3 3 2 5 4" xfId="10496" xr:uid="{8B45F971-E137-4E3A-9AA6-CF2DC8AFEB05}"/>
    <cellStyle name="Comma 4 3 3 2 6" xfId="2403" xr:uid="{00000000-0005-0000-0000-000080090000}"/>
    <cellStyle name="Comma 4 3 3 2 6 2" xfId="6688" xr:uid="{00000000-0005-0000-0000-000081090000}"/>
    <cellStyle name="Comma 4 3 3 2 6 2 2" xfId="15127" xr:uid="{159467A2-621C-4652-97B7-092EE339EFCE}"/>
    <cellStyle name="Comma 4 3 3 2 6 3" xfId="10909" xr:uid="{352D3CAC-8C11-4D78-BB3B-C5A715DDDBF3}"/>
    <cellStyle name="Comma 4 3 3 2 7" xfId="2360" xr:uid="{00000000-0005-0000-0000-000082090000}"/>
    <cellStyle name="Comma 4 3 3 2 8" xfId="2781" xr:uid="{00000000-0005-0000-0000-000083090000}"/>
    <cellStyle name="Comma 4 3 3 2 8 2" xfId="7005" xr:uid="{00000000-0005-0000-0000-000084090000}"/>
    <cellStyle name="Comma 4 3 3 2 8 2 2" xfId="15444" xr:uid="{0C91FBA3-B06A-40CC-BEF9-1557EA080800}"/>
    <cellStyle name="Comma 4 3 3 2 8 3" xfId="11226" xr:uid="{E5A95281-5587-4C8C-968A-8C4834A8FE69}"/>
    <cellStyle name="Comma 4 3 3 2 9" xfId="4622" xr:uid="{00000000-0005-0000-0000-000085090000}"/>
    <cellStyle name="Comma 4 3 3 2 9 2" xfId="13061" xr:uid="{94D880A3-5252-4740-BE8E-324F58D60501}"/>
    <cellStyle name="Comma 4 3 3 3" xfId="686" xr:uid="{00000000-0005-0000-0000-000086090000}"/>
    <cellStyle name="Comma 4 3 3 3 2" xfId="2957" xr:uid="{00000000-0005-0000-0000-000087090000}"/>
    <cellStyle name="Comma 4 3 3 3 2 2" xfId="7180" xr:uid="{00000000-0005-0000-0000-000088090000}"/>
    <cellStyle name="Comma 4 3 3 3 2 2 2" xfId="15619" xr:uid="{3CA3BBDF-6255-4942-A6D4-46ED1B2EAE19}"/>
    <cellStyle name="Comma 4 3 3 3 2 3" xfId="11401" xr:uid="{DDB1F94C-2754-4797-91DF-5EFBB00DCA80}"/>
    <cellStyle name="Comma 4 3 3 3 3" xfId="5035" xr:uid="{00000000-0005-0000-0000-000089090000}"/>
    <cellStyle name="Comma 4 3 3 3 3 2" xfId="13474" xr:uid="{EA44B497-70D3-459C-8F6D-E2235656B670}"/>
    <cellStyle name="Comma 4 3 3 3 4" xfId="9256" xr:uid="{85418D6A-5026-4B9E-A66C-47A6ED10A887}"/>
    <cellStyle name="Comma 4 3 3 4" xfId="1139" xr:uid="{00000000-0005-0000-0000-00008A090000}"/>
    <cellStyle name="Comma 4 3 3 4 2" xfId="3370" xr:uid="{00000000-0005-0000-0000-00008B090000}"/>
    <cellStyle name="Comma 4 3 3 4 2 2" xfId="7593" xr:uid="{00000000-0005-0000-0000-00008C090000}"/>
    <cellStyle name="Comma 4 3 3 4 2 2 2" xfId="16032" xr:uid="{48CDF035-B5F1-47E0-962F-52A914F95C0B}"/>
    <cellStyle name="Comma 4 3 3 4 2 3" xfId="11814" xr:uid="{3FEFA667-84AA-4032-8142-1D6D1E1AD342}"/>
    <cellStyle name="Comma 4 3 3 4 3" xfId="5448" xr:uid="{00000000-0005-0000-0000-00008D090000}"/>
    <cellStyle name="Comma 4 3 3 4 3 2" xfId="13887" xr:uid="{99F71EC3-61AD-435E-9D4C-95DC5F63030B}"/>
    <cellStyle name="Comma 4 3 3 4 4" xfId="9669" xr:uid="{F99BED4D-E728-4967-917E-6CAECDA52CF4}"/>
    <cellStyle name="Comma 4 3 3 5" xfId="1553" xr:uid="{00000000-0005-0000-0000-00008E090000}"/>
    <cellStyle name="Comma 4 3 3 5 2" xfId="3783" xr:uid="{00000000-0005-0000-0000-00008F090000}"/>
    <cellStyle name="Comma 4 3 3 5 2 2" xfId="8006" xr:uid="{00000000-0005-0000-0000-000090090000}"/>
    <cellStyle name="Comma 4 3 3 5 2 2 2" xfId="16445" xr:uid="{1D9BE0C0-EB53-451D-B2F3-1AD0939C91FD}"/>
    <cellStyle name="Comma 4 3 3 5 2 3" xfId="12227" xr:uid="{2498D1A0-EBC1-4D30-8224-AA2FEB73A111}"/>
    <cellStyle name="Comma 4 3 3 5 3" xfId="5861" xr:uid="{00000000-0005-0000-0000-000091090000}"/>
    <cellStyle name="Comma 4 3 3 5 3 2" xfId="14300" xr:uid="{6D2CA9A7-5274-464F-903F-5F000C360409}"/>
    <cellStyle name="Comma 4 3 3 5 4" xfId="10082" xr:uid="{77B0F4DA-8D8B-4A75-B648-CE704DA21BA0}"/>
    <cellStyle name="Comma 4 3 3 6" xfId="1967" xr:uid="{00000000-0005-0000-0000-000092090000}"/>
    <cellStyle name="Comma 4 3 3 6 2" xfId="4196" xr:uid="{00000000-0005-0000-0000-000093090000}"/>
    <cellStyle name="Comma 4 3 3 6 2 2" xfId="8419" xr:uid="{00000000-0005-0000-0000-000094090000}"/>
    <cellStyle name="Comma 4 3 3 6 2 2 2" xfId="16858" xr:uid="{D1730A15-9E36-4651-A96A-F61FF57D5553}"/>
    <cellStyle name="Comma 4 3 3 6 2 3" xfId="12640" xr:uid="{0BF89ADB-6E12-4BDF-8240-2F0FDDD585DA}"/>
    <cellStyle name="Comma 4 3 3 6 3" xfId="6274" xr:uid="{00000000-0005-0000-0000-000095090000}"/>
    <cellStyle name="Comma 4 3 3 6 3 2" xfId="14713" xr:uid="{0600EA68-5D25-464F-BF17-4A434E0019E6}"/>
    <cellStyle name="Comma 4 3 3 6 4" xfId="10495" xr:uid="{528C8479-089F-4F9C-A21D-6A503160261E}"/>
    <cellStyle name="Comma 4 3 3 7" xfId="2402" xr:uid="{00000000-0005-0000-0000-000096090000}"/>
    <cellStyle name="Comma 4 3 3 7 2" xfId="6687" xr:uid="{00000000-0005-0000-0000-000097090000}"/>
    <cellStyle name="Comma 4 3 3 7 2 2" xfId="15126" xr:uid="{9662E56C-3483-4263-95DE-1A1EEE224E97}"/>
    <cellStyle name="Comma 4 3 3 7 3" xfId="10908" xr:uid="{E4977462-D116-474D-A82C-42A46D17D1C6}"/>
    <cellStyle name="Comma 4 3 3 8" xfId="2361" xr:uid="{00000000-0005-0000-0000-000098090000}"/>
    <cellStyle name="Comma 4 3 3 9" xfId="2780" xr:uid="{00000000-0005-0000-0000-000099090000}"/>
    <cellStyle name="Comma 4 3 3 9 2" xfId="7004" xr:uid="{00000000-0005-0000-0000-00009A090000}"/>
    <cellStyle name="Comma 4 3 3 9 2 2" xfId="15443" xr:uid="{A5339D95-66A7-4D84-A6C8-039769A9071E}"/>
    <cellStyle name="Comma 4 3 3 9 3" xfId="11225" xr:uid="{7F5BD8C2-F51E-48EF-B1D3-A64EF85B97A0}"/>
    <cellStyle name="Comma 4 3 4" xfId="151" xr:uid="{00000000-0005-0000-0000-00009B090000}"/>
    <cellStyle name="Comma 4 3 4 10" xfId="8844" xr:uid="{765ECCAB-F7A8-4192-82EC-36729819D529}"/>
    <cellStyle name="Comma 4 3 4 2" xfId="688" xr:uid="{00000000-0005-0000-0000-00009C090000}"/>
    <cellStyle name="Comma 4 3 4 2 2" xfId="2959" xr:uid="{00000000-0005-0000-0000-00009D090000}"/>
    <cellStyle name="Comma 4 3 4 2 2 2" xfId="7182" xr:uid="{00000000-0005-0000-0000-00009E090000}"/>
    <cellStyle name="Comma 4 3 4 2 2 2 2" xfId="15621" xr:uid="{03A33238-EE23-4361-9D55-7E60D9B7FB7F}"/>
    <cellStyle name="Comma 4 3 4 2 2 3" xfId="11403" xr:uid="{D8E9DC29-2D64-4CCF-8BC4-6C3D3CC5DF53}"/>
    <cellStyle name="Comma 4 3 4 2 3" xfId="5037" xr:uid="{00000000-0005-0000-0000-00009F090000}"/>
    <cellStyle name="Comma 4 3 4 2 3 2" xfId="13476" xr:uid="{0397132A-D50D-419C-99B9-53A44070D6BB}"/>
    <cellStyle name="Comma 4 3 4 2 4" xfId="9258" xr:uid="{A94E90FD-32BA-404B-8F51-6447F268B365}"/>
    <cellStyle name="Comma 4 3 4 3" xfId="1141" xr:uid="{00000000-0005-0000-0000-0000A0090000}"/>
    <cellStyle name="Comma 4 3 4 3 2" xfId="3372" xr:uid="{00000000-0005-0000-0000-0000A1090000}"/>
    <cellStyle name="Comma 4 3 4 3 2 2" xfId="7595" xr:uid="{00000000-0005-0000-0000-0000A2090000}"/>
    <cellStyle name="Comma 4 3 4 3 2 2 2" xfId="16034" xr:uid="{AAE203F2-34B8-4A6C-913C-B69FD5CA6204}"/>
    <cellStyle name="Comma 4 3 4 3 2 3" xfId="11816" xr:uid="{BEFC2C71-C338-480A-82D6-02B122FC2B5A}"/>
    <cellStyle name="Comma 4 3 4 3 3" xfId="5450" xr:uid="{00000000-0005-0000-0000-0000A3090000}"/>
    <cellStyle name="Comma 4 3 4 3 3 2" xfId="13889" xr:uid="{0BDBDFEB-5E1C-454E-A3C8-2F449C905E23}"/>
    <cellStyle name="Comma 4 3 4 3 4" xfId="9671" xr:uid="{310BBB62-EE39-4003-8DC2-7996F4272F46}"/>
    <cellStyle name="Comma 4 3 4 4" xfId="1555" xr:uid="{00000000-0005-0000-0000-0000A4090000}"/>
    <cellStyle name="Comma 4 3 4 4 2" xfId="3785" xr:uid="{00000000-0005-0000-0000-0000A5090000}"/>
    <cellStyle name="Comma 4 3 4 4 2 2" xfId="8008" xr:uid="{00000000-0005-0000-0000-0000A6090000}"/>
    <cellStyle name="Comma 4 3 4 4 2 2 2" xfId="16447" xr:uid="{440D4134-F374-4333-BF3E-6687407AEC56}"/>
    <cellStyle name="Comma 4 3 4 4 2 3" xfId="12229" xr:uid="{DB570A25-97B7-41CB-BB1A-3CD7FAA298F1}"/>
    <cellStyle name="Comma 4 3 4 4 3" xfId="5863" xr:uid="{00000000-0005-0000-0000-0000A7090000}"/>
    <cellStyle name="Comma 4 3 4 4 3 2" xfId="14302" xr:uid="{C8CC0AC7-EFB5-4B0D-8878-42BAC14ABCF1}"/>
    <cellStyle name="Comma 4 3 4 4 4" xfId="10084" xr:uid="{C83AAFC7-9772-42D5-9074-50B1ACF1C858}"/>
    <cellStyle name="Comma 4 3 4 5" xfId="1969" xr:uid="{00000000-0005-0000-0000-0000A8090000}"/>
    <cellStyle name="Comma 4 3 4 5 2" xfId="4198" xr:uid="{00000000-0005-0000-0000-0000A9090000}"/>
    <cellStyle name="Comma 4 3 4 5 2 2" xfId="8421" xr:uid="{00000000-0005-0000-0000-0000AA090000}"/>
    <cellStyle name="Comma 4 3 4 5 2 2 2" xfId="16860" xr:uid="{077050EE-8495-48FF-A83F-7B7488427D20}"/>
    <cellStyle name="Comma 4 3 4 5 2 3" xfId="12642" xr:uid="{963DC977-E5EA-48F2-8F2F-D8215F15203E}"/>
    <cellStyle name="Comma 4 3 4 5 3" xfId="6276" xr:uid="{00000000-0005-0000-0000-0000AB090000}"/>
    <cellStyle name="Comma 4 3 4 5 3 2" xfId="14715" xr:uid="{89A25D53-1514-417D-9489-6A74F6B5948A}"/>
    <cellStyle name="Comma 4 3 4 5 4" xfId="10497" xr:uid="{1786A95D-2FA3-4099-A669-CC24C9419CAF}"/>
    <cellStyle name="Comma 4 3 4 6" xfId="2404" xr:uid="{00000000-0005-0000-0000-0000AC090000}"/>
    <cellStyle name="Comma 4 3 4 6 2" xfId="6689" xr:uid="{00000000-0005-0000-0000-0000AD090000}"/>
    <cellStyle name="Comma 4 3 4 6 2 2" xfId="15128" xr:uid="{E24E66B4-4CD3-4BBA-94EB-395DE193C71F}"/>
    <cellStyle name="Comma 4 3 4 6 3" xfId="10910" xr:uid="{EE47D95A-F897-4492-A7BB-48BCBE43F738}"/>
    <cellStyle name="Comma 4 3 4 7" xfId="2700" xr:uid="{00000000-0005-0000-0000-0000AE090000}"/>
    <cellStyle name="Comma 4 3 4 8" xfId="2782" xr:uid="{00000000-0005-0000-0000-0000AF090000}"/>
    <cellStyle name="Comma 4 3 4 8 2" xfId="7006" xr:uid="{00000000-0005-0000-0000-0000B0090000}"/>
    <cellStyle name="Comma 4 3 4 8 2 2" xfId="15445" xr:uid="{323459D5-9CB8-4177-B306-963420843DB2}"/>
    <cellStyle name="Comma 4 3 4 8 3" xfId="11227" xr:uid="{807F6948-FD26-44FE-B8B6-2F07053D6BEA}"/>
    <cellStyle name="Comma 4 3 4 9" xfId="4623" xr:uid="{00000000-0005-0000-0000-0000B1090000}"/>
    <cellStyle name="Comma 4 3 4 9 2" xfId="13062" xr:uid="{C4FD25AE-D1BA-47D3-A4AC-7DAC13628502}"/>
    <cellStyle name="Comma 4 3 5" xfId="152" xr:uid="{00000000-0005-0000-0000-0000B2090000}"/>
    <cellStyle name="Comma 4 3 5 10" xfId="8845" xr:uid="{15717552-9032-46F1-A8B3-5695CBD75120}"/>
    <cellStyle name="Comma 4 3 5 2" xfId="689" xr:uid="{00000000-0005-0000-0000-0000B3090000}"/>
    <cellStyle name="Comma 4 3 5 2 2" xfId="2960" xr:uid="{00000000-0005-0000-0000-0000B4090000}"/>
    <cellStyle name="Comma 4 3 5 2 2 2" xfId="7183" xr:uid="{00000000-0005-0000-0000-0000B5090000}"/>
    <cellStyle name="Comma 4 3 5 2 2 2 2" xfId="15622" xr:uid="{F1387690-2D66-4A2F-83AE-1C86C0127B4C}"/>
    <cellStyle name="Comma 4 3 5 2 2 3" xfId="11404" xr:uid="{8E193845-E382-441B-A737-6BCF69714FB1}"/>
    <cellStyle name="Comma 4 3 5 2 3" xfId="5038" xr:uid="{00000000-0005-0000-0000-0000B6090000}"/>
    <cellStyle name="Comma 4 3 5 2 3 2" xfId="13477" xr:uid="{9AC7C5EA-CA36-48E7-AECE-B87D015C1C6D}"/>
    <cellStyle name="Comma 4 3 5 2 4" xfId="9259" xr:uid="{D802A4E3-02E3-4BF3-B9F9-62931C87B9E1}"/>
    <cellStyle name="Comma 4 3 5 3" xfId="1142" xr:uid="{00000000-0005-0000-0000-0000B7090000}"/>
    <cellStyle name="Comma 4 3 5 3 2" xfId="3373" xr:uid="{00000000-0005-0000-0000-0000B8090000}"/>
    <cellStyle name="Comma 4 3 5 3 2 2" xfId="7596" xr:uid="{00000000-0005-0000-0000-0000B9090000}"/>
    <cellStyle name="Comma 4 3 5 3 2 2 2" xfId="16035" xr:uid="{FFE786C2-3D17-4658-AA50-BB6982CD2BC5}"/>
    <cellStyle name="Comma 4 3 5 3 2 3" xfId="11817" xr:uid="{F18F21EE-1C66-4E3A-8F71-18AFECC5B599}"/>
    <cellStyle name="Comma 4 3 5 3 3" xfId="5451" xr:uid="{00000000-0005-0000-0000-0000BA090000}"/>
    <cellStyle name="Comma 4 3 5 3 3 2" xfId="13890" xr:uid="{9D1741B1-3511-4565-8E98-A1DB9B385EAA}"/>
    <cellStyle name="Comma 4 3 5 3 4" xfId="9672" xr:uid="{4D9DB6BC-4E58-4EFD-AFAD-E329447A5CCD}"/>
    <cellStyle name="Comma 4 3 5 4" xfId="1556" xr:uid="{00000000-0005-0000-0000-0000BB090000}"/>
    <cellStyle name="Comma 4 3 5 4 2" xfId="3786" xr:uid="{00000000-0005-0000-0000-0000BC090000}"/>
    <cellStyle name="Comma 4 3 5 4 2 2" xfId="8009" xr:uid="{00000000-0005-0000-0000-0000BD090000}"/>
    <cellStyle name="Comma 4 3 5 4 2 2 2" xfId="16448" xr:uid="{F604BF4D-2534-42D5-8AD5-92214ED2AE38}"/>
    <cellStyle name="Comma 4 3 5 4 2 3" xfId="12230" xr:uid="{BCAE0264-4384-429B-A05E-3CD4278F02A0}"/>
    <cellStyle name="Comma 4 3 5 4 3" xfId="5864" xr:uid="{00000000-0005-0000-0000-0000BE090000}"/>
    <cellStyle name="Comma 4 3 5 4 3 2" xfId="14303" xr:uid="{25192F4E-AD3C-49F2-904F-C1326518E54A}"/>
    <cellStyle name="Comma 4 3 5 4 4" xfId="10085" xr:uid="{384BA389-3110-44A9-AD71-74D1A2C3987C}"/>
    <cellStyle name="Comma 4 3 5 5" xfId="1970" xr:uid="{00000000-0005-0000-0000-0000BF090000}"/>
    <cellStyle name="Comma 4 3 5 5 2" xfId="4199" xr:uid="{00000000-0005-0000-0000-0000C0090000}"/>
    <cellStyle name="Comma 4 3 5 5 2 2" xfId="8422" xr:uid="{00000000-0005-0000-0000-0000C1090000}"/>
    <cellStyle name="Comma 4 3 5 5 2 2 2" xfId="16861" xr:uid="{CAFC53E2-01BE-4592-B14D-842860A3885E}"/>
    <cellStyle name="Comma 4 3 5 5 2 3" xfId="12643" xr:uid="{5EFA4D19-D54E-44F9-A186-1EC82F679D7E}"/>
    <cellStyle name="Comma 4 3 5 5 3" xfId="6277" xr:uid="{00000000-0005-0000-0000-0000C2090000}"/>
    <cellStyle name="Comma 4 3 5 5 3 2" xfId="14716" xr:uid="{CF5F6155-C084-47A2-83E5-7FC4F85DF836}"/>
    <cellStyle name="Comma 4 3 5 5 4" xfId="10498" xr:uid="{AC94B084-85FD-4F45-9527-DA1B729A0781}"/>
    <cellStyle name="Comma 4 3 5 6" xfId="2405" xr:uid="{00000000-0005-0000-0000-0000C3090000}"/>
    <cellStyle name="Comma 4 3 5 6 2" xfId="6690" xr:uid="{00000000-0005-0000-0000-0000C4090000}"/>
    <cellStyle name="Comma 4 3 5 6 2 2" xfId="15129" xr:uid="{1FF01901-327A-40F0-80CE-8ED1F01AE267}"/>
    <cellStyle name="Comma 4 3 5 6 3" xfId="10911" xr:uid="{689441EB-3933-478F-B0E9-F02D39FBC80D}"/>
    <cellStyle name="Comma 4 3 5 7" xfId="2701" xr:uid="{00000000-0005-0000-0000-0000C5090000}"/>
    <cellStyle name="Comma 4 3 5 8" xfId="2783" xr:uid="{00000000-0005-0000-0000-0000C6090000}"/>
    <cellStyle name="Comma 4 3 5 8 2" xfId="7007" xr:uid="{00000000-0005-0000-0000-0000C7090000}"/>
    <cellStyle name="Comma 4 3 5 8 2 2" xfId="15446" xr:uid="{D28BD140-02DC-4E4D-AB88-E7CB9AC24F27}"/>
    <cellStyle name="Comma 4 3 5 8 3" xfId="11228" xr:uid="{21210867-2B04-418B-B26F-C7FF210964C3}"/>
    <cellStyle name="Comma 4 3 5 9" xfId="4624" xr:uid="{00000000-0005-0000-0000-0000C8090000}"/>
    <cellStyle name="Comma 4 3 5 9 2" xfId="13063" xr:uid="{7DEA0775-ED33-4F5F-A1C0-EB779B8B4707}"/>
    <cellStyle name="Comma 4 4" xfId="153" xr:uid="{00000000-0005-0000-0000-0000C9090000}"/>
    <cellStyle name="Comma 4 4 10" xfId="2784" xr:uid="{00000000-0005-0000-0000-0000CA090000}"/>
    <cellStyle name="Comma 4 4 10 2" xfId="7008" xr:uid="{00000000-0005-0000-0000-0000CB090000}"/>
    <cellStyle name="Comma 4 4 10 2 2" xfId="15447" xr:uid="{92C617FA-762A-4C4F-A135-CCF33E2E884E}"/>
    <cellStyle name="Comma 4 4 10 3" xfId="11229" xr:uid="{EC2572B5-D0A6-40E3-B43A-43B6C51EB58C}"/>
    <cellStyle name="Comma 4 4 11" xfId="4625" xr:uid="{00000000-0005-0000-0000-0000CC090000}"/>
    <cellStyle name="Comma 4 4 11 2" xfId="13064" xr:uid="{00B6F68B-9848-4701-9207-1D22599EA107}"/>
    <cellStyle name="Comma 4 4 12" xfId="8846" xr:uid="{B48E27DB-109A-495A-A3F3-4D84D765181D}"/>
    <cellStyle name="Comma 4 4 2" xfId="154" xr:uid="{00000000-0005-0000-0000-0000CD090000}"/>
    <cellStyle name="Comma 4 4 2 10" xfId="4626" xr:uid="{00000000-0005-0000-0000-0000CE090000}"/>
    <cellStyle name="Comma 4 4 2 10 2" xfId="13065" xr:uid="{B3D0185B-40F1-489B-9C98-8D48356FBED0}"/>
    <cellStyle name="Comma 4 4 2 11" xfId="8847" xr:uid="{1C53C8EE-D6F0-4EEE-B206-038008B635AD}"/>
    <cellStyle name="Comma 4 4 2 2" xfId="155" xr:uid="{00000000-0005-0000-0000-0000CF090000}"/>
    <cellStyle name="Comma 4 4 2 2 10" xfId="8848" xr:uid="{9C6D52E8-38A7-44FD-A695-2FE29CA8CA45}"/>
    <cellStyle name="Comma 4 4 2 2 2" xfId="692" xr:uid="{00000000-0005-0000-0000-0000D0090000}"/>
    <cellStyle name="Comma 4 4 2 2 2 2" xfId="2963" xr:uid="{00000000-0005-0000-0000-0000D1090000}"/>
    <cellStyle name="Comma 4 4 2 2 2 2 2" xfId="7186" xr:uid="{00000000-0005-0000-0000-0000D2090000}"/>
    <cellStyle name="Comma 4 4 2 2 2 2 2 2" xfId="15625" xr:uid="{62FA6E4C-CCD5-45AC-ACB9-00CED7580660}"/>
    <cellStyle name="Comma 4 4 2 2 2 2 3" xfId="11407" xr:uid="{05CEADED-423B-49AE-AD71-16DF0EEB544F}"/>
    <cellStyle name="Comma 4 4 2 2 2 3" xfId="5041" xr:uid="{00000000-0005-0000-0000-0000D3090000}"/>
    <cellStyle name="Comma 4 4 2 2 2 3 2" xfId="13480" xr:uid="{1FF8D7AA-4AFB-4292-85C5-BFE869F3C010}"/>
    <cellStyle name="Comma 4 4 2 2 2 4" xfId="9262" xr:uid="{04C60E2C-0201-4B76-A9D7-2943435AF164}"/>
    <cellStyle name="Comma 4 4 2 2 3" xfId="1145" xr:uid="{00000000-0005-0000-0000-0000D4090000}"/>
    <cellStyle name="Comma 4 4 2 2 3 2" xfId="3376" xr:uid="{00000000-0005-0000-0000-0000D5090000}"/>
    <cellStyle name="Comma 4 4 2 2 3 2 2" xfId="7599" xr:uid="{00000000-0005-0000-0000-0000D6090000}"/>
    <cellStyle name="Comma 4 4 2 2 3 2 2 2" xfId="16038" xr:uid="{8E4E60D1-918E-4BE5-B159-0E313876B12D}"/>
    <cellStyle name="Comma 4 4 2 2 3 2 3" xfId="11820" xr:uid="{AB7A99DB-07EA-4CDC-8515-AD056715F885}"/>
    <cellStyle name="Comma 4 4 2 2 3 3" xfId="5454" xr:uid="{00000000-0005-0000-0000-0000D7090000}"/>
    <cellStyle name="Comma 4 4 2 2 3 3 2" xfId="13893" xr:uid="{9F76DB65-6C5B-4FE3-AE7A-20BD1D0E9343}"/>
    <cellStyle name="Comma 4 4 2 2 3 4" xfId="9675" xr:uid="{51C71C7C-C012-4406-9871-C84D729C840B}"/>
    <cellStyle name="Comma 4 4 2 2 4" xfId="1559" xr:uid="{00000000-0005-0000-0000-0000D8090000}"/>
    <cellStyle name="Comma 4 4 2 2 4 2" xfId="3789" xr:uid="{00000000-0005-0000-0000-0000D9090000}"/>
    <cellStyle name="Comma 4 4 2 2 4 2 2" xfId="8012" xr:uid="{00000000-0005-0000-0000-0000DA090000}"/>
    <cellStyle name="Comma 4 4 2 2 4 2 2 2" xfId="16451" xr:uid="{C3ECA841-E190-4602-8A90-DA49A7C6FF41}"/>
    <cellStyle name="Comma 4 4 2 2 4 2 3" xfId="12233" xr:uid="{2BE17B6F-6774-4925-B849-866BCCAD4AFA}"/>
    <cellStyle name="Comma 4 4 2 2 4 3" xfId="5867" xr:uid="{00000000-0005-0000-0000-0000DB090000}"/>
    <cellStyle name="Comma 4 4 2 2 4 3 2" xfId="14306" xr:uid="{4790CFA2-ED55-4F20-929E-7B9190EEDF40}"/>
    <cellStyle name="Comma 4 4 2 2 4 4" xfId="10088" xr:uid="{119A8B0F-0B00-4688-9B8D-F7F4428DA900}"/>
    <cellStyle name="Comma 4 4 2 2 5" xfId="1973" xr:uid="{00000000-0005-0000-0000-0000DC090000}"/>
    <cellStyle name="Comma 4 4 2 2 5 2" xfId="4202" xr:uid="{00000000-0005-0000-0000-0000DD090000}"/>
    <cellStyle name="Comma 4 4 2 2 5 2 2" xfId="8425" xr:uid="{00000000-0005-0000-0000-0000DE090000}"/>
    <cellStyle name="Comma 4 4 2 2 5 2 2 2" xfId="16864" xr:uid="{FFCC1F66-7641-4EB7-8FDA-70B75C6CF2A2}"/>
    <cellStyle name="Comma 4 4 2 2 5 2 3" xfId="12646" xr:uid="{6225718B-A005-4CBC-8F13-3A2847CD3440}"/>
    <cellStyle name="Comma 4 4 2 2 5 3" xfId="6280" xr:uid="{00000000-0005-0000-0000-0000DF090000}"/>
    <cellStyle name="Comma 4 4 2 2 5 3 2" xfId="14719" xr:uid="{428F9A0B-BCDF-4B0E-9216-AEB3DF229612}"/>
    <cellStyle name="Comma 4 4 2 2 5 4" xfId="10501" xr:uid="{0FDD5CBB-422D-47FD-812A-C452A5CD2C7A}"/>
    <cellStyle name="Comma 4 4 2 2 6" xfId="2408" xr:uid="{00000000-0005-0000-0000-0000E0090000}"/>
    <cellStyle name="Comma 4 4 2 2 6 2" xfId="6693" xr:uid="{00000000-0005-0000-0000-0000E1090000}"/>
    <cellStyle name="Comma 4 4 2 2 6 2 2" xfId="15132" xr:uid="{04BABA39-F581-47B1-AE20-F75A9374FB84}"/>
    <cellStyle name="Comma 4 4 2 2 6 3" xfId="10914" xr:uid="{7DE6D97A-477D-49A7-B947-5E06F9220A0B}"/>
    <cellStyle name="Comma 4 4 2 2 7" xfId="2704" xr:uid="{00000000-0005-0000-0000-0000E2090000}"/>
    <cellStyle name="Comma 4 4 2 2 8" xfId="2786" xr:uid="{00000000-0005-0000-0000-0000E3090000}"/>
    <cellStyle name="Comma 4 4 2 2 8 2" xfId="7010" xr:uid="{00000000-0005-0000-0000-0000E4090000}"/>
    <cellStyle name="Comma 4 4 2 2 8 2 2" xfId="15449" xr:uid="{193667BF-2F3B-42D5-ADC6-8719975FDB2F}"/>
    <cellStyle name="Comma 4 4 2 2 8 3" xfId="11231" xr:uid="{A813BE76-A38D-4FF5-9D15-DFAA2AEDAE45}"/>
    <cellStyle name="Comma 4 4 2 2 9" xfId="4627" xr:uid="{00000000-0005-0000-0000-0000E5090000}"/>
    <cellStyle name="Comma 4 4 2 2 9 2" xfId="13066" xr:uid="{60C04723-1832-409C-95D9-0E73ABA48C4F}"/>
    <cellStyle name="Comma 4 4 2 3" xfId="691" xr:uid="{00000000-0005-0000-0000-0000E6090000}"/>
    <cellStyle name="Comma 4 4 2 3 2" xfId="2962" xr:uid="{00000000-0005-0000-0000-0000E7090000}"/>
    <cellStyle name="Comma 4 4 2 3 2 2" xfId="7185" xr:uid="{00000000-0005-0000-0000-0000E8090000}"/>
    <cellStyle name="Comma 4 4 2 3 2 2 2" xfId="15624" xr:uid="{25B07277-80DA-4C51-9696-2C806F6435A4}"/>
    <cellStyle name="Comma 4 4 2 3 2 3" xfId="11406" xr:uid="{61334795-EFF3-45DC-92FB-C7952D0228D7}"/>
    <cellStyle name="Comma 4 4 2 3 3" xfId="5040" xr:uid="{00000000-0005-0000-0000-0000E9090000}"/>
    <cellStyle name="Comma 4 4 2 3 3 2" xfId="13479" xr:uid="{F7C0CB52-CC83-46C8-8997-189463EBD1DE}"/>
    <cellStyle name="Comma 4 4 2 3 4" xfId="9261" xr:uid="{E2AACE54-F530-40B4-B000-0A63E0B91AD0}"/>
    <cellStyle name="Comma 4 4 2 4" xfId="1144" xr:uid="{00000000-0005-0000-0000-0000EA090000}"/>
    <cellStyle name="Comma 4 4 2 4 2" xfId="3375" xr:uid="{00000000-0005-0000-0000-0000EB090000}"/>
    <cellStyle name="Comma 4 4 2 4 2 2" xfId="7598" xr:uid="{00000000-0005-0000-0000-0000EC090000}"/>
    <cellStyle name="Comma 4 4 2 4 2 2 2" xfId="16037" xr:uid="{42E43D83-66BC-46FD-88EC-53631993E922}"/>
    <cellStyle name="Comma 4 4 2 4 2 3" xfId="11819" xr:uid="{4A51AD5E-B439-42FA-9D3D-D0CD83DC73FB}"/>
    <cellStyle name="Comma 4 4 2 4 3" xfId="5453" xr:uid="{00000000-0005-0000-0000-0000ED090000}"/>
    <cellStyle name="Comma 4 4 2 4 3 2" xfId="13892" xr:uid="{7208132C-CF07-4E84-B2DC-E3D9E7DC637F}"/>
    <cellStyle name="Comma 4 4 2 4 4" xfId="9674" xr:uid="{1529308F-35A9-4B6E-9D35-BAC0D7AB9A2B}"/>
    <cellStyle name="Comma 4 4 2 5" xfId="1558" xr:uid="{00000000-0005-0000-0000-0000EE090000}"/>
    <cellStyle name="Comma 4 4 2 5 2" xfId="3788" xr:uid="{00000000-0005-0000-0000-0000EF090000}"/>
    <cellStyle name="Comma 4 4 2 5 2 2" xfId="8011" xr:uid="{00000000-0005-0000-0000-0000F0090000}"/>
    <cellStyle name="Comma 4 4 2 5 2 2 2" xfId="16450" xr:uid="{533C67A7-76E7-4E31-AF9A-BE29B8B38E1D}"/>
    <cellStyle name="Comma 4 4 2 5 2 3" xfId="12232" xr:uid="{8C8FF0BA-E90F-4049-B81C-AE7990CC6CAE}"/>
    <cellStyle name="Comma 4 4 2 5 3" xfId="5866" xr:uid="{00000000-0005-0000-0000-0000F1090000}"/>
    <cellStyle name="Comma 4 4 2 5 3 2" xfId="14305" xr:uid="{57A20E1C-AF11-403F-88A0-54B133E5EC09}"/>
    <cellStyle name="Comma 4 4 2 5 4" xfId="10087" xr:uid="{4D5CE689-9246-4575-9D95-3355CD966EFB}"/>
    <cellStyle name="Comma 4 4 2 6" xfId="1972" xr:uid="{00000000-0005-0000-0000-0000F2090000}"/>
    <cellStyle name="Comma 4 4 2 6 2" xfId="4201" xr:uid="{00000000-0005-0000-0000-0000F3090000}"/>
    <cellStyle name="Comma 4 4 2 6 2 2" xfId="8424" xr:uid="{00000000-0005-0000-0000-0000F4090000}"/>
    <cellStyle name="Comma 4 4 2 6 2 2 2" xfId="16863" xr:uid="{755C3296-C29A-431F-AF29-9470A791F1A4}"/>
    <cellStyle name="Comma 4 4 2 6 2 3" xfId="12645" xr:uid="{1D37AA24-07C7-4F41-A06A-901496B47B05}"/>
    <cellStyle name="Comma 4 4 2 6 3" xfId="6279" xr:uid="{00000000-0005-0000-0000-0000F5090000}"/>
    <cellStyle name="Comma 4 4 2 6 3 2" xfId="14718" xr:uid="{10831014-7889-45D4-837E-AF8582980A4C}"/>
    <cellStyle name="Comma 4 4 2 6 4" xfId="10500" xr:uid="{434E32B9-7811-4E72-AEBA-AD8EAEDE3C84}"/>
    <cellStyle name="Comma 4 4 2 7" xfId="2407" xr:uid="{00000000-0005-0000-0000-0000F6090000}"/>
    <cellStyle name="Comma 4 4 2 7 2" xfId="6692" xr:uid="{00000000-0005-0000-0000-0000F7090000}"/>
    <cellStyle name="Comma 4 4 2 7 2 2" xfId="15131" xr:uid="{FC1F489A-D231-4061-BAD5-0FCCF7F4ABA2}"/>
    <cellStyle name="Comma 4 4 2 7 3" xfId="10913" xr:uid="{B5B5B25B-451B-4982-9666-28EAF9803C17}"/>
    <cellStyle name="Comma 4 4 2 8" xfId="2703" xr:uid="{00000000-0005-0000-0000-0000F8090000}"/>
    <cellStyle name="Comma 4 4 2 9" xfId="2785" xr:uid="{00000000-0005-0000-0000-0000F9090000}"/>
    <cellStyle name="Comma 4 4 2 9 2" xfId="7009" xr:uid="{00000000-0005-0000-0000-0000FA090000}"/>
    <cellStyle name="Comma 4 4 2 9 2 2" xfId="15448" xr:uid="{20BE1157-C3D5-4724-A435-1BD8CDAEEBCD}"/>
    <cellStyle name="Comma 4 4 2 9 3" xfId="11230" xr:uid="{785BB5BD-BC07-437D-ADA2-CF116A9B86E1}"/>
    <cellStyle name="Comma 4 4 3" xfId="156" xr:uid="{00000000-0005-0000-0000-0000FB090000}"/>
    <cellStyle name="Comma 4 4 3 10" xfId="8849" xr:uid="{05A65D5A-8874-44C8-B53E-E1BE4948B4C0}"/>
    <cellStyle name="Comma 4 4 3 2" xfId="693" xr:uid="{00000000-0005-0000-0000-0000FC090000}"/>
    <cellStyle name="Comma 4 4 3 2 2" xfId="2964" xr:uid="{00000000-0005-0000-0000-0000FD090000}"/>
    <cellStyle name="Comma 4 4 3 2 2 2" xfId="7187" xr:uid="{00000000-0005-0000-0000-0000FE090000}"/>
    <cellStyle name="Comma 4 4 3 2 2 2 2" xfId="15626" xr:uid="{BDB2831A-A634-4411-B290-043385CA02EA}"/>
    <cellStyle name="Comma 4 4 3 2 2 3" xfId="11408" xr:uid="{4660DCFB-36F1-4E3F-B054-3ABF6A5418C5}"/>
    <cellStyle name="Comma 4 4 3 2 3" xfId="5042" xr:uid="{00000000-0005-0000-0000-0000FF090000}"/>
    <cellStyle name="Comma 4 4 3 2 3 2" xfId="13481" xr:uid="{FAD369DD-0E44-4C40-9FA2-A871816ECE90}"/>
    <cellStyle name="Comma 4 4 3 2 4" xfId="9263" xr:uid="{B8B6DFC1-CD90-4B0D-B7AF-C152EB4DA4EF}"/>
    <cellStyle name="Comma 4 4 3 3" xfId="1146" xr:uid="{00000000-0005-0000-0000-0000000A0000}"/>
    <cellStyle name="Comma 4 4 3 3 2" xfId="3377" xr:uid="{00000000-0005-0000-0000-0000010A0000}"/>
    <cellStyle name="Comma 4 4 3 3 2 2" xfId="7600" xr:uid="{00000000-0005-0000-0000-0000020A0000}"/>
    <cellStyle name="Comma 4 4 3 3 2 2 2" xfId="16039" xr:uid="{C77C0EF2-9D3D-491F-96D8-3822F8B52A68}"/>
    <cellStyle name="Comma 4 4 3 3 2 3" xfId="11821" xr:uid="{D0FD74AC-A115-4909-9043-FFC5806A60B9}"/>
    <cellStyle name="Comma 4 4 3 3 3" xfId="5455" xr:uid="{00000000-0005-0000-0000-0000030A0000}"/>
    <cellStyle name="Comma 4 4 3 3 3 2" xfId="13894" xr:uid="{FBF01AE2-5D93-48BE-B43E-5999035F491F}"/>
    <cellStyle name="Comma 4 4 3 3 4" xfId="9676" xr:uid="{9028E7E5-36AF-499F-90E3-A8BA7756E4FC}"/>
    <cellStyle name="Comma 4 4 3 4" xfId="1560" xr:uid="{00000000-0005-0000-0000-0000040A0000}"/>
    <cellStyle name="Comma 4 4 3 4 2" xfId="3790" xr:uid="{00000000-0005-0000-0000-0000050A0000}"/>
    <cellStyle name="Comma 4 4 3 4 2 2" xfId="8013" xr:uid="{00000000-0005-0000-0000-0000060A0000}"/>
    <cellStyle name="Comma 4 4 3 4 2 2 2" xfId="16452" xr:uid="{F21441C2-A67B-46BF-945B-41201C8C0D2B}"/>
    <cellStyle name="Comma 4 4 3 4 2 3" xfId="12234" xr:uid="{72476137-F73A-4874-BF18-24ACB91DB0EB}"/>
    <cellStyle name="Comma 4 4 3 4 3" xfId="5868" xr:uid="{00000000-0005-0000-0000-0000070A0000}"/>
    <cellStyle name="Comma 4 4 3 4 3 2" xfId="14307" xr:uid="{40E83D42-0AB4-4CE8-97F1-26E99058624D}"/>
    <cellStyle name="Comma 4 4 3 4 4" xfId="10089" xr:uid="{885DF4F4-FC95-4D4B-AC42-D8467A3F0B1D}"/>
    <cellStyle name="Comma 4 4 3 5" xfId="1974" xr:uid="{00000000-0005-0000-0000-0000080A0000}"/>
    <cellStyle name="Comma 4 4 3 5 2" xfId="4203" xr:uid="{00000000-0005-0000-0000-0000090A0000}"/>
    <cellStyle name="Comma 4 4 3 5 2 2" xfId="8426" xr:uid="{00000000-0005-0000-0000-00000A0A0000}"/>
    <cellStyle name="Comma 4 4 3 5 2 2 2" xfId="16865" xr:uid="{602EC184-89B2-4A3A-B252-0FD26A3B7BD6}"/>
    <cellStyle name="Comma 4 4 3 5 2 3" xfId="12647" xr:uid="{6A7F4E9C-9A5B-4008-A302-2E0E700D8059}"/>
    <cellStyle name="Comma 4 4 3 5 3" xfId="6281" xr:uid="{00000000-0005-0000-0000-00000B0A0000}"/>
    <cellStyle name="Comma 4 4 3 5 3 2" xfId="14720" xr:uid="{69AA1DFA-B5BE-418A-B3F2-7796821D17EC}"/>
    <cellStyle name="Comma 4 4 3 5 4" xfId="10502" xr:uid="{4A97B89E-0244-4EAA-B03E-8DBF3D7EBB55}"/>
    <cellStyle name="Comma 4 4 3 6" xfId="2409" xr:uid="{00000000-0005-0000-0000-00000C0A0000}"/>
    <cellStyle name="Comma 4 4 3 6 2" xfId="6694" xr:uid="{00000000-0005-0000-0000-00000D0A0000}"/>
    <cellStyle name="Comma 4 4 3 6 2 2" xfId="15133" xr:uid="{8B0CB22A-AE29-4957-B2B3-8240973D6CB9}"/>
    <cellStyle name="Comma 4 4 3 6 3" xfId="10915" xr:uid="{3FEDF71F-9B1D-44F9-A5B1-3BC67B78B5A4}"/>
    <cellStyle name="Comma 4 4 3 7" xfId="2705" xr:uid="{00000000-0005-0000-0000-00000E0A0000}"/>
    <cellStyle name="Comma 4 4 3 8" xfId="2787" xr:uid="{00000000-0005-0000-0000-00000F0A0000}"/>
    <cellStyle name="Comma 4 4 3 8 2" xfId="7011" xr:uid="{00000000-0005-0000-0000-0000100A0000}"/>
    <cellStyle name="Comma 4 4 3 8 2 2" xfId="15450" xr:uid="{3A309794-88DC-450B-9A12-BEE1514672BB}"/>
    <cellStyle name="Comma 4 4 3 8 3" xfId="11232" xr:uid="{45BE6171-C64F-432F-A127-1AA36AE7FDFE}"/>
    <cellStyle name="Comma 4 4 3 9" xfId="4628" xr:uid="{00000000-0005-0000-0000-0000110A0000}"/>
    <cellStyle name="Comma 4 4 3 9 2" xfId="13067" xr:uid="{CA9777C5-8AED-48FE-9672-D19AF9C6C223}"/>
    <cellStyle name="Comma 4 4 4" xfId="690" xr:uid="{00000000-0005-0000-0000-0000120A0000}"/>
    <cellStyle name="Comma 4 4 4 2" xfId="2961" xr:uid="{00000000-0005-0000-0000-0000130A0000}"/>
    <cellStyle name="Comma 4 4 4 2 2" xfId="7184" xr:uid="{00000000-0005-0000-0000-0000140A0000}"/>
    <cellStyle name="Comma 4 4 4 2 2 2" xfId="15623" xr:uid="{3FF15AF6-C46B-413F-92E4-3C6CA97B8112}"/>
    <cellStyle name="Comma 4 4 4 2 3" xfId="11405" xr:uid="{CAB9222D-D63A-4F12-B145-B646052CDD3D}"/>
    <cellStyle name="Comma 4 4 4 3" xfId="5039" xr:uid="{00000000-0005-0000-0000-0000150A0000}"/>
    <cellStyle name="Comma 4 4 4 3 2" xfId="13478" xr:uid="{A486A2A2-5B6C-4888-A551-0E67DB4BEDB2}"/>
    <cellStyle name="Comma 4 4 4 4" xfId="9260" xr:uid="{CDB1E064-8129-4F19-AB0E-910AE160F2AF}"/>
    <cellStyle name="Comma 4 4 5" xfId="1143" xr:uid="{00000000-0005-0000-0000-0000160A0000}"/>
    <cellStyle name="Comma 4 4 5 2" xfId="3374" xr:uid="{00000000-0005-0000-0000-0000170A0000}"/>
    <cellStyle name="Comma 4 4 5 2 2" xfId="7597" xr:uid="{00000000-0005-0000-0000-0000180A0000}"/>
    <cellStyle name="Comma 4 4 5 2 2 2" xfId="16036" xr:uid="{C477C884-8E24-470C-9E0D-D20D5D2E6D85}"/>
    <cellStyle name="Comma 4 4 5 2 3" xfId="11818" xr:uid="{9A7969F8-8CD6-4EE5-B22C-C7141D7EACF2}"/>
    <cellStyle name="Comma 4 4 5 3" xfId="5452" xr:uid="{00000000-0005-0000-0000-0000190A0000}"/>
    <cellStyle name="Comma 4 4 5 3 2" xfId="13891" xr:uid="{35BABAF9-2303-48AA-A048-B94B08A31234}"/>
    <cellStyle name="Comma 4 4 5 4" xfId="9673" xr:uid="{112D8E58-F4F9-4F32-B389-C3291DFA1579}"/>
    <cellStyle name="Comma 4 4 6" xfId="1557" xr:uid="{00000000-0005-0000-0000-00001A0A0000}"/>
    <cellStyle name="Comma 4 4 6 2" xfId="3787" xr:uid="{00000000-0005-0000-0000-00001B0A0000}"/>
    <cellStyle name="Comma 4 4 6 2 2" xfId="8010" xr:uid="{00000000-0005-0000-0000-00001C0A0000}"/>
    <cellStyle name="Comma 4 4 6 2 2 2" xfId="16449" xr:uid="{463661E3-C79B-47D5-8541-85DB1FCFE36F}"/>
    <cellStyle name="Comma 4 4 6 2 3" xfId="12231" xr:uid="{93934D04-DD01-48D9-B230-F0E118552F0A}"/>
    <cellStyle name="Comma 4 4 6 3" xfId="5865" xr:uid="{00000000-0005-0000-0000-00001D0A0000}"/>
    <cellStyle name="Comma 4 4 6 3 2" xfId="14304" xr:uid="{43D0F83D-CC0B-42B1-9329-C6B7885F10BB}"/>
    <cellStyle name="Comma 4 4 6 4" xfId="10086" xr:uid="{69A26C07-E08B-48A8-9447-97E248477977}"/>
    <cellStyle name="Comma 4 4 7" xfId="1971" xr:uid="{00000000-0005-0000-0000-00001E0A0000}"/>
    <cellStyle name="Comma 4 4 7 2" xfId="4200" xr:uid="{00000000-0005-0000-0000-00001F0A0000}"/>
    <cellStyle name="Comma 4 4 7 2 2" xfId="8423" xr:uid="{00000000-0005-0000-0000-0000200A0000}"/>
    <cellStyle name="Comma 4 4 7 2 2 2" xfId="16862" xr:uid="{C144B1E1-2068-4CE8-99DA-9C1ECFF9F80A}"/>
    <cellStyle name="Comma 4 4 7 2 3" xfId="12644" xr:uid="{1453D894-196C-446F-9440-0FC42718B123}"/>
    <cellStyle name="Comma 4 4 7 3" xfId="6278" xr:uid="{00000000-0005-0000-0000-0000210A0000}"/>
    <cellStyle name="Comma 4 4 7 3 2" xfId="14717" xr:uid="{6AB1CF17-D6E0-4580-AA62-A66419629E17}"/>
    <cellStyle name="Comma 4 4 7 4" xfId="10499" xr:uid="{B326A732-1A4E-4A6F-AEA4-815CD0F3C8EE}"/>
    <cellStyle name="Comma 4 4 8" xfId="2406" xr:uid="{00000000-0005-0000-0000-0000220A0000}"/>
    <cellStyle name="Comma 4 4 8 2" xfId="6691" xr:uid="{00000000-0005-0000-0000-0000230A0000}"/>
    <cellStyle name="Comma 4 4 8 2 2" xfId="15130" xr:uid="{A97832D3-9232-4891-B202-BD4A2C155081}"/>
    <cellStyle name="Comma 4 4 8 3" xfId="10912" xr:uid="{09215CC1-2DAE-4EDF-9828-408F9F58D811}"/>
    <cellStyle name="Comma 4 4 9" xfId="2702" xr:uid="{00000000-0005-0000-0000-0000240A0000}"/>
    <cellStyle name="Comma 4 5" xfId="157" xr:uid="{00000000-0005-0000-0000-0000250A0000}"/>
    <cellStyle name="Comma 4 5 10" xfId="4629" xr:uid="{00000000-0005-0000-0000-0000260A0000}"/>
    <cellStyle name="Comma 4 5 10 2" xfId="13068" xr:uid="{7F675A08-3714-4F8D-BEE7-1EFA77B6473B}"/>
    <cellStyle name="Comma 4 5 11" xfId="8850" xr:uid="{F6E834B9-16FF-4FC5-96E5-A4CD7A1A127B}"/>
    <cellStyle name="Comma 4 5 2" xfId="158" xr:uid="{00000000-0005-0000-0000-0000270A0000}"/>
    <cellStyle name="Comma 4 5 2 10" xfId="8851" xr:uid="{E4B981B4-4B7F-4628-AA17-FFCFE1D9C1F3}"/>
    <cellStyle name="Comma 4 5 2 2" xfId="695" xr:uid="{00000000-0005-0000-0000-0000280A0000}"/>
    <cellStyle name="Comma 4 5 2 2 2" xfId="2966" xr:uid="{00000000-0005-0000-0000-0000290A0000}"/>
    <cellStyle name="Comma 4 5 2 2 2 2" xfId="7189" xr:uid="{00000000-0005-0000-0000-00002A0A0000}"/>
    <cellStyle name="Comma 4 5 2 2 2 2 2" xfId="15628" xr:uid="{57CB3252-390E-4686-8C54-D4F3C104D617}"/>
    <cellStyle name="Comma 4 5 2 2 2 3" xfId="11410" xr:uid="{019E1368-AD27-419A-84A9-CE16C944E1BA}"/>
    <cellStyle name="Comma 4 5 2 2 3" xfId="5044" xr:uid="{00000000-0005-0000-0000-00002B0A0000}"/>
    <cellStyle name="Comma 4 5 2 2 3 2" xfId="13483" xr:uid="{56B5FBE3-694C-4E28-92DE-09B56A0DF41C}"/>
    <cellStyle name="Comma 4 5 2 2 4" xfId="9265" xr:uid="{D066247D-9C0B-4F98-8545-EA7626A6081F}"/>
    <cellStyle name="Comma 4 5 2 3" xfId="1148" xr:uid="{00000000-0005-0000-0000-00002C0A0000}"/>
    <cellStyle name="Comma 4 5 2 3 2" xfId="3379" xr:uid="{00000000-0005-0000-0000-00002D0A0000}"/>
    <cellStyle name="Comma 4 5 2 3 2 2" xfId="7602" xr:uid="{00000000-0005-0000-0000-00002E0A0000}"/>
    <cellStyle name="Comma 4 5 2 3 2 2 2" xfId="16041" xr:uid="{5DB2B2B5-F389-442C-84F9-E941BF0B2165}"/>
    <cellStyle name="Comma 4 5 2 3 2 3" xfId="11823" xr:uid="{5B5CE2B4-DE2F-4C03-A2C1-70A8010F5360}"/>
    <cellStyle name="Comma 4 5 2 3 3" xfId="5457" xr:uid="{00000000-0005-0000-0000-00002F0A0000}"/>
    <cellStyle name="Comma 4 5 2 3 3 2" xfId="13896" xr:uid="{709B0128-452C-474C-9080-60B9B1FF3B7B}"/>
    <cellStyle name="Comma 4 5 2 3 4" xfId="9678" xr:uid="{DEE3F085-A1DC-4754-B5EB-FDED0E9B9473}"/>
    <cellStyle name="Comma 4 5 2 4" xfId="1562" xr:uid="{00000000-0005-0000-0000-0000300A0000}"/>
    <cellStyle name="Comma 4 5 2 4 2" xfId="3792" xr:uid="{00000000-0005-0000-0000-0000310A0000}"/>
    <cellStyle name="Comma 4 5 2 4 2 2" xfId="8015" xr:uid="{00000000-0005-0000-0000-0000320A0000}"/>
    <cellStyle name="Comma 4 5 2 4 2 2 2" xfId="16454" xr:uid="{B0C80FBF-3DFB-4148-9B60-46E40B2AF763}"/>
    <cellStyle name="Comma 4 5 2 4 2 3" xfId="12236" xr:uid="{05A7B390-EB36-4873-8C3B-4122721B06DC}"/>
    <cellStyle name="Comma 4 5 2 4 3" xfId="5870" xr:uid="{00000000-0005-0000-0000-0000330A0000}"/>
    <cellStyle name="Comma 4 5 2 4 3 2" xfId="14309" xr:uid="{2F945677-43E3-48B2-9C95-FA93521C4909}"/>
    <cellStyle name="Comma 4 5 2 4 4" xfId="10091" xr:uid="{1DA724AC-52EC-4A2C-859C-1D65C0266A54}"/>
    <cellStyle name="Comma 4 5 2 5" xfId="1976" xr:uid="{00000000-0005-0000-0000-0000340A0000}"/>
    <cellStyle name="Comma 4 5 2 5 2" xfId="4205" xr:uid="{00000000-0005-0000-0000-0000350A0000}"/>
    <cellStyle name="Comma 4 5 2 5 2 2" xfId="8428" xr:uid="{00000000-0005-0000-0000-0000360A0000}"/>
    <cellStyle name="Comma 4 5 2 5 2 2 2" xfId="16867" xr:uid="{E4111492-74C5-43F5-83CB-81BBE159C600}"/>
    <cellStyle name="Comma 4 5 2 5 2 3" xfId="12649" xr:uid="{3EED4B6F-B762-482A-B2E6-B107D294C0DD}"/>
    <cellStyle name="Comma 4 5 2 5 3" xfId="6283" xr:uid="{00000000-0005-0000-0000-0000370A0000}"/>
    <cellStyle name="Comma 4 5 2 5 3 2" xfId="14722" xr:uid="{4947E2F2-7BF2-4A64-B3F7-D4405A447C97}"/>
    <cellStyle name="Comma 4 5 2 5 4" xfId="10504" xr:uid="{A6AD7A30-BC07-4389-AF8C-FCBD284B1370}"/>
    <cellStyle name="Comma 4 5 2 6" xfId="2411" xr:uid="{00000000-0005-0000-0000-0000380A0000}"/>
    <cellStyle name="Comma 4 5 2 6 2" xfId="6696" xr:uid="{00000000-0005-0000-0000-0000390A0000}"/>
    <cellStyle name="Comma 4 5 2 6 2 2" xfId="15135" xr:uid="{B9B0B06D-FC7D-4F10-8EEB-F98DE7EAF615}"/>
    <cellStyle name="Comma 4 5 2 6 3" xfId="10917" xr:uid="{FC06EF1A-1BE2-4410-8F93-1ED9C9345BB0}"/>
    <cellStyle name="Comma 4 5 2 7" xfId="2707" xr:uid="{00000000-0005-0000-0000-00003A0A0000}"/>
    <cellStyle name="Comma 4 5 2 8" xfId="2789" xr:uid="{00000000-0005-0000-0000-00003B0A0000}"/>
    <cellStyle name="Comma 4 5 2 8 2" xfId="7013" xr:uid="{00000000-0005-0000-0000-00003C0A0000}"/>
    <cellStyle name="Comma 4 5 2 8 2 2" xfId="15452" xr:uid="{3995AA43-9895-4A73-BC8F-8551732C728D}"/>
    <cellStyle name="Comma 4 5 2 8 3" xfId="11234" xr:uid="{E6F186C5-9AFE-4944-BBCF-1D6545C9C1FA}"/>
    <cellStyle name="Comma 4 5 2 9" xfId="4630" xr:uid="{00000000-0005-0000-0000-00003D0A0000}"/>
    <cellStyle name="Comma 4 5 2 9 2" xfId="13069" xr:uid="{462B262D-8345-4729-8626-186637B00901}"/>
    <cellStyle name="Comma 4 5 3" xfId="694" xr:uid="{00000000-0005-0000-0000-00003E0A0000}"/>
    <cellStyle name="Comma 4 5 3 2" xfId="2965" xr:uid="{00000000-0005-0000-0000-00003F0A0000}"/>
    <cellStyle name="Comma 4 5 3 2 2" xfId="7188" xr:uid="{00000000-0005-0000-0000-0000400A0000}"/>
    <cellStyle name="Comma 4 5 3 2 2 2" xfId="15627" xr:uid="{CD7C84C1-F842-435F-AF0C-ED93CCED785D}"/>
    <cellStyle name="Comma 4 5 3 2 3" xfId="11409" xr:uid="{C1C75644-6BE4-45D8-89C7-C11AB48B5499}"/>
    <cellStyle name="Comma 4 5 3 3" xfId="5043" xr:uid="{00000000-0005-0000-0000-0000410A0000}"/>
    <cellStyle name="Comma 4 5 3 3 2" xfId="13482" xr:uid="{F98CACFA-7CA3-405C-8645-90BE07FF9A47}"/>
    <cellStyle name="Comma 4 5 3 4" xfId="9264" xr:uid="{6DBDB9F4-EEA5-4F15-8915-F1103A9A8B31}"/>
    <cellStyle name="Comma 4 5 4" xfId="1147" xr:uid="{00000000-0005-0000-0000-0000420A0000}"/>
    <cellStyle name="Comma 4 5 4 2" xfId="3378" xr:uid="{00000000-0005-0000-0000-0000430A0000}"/>
    <cellStyle name="Comma 4 5 4 2 2" xfId="7601" xr:uid="{00000000-0005-0000-0000-0000440A0000}"/>
    <cellStyle name="Comma 4 5 4 2 2 2" xfId="16040" xr:uid="{1997B3D0-0012-40F1-9CE8-E823B048FF75}"/>
    <cellStyle name="Comma 4 5 4 2 3" xfId="11822" xr:uid="{29B177BF-E942-401C-AE47-15222A5EA5AF}"/>
    <cellStyle name="Comma 4 5 4 3" xfId="5456" xr:uid="{00000000-0005-0000-0000-0000450A0000}"/>
    <cellStyle name="Comma 4 5 4 3 2" xfId="13895" xr:uid="{DB020DBD-D209-4059-A1CA-432B749A259C}"/>
    <cellStyle name="Comma 4 5 4 4" xfId="9677" xr:uid="{6BF467F6-B59A-47BC-87B7-92DE5950236C}"/>
    <cellStyle name="Comma 4 5 5" xfId="1561" xr:uid="{00000000-0005-0000-0000-0000460A0000}"/>
    <cellStyle name="Comma 4 5 5 2" xfId="3791" xr:uid="{00000000-0005-0000-0000-0000470A0000}"/>
    <cellStyle name="Comma 4 5 5 2 2" xfId="8014" xr:uid="{00000000-0005-0000-0000-0000480A0000}"/>
    <cellStyle name="Comma 4 5 5 2 2 2" xfId="16453" xr:uid="{08A640D1-065C-45DD-A295-8EE5D9C53F34}"/>
    <cellStyle name="Comma 4 5 5 2 3" xfId="12235" xr:uid="{EA4ACF3F-57B1-41F3-8B9D-89C42547A1E5}"/>
    <cellStyle name="Comma 4 5 5 3" xfId="5869" xr:uid="{00000000-0005-0000-0000-0000490A0000}"/>
    <cellStyle name="Comma 4 5 5 3 2" xfId="14308" xr:uid="{308EF305-073F-4305-B2EA-DB426588FF08}"/>
    <cellStyle name="Comma 4 5 5 4" xfId="10090" xr:uid="{130EEF47-AC89-4996-8510-4903FE5C5F72}"/>
    <cellStyle name="Comma 4 5 6" xfId="1975" xr:uid="{00000000-0005-0000-0000-00004A0A0000}"/>
    <cellStyle name="Comma 4 5 6 2" xfId="4204" xr:uid="{00000000-0005-0000-0000-00004B0A0000}"/>
    <cellStyle name="Comma 4 5 6 2 2" xfId="8427" xr:uid="{00000000-0005-0000-0000-00004C0A0000}"/>
    <cellStyle name="Comma 4 5 6 2 2 2" xfId="16866" xr:uid="{E7647CEA-0893-4CE2-B781-C7EA0B7DD947}"/>
    <cellStyle name="Comma 4 5 6 2 3" xfId="12648" xr:uid="{6EFE6D97-397D-49B6-BD1C-360E11BE5D88}"/>
    <cellStyle name="Comma 4 5 6 3" xfId="6282" xr:uid="{00000000-0005-0000-0000-00004D0A0000}"/>
    <cellStyle name="Comma 4 5 6 3 2" xfId="14721" xr:uid="{84790568-F07C-4B8B-A474-D071B63614D0}"/>
    <cellStyle name="Comma 4 5 6 4" xfId="10503" xr:uid="{AAD7403B-8B58-47B5-906D-6F7ADD29C3BC}"/>
    <cellStyle name="Comma 4 5 7" xfId="2410" xr:uid="{00000000-0005-0000-0000-00004E0A0000}"/>
    <cellStyle name="Comma 4 5 7 2" xfId="6695" xr:uid="{00000000-0005-0000-0000-00004F0A0000}"/>
    <cellStyle name="Comma 4 5 7 2 2" xfId="15134" xr:uid="{5992A3A0-F1C4-4F54-AA5B-05F65216920B}"/>
    <cellStyle name="Comma 4 5 7 3" xfId="10916" xr:uid="{F4245E30-47BA-4522-B6BC-85E5D18552D2}"/>
    <cellStyle name="Comma 4 5 8" xfId="2706" xr:uid="{00000000-0005-0000-0000-0000500A0000}"/>
    <cellStyle name="Comma 4 5 9" xfId="2788" xr:uid="{00000000-0005-0000-0000-0000510A0000}"/>
    <cellStyle name="Comma 4 5 9 2" xfId="7012" xr:uid="{00000000-0005-0000-0000-0000520A0000}"/>
    <cellStyle name="Comma 4 5 9 2 2" xfId="15451" xr:uid="{64A93928-6FC6-468E-8E64-9C469A136BCD}"/>
    <cellStyle name="Comma 4 5 9 3" xfId="11233" xr:uid="{44B48D94-3DE5-44F2-A3CC-D9F553B2D0BF}"/>
    <cellStyle name="Comma 4 6" xfId="159" xr:uid="{00000000-0005-0000-0000-0000530A0000}"/>
    <cellStyle name="Comma 4 6 10" xfId="8852" xr:uid="{92075825-720D-4E1D-8277-CEFEEEAB80A6}"/>
    <cellStyle name="Comma 4 6 2" xfId="696" xr:uid="{00000000-0005-0000-0000-0000540A0000}"/>
    <cellStyle name="Comma 4 6 2 2" xfId="2967" xr:uid="{00000000-0005-0000-0000-0000550A0000}"/>
    <cellStyle name="Comma 4 6 2 2 2" xfId="7190" xr:uid="{00000000-0005-0000-0000-0000560A0000}"/>
    <cellStyle name="Comma 4 6 2 2 2 2" xfId="15629" xr:uid="{EAE22C0D-0FDE-41FD-990E-F8BA815B0B2E}"/>
    <cellStyle name="Comma 4 6 2 2 3" xfId="11411" xr:uid="{39D9E69E-3435-40B3-B2BB-80E2803C02F8}"/>
    <cellStyle name="Comma 4 6 2 3" xfId="5045" xr:uid="{00000000-0005-0000-0000-0000570A0000}"/>
    <cellStyle name="Comma 4 6 2 3 2" xfId="13484" xr:uid="{C865F371-E979-4C3A-967E-EDACB727158B}"/>
    <cellStyle name="Comma 4 6 2 4" xfId="9266" xr:uid="{5ABE633C-9BB5-4F77-83A1-940BCD6B1AB8}"/>
    <cellStyle name="Comma 4 6 3" xfId="1149" xr:uid="{00000000-0005-0000-0000-0000580A0000}"/>
    <cellStyle name="Comma 4 6 3 2" xfId="3380" xr:uid="{00000000-0005-0000-0000-0000590A0000}"/>
    <cellStyle name="Comma 4 6 3 2 2" xfId="7603" xr:uid="{00000000-0005-0000-0000-00005A0A0000}"/>
    <cellStyle name="Comma 4 6 3 2 2 2" xfId="16042" xr:uid="{2D8E9DB6-0791-4A46-BCF6-510D870B3203}"/>
    <cellStyle name="Comma 4 6 3 2 3" xfId="11824" xr:uid="{810D67EF-F7BC-4546-A144-BD55ECDFD5EA}"/>
    <cellStyle name="Comma 4 6 3 3" xfId="5458" xr:uid="{00000000-0005-0000-0000-00005B0A0000}"/>
    <cellStyle name="Comma 4 6 3 3 2" xfId="13897" xr:uid="{01F6B77A-D6BF-4620-A350-327B247574C6}"/>
    <cellStyle name="Comma 4 6 3 4" xfId="9679" xr:uid="{81B2F0C0-32DD-433E-AEF0-426F2E7B5F6C}"/>
    <cellStyle name="Comma 4 6 4" xfId="1563" xr:uid="{00000000-0005-0000-0000-00005C0A0000}"/>
    <cellStyle name="Comma 4 6 4 2" xfId="3793" xr:uid="{00000000-0005-0000-0000-00005D0A0000}"/>
    <cellStyle name="Comma 4 6 4 2 2" xfId="8016" xr:uid="{00000000-0005-0000-0000-00005E0A0000}"/>
    <cellStyle name="Comma 4 6 4 2 2 2" xfId="16455" xr:uid="{7D912B97-BE0E-4FF9-B980-F104E7685172}"/>
    <cellStyle name="Comma 4 6 4 2 3" xfId="12237" xr:uid="{0159B20F-F875-4A17-9A87-EAD14018AEFD}"/>
    <cellStyle name="Comma 4 6 4 3" xfId="5871" xr:uid="{00000000-0005-0000-0000-00005F0A0000}"/>
    <cellStyle name="Comma 4 6 4 3 2" xfId="14310" xr:uid="{47BCF78F-E942-43A8-A97D-54BDD3F12E17}"/>
    <cellStyle name="Comma 4 6 4 4" xfId="10092" xr:uid="{A8979FD8-6468-4EEF-B5E0-8619063112D2}"/>
    <cellStyle name="Comma 4 6 5" xfId="1977" xr:uid="{00000000-0005-0000-0000-0000600A0000}"/>
    <cellStyle name="Comma 4 6 5 2" xfId="4206" xr:uid="{00000000-0005-0000-0000-0000610A0000}"/>
    <cellStyle name="Comma 4 6 5 2 2" xfId="8429" xr:uid="{00000000-0005-0000-0000-0000620A0000}"/>
    <cellStyle name="Comma 4 6 5 2 2 2" xfId="16868" xr:uid="{602460D7-B564-4FD1-A65A-A6279C3566DC}"/>
    <cellStyle name="Comma 4 6 5 2 3" xfId="12650" xr:uid="{DB5F6404-33D7-4A21-AC93-DD39B535BB8C}"/>
    <cellStyle name="Comma 4 6 5 3" xfId="6284" xr:uid="{00000000-0005-0000-0000-0000630A0000}"/>
    <cellStyle name="Comma 4 6 5 3 2" xfId="14723" xr:uid="{C43D6B2D-EFCC-4362-9B31-A4C913653F4C}"/>
    <cellStyle name="Comma 4 6 5 4" xfId="10505" xr:uid="{45684129-FF8D-4962-859F-9FD09332B27C}"/>
    <cellStyle name="Comma 4 6 6" xfId="2412" xr:uid="{00000000-0005-0000-0000-0000640A0000}"/>
    <cellStyle name="Comma 4 6 6 2" xfId="6697" xr:uid="{00000000-0005-0000-0000-0000650A0000}"/>
    <cellStyle name="Comma 4 6 6 2 2" xfId="15136" xr:uid="{FCE5075F-EABE-40F0-890F-A72496EE6E3B}"/>
    <cellStyle name="Comma 4 6 6 3" xfId="10918" xr:uid="{3D3831E3-482D-4524-BC07-B0005908ED6C}"/>
    <cellStyle name="Comma 4 6 7" xfId="2708" xr:uid="{00000000-0005-0000-0000-0000660A0000}"/>
    <cellStyle name="Comma 4 6 8" xfId="2790" xr:uid="{00000000-0005-0000-0000-0000670A0000}"/>
    <cellStyle name="Comma 4 6 8 2" xfId="7014" xr:uid="{00000000-0005-0000-0000-0000680A0000}"/>
    <cellStyle name="Comma 4 6 8 2 2" xfId="15453" xr:uid="{52A2BD9C-E6FD-4828-B89C-0AAE6AD19ADC}"/>
    <cellStyle name="Comma 4 6 8 3" xfId="11235" xr:uid="{9796B320-0CF6-4A04-9DFD-F0C687A9ECD9}"/>
    <cellStyle name="Comma 4 6 9" xfId="4631" xr:uid="{00000000-0005-0000-0000-0000690A0000}"/>
    <cellStyle name="Comma 4 6 9 2" xfId="13070" xr:uid="{180E4910-7A04-4B27-8811-2B7D4DC817C4}"/>
    <cellStyle name="Comma 4 7" xfId="160" xr:uid="{00000000-0005-0000-0000-00006A0A0000}"/>
    <cellStyle name="Comma 4 7 10" xfId="8853" xr:uid="{D29BF7FA-0AED-4872-B6F1-B5B5EA50B634}"/>
    <cellStyle name="Comma 4 7 2" xfId="697" xr:uid="{00000000-0005-0000-0000-00006B0A0000}"/>
    <cellStyle name="Comma 4 7 2 2" xfId="2968" xr:uid="{00000000-0005-0000-0000-00006C0A0000}"/>
    <cellStyle name="Comma 4 7 2 2 2" xfId="7191" xr:uid="{00000000-0005-0000-0000-00006D0A0000}"/>
    <cellStyle name="Comma 4 7 2 2 2 2" xfId="15630" xr:uid="{05A830DF-0F17-4D8B-BA60-4073AC54C714}"/>
    <cellStyle name="Comma 4 7 2 2 3" xfId="11412" xr:uid="{8BD56657-32AA-42AF-8EBE-00ED8F72CF83}"/>
    <cellStyle name="Comma 4 7 2 3" xfId="5046" xr:uid="{00000000-0005-0000-0000-00006E0A0000}"/>
    <cellStyle name="Comma 4 7 2 3 2" xfId="13485" xr:uid="{FEBF29EC-AFEB-451B-8AC5-ABCC574010A7}"/>
    <cellStyle name="Comma 4 7 2 4" xfId="9267" xr:uid="{1B1DEAE6-BC8E-41EA-9C82-2FE5FFCD1CEC}"/>
    <cellStyle name="Comma 4 7 3" xfId="1150" xr:uid="{00000000-0005-0000-0000-00006F0A0000}"/>
    <cellStyle name="Comma 4 7 3 2" xfId="3381" xr:uid="{00000000-0005-0000-0000-0000700A0000}"/>
    <cellStyle name="Comma 4 7 3 2 2" xfId="7604" xr:uid="{00000000-0005-0000-0000-0000710A0000}"/>
    <cellStyle name="Comma 4 7 3 2 2 2" xfId="16043" xr:uid="{4C3AA1CA-0027-4BDC-81DF-7C30B71AB2AD}"/>
    <cellStyle name="Comma 4 7 3 2 3" xfId="11825" xr:uid="{7BFC0381-0125-4230-9D62-DA3CB61D519E}"/>
    <cellStyle name="Comma 4 7 3 3" xfId="5459" xr:uid="{00000000-0005-0000-0000-0000720A0000}"/>
    <cellStyle name="Comma 4 7 3 3 2" xfId="13898" xr:uid="{7D610C87-C50E-485B-96DB-853CD35AC3DA}"/>
    <cellStyle name="Comma 4 7 3 4" xfId="9680" xr:uid="{76B53442-E933-4374-BFF1-7E1225E8CA7E}"/>
    <cellStyle name="Comma 4 7 4" xfId="1564" xr:uid="{00000000-0005-0000-0000-0000730A0000}"/>
    <cellStyle name="Comma 4 7 4 2" xfId="3794" xr:uid="{00000000-0005-0000-0000-0000740A0000}"/>
    <cellStyle name="Comma 4 7 4 2 2" xfId="8017" xr:uid="{00000000-0005-0000-0000-0000750A0000}"/>
    <cellStyle name="Comma 4 7 4 2 2 2" xfId="16456" xr:uid="{B9DEF4DB-25B2-4855-87D6-79CD0ACC28A2}"/>
    <cellStyle name="Comma 4 7 4 2 3" xfId="12238" xr:uid="{2028725D-FD72-4582-8A6A-1154AD3B3A6A}"/>
    <cellStyle name="Comma 4 7 4 3" xfId="5872" xr:uid="{00000000-0005-0000-0000-0000760A0000}"/>
    <cellStyle name="Comma 4 7 4 3 2" xfId="14311" xr:uid="{7EB8C10F-2562-43AB-804C-923E3C21E11E}"/>
    <cellStyle name="Comma 4 7 4 4" xfId="10093" xr:uid="{9C0DDE57-286A-4112-9DFE-EA3F4C0A2828}"/>
    <cellStyle name="Comma 4 7 5" xfId="1978" xr:uid="{00000000-0005-0000-0000-0000770A0000}"/>
    <cellStyle name="Comma 4 7 5 2" xfId="4207" xr:uid="{00000000-0005-0000-0000-0000780A0000}"/>
    <cellStyle name="Comma 4 7 5 2 2" xfId="8430" xr:uid="{00000000-0005-0000-0000-0000790A0000}"/>
    <cellStyle name="Comma 4 7 5 2 2 2" xfId="16869" xr:uid="{EDB07DA9-5FE0-4D84-B49D-11DDFFD2A241}"/>
    <cellStyle name="Comma 4 7 5 2 3" xfId="12651" xr:uid="{C834B42C-6AFD-4AE9-8482-A2D62062A6B3}"/>
    <cellStyle name="Comma 4 7 5 3" xfId="6285" xr:uid="{00000000-0005-0000-0000-00007A0A0000}"/>
    <cellStyle name="Comma 4 7 5 3 2" xfId="14724" xr:uid="{07C6439F-5914-4B15-A2B4-F1CA3013380E}"/>
    <cellStyle name="Comma 4 7 5 4" xfId="10506" xr:uid="{4936E724-ED9C-4437-BEE1-FA91E790D48A}"/>
    <cellStyle name="Comma 4 7 6" xfId="2413" xr:uid="{00000000-0005-0000-0000-00007B0A0000}"/>
    <cellStyle name="Comma 4 7 6 2" xfId="6698" xr:uid="{00000000-0005-0000-0000-00007C0A0000}"/>
    <cellStyle name="Comma 4 7 6 2 2" xfId="15137" xr:uid="{298FA950-7209-4816-A31A-8DA4335D8787}"/>
    <cellStyle name="Comma 4 7 6 3" xfId="10919" xr:uid="{2DC91F64-C7ED-482B-8D7A-53E05F490D9B}"/>
    <cellStyle name="Comma 4 7 7" xfId="2709" xr:uid="{00000000-0005-0000-0000-00007D0A0000}"/>
    <cellStyle name="Comma 4 7 8" xfId="2791" xr:uid="{00000000-0005-0000-0000-00007E0A0000}"/>
    <cellStyle name="Comma 4 7 8 2" xfId="7015" xr:uid="{00000000-0005-0000-0000-00007F0A0000}"/>
    <cellStyle name="Comma 4 7 8 2 2" xfId="15454" xr:uid="{88164C32-C2F8-4210-A6BA-3A66C9A67646}"/>
    <cellStyle name="Comma 4 7 8 3" xfId="11236" xr:uid="{2EE49683-20AE-446D-A94E-BC609B29A32F}"/>
    <cellStyle name="Comma 4 7 9" xfId="4632" xr:uid="{00000000-0005-0000-0000-0000800A0000}"/>
    <cellStyle name="Comma 4 7 9 2" xfId="13071" xr:uid="{70ED563E-CB89-441F-B90F-E48FDE7E9091}"/>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39" xr:uid="{44598E7E-56D4-4AC1-BCFB-3621106EA23C}"/>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2 2" xfId="17156" xr:uid="{C35C1E1E-6F47-4931-AB79-8EECF16B6FD9}"/>
    <cellStyle name="Currency 14 3" xfId="8720" xr:uid="{729B09A7-2394-4D7C-912C-1471FB3455A3}"/>
    <cellStyle name="Currency 14 3 2" xfId="8724" xr:uid="{1945FB0F-31EC-4D98-B64C-BAFBADA341A1}"/>
    <cellStyle name="Currency 14 3 2 2" xfId="17162" xr:uid="{D4370319-6D2E-4F27-8D0E-9F99CB60D5D9}"/>
    <cellStyle name="Currency 14 3 3" xfId="17159" xr:uid="{9A580E49-502B-48EC-87A6-0833CFDF97C1}"/>
    <cellStyle name="Currency 14 4" xfId="12942" xr:uid="{FCB73ED2-A150-4D8E-A183-0CD692691B9C}"/>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0 2 2" xfId="15455" xr:uid="{13971342-6BFF-431F-8099-3952320B18AB}"/>
    <cellStyle name="Currency 3 2 2 10 3" xfId="11237" xr:uid="{082EF7D9-EF85-4049-B410-8CB0F1B1A577}"/>
    <cellStyle name="Currency 3 2 2 11" xfId="4633" xr:uid="{00000000-0005-0000-0000-0000A50A0000}"/>
    <cellStyle name="Currency 3 2 2 11 2" xfId="13072" xr:uid="{6D710FD6-6520-4690-B4E7-E9DFD8B21C18}"/>
    <cellStyle name="Currency 3 2 2 12" xfId="8854" xr:uid="{A83BF9D4-848C-4434-A06B-A35EB98849C9}"/>
    <cellStyle name="Currency 3 2 2 2" xfId="179" xr:uid="{00000000-0005-0000-0000-0000A60A0000}"/>
    <cellStyle name="Currency 3 2 2 2 10" xfId="4634" xr:uid="{00000000-0005-0000-0000-0000A70A0000}"/>
    <cellStyle name="Currency 3 2 2 2 10 2" xfId="13073" xr:uid="{E9C32C3D-894A-4F99-8BB8-BF848C652CBA}"/>
    <cellStyle name="Currency 3 2 2 2 11" xfId="8855" xr:uid="{D13B8699-11CC-439A-8FC3-FE3C1873392D}"/>
    <cellStyle name="Currency 3 2 2 2 2" xfId="180" xr:uid="{00000000-0005-0000-0000-0000A80A0000}"/>
    <cellStyle name="Currency 3 2 2 2 2 10" xfId="8856" xr:uid="{D2C26599-764C-40FF-AD77-89746F16748E}"/>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15633" xr:uid="{54A2E5A0-80AB-467A-BE99-38CD62918A63}"/>
    <cellStyle name="Currency 3 2 2 2 2 2 2 3" xfId="11415" xr:uid="{9E97E953-4505-4033-A57A-046FD25F11F0}"/>
    <cellStyle name="Currency 3 2 2 2 2 2 3" xfId="5049" xr:uid="{00000000-0005-0000-0000-0000AC0A0000}"/>
    <cellStyle name="Currency 3 2 2 2 2 2 3 2" xfId="13488" xr:uid="{B1751803-3CB7-4A4C-A9F4-80A3C3D63BA0}"/>
    <cellStyle name="Currency 3 2 2 2 2 2 4" xfId="9270" xr:uid="{3733DF74-701E-4AC9-87B4-C7DD6C636B9B}"/>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2 2" xfId="16046" xr:uid="{568C405E-B213-4487-86B4-3CFE3EB81094}"/>
    <cellStyle name="Currency 3 2 2 2 2 3 2 3" xfId="11828" xr:uid="{A6B029B7-A3F4-49FB-96EA-451E3A219859}"/>
    <cellStyle name="Currency 3 2 2 2 2 3 3" xfId="5462" xr:uid="{00000000-0005-0000-0000-0000B00A0000}"/>
    <cellStyle name="Currency 3 2 2 2 2 3 3 2" xfId="13901" xr:uid="{5A745422-9DB4-4802-B0FF-FA2E819475B2}"/>
    <cellStyle name="Currency 3 2 2 2 2 3 4" xfId="9683" xr:uid="{50E25187-407D-47B8-B64F-615C940AB2DA}"/>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2 2 2" xfId="16459" xr:uid="{26C04D0D-B35B-4B92-AAFA-56ED1CC554E0}"/>
    <cellStyle name="Currency 3 2 2 2 2 4 2 3" xfId="12241" xr:uid="{9BBEAA87-F295-46AB-9B61-16E5D82949F7}"/>
    <cellStyle name="Currency 3 2 2 2 2 4 3" xfId="5875" xr:uid="{00000000-0005-0000-0000-0000B40A0000}"/>
    <cellStyle name="Currency 3 2 2 2 2 4 3 2" xfId="14314" xr:uid="{043E5F2D-0CFC-47E0-A81D-A323056BD39A}"/>
    <cellStyle name="Currency 3 2 2 2 2 4 4" xfId="10096" xr:uid="{7FD39E0B-2C8C-4F29-B5C5-6CC32DD85091}"/>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2 2 2" xfId="16872" xr:uid="{954CA0E4-ACC6-44A2-932B-7621F1398602}"/>
    <cellStyle name="Currency 3 2 2 2 2 5 2 3" xfId="12654" xr:uid="{9AE6F23F-4170-4949-AFB4-637C8C27E0F9}"/>
    <cellStyle name="Currency 3 2 2 2 2 5 3" xfId="6288" xr:uid="{00000000-0005-0000-0000-0000B80A0000}"/>
    <cellStyle name="Currency 3 2 2 2 2 5 3 2" xfId="14727" xr:uid="{747EA744-FB29-485C-A4AA-EAC5014B9D65}"/>
    <cellStyle name="Currency 3 2 2 2 2 5 4" xfId="10509" xr:uid="{581E2570-15A9-4765-9F72-1E2BFF7E28D0}"/>
    <cellStyle name="Currency 3 2 2 2 2 6" xfId="2416" xr:uid="{00000000-0005-0000-0000-0000B90A0000}"/>
    <cellStyle name="Currency 3 2 2 2 2 6 2" xfId="6701" xr:uid="{00000000-0005-0000-0000-0000BA0A0000}"/>
    <cellStyle name="Currency 3 2 2 2 2 6 2 2" xfId="15140" xr:uid="{62C32106-499C-45A5-AE59-D702079B3FFB}"/>
    <cellStyle name="Currency 3 2 2 2 2 6 3" xfId="10922" xr:uid="{9B19F894-EAC0-4E29-8FC4-FF3A4A6C631D}"/>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8 2 2" xfId="15457" xr:uid="{48DA6903-C772-4CEE-824A-ED054FBA0A2A}"/>
    <cellStyle name="Currency 3 2 2 2 2 8 3" xfId="11239" xr:uid="{605CFA15-FB75-414B-90D6-1A9E38042EBF}"/>
    <cellStyle name="Currency 3 2 2 2 2 9" xfId="4635" xr:uid="{00000000-0005-0000-0000-0000BE0A0000}"/>
    <cellStyle name="Currency 3 2 2 2 2 9 2" xfId="13074" xr:uid="{6AFBABAA-DE6F-4EAE-9179-9E8EC331FC6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15632" xr:uid="{BB1744BD-DA9F-4D5D-AFEB-F8680DD3A859}"/>
    <cellStyle name="Currency 3 2 2 2 3 2 3" xfId="11414" xr:uid="{97431A0E-0199-4C1A-BC51-FEBFFC797A2E}"/>
    <cellStyle name="Currency 3 2 2 2 3 3" xfId="5048" xr:uid="{00000000-0005-0000-0000-0000C20A0000}"/>
    <cellStyle name="Currency 3 2 2 2 3 3 2" xfId="13487" xr:uid="{BCA9D387-807B-48B1-ACD6-BB67098D8101}"/>
    <cellStyle name="Currency 3 2 2 2 3 4" xfId="9269" xr:uid="{DA315F0D-AFC0-4AA8-9876-1AB1481ED299}"/>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2 2" xfId="16045" xr:uid="{74283572-3CEB-44DF-A94F-00B743A9DEE5}"/>
    <cellStyle name="Currency 3 2 2 2 4 2 3" xfId="11827" xr:uid="{E747F469-F64E-42F6-9CED-5303BB502204}"/>
    <cellStyle name="Currency 3 2 2 2 4 3" xfId="5461" xr:uid="{00000000-0005-0000-0000-0000C60A0000}"/>
    <cellStyle name="Currency 3 2 2 2 4 3 2" xfId="13900" xr:uid="{8B8837AD-FD97-4C9D-AFF5-B3FCD2E08BDC}"/>
    <cellStyle name="Currency 3 2 2 2 4 4" xfId="9682" xr:uid="{2AD94CDA-67D7-407C-A490-75914FE49D06}"/>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2 2 2" xfId="16458" xr:uid="{2F6E0D5B-2373-4A3A-BFFB-859A8BBDE94B}"/>
    <cellStyle name="Currency 3 2 2 2 5 2 3" xfId="12240" xr:uid="{A57AEFB3-47E2-429D-AA72-538FA243D2B8}"/>
    <cellStyle name="Currency 3 2 2 2 5 3" xfId="5874" xr:uid="{00000000-0005-0000-0000-0000CA0A0000}"/>
    <cellStyle name="Currency 3 2 2 2 5 3 2" xfId="14313" xr:uid="{C2638D7C-1641-441F-B379-924E9B1558B9}"/>
    <cellStyle name="Currency 3 2 2 2 5 4" xfId="10095" xr:uid="{2C641AB1-5FC8-4149-B07C-203B68D9BEEC}"/>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2 2 2" xfId="16871" xr:uid="{4E0871E6-1E52-410D-B542-3E1E9438CF62}"/>
    <cellStyle name="Currency 3 2 2 2 6 2 3" xfId="12653" xr:uid="{F868FDC7-FF75-4192-BF6D-A760720E8EC5}"/>
    <cellStyle name="Currency 3 2 2 2 6 3" xfId="6287" xr:uid="{00000000-0005-0000-0000-0000CE0A0000}"/>
    <cellStyle name="Currency 3 2 2 2 6 3 2" xfId="14726" xr:uid="{E89A3328-E463-4038-8BD6-B13076853E7F}"/>
    <cellStyle name="Currency 3 2 2 2 6 4" xfId="10508" xr:uid="{1F4FBF66-440D-496E-86A9-5F84175299F0}"/>
    <cellStyle name="Currency 3 2 2 2 7" xfId="2415" xr:uid="{00000000-0005-0000-0000-0000CF0A0000}"/>
    <cellStyle name="Currency 3 2 2 2 7 2" xfId="6700" xr:uid="{00000000-0005-0000-0000-0000D00A0000}"/>
    <cellStyle name="Currency 3 2 2 2 7 2 2" xfId="15139" xr:uid="{3C21B088-63C3-4ADB-9095-9653BC80A5E6}"/>
    <cellStyle name="Currency 3 2 2 2 7 3" xfId="10921" xr:uid="{990B833D-8A47-40F4-8080-B45894F14B23}"/>
    <cellStyle name="Currency 3 2 2 2 8" xfId="2712" xr:uid="{00000000-0005-0000-0000-0000D10A0000}"/>
    <cellStyle name="Currency 3 2 2 2 9" xfId="2793" xr:uid="{00000000-0005-0000-0000-0000D20A0000}"/>
    <cellStyle name="Currency 3 2 2 2 9 2" xfId="7017" xr:uid="{00000000-0005-0000-0000-0000D30A0000}"/>
    <cellStyle name="Currency 3 2 2 2 9 2 2" xfId="15456" xr:uid="{9C5038B0-6BF0-4FAF-BEB8-6800B2DB9F26}"/>
    <cellStyle name="Currency 3 2 2 2 9 3" xfId="11238" xr:uid="{C2551B90-12AA-4302-B02D-828773810758}"/>
    <cellStyle name="Currency 3 2 2 3" xfId="181" xr:uid="{00000000-0005-0000-0000-0000D40A0000}"/>
    <cellStyle name="Currency 3 2 2 3 10" xfId="8857" xr:uid="{1A553CF7-C818-49EC-86E6-503EF84A9FAE}"/>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15634" xr:uid="{D4EE6360-D785-4091-90A7-A1989D038A09}"/>
    <cellStyle name="Currency 3 2 2 3 2 2 3" xfId="11416" xr:uid="{8DB3B373-D5D9-4E71-A2D1-B487D74EF588}"/>
    <cellStyle name="Currency 3 2 2 3 2 3" xfId="5050" xr:uid="{00000000-0005-0000-0000-0000D80A0000}"/>
    <cellStyle name="Currency 3 2 2 3 2 3 2" xfId="13489" xr:uid="{C486A81E-0533-4342-95F2-E928390CB16F}"/>
    <cellStyle name="Currency 3 2 2 3 2 4" xfId="9271" xr:uid="{2FB6188B-8F36-47C7-83E3-13E4D0102932}"/>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2 2" xfId="16047" xr:uid="{8D9D32FD-60BF-4949-AC85-138F294CA27E}"/>
    <cellStyle name="Currency 3 2 2 3 3 2 3" xfId="11829" xr:uid="{8F60C1FD-38C2-4F1C-812B-09313040D078}"/>
    <cellStyle name="Currency 3 2 2 3 3 3" xfId="5463" xr:uid="{00000000-0005-0000-0000-0000DC0A0000}"/>
    <cellStyle name="Currency 3 2 2 3 3 3 2" xfId="13902" xr:uid="{CB22B9AA-F627-4680-94F1-C44B61270E7D}"/>
    <cellStyle name="Currency 3 2 2 3 3 4" xfId="9684" xr:uid="{96DFCA97-7513-4E40-97A2-AED40613DB72}"/>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2 2 2" xfId="16460" xr:uid="{7801AD17-B317-4E0A-9723-F489B43678A3}"/>
    <cellStyle name="Currency 3 2 2 3 4 2 3" xfId="12242" xr:uid="{FAC204AB-48D0-4E00-8D9A-A461962ECC60}"/>
    <cellStyle name="Currency 3 2 2 3 4 3" xfId="5876" xr:uid="{00000000-0005-0000-0000-0000E00A0000}"/>
    <cellStyle name="Currency 3 2 2 3 4 3 2" xfId="14315" xr:uid="{BC3E63C8-F081-4F68-8F6C-1BE24C6F395E}"/>
    <cellStyle name="Currency 3 2 2 3 4 4" xfId="10097" xr:uid="{A6605D21-CD1B-4BEA-BCA4-4466E65C08D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2 2 2" xfId="16873" xr:uid="{5DDFA703-1E3E-4B9C-B0A7-2DE55ED9546C}"/>
    <cellStyle name="Currency 3 2 2 3 5 2 3" xfId="12655" xr:uid="{CADB1EAD-593E-4110-AE36-2C037019C1F5}"/>
    <cellStyle name="Currency 3 2 2 3 5 3" xfId="6289" xr:uid="{00000000-0005-0000-0000-0000E40A0000}"/>
    <cellStyle name="Currency 3 2 2 3 5 3 2" xfId="14728" xr:uid="{89BCCA7F-0017-4B5A-8BF9-A72EC349FD3F}"/>
    <cellStyle name="Currency 3 2 2 3 5 4" xfId="10510" xr:uid="{FBBCC08F-A4E5-4FDB-843C-B5ABF7ED09AB}"/>
    <cellStyle name="Currency 3 2 2 3 6" xfId="2417" xr:uid="{00000000-0005-0000-0000-0000E50A0000}"/>
    <cellStyle name="Currency 3 2 2 3 6 2" xfId="6702" xr:uid="{00000000-0005-0000-0000-0000E60A0000}"/>
    <cellStyle name="Currency 3 2 2 3 6 2 2" xfId="15141" xr:uid="{AFF7A110-D525-4254-BBF9-55469FC241DF}"/>
    <cellStyle name="Currency 3 2 2 3 6 3" xfId="10923" xr:uid="{ECDE8DE6-12A8-4ABF-9FFE-CD1CEDA89DDD}"/>
    <cellStyle name="Currency 3 2 2 3 7" xfId="2714" xr:uid="{00000000-0005-0000-0000-0000E70A0000}"/>
    <cellStyle name="Currency 3 2 2 3 8" xfId="2795" xr:uid="{00000000-0005-0000-0000-0000E80A0000}"/>
    <cellStyle name="Currency 3 2 2 3 8 2" xfId="7019" xr:uid="{00000000-0005-0000-0000-0000E90A0000}"/>
    <cellStyle name="Currency 3 2 2 3 8 2 2" xfId="15458" xr:uid="{900E198F-8A02-424F-9F87-F4DC4AF9D9B3}"/>
    <cellStyle name="Currency 3 2 2 3 8 3" xfId="11240" xr:uid="{A44B9076-B47E-4E61-8484-90848C42BC1B}"/>
    <cellStyle name="Currency 3 2 2 3 9" xfId="4636" xr:uid="{00000000-0005-0000-0000-0000EA0A0000}"/>
    <cellStyle name="Currency 3 2 2 3 9 2" xfId="13075" xr:uid="{5C880F6B-1AEF-4BDA-8E9F-10C279DF0105}"/>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15631" xr:uid="{D5949DC7-9C97-46D7-929F-C3428D013309}"/>
    <cellStyle name="Currency 3 2 2 4 2 3" xfId="11413" xr:uid="{DFE73BC3-1DF3-4654-A2D4-42247CD2C7B3}"/>
    <cellStyle name="Currency 3 2 2 4 3" xfId="5047" xr:uid="{00000000-0005-0000-0000-0000EE0A0000}"/>
    <cellStyle name="Currency 3 2 2 4 3 2" xfId="13486" xr:uid="{81E2229B-038F-4DAF-9461-686534AC4BB6}"/>
    <cellStyle name="Currency 3 2 2 4 4" xfId="9268" xr:uid="{8532C874-C85C-452B-AEA7-487CCDC0EBEA}"/>
    <cellStyle name="Currency 3 2 2 5" xfId="1151" xr:uid="{00000000-0005-0000-0000-0000EF0A0000}"/>
    <cellStyle name="Currency 3 2 2 5 2" xfId="3382" xr:uid="{00000000-0005-0000-0000-0000F00A0000}"/>
    <cellStyle name="Currency 3 2 2 5 2 2" xfId="7605" xr:uid="{00000000-0005-0000-0000-0000F10A0000}"/>
    <cellStyle name="Currency 3 2 2 5 2 2 2" xfId="16044" xr:uid="{4B74A5E8-D8D7-4767-9076-D2FED582E587}"/>
    <cellStyle name="Currency 3 2 2 5 2 3" xfId="11826" xr:uid="{F0FF0CDD-F649-42E3-9F85-2E793876B564}"/>
    <cellStyle name="Currency 3 2 2 5 3" xfId="5460" xr:uid="{00000000-0005-0000-0000-0000F20A0000}"/>
    <cellStyle name="Currency 3 2 2 5 3 2" xfId="13899" xr:uid="{84BBBDAE-789F-4378-B86D-01362056EA18}"/>
    <cellStyle name="Currency 3 2 2 5 4" xfId="9681" xr:uid="{386EE106-69B1-442F-ABB2-38D5FF771B3A}"/>
    <cellStyle name="Currency 3 2 2 6" xfId="1565" xr:uid="{00000000-0005-0000-0000-0000F30A0000}"/>
    <cellStyle name="Currency 3 2 2 6 2" xfId="3795" xr:uid="{00000000-0005-0000-0000-0000F40A0000}"/>
    <cellStyle name="Currency 3 2 2 6 2 2" xfId="8018" xr:uid="{00000000-0005-0000-0000-0000F50A0000}"/>
    <cellStyle name="Currency 3 2 2 6 2 2 2" xfId="16457" xr:uid="{73D8CF78-EA2C-4E07-A300-1178FC23D8AF}"/>
    <cellStyle name="Currency 3 2 2 6 2 3" xfId="12239" xr:uid="{1C6EE54D-5FDA-4C6F-9725-65BF498BD84F}"/>
    <cellStyle name="Currency 3 2 2 6 3" xfId="5873" xr:uid="{00000000-0005-0000-0000-0000F60A0000}"/>
    <cellStyle name="Currency 3 2 2 6 3 2" xfId="14312" xr:uid="{14635EDF-D77E-44FE-AA5C-3664B6014633}"/>
    <cellStyle name="Currency 3 2 2 6 4" xfId="10094" xr:uid="{77E6A19C-5F3B-4934-A9C8-9C02EFA5B01D}"/>
    <cellStyle name="Currency 3 2 2 7" xfId="1979" xr:uid="{00000000-0005-0000-0000-0000F70A0000}"/>
    <cellStyle name="Currency 3 2 2 7 2" xfId="4208" xr:uid="{00000000-0005-0000-0000-0000F80A0000}"/>
    <cellStyle name="Currency 3 2 2 7 2 2" xfId="8431" xr:uid="{00000000-0005-0000-0000-0000F90A0000}"/>
    <cellStyle name="Currency 3 2 2 7 2 2 2" xfId="16870" xr:uid="{B4DC3888-4AE9-4933-ADBC-7FA61B656568}"/>
    <cellStyle name="Currency 3 2 2 7 2 3" xfId="12652" xr:uid="{4E3ABA54-1452-4883-9698-DC8548856BC1}"/>
    <cellStyle name="Currency 3 2 2 7 3" xfId="6286" xr:uid="{00000000-0005-0000-0000-0000FA0A0000}"/>
    <cellStyle name="Currency 3 2 2 7 3 2" xfId="14725" xr:uid="{A330E254-90DB-4301-BC35-01B3FC9C8357}"/>
    <cellStyle name="Currency 3 2 2 7 4" xfId="10507" xr:uid="{6D63F312-7B93-4174-BB2F-50C2F1244541}"/>
    <cellStyle name="Currency 3 2 2 8" xfId="2414" xr:uid="{00000000-0005-0000-0000-0000FB0A0000}"/>
    <cellStyle name="Currency 3 2 2 8 2" xfId="6699" xr:uid="{00000000-0005-0000-0000-0000FC0A0000}"/>
    <cellStyle name="Currency 3 2 2 8 2 2" xfId="15138" xr:uid="{A828610E-259F-4E64-8680-B0EBAE0259EF}"/>
    <cellStyle name="Currency 3 2 2 8 3" xfId="10920" xr:uid="{33B1AEC6-87BD-46B7-8B61-8AF5503B61D0}"/>
    <cellStyle name="Currency 3 2 2 9" xfId="2711" xr:uid="{00000000-0005-0000-0000-0000FD0A0000}"/>
    <cellStyle name="Currency 3 2 3" xfId="182" xr:uid="{00000000-0005-0000-0000-0000FE0A0000}"/>
    <cellStyle name="Currency 3 2 3 10" xfId="4637" xr:uid="{00000000-0005-0000-0000-0000FF0A0000}"/>
    <cellStyle name="Currency 3 2 3 10 2" xfId="13076" xr:uid="{DFB927F6-C887-499B-8B77-D93F98845F52}"/>
    <cellStyle name="Currency 3 2 3 11" xfId="8858" xr:uid="{642D00AA-BC65-4197-9696-88C425A585B8}"/>
    <cellStyle name="Currency 3 2 3 2" xfId="183" xr:uid="{00000000-0005-0000-0000-0000000B0000}"/>
    <cellStyle name="Currency 3 2 3 2 10" xfId="8859" xr:uid="{E079A5D6-2DB6-4D2B-A6DD-2BD4363FCDC9}"/>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15636" xr:uid="{234E5F5E-D4D6-48AE-ACD4-C99E996B2B9F}"/>
    <cellStyle name="Currency 3 2 3 2 2 2 3" xfId="11418" xr:uid="{ECA7451A-E204-45EE-9F5C-6E40BE223CFF}"/>
    <cellStyle name="Currency 3 2 3 2 2 3" xfId="5052" xr:uid="{00000000-0005-0000-0000-0000040B0000}"/>
    <cellStyle name="Currency 3 2 3 2 2 3 2" xfId="13491" xr:uid="{FBBE90F4-39C5-4CF8-9D51-F6243B7427A9}"/>
    <cellStyle name="Currency 3 2 3 2 2 4" xfId="9273" xr:uid="{678E1BCC-D201-468F-A5F9-1EAB2E480E43}"/>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2 2" xfId="16049" xr:uid="{08822454-042D-4281-9A3A-98B072F8F64D}"/>
    <cellStyle name="Currency 3 2 3 2 3 2 3" xfId="11831" xr:uid="{E0E5F857-4CAB-46D6-8F19-2EE7A4E69275}"/>
    <cellStyle name="Currency 3 2 3 2 3 3" xfId="5465" xr:uid="{00000000-0005-0000-0000-0000080B0000}"/>
    <cellStyle name="Currency 3 2 3 2 3 3 2" xfId="13904" xr:uid="{A12578FE-91FB-4431-8567-4783BDC0DC6F}"/>
    <cellStyle name="Currency 3 2 3 2 3 4" xfId="9686" xr:uid="{6ACAA0CC-E843-4714-8E0E-239EB954D6CA}"/>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2 2 2" xfId="16462" xr:uid="{B89BC3E5-AA63-4334-94CB-12737A3449D2}"/>
    <cellStyle name="Currency 3 2 3 2 4 2 3" xfId="12244" xr:uid="{D87B592A-1304-47CD-9023-30B7C8595DDA}"/>
    <cellStyle name="Currency 3 2 3 2 4 3" xfId="5878" xr:uid="{00000000-0005-0000-0000-00000C0B0000}"/>
    <cellStyle name="Currency 3 2 3 2 4 3 2" xfId="14317" xr:uid="{2F809E61-D69A-4649-8111-4713E9F809D3}"/>
    <cellStyle name="Currency 3 2 3 2 4 4" xfId="10099" xr:uid="{CE98C6FB-0458-4CFE-A5BE-ACB14E6568E5}"/>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2 2 2" xfId="16875" xr:uid="{3499BFC3-DC41-4862-9455-03A133DD3E6C}"/>
    <cellStyle name="Currency 3 2 3 2 5 2 3" xfId="12657" xr:uid="{7C91A483-B683-43BE-8283-CDBF2B2DA14B}"/>
    <cellStyle name="Currency 3 2 3 2 5 3" xfId="6291" xr:uid="{00000000-0005-0000-0000-0000100B0000}"/>
    <cellStyle name="Currency 3 2 3 2 5 3 2" xfId="14730" xr:uid="{BF35A290-8764-4D4C-8117-58DCB1D5A2E7}"/>
    <cellStyle name="Currency 3 2 3 2 5 4" xfId="10512" xr:uid="{2937F4F3-6C6D-4C0B-A120-81CDC10E91D5}"/>
    <cellStyle name="Currency 3 2 3 2 6" xfId="2419" xr:uid="{00000000-0005-0000-0000-0000110B0000}"/>
    <cellStyle name="Currency 3 2 3 2 6 2" xfId="6704" xr:uid="{00000000-0005-0000-0000-0000120B0000}"/>
    <cellStyle name="Currency 3 2 3 2 6 2 2" xfId="15143" xr:uid="{72D15FDE-8FEC-47E7-8E01-3F1350929AB2}"/>
    <cellStyle name="Currency 3 2 3 2 6 3" xfId="10925" xr:uid="{F4378514-0B64-426D-99F5-BFE01853B916}"/>
    <cellStyle name="Currency 3 2 3 2 7" xfId="2716" xr:uid="{00000000-0005-0000-0000-0000130B0000}"/>
    <cellStyle name="Currency 3 2 3 2 8" xfId="2797" xr:uid="{00000000-0005-0000-0000-0000140B0000}"/>
    <cellStyle name="Currency 3 2 3 2 8 2" xfId="7021" xr:uid="{00000000-0005-0000-0000-0000150B0000}"/>
    <cellStyle name="Currency 3 2 3 2 8 2 2" xfId="15460" xr:uid="{D37C9859-B34F-48E7-9CB6-BB5B28E79797}"/>
    <cellStyle name="Currency 3 2 3 2 8 3" xfId="11242" xr:uid="{CE6E1C63-03B8-4B68-BC6A-56D6E85DBDF7}"/>
    <cellStyle name="Currency 3 2 3 2 9" xfId="4638" xr:uid="{00000000-0005-0000-0000-0000160B0000}"/>
    <cellStyle name="Currency 3 2 3 2 9 2" xfId="13077" xr:uid="{811EDB05-48D9-4964-8649-3D8532BBB281}"/>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15635" xr:uid="{67CA8CB1-7E5E-4B55-9AB1-18F8518FA3DE}"/>
    <cellStyle name="Currency 3 2 3 3 2 3" xfId="11417" xr:uid="{658B2E79-9D17-44E5-8DAC-913AFDA7EB4A}"/>
    <cellStyle name="Currency 3 2 3 3 3" xfId="5051" xr:uid="{00000000-0005-0000-0000-00001A0B0000}"/>
    <cellStyle name="Currency 3 2 3 3 3 2" xfId="13490" xr:uid="{59B68F46-59BD-4A0B-9168-AF7664AE2D2E}"/>
    <cellStyle name="Currency 3 2 3 3 4" xfId="9272" xr:uid="{3F0FF80C-8E4D-4AE6-8283-7C275DD84A76}"/>
    <cellStyle name="Currency 3 2 3 4" xfId="1155" xr:uid="{00000000-0005-0000-0000-00001B0B0000}"/>
    <cellStyle name="Currency 3 2 3 4 2" xfId="3386" xr:uid="{00000000-0005-0000-0000-00001C0B0000}"/>
    <cellStyle name="Currency 3 2 3 4 2 2" xfId="7609" xr:uid="{00000000-0005-0000-0000-00001D0B0000}"/>
    <cellStyle name="Currency 3 2 3 4 2 2 2" xfId="16048" xr:uid="{08DD067E-71AB-4736-BBB9-A1FC5DB7D14D}"/>
    <cellStyle name="Currency 3 2 3 4 2 3" xfId="11830" xr:uid="{392B42B9-0029-4784-AEDD-9A51A9D8CDD9}"/>
    <cellStyle name="Currency 3 2 3 4 3" xfId="5464" xr:uid="{00000000-0005-0000-0000-00001E0B0000}"/>
    <cellStyle name="Currency 3 2 3 4 3 2" xfId="13903" xr:uid="{A16D6D60-94EB-4DBF-BCE2-761B54D5B786}"/>
    <cellStyle name="Currency 3 2 3 4 4" xfId="9685" xr:uid="{AA791A90-2B45-4313-861D-828273BE9AF5}"/>
    <cellStyle name="Currency 3 2 3 5" xfId="1569" xr:uid="{00000000-0005-0000-0000-00001F0B0000}"/>
    <cellStyle name="Currency 3 2 3 5 2" xfId="3799" xr:uid="{00000000-0005-0000-0000-0000200B0000}"/>
    <cellStyle name="Currency 3 2 3 5 2 2" xfId="8022" xr:uid="{00000000-0005-0000-0000-0000210B0000}"/>
    <cellStyle name="Currency 3 2 3 5 2 2 2" xfId="16461" xr:uid="{CF1C0477-79C6-47DB-A0E8-0A0E72B250E2}"/>
    <cellStyle name="Currency 3 2 3 5 2 3" xfId="12243" xr:uid="{FB2E4383-108B-4A95-B339-B1EF9A1137FF}"/>
    <cellStyle name="Currency 3 2 3 5 3" xfId="5877" xr:uid="{00000000-0005-0000-0000-0000220B0000}"/>
    <cellStyle name="Currency 3 2 3 5 3 2" xfId="14316" xr:uid="{DAA8B6D0-268A-4F3A-B325-499B0C39F977}"/>
    <cellStyle name="Currency 3 2 3 5 4" xfId="10098" xr:uid="{644B8F60-3655-4D35-A24E-1CDACCCAE32E}"/>
    <cellStyle name="Currency 3 2 3 6" xfId="1983" xr:uid="{00000000-0005-0000-0000-0000230B0000}"/>
    <cellStyle name="Currency 3 2 3 6 2" xfId="4212" xr:uid="{00000000-0005-0000-0000-0000240B0000}"/>
    <cellStyle name="Currency 3 2 3 6 2 2" xfId="8435" xr:uid="{00000000-0005-0000-0000-0000250B0000}"/>
    <cellStyle name="Currency 3 2 3 6 2 2 2" xfId="16874" xr:uid="{143692E7-0449-4861-B141-791AEF39C367}"/>
    <cellStyle name="Currency 3 2 3 6 2 3" xfId="12656" xr:uid="{17B03F8F-EB2B-49BB-81D9-2CB6720FD38A}"/>
    <cellStyle name="Currency 3 2 3 6 3" xfId="6290" xr:uid="{00000000-0005-0000-0000-0000260B0000}"/>
    <cellStyle name="Currency 3 2 3 6 3 2" xfId="14729" xr:uid="{DB435308-CEF5-45AE-9180-D15AD354FA2D}"/>
    <cellStyle name="Currency 3 2 3 6 4" xfId="10511" xr:uid="{03F97F4B-E5BE-42A3-A81B-950941C96AA6}"/>
    <cellStyle name="Currency 3 2 3 7" xfId="2418" xr:uid="{00000000-0005-0000-0000-0000270B0000}"/>
    <cellStyle name="Currency 3 2 3 7 2" xfId="6703" xr:uid="{00000000-0005-0000-0000-0000280B0000}"/>
    <cellStyle name="Currency 3 2 3 7 2 2" xfId="15142" xr:uid="{1E7C7C18-BB70-4858-BD7B-4A24512692D6}"/>
    <cellStyle name="Currency 3 2 3 7 3" xfId="10924" xr:uid="{3456D84C-4F1B-433D-AA8F-E1C246013F51}"/>
    <cellStyle name="Currency 3 2 3 8" xfId="2715" xr:uid="{00000000-0005-0000-0000-0000290B0000}"/>
    <cellStyle name="Currency 3 2 3 9" xfId="2796" xr:uid="{00000000-0005-0000-0000-00002A0B0000}"/>
    <cellStyle name="Currency 3 2 3 9 2" xfId="7020" xr:uid="{00000000-0005-0000-0000-00002B0B0000}"/>
    <cellStyle name="Currency 3 2 3 9 2 2" xfId="15459" xr:uid="{7AE82444-E679-4B12-A81B-4B70E35690E3}"/>
    <cellStyle name="Currency 3 2 3 9 3" xfId="11241" xr:uid="{FDFACD9A-F9C3-4D74-8E12-85C9F459781F}"/>
    <cellStyle name="Currency 3 2 4" xfId="184" xr:uid="{00000000-0005-0000-0000-00002C0B0000}"/>
    <cellStyle name="Currency 3 2 4 10" xfId="8860" xr:uid="{B5C6E407-134A-4BFE-BF15-5676628FA6C9}"/>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15637" xr:uid="{BC02F36E-246A-4F85-9AD5-6F579574FD3B}"/>
    <cellStyle name="Currency 3 2 4 2 2 3" xfId="11419" xr:uid="{A0FC29E9-F575-4EAB-AA59-614A8F82F54A}"/>
    <cellStyle name="Currency 3 2 4 2 3" xfId="5053" xr:uid="{00000000-0005-0000-0000-0000300B0000}"/>
    <cellStyle name="Currency 3 2 4 2 3 2" xfId="13492" xr:uid="{639E8D19-A00C-4778-B693-5C3273E47B4C}"/>
    <cellStyle name="Currency 3 2 4 2 4" xfId="9274" xr:uid="{D54571AB-6B79-43DE-927F-4EC46AD7E36A}"/>
    <cellStyle name="Currency 3 2 4 3" xfId="1157" xr:uid="{00000000-0005-0000-0000-0000310B0000}"/>
    <cellStyle name="Currency 3 2 4 3 2" xfId="3388" xr:uid="{00000000-0005-0000-0000-0000320B0000}"/>
    <cellStyle name="Currency 3 2 4 3 2 2" xfId="7611" xr:uid="{00000000-0005-0000-0000-0000330B0000}"/>
    <cellStyle name="Currency 3 2 4 3 2 2 2" xfId="16050" xr:uid="{B580C68D-F0BD-454B-BA3B-32626912BA5B}"/>
    <cellStyle name="Currency 3 2 4 3 2 3" xfId="11832" xr:uid="{A5D854EB-7CBF-4F5A-A687-0AAD333084D6}"/>
    <cellStyle name="Currency 3 2 4 3 3" xfId="5466" xr:uid="{00000000-0005-0000-0000-0000340B0000}"/>
    <cellStyle name="Currency 3 2 4 3 3 2" xfId="13905" xr:uid="{2C49327A-0CBF-47DD-A59F-DE069BFD761A}"/>
    <cellStyle name="Currency 3 2 4 3 4" xfId="9687" xr:uid="{9E62C5F9-CF46-4991-A1D2-E395AD8AF7FE}"/>
    <cellStyle name="Currency 3 2 4 4" xfId="1571" xr:uid="{00000000-0005-0000-0000-0000350B0000}"/>
    <cellStyle name="Currency 3 2 4 4 2" xfId="3801" xr:uid="{00000000-0005-0000-0000-0000360B0000}"/>
    <cellStyle name="Currency 3 2 4 4 2 2" xfId="8024" xr:uid="{00000000-0005-0000-0000-0000370B0000}"/>
    <cellStyle name="Currency 3 2 4 4 2 2 2" xfId="16463" xr:uid="{241AAFC9-10CE-4299-865F-F66647D37C7A}"/>
    <cellStyle name="Currency 3 2 4 4 2 3" xfId="12245" xr:uid="{97973EBA-31E0-41BC-9408-804CA5B0EAE0}"/>
    <cellStyle name="Currency 3 2 4 4 3" xfId="5879" xr:uid="{00000000-0005-0000-0000-0000380B0000}"/>
    <cellStyle name="Currency 3 2 4 4 3 2" xfId="14318" xr:uid="{3FA53063-B14E-420D-9154-FE43DCF7B391}"/>
    <cellStyle name="Currency 3 2 4 4 4" xfId="10100" xr:uid="{7B007FF2-47A9-409C-B7D6-AC05CC09F9C4}"/>
    <cellStyle name="Currency 3 2 4 5" xfId="1985" xr:uid="{00000000-0005-0000-0000-0000390B0000}"/>
    <cellStyle name="Currency 3 2 4 5 2" xfId="4214" xr:uid="{00000000-0005-0000-0000-00003A0B0000}"/>
    <cellStyle name="Currency 3 2 4 5 2 2" xfId="8437" xr:uid="{00000000-0005-0000-0000-00003B0B0000}"/>
    <cellStyle name="Currency 3 2 4 5 2 2 2" xfId="16876" xr:uid="{EEF2490D-0368-40C4-88BB-FB075F05C5D2}"/>
    <cellStyle name="Currency 3 2 4 5 2 3" xfId="12658" xr:uid="{36E10C5E-8E8A-4E6B-A982-486AD1E003EE}"/>
    <cellStyle name="Currency 3 2 4 5 3" xfId="6292" xr:uid="{00000000-0005-0000-0000-00003C0B0000}"/>
    <cellStyle name="Currency 3 2 4 5 3 2" xfId="14731" xr:uid="{D74AA073-DD8C-4C9A-A3F0-2815C7A7A015}"/>
    <cellStyle name="Currency 3 2 4 5 4" xfId="10513" xr:uid="{3D606D3E-A6A0-488E-BF68-8539BCABD9FD}"/>
    <cellStyle name="Currency 3 2 4 6" xfId="2420" xr:uid="{00000000-0005-0000-0000-00003D0B0000}"/>
    <cellStyle name="Currency 3 2 4 6 2" xfId="6705" xr:uid="{00000000-0005-0000-0000-00003E0B0000}"/>
    <cellStyle name="Currency 3 2 4 6 2 2" xfId="15144" xr:uid="{AB7EA423-3C81-4879-9FC6-AEBB0AA0E985}"/>
    <cellStyle name="Currency 3 2 4 6 3" xfId="10926" xr:uid="{2D8962B3-4736-43EC-976D-DD67ACCE4E75}"/>
    <cellStyle name="Currency 3 2 4 7" xfId="2717" xr:uid="{00000000-0005-0000-0000-00003F0B0000}"/>
    <cellStyle name="Currency 3 2 4 8" xfId="2798" xr:uid="{00000000-0005-0000-0000-0000400B0000}"/>
    <cellStyle name="Currency 3 2 4 8 2" xfId="7022" xr:uid="{00000000-0005-0000-0000-0000410B0000}"/>
    <cellStyle name="Currency 3 2 4 8 2 2" xfId="15461" xr:uid="{1EB6102E-EE3F-44DD-9147-2068CD8C71B2}"/>
    <cellStyle name="Currency 3 2 4 8 3" xfId="11243" xr:uid="{1110C1D3-FD96-4508-A792-CCF560753FB9}"/>
    <cellStyle name="Currency 3 2 4 9" xfId="4639" xr:uid="{00000000-0005-0000-0000-0000420B0000}"/>
    <cellStyle name="Currency 3 2 4 9 2" xfId="13078" xr:uid="{CFF1A35B-ABA0-44E4-9797-2BE247873632}"/>
    <cellStyle name="Currency 3 2 5" xfId="185" xr:uid="{00000000-0005-0000-0000-0000430B0000}"/>
    <cellStyle name="Currency 3 2 5 10" xfId="8861" xr:uid="{F7FEAF01-A351-45F5-A75B-AED1B677DFAB}"/>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15638" xr:uid="{2349B220-ABCA-4A6A-AE36-193D9EA27F56}"/>
    <cellStyle name="Currency 3 2 5 2 2 3" xfId="11420" xr:uid="{13FE4AFF-D8BB-4D25-8A33-4C32097DC9A5}"/>
    <cellStyle name="Currency 3 2 5 2 3" xfId="5054" xr:uid="{00000000-0005-0000-0000-0000470B0000}"/>
    <cellStyle name="Currency 3 2 5 2 3 2" xfId="13493" xr:uid="{F5477692-843A-4FFE-9B56-EBDE57C33576}"/>
    <cellStyle name="Currency 3 2 5 2 4" xfId="9275" xr:uid="{AED49579-D950-4B4E-9F54-FECC6EDEE66B}"/>
    <cellStyle name="Currency 3 2 5 3" xfId="1158" xr:uid="{00000000-0005-0000-0000-0000480B0000}"/>
    <cellStyle name="Currency 3 2 5 3 2" xfId="3389" xr:uid="{00000000-0005-0000-0000-0000490B0000}"/>
    <cellStyle name="Currency 3 2 5 3 2 2" xfId="7612" xr:uid="{00000000-0005-0000-0000-00004A0B0000}"/>
    <cellStyle name="Currency 3 2 5 3 2 2 2" xfId="16051" xr:uid="{BB3557C3-2F18-4251-9BC6-7D7464CE0C68}"/>
    <cellStyle name="Currency 3 2 5 3 2 3" xfId="11833" xr:uid="{239A6BFA-726F-4C6E-874F-117F3A02756B}"/>
    <cellStyle name="Currency 3 2 5 3 3" xfId="5467" xr:uid="{00000000-0005-0000-0000-00004B0B0000}"/>
    <cellStyle name="Currency 3 2 5 3 3 2" xfId="13906" xr:uid="{50747243-296D-4E00-812F-B08949F9E577}"/>
    <cellStyle name="Currency 3 2 5 3 4" xfId="9688" xr:uid="{D2D7726F-0B4D-43F7-AD63-2934AF85876A}"/>
    <cellStyle name="Currency 3 2 5 4" xfId="1572" xr:uid="{00000000-0005-0000-0000-00004C0B0000}"/>
    <cellStyle name="Currency 3 2 5 4 2" xfId="3802" xr:uid="{00000000-0005-0000-0000-00004D0B0000}"/>
    <cellStyle name="Currency 3 2 5 4 2 2" xfId="8025" xr:uid="{00000000-0005-0000-0000-00004E0B0000}"/>
    <cellStyle name="Currency 3 2 5 4 2 2 2" xfId="16464" xr:uid="{BA134C25-7750-4F81-B672-522583766E23}"/>
    <cellStyle name="Currency 3 2 5 4 2 3" xfId="12246" xr:uid="{2AB4281F-0D47-4DA4-AFEC-D15E142C9679}"/>
    <cellStyle name="Currency 3 2 5 4 3" xfId="5880" xr:uid="{00000000-0005-0000-0000-00004F0B0000}"/>
    <cellStyle name="Currency 3 2 5 4 3 2" xfId="14319" xr:uid="{4338E4D5-54DE-4C2E-8D99-190CB5577F78}"/>
    <cellStyle name="Currency 3 2 5 4 4" xfId="10101" xr:uid="{B5DF4608-A80F-4050-8901-CC449947BFF8}"/>
    <cellStyle name="Currency 3 2 5 5" xfId="1986" xr:uid="{00000000-0005-0000-0000-0000500B0000}"/>
    <cellStyle name="Currency 3 2 5 5 2" xfId="4215" xr:uid="{00000000-0005-0000-0000-0000510B0000}"/>
    <cellStyle name="Currency 3 2 5 5 2 2" xfId="8438" xr:uid="{00000000-0005-0000-0000-0000520B0000}"/>
    <cellStyle name="Currency 3 2 5 5 2 2 2" xfId="16877" xr:uid="{4D0A6216-B1C6-4323-B1E6-94224D888125}"/>
    <cellStyle name="Currency 3 2 5 5 2 3" xfId="12659" xr:uid="{9A14A9CC-4191-463D-A7F6-8BDD8DE1D7FE}"/>
    <cellStyle name="Currency 3 2 5 5 3" xfId="6293" xr:uid="{00000000-0005-0000-0000-0000530B0000}"/>
    <cellStyle name="Currency 3 2 5 5 3 2" xfId="14732" xr:uid="{1BA073CC-8125-4F36-9DA4-FA2625F53546}"/>
    <cellStyle name="Currency 3 2 5 5 4" xfId="10514" xr:uid="{A5C2B2D7-9404-4FBE-8F26-9434AD53140A}"/>
    <cellStyle name="Currency 3 2 5 6" xfId="2421" xr:uid="{00000000-0005-0000-0000-0000540B0000}"/>
    <cellStyle name="Currency 3 2 5 6 2" xfId="6706" xr:uid="{00000000-0005-0000-0000-0000550B0000}"/>
    <cellStyle name="Currency 3 2 5 6 2 2" xfId="15145" xr:uid="{CCE7ED65-1B1A-4646-AD6F-DC6126565741}"/>
    <cellStyle name="Currency 3 2 5 6 3" xfId="10927" xr:uid="{10356544-E3E8-4B45-B67B-995347462435}"/>
    <cellStyle name="Currency 3 2 5 7" xfId="2718" xr:uid="{00000000-0005-0000-0000-0000560B0000}"/>
    <cellStyle name="Currency 3 2 5 8" xfId="2799" xr:uid="{00000000-0005-0000-0000-0000570B0000}"/>
    <cellStyle name="Currency 3 2 5 8 2" xfId="7023" xr:uid="{00000000-0005-0000-0000-0000580B0000}"/>
    <cellStyle name="Currency 3 2 5 8 2 2" xfId="15462" xr:uid="{68DAB46C-90CB-48A9-B1DA-06B8D6B8A825}"/>
    <cellStyle name="Currency 3 2 5 8 3" xfId="11244" xr:uid="{BE8BA0A1-9633-4E8B-B113-B23861A45E1E}"/>
    <cellStyle name="Currency 3 2 5 9" xfId="4640" xr:uid="{00000000-0005-0000-0000-0000590B0000}"/>
    <cellStyle name="Currency 3 2 5 9 2" xfId="13079" xr:uid="{16D0C033-ACAE-4A2E-942F-63FEBF35762D}"/>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0 2 2" xfId="15463" xr:uid="{F1D74E20-6932-4E05-B315-C8F61BD58A93}"/>
    <cellStyle name="Currency 5 2 2 2 10 3" xfId="11245" xr:uid="{990797E0-F50E-4695-9035-BF25B599B954}"/>
    <cellStyle name="Currency 5 2 2 2 11" xfId="4641" xr:uid="{00000000-0005-0000-0000-00006C0B0000}"/>
    <cellStyle name="Currency 5 2 2 2 11 2" xfId="13080" xr:uid="{355D389A-EB60-473A-9A59-FEF941755AC3}"/>
    <cellStyle name="Currency 5 2 2 2 12" xfId="8862" xr:uid="{CE96F3F9-3F24-443E-BB6E-D53AD7B8FC71}"/>
    <cellStyle name="Currency 5 2 2 2 2" xfId="197" xr:uid="{00000000-0005-0000-0000-00006D0B0000}"/>
    <cellStyle name="Currency 5 2 2 2 2 10" xfId="4642" xr:uid="{00000000-0005-0000-0000-00006E0B0000}"/>
    <cellStyle name="Currency 5 2 2 2 2 10 2" xfId="13081" xr:uid="{99F40AC9-7B66-4AAE-AF26-3CFD8C24F5F9}"/>
    <cellStyle name="Currency 5 2 2 2 2 11" xfId="8863" xr:uid="{A8AFEC2C-3C7C-45F2-903E-848F4A8614A8}"/>
    <cellStyle name="Currency 5 2 2 2 2 2" xfId="198" xr:uid="{00000000-0005-0000-0000-00006F0B0000}"/>
    <cellStyle name="Currency 5 2 2 2 2 2 10" xfId="8864" xr:uid="{824A1387-F682-4F69-9B9D-68C12E5408E8}"/>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15641" xr:uid="{C1E1784A-6D6E-46DC-AB44-FD83789B536F}"/>
    <cellStyle name="Currency 5 2 2 2 2 2 2 2 3" xfId="11423" xr:uid="{002A4CD7-E5AC-4EA5-A143-CE3A7615AC37}"/>
    <cellStyle name="Currency 5 2 2 2 2 2 2 3" xfId="5057" xr:uid="{00000000-0005-0000-0000-0000730B0000}"/>
    <cellStyle name="Currency 5 2 2 2 2 2 2 3 2" xfId="13496" xr:uid="{DFE84D9B-867F-4F6C-B9E3-257138DB5670}"/>
    <cellStyle name="Currency 5 2 2 2 2 2 2 4" xfId="9278" xr:uid="{96627D52-0215-42A6-BE3E-23668F791C4C}"/>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2 2" xfId="16054" xr:uid="{EF07799E-30A5-4216-BABF-EF0748FBECF8}"/>
    <cellStyle name="Currency 5 2 2 2 2 2 3 2 3" xfId="11836" xr:uid="{537FCA68-FBB6-471B-88F4-47164542390E}"/>
    <cellStyle name="Currency 5 2 2 2 2 2 3 3" xfId="5470" xr:uid="{00000000-0005-0000-0000-0000770B0000}"/>
    <cellStyle name="Currency 5 2 2 2 2 2 3 3 2" xfId="13909" xr:uid="{FC2B5BC7-49AC-4B75-BF33-10C3CF1B8076}"/>
    <cellStyle name="Currency 5 2 2 2 2 2 3 4" xfId="9691" xr:uid="{F62DE245-0577-4904-A948-9E6E721C3B9F}"/>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2 2 2" xfId="16467" xr:uid="{D4308752-28FF-44BA-999A-30508E94B1C0}"/>
    <cellStyle name="Currency 5 2 2 2 2 2 4 2 3" xfId="12249" xr:uid="{5D2A62F8-E304-4A94-ACF7-3092CD1AD088}"/>
    <cellStyle name="Currency 5 2 2 2 2 2 4 3" xfId="5883" xr:uid="{00000000-0005-0000-0000-00007B0B0000}"/>
    <cellStyle name="Currency 5 2 2 2 2 2 4 3 2" xfId="14322" xr:uid="{172463F5-77B1-41A9-9EB9-B5BE956AE85E}"/>
    <cellStyle name="Currency 5 2 2 2 2 2 4 4" xfId="10104" xr:uid="{8A08EEE8-258B-4E4D-B9F9-1EDBB5D5B445}"/>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2 2 2" xfId="16880" xr:uid="{3544BC08-EC97-49A6-A4DB-4ACC9D9D8290}"/>
    <cellStyle name="Currency 5 2 2 2 2 2 5 2 3" xfId="12662" xr:uid="{714A113F-0780-45B2-AE9B-B3A7562DD33A}"/>
    <cellStyle name="Currency 5 2 2 2 2 2 5 3" xfId="6296" xr:uid="{00000000-0005-0000-0000-00007F0B0000}"/>
    <cellStyle name="Currency 5 2 2 2 2 2 5 3 2" xfId="14735" xr:uid="{2D0BCE43-0267-461D-A353-5D78490C9BFA}"/>
    <cellStyle name="Currency 5 2 2 2 2 2 5 4" xfId="10517" xr:uid="{19333637-0214-4AE1-917B-25F254A68737}"/>
    <cellStyle name="Currency 5 2 2 2 2 2 6" xfId="2424" xr:uid="{00000000-0005-0000-0000-0000800B0000}"/>
    <cellStyle name="Currency 5 2 2 2 2 2 6 2" xfId="6709" xr:uid="{00000000-0005-0000-0000-0000810B0000}"/>
    <cellStyle name="Currency 5 2 2 2 2 2 6 2 2" xfId="15148" xr:uid="{74129176-A270-4D05-B8E9-2CDE54433018}"/>
    <cellStyle name="Currency 5 2 2 2 2 2 6 3" xfId="10930" xr:uid="{ADF6F984-BC89-4A97-9B8C-C9C25892A1A3}"/>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8 2 2" xfId="15465" xr:uid="{B0A98959-D6F6-4D09-BFD5-EE9720F9BF4E}"/>
    <cellStyle name="Currency 5 2 2 2 2 2 8 3" xfId="11247" xr:uid="{9F2E5E8C-F6BB-4488-A316-810BC8C394D7}"/>
    <cellStyle name="Currency 5 2 2 2 2 2 9" xfId="4643" xr:uid="{00000000-0005-0000-0000-0000850B0000}"/>
    <cellStyle name="Currency 5 2 2 2 2 2 9 2" xfId="13082" xr:uid="{5C918E29-2F96-412B-BF07-C904B84611C9}"/>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15640" xr:uid="{953838E6-21D5-48EC-B842-53D6B46D53E7}"/>
    <cellStyle name="Currency 5 2 2 2 2 3 2 3" xfId="11422" xr:uid="{10B68B5B-D0C3-4CCA-B863-BC2BA00049A8}"/>
    <cellStyle name="Currency 5 2 2 2 2 3 3" xfId="5056" xr:uid="{00000000-0005-0000-0000-0000890B0000}"/>
    <cellStyle name="Currency 5 2 2 2 2 3 3 2" xfId="13495" xr:uid="{AE362C07-8D7E-4954-BDE1-2E9355BBB586}"/>
    <cellStyle name="Currency 5 2 2 2 2 3 4" xfId="9277" xr:uid="{DBF8F6F8-4A0C-4D48-9338-73D4E868728C}"/>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2 2" xfId="16053" xr:uid="{B5D05981-BC51-4311-86E8-6090045AE6E5}"/>
    <cellStyle name="Currency 5 2 2 2 2 4 2 3" xfId="11835" xr:uid="{0FCA0B3D-5FBA-4148-9B2A-4EEECD0AAABC}"/>
    <cellStyle name="Currency 5 2 2 2 2 4 3" xfId="5469" xr:uid="{00000000-0005-0000-0000-00008D0B0000}"/>
    <cellStyle name="Currency 5 2 2 2 2 4 3 2" xfId="13908" xr:uid="{7ABD6B9A-F641-48F2-A1B9-FD8164052BA8}"/>
    <cellStyle name="Currency 5 2 2 2 2 4 4" xfId="9690" xr:uid="{8C0FD6DC-28DC-4941-9B59-703CF3EF952F}"/>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2 2 2" xfId="16466" xr:uid="{CCA42FA2-E008-495F-BE18-C2492B60D8B8}"/>
    <cellStyle name="Currency 5 2 2 2 2 5 2 3" xfId="12248" xr:uid="{6B5E2A55-577A-4122-A88C-91CBC993887C}"/>
    <cellStyle name="Currency 5 2 2 2 2 5 3" xfId="5882" xr:uid="{00000000-0005-0000-0000-0000910B0000}"/>
    <cellStyle name="Currency 5 2 2 2 2 5 3 2" xfId="14321" xr:uid="{80C706B1-5B3D-4768-9346-FC9C57038237}"/>
    <cellStyle name="Currency 5 2 2 2 2 5 4" xfId="10103" xr:uid="{62A21B96-82E1-405F-9589-4336B3089F69}"/>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2 2 2" xfId="16879" xr:uid="{D30D0AFF-6DD4-447B-B410-B86C0B6A4A0D}"/>
    <cellStyle name="Currency 5 2 2 2 2 6 2 3" xfId="12661" xr:uid="{9B2DA8A8-805D-477A-99D0-E0B70348CEC8}"/>
    <cellStyle name="Currency 5 2 2 2 2 6 3" xfId="6295" xr:uid="{00000000-0005-0000-0000-0000950B0000}"/>
    <cellStyle name="Currency 5 2 2 2 2 6 3 2" xfId="14734" xr:uid="{8BE42678-C3F8-4972-AE80-238746D1F8DE}"/>
    <cellStyle name="Currency 5 2 2 2 2 6 4" xfId="10516" xr:uid="{005D8991-142E-4145-930D-8AE2C3AFCA80}"/>
    <cellStyle name="Currency 5 2 2 2 2 7" xfId="2423" xr:uid="{00000000-0005-0000-0000-0000960B0000}"/>
    <cellStyle name="Currency 5 2 2 2 2 7 2" xfId="6708" xr:uid="{00000000-0005-0000-0000-0000970B0000}"/>
    <cellStyle name="Currency 5 2 2 2 2 7 2 2" xfId="15147" xr:uid="{1F9DF429-E99C-4C01-990B-3E157C897A21}"/>
    <cellStyle name="Currency 5 2 2 2 2 7 3" xfId="10929" xr:uid="{D7CF684C-CBFB-4D57-A2EF-0606F1922E86}"/>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2 9 2 2" xfId="15464" xr:uid="{DAA4BFB6-C3F7-491D-BBDD-D17E1D06432E}"/>
    <cellStyle name="Currency 5 2 2 2 2 9 3" xfId="11246" xr:uid="{95C82EB5-FF34-4B86-8CE7-51D00E5A8C5C}"/>
    <cellStyle name="Currency 5 2 2 2 3" xfId="199" xr:uid="{00000000-0005-0000-0000-00009B0B0000}"/>
    <cellStyle name="Currency 5 2 2 2 3 10" xfId="8865" xr:uid="{D735E772-88E1-4FBA-AB4F-E87BE740E453}"/>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15642" xr:uid="{F383983B-3E79-4840-89C4-3E27F7773134}"/>
    <cellStyle name="Currency 5 2 2 2 3 2 2 3" xfId="11424" xr:uid="{7E9E65D4-0C15-454E-85AD-3BC525B22D64}"/>
    <cellStyle name="Currency 5 2 2 2 3 2 3" xfId="5058" xr:uid="{00000000-0005-0000-0000-00009F0B0000}"/>
    <cellStyle name="Currency 5 2 2 2 3 2 3 2" xfId="13497" xr:uid="{29AA4C71-43B4-4BA6-80AA-6A698D8A2099}"/>
    <cellStyle name="Currency 5 2 2 2 3 2 4" xfId="9279" xr:uid="{9F2B0054-33F7-465E-8820-739E3C8A94D2}"/>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2 2" xfId="16055" xr:uid="{621A6565-6190-447B-AB7A-E443CDC92FA1}"/>
    <cellStyle name="Currency 5 2 2 2 3 3 2 3" xfId="11837" xr:uid="{D02C652F-B300-44E4-B6FC-88ED4E89C313}"/>
    <cellStyle name="Currency 5 2 2 2 3 3 3" xfId="5471" xr:uid="{00000000-0005-0000-0000-0000A30B0000}"/>
    <cellStyle name="Currency 5 2 2 2 3 3 3 2" xfId="13910" xr:uid="{6B8905F1-1A56-45BF-B86B-BB5F8A24ECCF}"/>
    <cellStyle name="Currency 5 2 2 2 3 3 4" xfId="9692" xr:uid="{57F95CA2-C42B-4E18-83C9-09605F31FC6C}"/>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2 2 2" xfId="16468" xr:uid="{ADCF3757-8054-42B4-AAFD-E1410F09A33E}"/>
    <cellStyle name="Currency 5 2 2 2 3 4 2 3" xfId="12250" xr:uid="{5ADB981E-B09B-48FA-ACCD-9EE718096A08}"/>
    <cellStyle name="Currency 5 2 2 2 3 4 3" xfId="5884" xr:uid="{00000000-0005-0000-0000-0000A70B0000}"/>
    <cellStyle name="Currency 5 2 2 2 3 4 3 2" xfId="14323" xr:uid="{AFC9358A-5EF4-4EB8-B63A-A15EE83FC2DF}"/>
    <cellStyle name="Currency 5 2 2 2 3 4 4" xfId="10105" xr:uid="{F6C329DA-51B3-47F5-AFEF-D57CB8BE7452}"/>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2 2 2" xfId="16881" xr:uid="{AA5854AA-F19F-4AF1-915A-835E7D0284E0}"/>
    <cellStyle name="Currency 5 2 2 2 3 5 2 3" xfId="12663" xr:uid="{DD0DF5C0-3BFC-420F-A402-CA9FBBDAEB53}"/>
    <cellStyle name="Currency 5 2 2 2 3 5 3" xfId="6297" xr:uid="{00000000-0005-0000-0000-0000AB0B0000}"/>
    <cellStyle name="Currency 5 2 2 2 3 5 3 2" xfId="14736" xr:uid="{A5D25346-C6D6-4582-BBF6-75A22C2579BC}"/>
    <cellStyle name="Currency 5 2 2 2 3 5 4" xfId="10518" xr:uid="{B3AD670D-A66F-4A97-A5CC-5AB5C06F4028}"/>
    <cellStyle name="Currency 5 2 2 2 3 6" xfId="2425" xr:uid="{00000000-0005-0000-0000-0000AC0B0000}"/>
    <cellStyle name="Currency 5 2 2 2 3 6 2" xfId="6710" xr:uid="{00000000-0005-0000-0000-0000AD0B0000}"/>
    <cellStyle name="Currency 5 2 2 2 3 6 2 2" xfId="15149" xr:uid="{551120B5-61D5-4E7F-9433-70D63D8CB69C}"/>
    <cellStyle name="Currency 5 2 2 2 3 6 3" xfId="10931" xr:uid="{B7672937-19D6-4313-A4FF-EDF00DB01C15}"/>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8 2 2" xfId="15466" xr:uid="{49929085-7CD4-4C34-9D0D-433F34448E2C}"/>
    <cellStyle name="Currency 5 2 2 2 3 8 3" xfId="11248" xr:uid="{32D8F46F-A258-4AEB-8846-5004AD9649A9}"/>
    <cellStyle name="Currency 5 2 2 2 3 9" xfId="4644" xr:uid="{00000000-0005-0000-0000-0000B10B0000}"/>
    <cellStyle name="Currency 5 2 2 2 3 9 2" xfId="13083" xr:uid="{E73B0169-DF13-4DCC-93AC-EC77BE8995D7}"/>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15639" xr:uid="{EE733E81-5475-4BA8-B98C-D70F06BBEF27}"/>
    <cellStyle name="Currency 5 2 2 2 4 2 3" xfId="11421" xr:uid="{25626AD2-36C2-49CC-BCD3-B349B25C8EE0}"/>
    <cellStyle name="Currency 5 2 2 2 4 3" xfId="5055" xr:uid="{00000000-0005-0000-0000-0000B50B0000}"/>
    <cellStyle name="Currency 5 2 2 2 4 3 2" xfId="13494" xr:uid="{72D9EBB2-F69B-43FC-9BD7-4EC67BC4A370}"/>
    <cellStyle name="Currency 5 2 2 2 4 4" xfId="9276" xr:uid="{A86C4CD5-AD40-4DAD-9392-D377685C5161}"/>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2 2" xfId="16052" xr:uid="{E299FD70-0EA9-46CD-955F-D27F1131C9E7}"/>
    <cellStyle name="Currency 5 2 2 2 5 2 3" xfId="11834" xr:uid="{AD7BDB19-1F2B-4AA3-9461-706F93AB28AD}"/>
    <cellStyle name="Currency 5 2 2 2 5 3" xfId="5468" xr:uid="{00000000-0005-0000-0000-0000B90B0000}"/>
    <cellStyle name="Currency 5 2 2 2 5 3 2" xfId="13907" xr:uid="{270827E0-6153-4CEA-AE0C-25D1D1078970}"/>
    <cellStyle name="Currency 5 2 2 2 5 4" xfId="9689" xr:uid="{4AA6A237-BE8A-44EF-996D-90342E5227A4}"/>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2 2 2" xfId="16465" xr:uid="{43E18CA0-9857-4B6F-B20F-AB854C0B4291}"/>
    <cellStyle name="Currency 5 2 2 2 6 2 3" xfId="12247" xr:uid="{6C86AE8B-5788-4F85-B4C1-020A26468D2A}"/>
    <cellStyle name="Currency 5 2 2 2 6 3" xfId="5881" xr:uid="{00000000-0005-0000-0000-0000BD0B0000}"/>
    <cellStyle name="Currency 5 2 2 2 6 3 2" xfId="14320" xr:uid="{2D2520DC-4C0F-4691-8099-3223B60A0CF7}"/>
    <cellStyle name="Currency 5 2 2 2 6 4" xfId="10102" xr:uid="{6024ADBB-DDF6-4C25-9B21-0F0AC0D15D58}"/>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2 2 2" xfId="16878" xr:uid="{6451E1D2-F148-45BA-B345-714783E8E0DC}"/>
    <cellStyle name="Currency 5 2 2 2 7 2 3" xfId="12660" xr:uid="{B9BAC13A-207E-4A2A-B33D-53C49870E91B}"/>
    <cellStyle name="Currency 5 2 2 2 7 3" xfId="6294" xr:uid="{00000000-0005-0000-0000-0000C10B0000}"/>
    <cellStyle name="Currency 5 2 2 2 7 3 2" xfId="14733" xr:uid="{E0C8EF87-BF72-4660-BFD3-A11D78C73004}"/>
    <cellStyle name="Currency 5 2 2 2 7 4" xfId="10515" xr:uid="{BDC480A2-25FF-4288-974F-9D1331345E95}"/>
    <cellStyle name="Currency 5 2 2 2 8" xfId="2422" xr:uid="{00000000-0005-0000-0000-0000C20B0000}"/>
    <cellStyle name="Currency 5 2 2 2 8 2" xfId="6707" xr:uid="{00000000-0005-0000-0000-0000C30B0000}"/>
    <cellStyle name="Currency 5 2 2 2 8 2 2" xfId="15146" xr:uid="{699F51C0-62E3-4F32-8992-34273B6FBB29}"/>
    <cellStyle name="Currency 5 2 2 2 8 3" xfId="10928" xr:uid="{2E898408-33AC-47CF-9CC4-CCD598EC6C21}"/>
    <cellStyle name="Currency 5 2 2 2 9" xfId="2719" xr:uid="{00000000-0005-0000-0000-0000C40B0000}"/>
    <cellStyle name="Currency 5 2 2 3" xfId="200" xr:uid="{00000000-0005-0000-0000-0000C50B0000}"/>
    <cellStyle name="Currency 5 2 2 3 10" xfId="4645" xr:uid="{00000000-0005-0000-0000-0000C60B0000}"/>
    <cellStyle name="Currency 5 2 2 3 10 2" xfId="13084" xr:uid="{107690A6-9769-43F3-8871-79B1DCAF89F3}"/>
    <cellStyle name="Currency 5 2 2 3 11" xfId="8866" xr:uid="{114431F3-957F-4744-91A2-D1474BF224AC}"/>
    <cellStyle name="Currency 5 2 2 3 2" xfId="201" xr:uid="{00000000-0005-0000-0000-0000C70B0000}"/>
    <cellStyle name="Currency 5 2 2 3 2 10" xfId="8867" xr:uid="{A589C059-1AD7-4B3F-B7F7-81D1E4E1A489}"/>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15644" xr:uid="{BAEBD318-23A6-4088-ADDE-74D85C74ED79}"/>
    <cellStyle name="Currency 5 2 2 3 2 2 2 3" xfId="11426" xr:uid="{3BD28E0A-1682-46A5-9AE3-CC51CAC30913}"/>
    <cellStyle name="Currency 5 2 2 3 2 2 3" xfId="5060" xr:uid="{00000000-0005-0000-0000-0000CB0B0000}"/>
    <cellStyle name="Currency 5 2 2 3 2 2 3 2" xfId="13499" xr:uid="{1357F320-B2FF-4605-B239-B6DA011D6336}"/>
    <cellStyle name="Currency 5 2 2 3 2 2 4" xfId="9281" xr:uid="{02821D98-F8D5-4E83-823D-8A1DAEAE99CF}"/>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2 2" xfId="16057" xr:uid="{5921D7A4-1A17-4565-8C33-6ED579C039DA}"/>
    <cellStyle name="Currency 5 2 2 3 2 3 2 3" xfId="11839" xr:uid="{1E7FABC9-8196-4D75-AD6E-D59E4DD993A5}"/>
    <cellStyle name="Currency 5 2 2 3 2 3 3" xfId="5473" xr:uid="{00000000-0005-0000-0000-0000CF0B0000}"/>
    <cellStyle name="Currency 5 2 2 3 2 3 3 2" xfId="13912" xr:uid="{2FF5DFF5-A2A9-45C4-B8AF-70A458FB618B}"/>
    <cellStyle name="Currency 5 2 2 3 2 3 4" xfId="9694" xr:uid="{93A3EFBA-8A5D-4C4D-954A-46228DBB09E5}"/>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2 2 2" xfId="16470" xr:uid="{D8B7C1B6-971F-4E70-9140-DCB8EEFB8E51}"/>
    <cellStyle name="Currency 5 2 2 3 2 4 2 3" xfId="12252" xr:uid="{139C58A6-3A66-43DF-872B-B282B4454FB3}"/>
    <cellStyle name="Currency 5 2 2 3 2 4 3" xfId="5886" xr:uid="{00000000-0005-0000-0000-0000D30B0000}"/>
    <cellStyle name="Currency 5 2 2 3 2 4 3 2" xfId="14325" xr:uid="{16FC8DC7-68E6-4524-BF06-7F8DB818436E}"/>
    <cellStyle name="Currency 5 2 2 3 2 4 4" xfId="10107" xr:uid="{CA50D878-B44C-4070-8531-90BCF238EE1C}"/>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2 2 2" xfId="16883" xr:uid="{FB23AFB4-4291-481B-AE01-270C4A77C77B}"/>
    <cellStyle name="Currency 5 2 2 3 2 5 2 3" xfId="12665" xr:uid="{CD6C18BC-2734-4131-A5C4-FB68E3FE5932}"/>
    <cellStyle name="Currency 5 2 2 3 2 5 3" xfId="6299" xr:uid="{00000000-0005-0000-0000-0000D70B0000}"/>
    <cellStyle name="Currency 5 2 2 3 2 5 3 2" xfId="14738" xr:uid="{C1C744AD-4109-4C9E-BC40-961F58EE2970}"/>
    <cellStyle name="Currency 5 2 2 3 2 5 4" xfId="10520" xr:uid="{7F943B4E-3B69-4DC7-9A6E-B88B1D9E05CF}"/>
    <cellStyle name="Currency 5 2 2 3 2 6" xfId="2427" xr:uid="{00000000-0005-0000-0000-0000D80B0000}"/>
    <cellStyle name="Currency 5 2 2 3 2 6 2" xfId="6712" xr:uid="{00000000-0005-0000-0000-0000D90B0000}"/>
    <cellStyle name="Currency 5 2 2 3 2 6 2 2" xfId="15151" xr:uid="{30A61053-A13E-4A1C-A37B-8D1B90B8BE51}"/>
    <cellStyle name="Currency 5 2 2 3 2 6 3" xfId="10933" xr:uid="{5B942820-D092-4F0D-A998-B9C73FD39D8C}"/>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8 2 2" xfId="15468" xr:uid="{B008A5A2-8DA4-47F4-8599-4264D4F33444}"/>
    <cellStyle name="Currency 5 2 2 3 2 8 3" xfId="11250" xr:uid="{08729CB5-D5C8-4982-9722-D2E7F453F3A8}"/>
    <cellStyle name="Currency 5 2 2 3 2 9" xfId="4646" xr:uid="{00000000-0005-0000-0000-0000DD0B0000}"/>
    <cellStyle name="Currency 5 2 2 3 2 9 2" xfId="13085" xr:uid="{4405FE3A-44FE-41A3-A2F6-D1C272F91EEC}"/>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15643" xr:uid="{E57EDBEC-30D3-4A7E-9313-D52D9671BCCB}"/>
    <cellStyle name="Currency 5 2 2 3 3 2 3" xfId="11425" xr:uid="{13E39E80-9BD2-43C7-B5CA-B201734FD211}"/>
    <cellStyle name="Currency 5 2 2 3 3 3" xfId="5059" xr:uid="{00000000-0005-0000-0000-0000E10B0000}"/>
    <cellStyle name="Currency 5 2 2 3 3 3 2" xfId="13498" xr:uid="{FABBC8FF-8ABA-4121-A654-49BC345DBC3E}"/>
    <cellStyle name="Currency 5 2 2 3 3 4" xfId="9280" xr:uid="{5834713F-26F8-4BDC-9697-F10DAF07A934}"/>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2 2" xfId="16056" xr:uid="{4F18C912-EA64-4912-8F3A-B22BD0ACE610}"/>
    <cellStyle name="Currency 5 2 2 3 4 2 3" xfId="11838" xr:uid="{BF412786-6363-47DD-89EB-0BE0334FBF94}"/>
    <cellStyle name="Currency 5 2 2 3 4 3" xfId="5472" xr:uid="{00000000-0005-0000-0000-0000E50B0000}"/>
    <cellStyle name="Currency 5 2 2 3 4 3 2" xfId="13911" xr:uid="{7A56EC9D-7A19-4775-A491-0F1DAAD163BF}"/>
    <cellStyle name="Currency 5 2 2 3 4 4" xfId="9693" xr:uid="{445030CD-A128-4F4E-ADF3-A059902C8083}"/>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2 2 2" xfId="16469" xr:uid="{E3720672-4CEB-467A-9E07-F61E40D89D43}"/>
    <cellStyle name="Currency 5 2 2 3 5 2 3" xfId="12251" xr:uid="{DD27709F-8BC6-4FD4-9A0A-F1B4C80C7A3A}"/>
    <cellStyle name="Currency 5 2 2 3 5 3" xfId="5885" xr:uid="{00000000-0005-0000-0000-0000E90B0000}"/>
    <cellStyle name="Currency 5 2 2 3 5 3 2" xfId="14324" xr:uid="{62BC3E2D-AE01-4BF2-9F64-DF3086793AA3}"/>
    <cellStyle name="Currency 5 2 2 3 5 4" xfId="10106" xr:uid="{4FDC2D5B-7A4D-4963-AFDB-9874014D650E}"/>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2 2 2" xfId="16882" xr:uid="{7E510FF6-E096-4B59-9AC4-160D36186830}"/>
    <cellStyle name="Currency 5 2 2 3 6 2 3" xfId="12664" xr:uid="{795C6539-AF2B-418A-A771-9CDE729931C2}"/>
    <cellStyle name="Currency 5 2 2 3 6 3" xfId="6298" xr:uid="{00000000-0005-0000-0000-0000ED0B0000}"/>
    <cellStyle name="Currency 5 2 2 3 6 3 2" xfId="14737" xr:uid="{89B6B4E2-22A4-46DD-9D77-76D3E12B7AEB}"/>
    <cellStyle name="Currency 5 2 2 3 6 4" xfId="10519" xr:uid="{8B4DAAB8-C2E1-4CCF-BDCD-6DAC2699B3B0}"/>
    <cellStyle name="Currency 5 2 2 3 7" xfId="2426" xr:uid="{00000000-0005-0000-0000-0000EE0B0000}"/>
    <cellStyle name="Currency 5 2 2 3 7 2" xfId="6711" xr:uid="{00000000-0005-0000-0000-0000EF0B0000}"/>
    <cellStyle name="Currency 5 2 2 3 7 2 2" xfId="15150" xr:uid="{06436950-AC58-46D9-BAC7-4A10F3D72111}"/>
    <cellStyle name="Currency 5 2 2 3 7 3" xfId="10932" xr:uid="{9FACD715-CA26-46B3-8A4B-8F00D9F9C908}"/>
    <cellStyle name="Currency 5 2 2 3 8" xfId="2723" xr:uid="{00000000-0005-0000-0000-0000F00B0000}"/>
    <cellStyle name="Currency 5 2 2 3 9" xfId="2804" xr:uid="{00000000-0005-0000-0000-0000F10B0000}"/>
    <cellStyle name="Currency 5 2 2 3 9 2" xfId="7028" xr:uid="{00000000-0005-0000-0000-0000F20B0000}"/>
    <cellStyle name="Currency 5 2 2 3 9 2 2" xfId="15467" xr:uid="{F83F3EFF-E1C6-46F2-BA24-DD4D9D3E18A4}"/>
    <cellStyle name="Currency 5 2 2 3 9 3" xfId="11249" xr:uid="{E2CE1091-B742-48D4-9272-354FBE8EB4AA}"/>
    <cellStyle name="Currency 5 2 2 4" xfId="202" xr:uid="{00000000-0005-0000-0000-0000F30B0000}"/>
    <cellStyle name="Currency 5 2 2 4 10" xfId="8868" xr:uid="{5FF78813-1DD9-448F-9A74-84DE02EC032E}"/>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15645" xr:uid="{9F50A502-398A-4D79-9E6D-4D86E82D1AB8}"/>
    <cellStyle name="Currency 5 2 2 4 2 2 3" xfId="11427" xr:uid="{D4878D75-2C27-4ED4-BAA4-22A9F320FECE}"/>
    <cellStyle name="Currency 5 2 2 4 2 3" xfId="5061" xr:uid="{00000000-0005-0000-0000-0000F70B0000}"/>
    <cellStyle name="Currency 5 2 2 4 2 3 2" xfId="13500" xr:uid="{CD701847-CED5-420D-A482-D92648B5D5AB}"/>
    <cellStyle name="Currency 5 2 2 4 2 4" xfId="9282" xr:uid="{2CA57C5F-78F5-4299-982D-EA6130132D8D}"/>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2 2" xfId="16058" xr:uid="{AA2AF8CE-3D03-44EF-A4A6-27BE26F594D4}"/>
    <cellStyle name="Currency 5 2 2 4 3 2 3" xfId="11840" xr:uid="{A63C0D2A-697F-4A48-AD7B-5106F05DFAA8}"/>
    <cellStyle name="Currency 5 2 2 4 3 3" xfId="5474" xr:uid="{00000000-0005-0000-0000-0000FB0B0000}"/>
    <cellStyle name="Currency 5 2 2 4 3 3 2" xfId="13913" xr:uid="{454F1D11-178E-415B-BBAB-1E74B6F080FE}"/>
    <cellStyle name="Currency 5 2 2 4 3 4" xfId="9695" xr:uid="{7B00EA76-E706-4FA4-A956-869C2D3E6427}"/>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2 2 2" xfId="16471" xr:uid="{187563D2-1B65-40A0-B8CE-4020F9B40495}"/>
    <cellStyle name="Currency 5 2 2 4 4 2 3" xfId="12253" xr:uid="{6B79A591-40D5-443D-9E44-7E277F86614E}"/>
    <cellStyle name="Currency 5 2 2 4 4 3" xfId="5887" xr:uid="{00000000-0005-0000-0000-0000FF0B0000}"/>
    <cellStyle name="Currency 5 2 2 4 4 3 2" xfId="14326" xr:uid="{1C37E26B-7B12-45E2-8959-CFC9D51DF7EA}"/>
    <cellStyle name="Currency 5 2 2 4 4 4" xfId="10108" xr:uid="{405A9A52-2058-40ED-B865-B7752CA8FC93}"/>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2 2 2" xfId="16884" xr:uid="{2D0BDB44-3576-478C-8C0E-06B991E723B4}"/>
    <cellStyle name="Currency 5 2 2 4 5 2 3" xfId="12666" xr:uid="{9C5549B2-43AD-4AB6-96B2-1E4ADDAD6967}"/>
    <cellStyle name="Currency 5 2 2 4 5 3" xfId="6300" xr:uid="{00000000-0005-0000-0000-0000030C0000}"/>
    <cellStyle name="Currency 5 2 2 4 5 3 2" xfId="14739" xr:uid="{8CDA8A82-DE9A-4B08-B1D9-2971860E8CC7}"/>
    <cellStyle name="Currency 5 2 2 4 5 4" xfId="10521" xr:uid="{403871FE-A4FF-4811-812C-5D758BE9C151}"/>
    <cellStyle name="Currency 5 2 2 4 6" xfId="2428" xr:uid="{00000000-0005-0000-0000-0000040C0000}"/>
    <cellStyle name="Currency 5 2 2 4 6 2" xfId="6713" xr:uid="{00000000-0005-0000-0000-0000050C0000}"/>
    <cellStyle name="Currency 5 2 2 4 6 2 2" xfId="15152" xr:uid="{C77D4729-2AB0-42DD-B4CC-9485A5B0F0E4}"/>
    <cellStyle name="Currency 5 2 2 4 6 3" xfId="10934" xr:uid="{F5F4F557-97B2-42BD-A977-5A1CD2B7729D}"/>
    <cellStyle name="Currency 5 2 2 4 7" xfId="2725" xr:uid="{00000000-0005-0000-0000-0000060C0000}"/>
    <cellStyle name="Currency 5 2 2 4 8" xfId="2806" xr:uid="{00000000-0005-0000-0000-0000070C0000}"/>
    <cellStyle name="Currency 5 2 2 4 8 2" xfId="7030" xr:uid="{00000000-0005-0000-0000-0000080C0000}"/>
    <cellStyle name="Currency 5 2 2 4 8 2 2" xfId="15469" xr:uid="{03C53644-BA42-48E5-B028-91D426290B15}"/>
    <cellStyle name="Currency 5 2 2 4 8 3" xfId="11251" xr:uid="{DC9BD3A8-2310-4934-AA5C-B4A947682638}"/>
    <cellStyle name="Currency 5 2 2 4 9" xfId="4647" xr:uid="{00000000-0005-0000-0000-0000090C0000}"/>
    <cellStyle name="Currency 5 2 2 4 9 2" xfId="13086" xr:uid="{764366FC-1F8E-4DAF-88AC-AA5AF51634E0}"/>
    <cellStyle name="Currency 5 2 2 5" xfId="203" xr:uid="{00000000-0005-0000-0000-00000A0C0000}"/>
    <cellStyle name="Currency 5 2 2 5 10" xfId="8869" xr:uid="{90471392-8AA7-452F-A396-E3F9F09B6486}"/>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15646" xr:uid="{1AF3998E-6B21-4C89-B77D-91DF000728B6}"/>
    <cellStyle name="Currency 5 2 2 5 2 2 3" xfId="11428" xr:uid="{9BAA84A7-E1E6-4ECC-BED3-F11A31948EE4}"/>
    <cellStyle name="Currency 5 2 2 5 2 3" xfId="5062" xr:uid="{00000000-0005-0000-0000-00000E0C0000}"/>
    <cellStyle name="Currency 5 2 2 5 2 3 2" xfId="13501" xr:uid="{ADDFBC5B-1AA3-4935-BA50-92B21F207485}"/>
    <cellStyle name="Currency 5 2 2 5 2 4" xfId="9283" xr:uid="{DBF6AA8B-A284-4E22-82A2-3138BAD9FC5E}"/>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2 2" xfId="16059" xr:uid="{FE01B4F3-7A44-41CF-8292-928D004FC93D}"/>
    <cellStyle name="Currency 5 2 2 5 3 2 3" xfId="11841" xr:uid="{5E8CAB64-0A8D-43C9-9FED-17E62A36200B}"/>
    <cellStyle name="Currency 5 2 2 5 3 3" xfId="5475" xr:uid="{00000000-0005-0000-0000-0000120C0000}"/>
    <cellStyle name="Currency 5 2 2 5 3 3 2" xfId="13914" xr:uid="{7D238A81-2D93-40A5-833C-BFA3F36CD417}"/>
    <cellStyle name="Currency 5 2 2 5 3 4" xfId="9696" xr:uid="{1D4ABD68-2274-403E-A31A-4C1091378539}"/>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2 2 2" xfId="16472" xr:uid="{12A6F86E-BD5C-4421-BB24-DAEA90093023}"/>
    <cellStyle name="Currency 5 2 2 5 4 2 3" xfId="12254" xr:uid="{3EA53B9D-E069-4C0F-9A42-B71813CF06A6}"/>
    <cellStyle name="Currency 5 2 2 5 4 3" xfId="5888" xr:uid="{00000000-0005-0000-0000-0000160C0000}"/>
    <cellStyle name="Currency 5 2 2 5 4 3 2" xfId="14327" xr:uid="{E5C985AE-2828-4656-ADE2-B87DBEB47EA1}"/>
    <cellStyle name="Currency 5 2 2 5 4 4" xfId="10109" xr:uid="{D4A8F34A-6526-4BC6-8E39-F2B8B7BD48C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2 2 2" xfId="16885" xr:uid="{7822E185-4B24-4E6C-B87B-904A8EF8A092}"/>
    <cellStyle name="Currency 5 2 2 5 5 2 3" xfId="12667" xr:uid="{27BB8DD1-1DB5-4700-B670-C253734774D9}"/>
    <cellStyle name="Currency 5 2 2 5 5 3" xfId="6301" xr:uid="{00000000-0005-0000-0000-00001A0C0000}"/>
    <cellStyle name="Currency 5 2 2 5 5 3 2" xfId="14740" xr:uid="{931E8B13-9AFE-4D9B-930F-BF30AF3BB702}"/>
    <cellStyle name="Currency 5 2 2 5 5 4" xfId="10522" xr:uid="{BD69D94A-FFE0-48EC-B3F5-690FD7DAC02B}"/>
    <cellStyle name="Currency 5 2 2 5 6" xfId="2429" xr:uid="{00000000-0005-0000-0000-00001B0C0000}"/>
    <cellStyle name="Currency 5 2 2 5 6 2" xfId="6714" xr:uid="{00000000-0005-0000-0000-00001C0C0000}"/>
    <cellStyle name="Currency 5 2 2 5 6 2 2" xfId="15153" xr:uid="{61C499B0-6D16-4302-ADB4-4AC87C7650F1}"/>
    <cellStyle name="Currency 5 2 2 5 6 3" xfId="10935" xr:uid="{69069D89-F853-4962-A3F3-B4F62F8EE391}"/>
    <cellStyle name="Currency 5 2 2 5 7" xfId="2726" xr:uid="{00000000-0005-0000-0000-00001D0C0000}"/>
    <cellStyle name="Currency 5 2 2 5 8" xfId="2807" xr:uid="{00000000-0005-0000-0000-00001E0C0000}"/>
    <cellStyle name="Currency 5 2 2 5 8 2" xfId="7031" xr:uid="{00000000-0005-0000-0000-00001F0C0000}"/>
    <cellStyle name="Currency 5 2 2 5 8 2 2" xfId="15470" xr:uid="{A3AF27CD-1184-450F-AD07-FFCCB38EA49E}"/>
    <cellStyle name="Currency 5 2 2 5 8 3" xfId="11252" xr:uid="{7AE1BA9E-5D7F-4917-B0BB-E6C3D8A2A32A}"/>
    <cellStyle name="Currency 5 2 2 5 9" xfId="4648" xr:uid="{00000000-0005-0000-0000-0000200C0000}"/>
    <cellStyle name="Currency 5 2 2 5 9 2" xfId="13087" xr:uid="{DF8CD702-632E-40D9-A839-9089A80FC8FB}"/>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0 2" xfId="13088" xr:uid="{C0651247-CEFD-4230-A91A-A201BA5A42CA}"/>
    <cellStyle name="Currency 5 2 4 11" xfId="8870" xr:uid="{2F726431-F0A2-402C-A8BE-42688A65D65A}"/>
    <cellStyle name="Currency 5 2 4 2" xfId="206" xr:uid="{00000000-0005-0000-0000-0000250C0000}"/>
    <cellStyle name="Currency 5 2 4 2 10" xfId="8871" xr:uid="{89A32CE9-211C-4746-AE11-083D42CBF554}"/>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15648" xr:uid="{48EAF471-770D-4675-A9E5-2475743978C6}"/>
    <cellStyle name="Currency 5 2 4 2 2 2 3" xfId="11430" xr:uid="{C7BFAB7B-F544-453B-BF97-60F2B51E6D5D}"/>
    <cellStyle name="Currency 5 2 4 2 2 3" xfId="5064" xr:uid="{00000000-0005-0000-0000-0000290C0000}"/>
    <cellStyle name="Currency 5 2 4 2 2 3 2" xfId="13503" xr:uid="{36967860-BD17-4762-92A1-E78E6B22F9DA}"/>
    <cellStyle name="Currency 5 2 4 2 2 4" xfId="9285" xr:uid="{B3355E49-BEBA-4F8B-A16D-A85DA35A616C}"/>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2 2" xfId="16061" xr:uid="{7274C194-BD59-425C-B797-D4BA68BF25BD}"/>
    <cellStyle name="Currency 5 2 4 2 3 2 3" xfId="11843" xr:uid="{412F4C66-9011-45B2-947F-E39B91216FCE}"/>
    <cellStyle name="Currency 5 2 4 2 3 3" xfId="5477" xr:uid="{00000000-0005-0000-0000-00002D0C0000}"/>
    <cellStyle name="Currency 5 2 4 2 3 3 2" xfId="13916" xr:uid="{3789BC44-C979-4A61-BC09-93728EA0AE2B}"/>
    <cellStyle name="Currency 5 2 4 2 3 4" xfId="9698" xr:uid="{E0917352-E60D-4114-82F5-9D39969128BC}"/>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2 2 2" xfId="16474" xr:uid="{D4BE5EB3-657C-4FEE-B5CC-28BEFD4B3537}"/>
    <cellStyle name="Currency 5 2 4 2 4 2 3" xfId="12256" xr:uid="{92E5651F-EC2D-46AD-B04E-3FCA263F39CB}"/>
    <cellStyle name="Currency 5 2 4 2 4 3" xfId="5890" xr:uid="{00000000-0005-0000-0000-0000310C0000}"/>
    <cellStyle name="Currency 5 2 4 2 4 3 2" xfId="14329" xr:uid="{D2D097BB-9D79-446E-9EDD-D2FC1AE1B0F7}"/>
    <cellStyle name="Currency 5 2 4 2 4 4" xfId="10111" xr:uid="{CE7AC43D-6046-4BD3-A388-05760070131C}"/>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2 2 2" xfId="16887" xr:uid="{B4E55116-16D0-4688-861C-3DEE546FE93D}"/>
    <cellStyle name="Currency 5 2 4 2 5 2 3" xfId="12669" xr:uid="{DB3A3BBA-9D3E-433B-8563-236737D63A41}"/>
    <cellStyle name="Currency 5 2 4 2 5 3" xfId="6303" xr:uid="{00000000-0005-0000-0000-0000350C0000}"/>
    <cellStyle name="Currency 5 2 4 2 5 3 2" xfId="14742" xr:uid="{9D7D42B5-05F3-4D1D-BEC8-8274B9826879}"/>
    <cellStyle name="Currency 5 2 4 2 5 4" xfId="10524" xr:uid="{59595A64-B1E3-4454-B7C8-17D172D5EECF}"/>
    <cellStyle name="Currency 5 2 4 2 6" xfId="2431" xr:uid="{00000000-0005-0000-0000-0000360C0000}"/>
    <cellStyle name="Currency 5 2 4 2 6 2" xfId="6716" xr:uid="{00000000-0005-0000-0000-0000370C0000}"/>
    <cellStyle name="Currency 5 2 4 2 6 2 2" xfId="15155" xr:uid="{CA4A0D90-310F-4477-B794-C0981715651E}"/>
    <cellStyle name="Currency 5 2 4 2 6 3" xfId="10937" xr:uid="{2990BC03-A56E-465D-973D-CE1D9E9FF4F5}"/>
    <cellStyle name="Currency 5 2 4 2 7" xfId="2728" xr:uid="{00000000-0005-0000-0000-0000380C0000}"/>
    <cellStyle name="Currency 5 2 4 2 8" xfId="2809" xr:uid="{00000000-0005-0000-0000-0000390C0000}"/>
    <cellStyle name="Currency 5 2 4 2 8 2" xfId="7033" xr:uid="{00000000-0005-0000-0000-00003A0C0000}"/>
    <cellStyle name="Currency 5 2 4 2 8 2 2" xfId="15472" xr:uid="{73B71F7F-1999-458A-82C2-58C7A472544B}"/>
    <cellStyle name="Currency 5 2 4 2 8 3" xfId="11254" xr:uid="{D40FE46B-8EFA-4449-B0C5-27FA2803D548}"/>
    <cellStyle name="Currency 5 2 4 2 9" xfId="4650" xr:uid="{00000000-0005-0000-0000-00003B0C0000}"/>
    <cellStyle name="Currency 5 2 4 2 9 2" xfId="13089" xr:uid="{ADD0704B-7D3E-4B71-8E13-0A6D2228556B}"/>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15647" xr:uid="{D51684DB-9734-40B7-B532-086012AA0E9D}"/>
    <cellStyle name="Currency 5 2 4 3 2 3" xfId="11429" xr:uid="{872BAAC7-6316-49BA-A97B-858BC005D226}"/>
    <cellStyle name="Currency 5 2 4 3 3" xfId="5063" xr:uid="{00000000-0005-0000-0000-00003F0C0000}"/>
    <cellStyle name="Currency 5 2 4 3 3 2" xfId="13502" xr:uid="{E4EAEBBF-09BB-4954-AA7E-6D3E1DDA574F}"/>
    <cellStyle name="Currency 5 2 4 3 4" xfId="9284" xr:uid="{79269B8C-B4B5-4C94-9667-A363C7DE14DA}"/>
    <cellStyle name="Currency 5 2 4 4" xfId="1167" xr:uid="{00000000-0005-0000-0000-0000400C0000}"/>
    <cellStyle name="Currency 5 2 4 4 2" xfId="3398" xr:uid="{00000000-0005-0000-0000-0000410C0000}"/>
    <cellStyle name="Currency 5 2 4 4 2 2" xfId="7621" xr:uid="{00000000-0005-0000-0000-0000420C0000}"/>
    <cellStyle name="Currency 5 2 4 4 2 2 2" xfId="16060" xr:uid="{106D1A1B-E82E-44D5-BD5C-536FC9CD0D6B}"/>
    <cellStyle name="Currency 5 2 4 4 2 3" xfId="11842" xr:uid="{5A78B67E-E467-47D0-987F-65068B745574}"/>
    <cellStyle name="Currency 5 2 4 4 3" xfId="5476" xr:uid="{00000000-0005-0000-0000-0000430C0000}"/>
    <cellStyle name="Currency 5 2 4 4 3 2" xfId="13915" xr:uid="{1618B85C-BEFF-4DB9-9A54-D959D9F8D07C}"/>
    <cellStyle name="Currency 5 2 4 4 4" xfId="9697" xr:uid="{53903C12-FE12-4ABA-A179-79760571075B}"/>
    <cellStyle name="Currency 5 2 4 5" xfId="1581" xr:uid="{00000000-0005-0000-0000-0000440C0000}"/>
    <cellStyle name="Currency 5 2 4 5 2" xfId="3811" xr:uid="{00000000-0005-0000-0000-0000450C0000}"/>
    <cellStyle name="Currency 5 2 4 5 2 2" xfId="8034" xr:uid="{00000000-0005-0000-0000-0000460C0000}"/>
    <cellStyle name="Currency 5 2 4 5 2 2 2" xfId="16473" xr:uid="{DA4DCA06-BAFE-4AE6-ADB7-D3E5ECCB5794}"/>
    <cellStyle name="Currency 5 2 4 5 2 3" xfId="12255" xr:uid="{1571BCFF-C61B-41E2-BAF8-27434690C443}"/>
    <cellStyle name="Currency 5 2 4 5 3" xfId="5889" xr:uid="{00000000-0005-0000-0000-0000470C0000}"/>
    <cellStyle name="Currency 5 2 4 5 3 2" xfId="14328" xr:uid="{C665D75E-B7B8-4AA2-A157-6C0A54563ED1}"/>
    <cellStyle name="Currency 5 2 4 5 4" xfId="10110" xr:uid="{1B1390DE-4D8F-46F2-ADB3-3E1F699B5C1C}"/>
    <cellStyle name="Currency 5 2 4 6" xfId="1995" xr:uid="{00000000-0005-0000-0000-0000480C0000}"/>
    <cellStyle name="Currency 5 2 4 6 2" xfId="4224" xr:uid="{00000000-0005-0000-0000-0000490C0000}"/>
    <cellStyle name="Currency 5 2 4 6 2 2" xfId="8447" xr:uid="{00000000-0005-0000-0000-00004A0C0000}"/>
    <cellStyle name="Currency 5 2 4 6 2 2 2" xfId="16886" xr:uid="{F50EE7A2-2912-42E0-9F56-BF63F3694A4E}"/>
    <cellStyle name="Currency 5 2 4 6 2 3" xfId="12668" xr:uid="{938AE43A-0BD5-422C-AEEE-85697C517300}"/>
    <cellStyle name="Currency 5 2 4 6 3" xfId="6302" xr:uid="{00000000-0005-0000-0000-00004B0C0000}"/>
    <cellStyle name="Currency 5 2 4 6 3 2" xfId="14741" xr:uid="{4C0B6DD7-B256-407D-BBB2-149C992EFFBC}"/>
    <cellStyle name="Currency 5 2 4 6 4" xfId="10523" xr:uid="{B7FF7302-9173-449C-9FEE-1258A6E2E0AD}"/>
    <cellStyle name="Currency 5 2 4 7" xfId="2430" xr:uid="{00000000-0005-0000-0000-00004C0C0000}"/>
    <cellStyle name="Currency 5 2 4 7 2" xfId="6715" xr:uid="{00000000-0005-0000-0000-00004D0C0000}"/>
    <cellStyle name="Currency 5 2 4 7 2 2" xfId="15154" xr:uid="{99A3C0D1-5FA2-480F-B059-5AE570BF393C}"/>
    <cellStyle name="Currency 5 2 4 7 3" xfId="10936" xr:uid="{2B26A4F6-6309-47A5-80DC-86CA8134BB9D}"/>
    <cellStyle name="Currency 5 2 4 8" xfId="2727" xr:uid="{00000000-0005-0000-0000-00004E0C0000}"/>
    <cellStyle name="Currency 5 2 4 9" xfId="2808" xr:uid="{00000000-0005-0000-0000-00004F0C0000}"/>
    <cellStyle name="Currency 5 2 4 9 2" xfId="7032" xr:uid="{00000000-0005-0000-0000-0000500C0000}"/>
    <cellStyle name="Currency 5 2 4 9 2 2" xfId="15471" xr:uid="{AD173A31-F34A-473D-B9B3-FDA85DFD0C16}"/>
    <cellStyle name="Currency 5 2 4 9 3" xfId="11253" xr:uid="{E3692DA2-7280-479B-90E0-A7F83624D0E1}"/>
    <cellStyle name="Currency 5 2 5" xfId="207" xr:uid="{00000000-0005-0000-0000-0000510C0000}"/>
    <cellStyle name="Currency 5 2 5 10" xfId="8872" xr:uid="{92C20D47-2CBE-41D1-A254-8FB63AD169F6}"/>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15649" xr:uid="{1576C081-D0B7-42AA-A94E-7AAE9532D1DC}"/>
    <cellStyle name="Currency 5 2 5 2 2 3" xfId="11431" xr:uid="{3C407A1E-BC2C-4012-A839-A33955A2DFD8}"/>
    <cellStyle name="Currency 5 2 5 2 3" xfId="5065" xr:uid="{00000000-0005-0000-0000-0000550C0000}"/>
    <cellStyle name="Currency 5 2 5 2 3 2" xfId="13504" xr:uid="{3474CA8A-9758-433F-B339-FA84C9FF9218}"/>
    <cellStyle name="Currency 5 2 5 2 4" xfId="9286" xr:uid="{59BAB9AD-6900-4976-B191-3E742D745A20}"/>
    <cellStyle name="Currency 5 2 5 3" xfId="1169" xr:uid="{00000000-0005-0000-0000-0000560C0000}"/>
    <cellStyle name="Currency 5 2 5 3 2" xfId="3400" xr:uid="{00000000-0005-0000-0000-0000570C0000}"/>
    <cellStyle name="Currency 5 2 5 3 2 2" xfId="7623" xr:uid="{00000000-0005-0000-0000-0000580C0000}"/>
    <cellStyle name="Currency 5 2 5 3 2 2 2" xfId="16062" xr:uid="{949CB84F-568D-4AAC-85FF-6D1FED6C15C9}"/>
    <cellStyle name="Currency 5 2 5 3 2 3" xfId="11844" xr:uid="{08CE5A18-A470-48D1-8631-BFCC0D24ABD2}"/>
    <cellStyle name="Currency 5 2 5 3 3" xfId="5478" xr:uid="{00000000-0005-0000-0000-0000590C0000}"/>
    <cellStyle name="Currency 5 2 5 3 3 2" xfId="13917" xr:uid="{8CA26FA6-1E2D-4750-9B5E-ACA17086D69D}"/>
    <cellStyle name="Currency 5 2 5 3 4" xfId="9699" xr:uid="{F50CFF4A-6172-45ED-BD4D-5D9FD88DEEA8}"/>
    <cellStyle name="Currency 5 2 5 4" xfId="1583" xr:uid="{00000000-0005-0000-0000-00005A0C0000}"/>
    <cellStyle name="Currency 5 2 5 4 2" xfId="3813" xr:uid="{00000000-0005-0000-0000-00005B0C0000}"/>
    <cellStyle name="Currency 5 2 5 4 2 2" xfId="8036" xr:uid="{00000000-0005-0000-0000-00005C0C0000}"/>
    <cellStyle name="Currency 5 2 5 4 2 2 2" xfId="16475" xr:uid="{97CF08FB-B6B5-43C4-8191-93CAAB3C0F3E}"/>
    <cellStyle name="Currency 5 2 5 4 2 3" xfId="12257" xr:uid="{48133311-50E8-430C-B2E5-A039A16B933D}"/>
    <cellStyle name="Currency 5 2 5 4 3" xfId="5891" xr:uid="{00000000-0005-0000-0000-00005D0C0000}"/>
    <cellStyle name="Currency 5 2 5 4 3 2" xfId="14330" xr:uid="{7EEBE958-DC92-43F2-8938-C951688BF3ED}"/>
    <cellStyle name="Currency 5 2 5 4 4" xfId="10112" xr:uid="{551D8824-4C85-43B1-8A28-DF6EA8BAD6B6}"/>
    <cellStyle name="Currency 5 2 5 5" xfId="1997" xr:uid="{00000000-0005-0000-0000-00005E0C0000}"/>
    <cellStyle name="Currency 5 2 5 5 2" xfId="4226" xr:uid="{00000000-0005-0000-0000-00005F0C0000}"/>
    <cellStyle name="Currency 5 2 5 5 2 2" xfId="8449" xr:uid="{00000000-0005-0000-0000-0000600C0000}"/>
    <cellStyle name="Currency 5 2 5 5 2 2 2" xfId="16888" xr:uid="{36093D7F-57A0-432D-BEB4-3D4348153CF2}"/>
    <cellStyle name="Currency 5 2 5 5 2 3" xfId="12670" xr:uid="{748BA6C0-538C-46A9-9848-7871E1FC0FD9}"/>
    <cellStyle name="Currency 5 2 5 5 3" xfId="6304" xr:uid="{00000000-0005-0000-0000-0000610C0000}"/>
    <cellStyle name="Currency 5 2 5 5 3 2" xfId="14743" xr:uid="{2D99C058-4CAD-4057-A203-E44D6F993E57}"/>
    <cellStyle name="Currency 5 2 5 5 4" xfId="10525" xr:uid="{14A00F76-D7EC-4346-B81F-6C73CCCE1277}"/>
    <cellStyle name="Currency 5 2 5 6" xfId="2432" xr:uid="{00000000-0005-0000-0000-0000620C0000}"/>
    <cellStyle name="Currency 5 2 5 6 2" xfId="6717" xr:uid="{00000000-0005-0000-0000-0000630C0000}"/>
    <cellStyle name="Currency 5 2 5 6 2 2" xfId="15156" xr:uid="{BAB664AF-E0DF-4A67-9B3D-A4DE07117FB4}"/>
    <cellStyle name="Currency 5 2 5 6 3" xfId="10938" xr:uid="{D455F2B5-F8B8-4073-A19A-7057F0C0DB9D}"/>
    <cellStyle name="Currency 5 2 5 7" xfId="2729" xr:uid="{00000000-0005-0000-0000-0000640C0000}"/>
    <cellStyle name="Currency 5 2 5 8" xfId="2810" xr:uid="{00000000-0005-0000-0000-0000650C0000}"/>
    <cellStyle name="Currency 5 2 5 8 2" xfId="7034" xr:uid="{00000000-0005-0000-0000-0000660C0000}"/>
    <cellStyle name="Currency 5 2 5 8 2 2" xfId="15473" xr:uid="{C70A8325-09CF-4AD1-ADE3-0BC26B7B7704}"/>
    <cellStyle name="Currency 5 2 5 8 3" xfId="11255" xr:uid="{9FBC7347-1D95-4C5B-A7DF-89C84682AA12}"/>
    <cellStyle name="Currency 5 2 5 9" xfId="4651" xr:uid="{00000000-0005-0000-0000-0000670C0000}"/>
    <cellStyle name="Currency 5 2 5 9 2" xfId="13090" xr:uid="{BE2B482B-3945-4D8F-A6C8-1FE4D9A0E36C}"/>
    <cellStyle name="Currency 5 2 6" xfId="208" xr:uid="{00000000-0005-0000-0000-0000680C0000}"/>
    <cellStyle name="Currency 5 2 6 10" xfId="8873" xr:uid="{4CE563DE-114C-4D37-AEAF-3452B47A4AFD}"/>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15650" xr:uid="{6ED06137-2FCD-4429-B511-C64D9E41EEE2}"/>
    <cellStyle name="Currency 5 2 6 2 2 3" xfId="11432" xr:uid="{EC77ECD5-209A-4CF3-8A65-6E7BF4D09D79}"/>
    <cellStyle name="Currency 5 2 6 2 3" xfId="5066" xr:uid="{00000000-0005-0000-0000-00006C0C0000}"/>
    <cellStyle name="Currency 5 2 6 2 3 2" xfId="13505" xr:uid="{D0E34710-67AC-403A-945C-D7747C834440}"/>
    <cellStyle name="Currency 5 2 6 2 4" xfId="9287" xr:uid="{42A0B489-9FF4-4102-8D99-C050AFC7DC58}"/>
    <cellStyle name="Currency 5 2 6 3" xfId="1170" xr:uid="{00000000-0005-0000-0000-00006D0C0000}"/>
    <cellStyle name="Currency 5 2 6 3 2" xfId="3401" xr:uid="{00000000-0005-0000-0000-00006E0C0000}"/>
    <cellStyle name="Currency 5 2 6 3 2 2" xfId="7624" xr:uid="{00000000-0005-0000-0000-00006F0C0000}"/>
    <cellStyle name="Currency 5 2 6 3 2 2 2" xfId="16063" xr:uid="{FAE35BD2-E3B8-4E43-96BC-DCF821B463F8}"/>
    <cellStyle name="Currency 5 2 6 3 2 3" xfId="11845" xr:uid="{A798B15F-2428-414D-A987-625453054058}"/>
    <cellStyle name="Currency 5 2 6 3 3" xfId="5479" xr:uid="{00000000-0005-0000-0000-0000700C0000}"/>
    <cellStyle name="Currency 5 2 6 3 3 2" xfId="13918" xr:uid="{C24E895C-C7EC-4BF8-A068-19A193772CE3}"/>
    <cellStyle name="Currency 5 2 6 3 4" xfId="9700" xr:uid="{F73FF816-0BFD-4CDE-BE88-40B860294D2A}"/>
    <cellStyle name="Currency 5 2 6 4" xfId="1584" xr:uid="{00000000-0005-0000-0000-0000710C0000}"/>
    <cellStyle name="Currency 5 2 6 4 2" xfId="3814" xr:uid="{00000000-0005-0000-0000-0000720C0000}"/>
    <cellStyle name="Currency 5 2 6 4 2 2" xfId="8037" xr:uid="{00000000-0005-0000-0000-0000730C0000}"/>
    <cellStyle name="Currency 5 2 6 4 2 2 2" xfId="16476" xr:uid="{DE80693F-B8F6-47A0-88B1-F922D8AAF73D}"/>
    <cellStyle name="Currency 5 2 6 4 2 3" xfId="12258" xr:uid="{BC1F3E3C-5C0B-4912-9B3B-4EC35895EC8B}"/>
    <cellStyle name="Currency 5 2 6 4 3" xfId="5892" xr:uid="{00000000-0005-0000-0000-0000740C0000}"/>
    <cellStyle name="Currency 5 2 6 4 3 2" xfId="14331" xr:uid="{CE856542-A7D0-49ED-A0AD-683588F4738C}"/>
    <cellStyle name="Currency 5 2 6 4 4" xfId="10113" xr:uid="{715FBDDB-6B0C-4282-9628-F2196774AB0E}"/>
    <cellStyle name="Currency 5 2 6 5" xfId="1998" xr:uid="{00000000-0005-0000-0000-0000750C0000}"/>
    <cellStyle name="Currency 5 2 6 5 2" xfId="4227" xr:uid="{00000000-0005-0000-0000-0000760C0000}"/>
    <cellStyle name="Currency 5 2 6 5 2 2" xfId="8450" xr:uid="{00000000-0005-0000-0000-0000770C0000}"/>
    <cellStyle name="Currency 5 2 6 5 2 2 2" xfId="16889" xr:uid="{A8979F8B-46B4-4CEC-8D7E-13510959D54C}"/>
    <cellStyle name="Currency 5 2 6 5 2 3" xfId="12671" xr:uid="{A7A3E5E6-F34B-47D4-AC42-909C2EC2140D}"/>
    <cellStyle name="Currency 5 2 6 5 3" xfId="6305" xr:uid="{00000000-0005-0000-0000-0000780C0000}"/>
    <cellStyle name="Currency 5 2 6 5 3 2" xfId="14744" xr:uid="{0DA07268-7D83-4150-872B-6B64C84D2C85}"/>
    <cellStyle name="Currency 5 2 6 5 4" xfId="10526" xr:uid="{444CC2A4-8B8D-4EE2-ABC3-A149C5287373}"/>
    <cellStyle name="Currency 5 2 6 6" xfId="2433" xr:uid="{00000000-0005-0000-0000-0000790C0000}"/>
    <cellStyle name="Currency 5 2 6 6 2" xfId="6718" xr:uid="{00000000-0005-0000-0000-00007A0C0000}"/>
    <cellStyle name="Currency 5 2 6 6 2 2" xfId="15157" xr:uid="{0990D47E-6853-433A-B970-B6F43FFD3B37}"/>
    <cellStyle name="Currency 5 2 6 6 3" xfId="10939" xr:uid="{617AA063-75F5-48E3-AEDF-072AE1C621B2}"/>
    <cellStyle name="Currency 5 2 6 7" xfId="2730" xr:uid="{00000000-0005-0000-0000-00007B0C0000}"/>
    <cellStyle name="Currency 5 2 6 8" xfId="2811" xr:uid="{00000000-0005-0000-0000-00007C0C0000}"/>
    <cellStyle name="Currency 5 2 6 8 2" xfId="7035" xr:uid="{00000000-0005-0000-0000-00007D0C0000}"/>
    <cellStyle name="Currency 5 2 6 8 2 2" xfId="15474" xr:uid="{BAD9492F-D046-498E-B191-2B7C75836F0E}"/>
    <cellStyle name="Currency 5 2 6 8 3" xfId="11256" xr:uid="{151227D3-59E4-4BA8-83D4-15445C02537B}"/>
    <cellStyle name="Currency 5 2 6 9" xfId="4652" xr:uid="{00000000-0005-0000-0000-00007E0C0000}"/>
    <cellStyle name="Currency 5 2 6 9 2" xfId="13091" xr:uid="{51753236-004A-4717-AD03-B69BFE2A27F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0 2 2" xfId="15475" xr:uid="{0FA919C3-4979-424A-9A00-FCFC49BC6347}"/>
    <cellStyle name="Currency 5 3 2 10 3" xfId="11257" xr:uid="{386F229E-2F8D-4012-8394-B20982938D13}"/>
    <cellStyle name="Currency 5 3 2 11" xfId="4653" xr:uid="{00000000-0005-0000-0000-0000840C0000}"/>
    <cellStyle name="Currency 5 3 2 11 2" xfId="13092" xr:uid="{B26E5103-5AF9-47AA-A2F5-2F4729338A28}"/>
    <cellStyle name="Currency 5 3 2 12" xfId="8874" xr:uid="{02141A9A-32A3-431C-A9FD-8A0F948CAFC7}"/>
    <cellStyle name="Currency 5 3 2 2" xfId="211" xr:uid="{00000000-0005-0000-0000-0000850C0000}"/>
    <cellStyle name="Currency 5 3 2 2 10" xfId="4654" xr:uid="{00000000-0005-0000-0000-0000860C0000}"/>
    <cellStyle name="Currency 5 3 2 2 10 2" xfId="13093" xr:uid="{C2A4FF62-EE91-44A1-AE0B-47B463311995}"/>
    <cellStyle name="Currency 5 3 2 2 11" xfId="8875" xr:uid="{79C19F90-081F-44FE-A98C-5EE94C74C00F}"/>
    <cellStyle name="Currency 5 3 2 2 2" xfId="212" xr:uid="{00000000-0005-0000-0000-0000870C0000}"/>
    <cellStyle name="Currency 5 3 2 2 2 10" xfId="8876" xr:uid="{89A7F405-1AA5-4C2B-B41F-474EB49B5F1A}"/>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15653" xr:uid="{33B2BB04-4C99-4EAC-80C8-CECE9C60D560}"/>
    <cellStyle name="Currency 5 3 2 2 2 2 2 3" xfId="11435" xr:uid="{F6662A4A-D58A-4E5D-A155-DC808892F182}"/>
    <cellStyle name="Currency 5 3 2 2 2 2 3" xfId="5069" xr:uid="{00000000-0005-0000-0000-00008B0C0000}"/>
    <cellStyle name="Currency 5 3 2 2 2 2 3 2" xfId="13508" xr:uid="{30A9E506-310D-4CCB-B0C7-381D573E965D}"/>
    <cellStyle name="Currency 5 3 2 2 2 2 4" xfId="9290" xr:uid="{5F4C0BE0-E639-4185-9301-EAEB4122CC28}"/>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2 2" xfId="16066" xr:uid="{02E5B5DC-F911-40D3-AF00-70A7DE384689}"/>
    <cellStyle name="Currency 5 3 2 2 2 3 2 3" xfId="11848" xr:uid="{530B0EB0-FA1E-4D19-9172-29D06315D88B}"/>
    <cellStyle name="Currency 5 3 2 2 2 3 3" xfId="5482" xr:uid="{00000000-0005-0000-0000-00008F0C0000}"/>
    <cellStyle name="Currency 5 3 2 2 2 3 3 2" xfId="13921" xr:uid="{81EE6235-6557-48C1-8A77-E4820E6F72F9}"/>
    <cellStyle name="Currency 5 3 2 2 2 3 4" xfId="9703" xr:uid="{64601B43-0DB4-4B80-A21D-CB51AF5CBD2F}"/>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2 2 2" xfId="16479" xr:uid="{E30B2CC0-37FC-4D12-94AE-235AEF38F0DD}"/>
    <cellStyle name="Currency 5 3 2 2 2 4 2 3" xfId="12261" xr:uid="{46D3497F-EC2E-4321-945E-4916AB1B46C9}"/>
    <cellStyle name="Currency 5 3 2 2 2 4 3" xfId="5895" xr:uid="{00000000-0005-0000-0000-0000930C0000}"/>
    <cellStyle name="Currency 5 3 2 2 2 4 3 2" xfId="14334" xr:uid="{A5026354-12CC-4C7F-A515-B2C62E7EF813}"/>
    <cellStyle name="Currency 5 3 2 2 2 4 4" xfId="10116" xr:uid="{F99CB536-03E8-451B-97FE-905F8AAE1E9E}"/>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2 2 2" xfId="16892" xr:uid="{C1A168CC-E3E1-4ABA-ABD4-4AA4D1F21AB8}"/>
    <cellStyle name="Currency 5 3 2 2 2 5 2 3" xfId="12674" xr:uid="{A96BB81B-BC38-4A27-AD51-F88EFE94DEE2}"/>
    <cellStyle name="Currency 5 3 2 2 2 5 3" xfId="6308" xr:uid="{00000000-0005-0000-0000-0000970C0000}"/>
    <cellStyle name="Currency 5 3 2 2 2 5 3 2" xfId="14747" xr:uid="{B2C1157F-2387-4A74-91CE-021F2F8380E5}"/>
    <cellStyle name="Currency 5 3 2 2 2 5 4" xfId="10529" xr:uid="{843D53EA-8CFB-4569-850F-A2368EF3B392}"/>
    <cellStyle name="Currency 5 3 2 2 2 6" xfId="2436" xr:uid="{00000000-0005-0000-0000-0000980C0000}"/>
    <cellStyle name="Currency 5 3 2 2 2 6 2" xfId="6721" xr:uid="{00000000-0005-0000-0000-0000990C0000}"/>
    <cellStyle name="Currency 5 3 2 2 2 6 2 2" xfId="15160" xr:uid="{03DC7033-0C86-44AD-80F5-22FA217606A5}"/>
    <cellStyle name="Currency 5 3 2 2 2 6 3" xfId="10942" xr:uid="{17E22271-7566-4196-9D79-366E4D92CFEA}"/>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8 2 2" xfId="15477" xr:uid="{FB4FD9FA-6000-4607-ADE3-69E57C16FE35}"/>
    <cellStyle name="Currency 5 3 2 2 2 8 3" xfId="11259" xr:uid="{EECC3F25-D8FA-4B5C-BBC2-45A18D579ACD}"/>
    <cellStyle name="Currency 5 3 2 2 2 9" xfId="4655" xr:uid="{00000000-0005-0000-0000-00009D0C0000}"/>
    <cellStyle name="Currency 5 3 2 2 2 9 2" xfId="13094" xr:uid="{E2B198C9-6005-446D-BAF7-3B596D28F0E3}"/>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15652" xr:uid="{5E9AC3FB-41AF-4461-96FE-6961221FBC12}"/>
    <cellStyle name="Currency 5 3 2 2 3 2 3" xfId="11434" xr:uid="{2C035F5E-80C6-45F9-A55F-5EFE5C5BD46B}"/>
    <cellStyle name="Currency 5 3 2 2 3 3" xfId="5068" xr:uid="{00000000-0005-0000-0000-0000A10C0000}"/>
    <cellStyle name="Currency 5 3 2 2 3 3 2" xfId="13507" xr:uid="{630B7E40-6CB4-49D3-80D6-6E2E69AAA396}"/>
    <cellStyle name="Currency 5 3 2 2 3 4" xfId="9289" xr:uid="{21BC66E9-0736-4149-A742-AAADEE5AF8F8}"/>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2 2" xfId="16065" xr:uid="{FB61D2F4-441D-4904-92B1-7EE3612DACFB}"/>
    <cellStyle name="Currency 5 3 2 2 4 2 3" xfId="11847" xr:uid="{1144301A-D581-4460-B3C6-3C54D42AD8C1}"/>
    <cellStyle name="Currency 5 3 2 2 4 3" xfId="5481" xr:uid="{00000000-0005-0000-0000-0000A50C0000}"/>
    <cellStyle name="Currency 5 3 2 2 4 3 2" xfId="13920" xr:uid="{8EC00191-9F1A-41E2-888F-17889BEEFF75}"/>
    <cellStyle name="Currency 5 3 2 2 4 4" xfId="9702" xr:uid="{F19C7283-E521-47C3-BB96-C3D386BA01F9}"/>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2 2 2" xfId="16478" xr:uid="{B78CABED-C359-4433-81E3-77AC3D063BBA}"/>
    <cellStyle name="Currency 5 3 2 2 5 2 3" xfId="12260" xr:uid="{AAC2884F-5A28-43C3-A5D3-E0FB96378E12}"/>
    <cellStyle name="Currency 5 3 2 2 5 3" xfId="5894" xr:uid="{00000000-0005-0000-0000-0000A90C0000}"/>
    <cellStyle name="Currency 5 3 2 2 5 3 2" xfId="14333" xr:uid="{15C58763-4A00-48AE-8173-7FC812A6722D}"/>
    <cellStyle name="Currency 5 3 2 2 5 4" xfId="10115" xr:uid="{E608E584-E9E1-4323-A33A-FA98732EAAF2}"/>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2 2 2" xfId="16891" xr:uid="{3B52FCB3-0598-4E0D-9EAC-16195BC84C02}"/>
    <cellStyle name="Currency 5 3 2 2 6 2 3" xfId="12673" xr:uid="{8CE5F0E2-015A-4C0F-A11F-F1D9E0AB390E}"/>
    <cellStyle name="Currency 5 3 2 2 6 3" xfId="6307" xr:uid="{00000000-0005-0000-0000-0000AD0C0000}"/>
    <cellStyle name="Currency 5 3 2 2 6 3 2" xfId="14746" xr:uid="{F6BED208-626E-4416-9741-336D2372A324}"/>
    <cellStyle name="Currency 5 3 2 2 6 4" xfId="10528" xr:uid="{930D167A-FEFA-4BBC-AAA9-45A5DB83FC1A}"/>
    <cellStyle name="Currency 5 3 2 2 7" xfId="2435" xr:uid="{00000000-0005-0000-0000-0000AE0C0000}"/>
    <cellStyle name="Currency 5 3 2 2 7 2" xfId="6720" xr:uid="{00000000-0005-0000-0000-0000AF0C0000}"/>
    <cellStyle name="Currency 5 3 2 2 7 2 2" xfId="15159" xr:uid="{9B6E5396-FA3C-4970-9DA2-DE69A0226A9F}"/>
    <cellStyle name="Currency 5 3 2 2 7 3" xfId="10941" xr:uid="{5DEB2C90-3E82-41D4-BD07-74B29CD81757}"/>
    <cellStyle name="Currency 5 3 2 2 8" xfId="2732" xr:uid="{00000000-0005-0000-0000-0000B00C0000}"/>
    <cellStyle name="Currency 5 3 2 2 9" xfId="2813" xr:uid="{00000000-0005-0000-0000-0000B10C0000}"/>
    <cellStyle name="Currency 5 3 2 2 9 2" xfId="7037" xr:uid="{00000000-0005-0000-0000-0000B20C0000}"/>
    <cellStyle name="Currency 5 3 2 2 9 2 2" xfId="15476" xr:uid="{B3EEDA7A-40B0-4622-94C8-D5F01A58BFE0}"/>
    <cellStyle name="Currency 5 3 2 2 9 3" xfId="11258" xr:uid="{B278FAEB-9241-4345-B0FC-1120E2078AD2}"/>
    <cellStyle name="Currency 5 3 2 3" xfId="213" xr:uid="{00000000-0005-0000-0000-0000B30C0000}"/>
    <cellStyle name="Currency 5 3 2 3 10" xfId="8877" xr:uid="{77264C35-ED99-420C-9D40-95760E3357C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15654" xr:uid="{DF8216AD-3F19-419C-9E27-15C20486F0C4}"/>
    <cellStyle name="Currency 5 3 2 3 2 2 3" xfId="11436" xr:uid="{2D4A343C-4D87-4A0B-91AE-2132F1707E7D}"/>
    <cellStyle name="Currency 5 3 2 3 2 3" xfId="5070" xr:uid="{00000000-0005-0000-0000-0000B70C0000}"/>
    <cellStyle name="Currency 5 3 2 3 2 3 2" xfId="13509" xr:uid="{15A9EF0C-0082-41C6-97F4-A5BC2ABB8D8D}"/>
    <cellStyle name="Currency 5 3 2 3 2 4" xfId="9291" xr:uid="{F1C28250-F28C-4DCE-8762-ACFC481B4425}"/>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2 2" xfId="16067" xr:uid="{F449FB57-29F9-434A-8DEA-5B3407F4FC79}"/>
    <cellStyle name="Currency 5 3 2 3 3 2 3" xfId="11849" xr:uid="{8060EB6E-23A7-4C30-97AE-4002BDF10E55}"/>
    <cellStyle name="Currency 5 3 2 3 3 3" xfId="5483" xr:uid="{00000000-0005-0000-0000-0000BB0C0000}"/>
    <cellStyle name="Currency 5 3 2 3 3 3 2" xfId="13922" xr:uid="{515F0C65-2FCA-4D80-8A38-A8E18E551122}"/>
    <cellStyle name="Currency 5 3 2 3 3 4" xfId="9704" xr:uid="{B0DC3031-3E0C-424C-A7FB-913D7A8384FA}"/>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2 2 2" xfId="16480" xr:uid="{0F053A5B-8936-4C0F-BC04-B580A5467D55}"/>
    <cellStyle name="Currency 5 3 2 3 4 2 3" xfId="12262" xr:uid="{0C8501CB-6740-40C5-AB97-0C68D0991CF2}"/>
    <cellStyle name="Currency 5 3 2 3 4 3" xfId="5896" xr:uid="{00000000-0005-0000-0000-0000BF0C0000}"/>
    <cellStyle name="Currency 5 3 2 3 4 3 2" xfId="14335" xr:uid="{2E3153E3-71FE-465F-8E10-6C8C238AD148}"/>
    <cellStyle name="Currency 5 3 2 3 4 4" xfId="10117" xr:uid="{1B188ED3-746D-4A91-9374-5455A821BCA4}"/>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2 2 2" xfId="16893" xr:uid="{5C235B17-5B05-4335-B05D-01FAC8C8B3F9}"/>
    <cellStyle name="Currency 5 3 2 3 5 2 3" xfId="12675" xr:uid="{183B3DA3-AE60-4E55-9B49-6F2E53B44C68}"/>
    <cellStyle name="Currency 5 3 2 3 5 3" xfId="6309" xr:uid="{00000000-0005-0000-0000-0000C30C0000}"/>
    <cellStyle name="Currency 5 3 2 3 5 3 2" xfId="14748" xr:uid="{6F8241C0-94D1-47CE-9591-738FE6D8B499}"/>
    <cellStyle name="Currency 5 3 2 3 5 4" xfId="10530" xr:uid="{3D39E765-3171-4837-BC6F-55F1B28AF863}"/>
    <cellStyle name="Currency 5 3 2 3 6" xfId="2437" xr:uid="{00000000-0005-0000-0000-0000C40C0000}"/>
    <cellStyle name="Currency 5 3 2 3 6 2" xfId="6722" xr:uid="{00000000-0005-0000-0000-0000C50C0000}"/>
    <cellStyle name="Currency 5 3 2 3 6 2 2" xfId="15161" xr:uid="{B3022810-0CB8-4CDB-A9AA-C7637FD0519B}"/>
    <cellStyle name="Currency 5 3 2 3 6 3" xfId="10943" xr:uid="{030BFC9B-A6E1-4A6D-8AFB-F8DD3ACA4F9B}"/>
    <cellStyle name="Currency 5 3 2 3 7" xfId="2734" xr:uid="{00000000-0005-0000-0000-0000C60C0000}"/>
    <cellStyle name="Currency 5 3 2 3 8" xfId="2815" xr:uid="{00000000-0005-0000-0000-0000C70C0000}"/>
    <cellStyle name="Currency 5 3 2 3 8 2" xfId="7039" xr:uid="{00000000-0005-0000-0000-0000C80C0000}"/>
    <cellStyle name="Currency 5 3 2 3 8 2 2" xfId="15478" xr:uid="{0BB67184-73B0-47EC-9AFF-562F1A8D5BD8}"/>
    <cellStyle name="Currency 5 3 2 3 8 3" xfId="11260" xr:uid="{C6D92A05-7062-481A-B2CB-87D57FC528DA}"/>
    <cellStyle name="Currency 5 3 2 3 9" xfId="4656" xr:uid="{00000000-0005-0000-0000-0000C90C0000}"/>
    <cellStyle name="Currency 5 3 2 3 9 2" xfId="13095" xr:uid="{DC9E3874-D48A-46B6-A73D-AF1B07804AD4}"/>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15651" xr:uid="{DD43842E-A0DA-4B81-9103-615D09DACD4E}"/>
    <cellStyle name="Currency 5 3 2 4 2 3" xfId="11433" xr:uid="{265FB278-1A37-4B0B-9359-3021EEF94C1A}"/>
    <cellStyle name="Currency 5 3 2 4 3" xfId="5067" xr:uid="{00000000-0005-0000-0000-0000CD0C0000}"/>
    <cellStyle name="Currency 5 3 2 4 3 2" xfId="13506" xr:uid="{87778CFB-AC50-4A84-8D00-7885D82D4D62}"/>
    <cellStyle name="Currency 5 3 2 4 4" xfId="9288" xr:uid="{BC1D6DC2-EA5B-43AF-95F7-4C18A3036EEB}"/>
    <cellStyle name="Currency 5 3 2 5" xfId="1171" xr:uid="{00000000-0005-0000-0000-0000CE0C0000}"/>
    <cellStyle name="Currency 5 3 2 5 2" xfId="3402" xr:uid="{00000000-0005-0000-0000-0000CF0C0000}"/>
    <cellStyle name="Currency 5 3 2 5 2 2" xfId="7625" xr:uid="{00000000-0005-0000-0000-0000D00C0000}"/>
    <cellStyle name="Currency 5 3 2 5 2 2 2" xfId="16064" xr:uid="{ECB55852-F36B-45A1-AE86-28256A2626D3}"/>
    <cellStyle name="Currency 5 3 2 5 2 3" xfId="11846" xr:uid="{E1A2EC28-7807-4120-A84D-58271E0056AA}"/>
    <cellStyle name="Currency 5 3 2 5 3" xfId="5480" xr:uid="{00000000-0005-0000-0000-0000D10C0000}"/>
    <cellStyle name="Currency 5 3 2 5 3 2" xfId="13919" xr:uid="{3A288183-228B-45EE-85BB-885A5EFCA966}"/>
    <cellStyle name="Currency 5 3 2 5 4" xfId="9701" xr:uid="{A041429E-2FFC-48A9-9E15-CF2496E4CA98}"/>
    <cellStyle name="Currency 5 3 2 6" xfId="1585" xr:uid="{00000000-0005-0000-0000-0000D20C0000}"/>
    <cellStyle name="Currency 5 3 2 6 2" xfId="3815" xr:uid="{00000000-0005-0000-0000-0000D30C0000}"/>
    <cellStyle name="Currency 5 3 2 6 2 2" xfId="8038" xr:uid="{00000000-0005-0000-0000-0000D40C0000}"/>
    <cellStyle name="Currency 5 3 2 6 2 2 2" xfId="16477" xr:uid="{5080708F-D178-4BC1-9BCE-FEE4C9E543C3}"/>
    <cellStyle name="Currency 5 3 2 6 2 3" xfId="12259" xr:uid="{E3A5C940-0E90-4DCF-9161-FB7AEDA3964A}"/>
    <cellStyle name="Currency 5 3 2 6 3" xfId="5893" xr:uid="{00000000-0005-0000-0000-0000D50C0000}"/>
    <cellStyle name="Currency 5 3 2 6 3 2" xfId="14332" xr:uid="{389AC7CE-CE5D-4D9E-A87E-AEF8F9A04AC4}"/>
    <cellStyle name="Currency 5 3 2 6 4" xfId="10114" xr:uid="{C17FF104-9DF5-4177-AA50-E37631D0FF2B}"/>
    <cellStyle name="Currency 5 3 2 7" xfId="1999" xr:uid="{00000000-0005-0000-0000-0000D60C0000}"/>
    <cellStyle name="Currency 5 3 2 7 2" xfId="4228" xr:uid="{00000000-0005-0000-0000-0000D70C0000}"/>
    <cellStyle name="Currency 5 3 2 7 2 2" xfId="8451" xr:uid="{00000000-0005-0000-0000-0000D80C0000}"/>
    <cellStyle name="Currency 5 3 2 7 2 2 2" xfId="16890" xr:uid="{81185702-6269-4A40-ACAE-68B83C83DB43}"/>
    <cellStyle name="Currency 5 3 2 7 2 3" xfId="12672" xr:uid="{EC754B6D-1F5D-4DCD-A89A-13A0F775620D}"/>
    <cellStyle name="Currency 5 3 2 7 3" xfId="6306" xr:uid="{00000000-0005-0000-0000-0000D90C0000}"/>
    <cellStyle name="Currency 5 3 2 7 3 2" xfId="14745" xr:uid="{F1A6DED7-2AF0-4DF1-B87E-194566724F78}"/>
    <cellStyle name="Currency 5 3 2 7 4" xfId="10527" xr:uid="{A73BAF6E-3880-467D-B0F9-30D82A42B1FF}"/>
    <cellStyle name="Currency 5 3 2 8" xfId="2434" xr:uid="{00000000-0005-0000-0000-0000DA0C0000}"/>
    <cellStyle name="Currency 5 3 2 8 2" xfId="6719" xr:uid="{00000000-0005-0000-0000-0000DB0C0000}"/>
    <cellStyle name="Currency 5 3 2 8 2 2" xfId="15158" xr:uid="{1701D626-F020-49FE-8D97-383A47C7BEEA}"/>
    <cellStyle name="Currency 5 3 2 8 3" xfId="10940" xr:uid="{F2AE81A0-37A8-430E-9570-EF1FE1CFD026}"/>
    <cellStyle name="Currency 5 3 2 9" xfId="2731" xr:uid="{00000000-0005-0000-0000-0000DC0C0000}"/>
    <cellStyle name="Currency 5 3 3" xfId="214" xr:uid="{00000000-0005-0000-0000-0000DD0C0000}"/>
    <cellStyle name="Currency 5 3 3 10" xfId="4657" xr:uid="{00000000-0005-0000-0000-0000DE0C0000}"/>
    <cellStyle name="Currency 5 3 3 10 2" xfId="13096" xr:uid="{A2BAEF6A-F6E0-4171-AB2A-B555197ACC48}"/>
    <cellStyle name="Currency 5 3 3 11" xfId="8878" xr:uid="{2C1BCC60-289F-492B-B091-75E0E2E71F33}"/>
    <cellStyle name="Currency 5 3 3 2" xfId="215" xr:uid="{00000000-0005-0000-0000-0000DF0C0000}"/>
    <cellStyle name="Currency 5 3 3 2 10" xfId="8879" xr:uid="{9EBC3AB5-6319-4582-8DF4-20652B248E48}"/>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15656" xr:uid="{31A9A379-269D-4D76-AF4B-2E32E174504D}"/>
    <cellStyle name="Currency 5 3 3 2 2 2 3" xfId="11438" xr:uid="{39222898-0456-4151-A88F-C5853132CE37}"/>
    <cellStyle name="Currency 5 3 3 2 2 3" xfId="5072" xr:uid="{00000000-0005-0000-0000-0000E30C0000}"/>
    <cellStyle name="Currency 5 3 3 2 2 3 2" xfId="13511" xr:uid="{2EF8207C-AF36-4DE6-9D0B-E382DB02A92D}"/>
    <cellStyle name="Currency 5 3 3 2 2 4" xfId="9293" xr:uid="{F705E9E1-523E-4E89-B91A-CF92786BEAF2}"/>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2 2" xfId="16069" xr:uid="{09521955-59BF-40B8-B214-352EC42D0406}"/>
    <cellStyle name="Currency 5 3 3 2 3 2 3" xfId="11851" xr:uid="{C09F568F-6448-4562-8307-9DF1C4E48E6F}"/>
    <cellStyle name="Currency 5 3 3 2 3 3" xfId="5485" xr:uid="{00000000-0005-0000-0000-0000E70C0000}"/>
    <cellStyle name="Currency 5 3 3 2 3 3 2" xfId="13924" xr:uid="{9BDD5A8B-9526-4A25-9F97-1CDB154C9AF3}"/>
    <cellStyle name="Currency 5 3 3 2 3 4" xfId="9706" xr:uid="{95ADDD8B-5F48-47EC-A026-E1CE3BBBEEDA}"/>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2 2 2" xfId="16482" xr:uid="{025DB100-BD8D-4527-9A23-715A860CABE4}"/>
    <cellStyle name="Currency 5 3 3 2 4 2 3" xfId="12264" xr:uid="{118E7376-7C8A-4B04-A0D8-7A769A48580C}"/>
    <cellStyle name="Currency 5 3 3 2 4 3" xfId="5898" xr:uid="{00000000-0005-0000-0000-0000EB0C0000}"/>
    <cellStyle name="Currency 5 3 3 2 4 3 2" xfId="14337" xr:uid="{515AD8A5-A0C3-46A6-9AD2-F9EFB5D6CF0B}"/>
    <cellStyle name="Currency 5 3 3 2 4 4" xfId="10119" xr:uid="{28691420-53D4-4BC8-A16C-291922104FC8}"/>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2 2 2" xfId="16895" xr:uid="{16961FE3-04F3-4648-9F4A-2C142FE0D5FA}"/>
    <cellStyle name="Currency 5 3 3 2 5 2 3" xfId="12677" xr:uid="{798DF158-B2F0-4552-B00E-56C7AB46BF55}"/>
    <cellStyle name="Currency 5 3 3 2 5 3" xfId="6311" xr:uid="{00000000-0005-0000-0000-0000EF0C0000}"/>
    <cellStyle name="Currency 5 3 3 2 5 3 2" xfId="14750" xr:uid="{2536CE8F-A9F3-4FAD-9089-34C618D057FC}"/>
    <cellStyle name="Currency 5 3 3 2 5 4" xfId="10532" xr:uid="{B38FE638-8123-4AD6-9958-6C873EE2A6D1}"/>
    <cellStyle name="Currency 5 3 3 2 6" xfId="2439" xr:uid="{00000000-0005-0000-0000-0000F00C0000}"/>
    <cellStyle name="Currency 5 3 3 2 6 2" xfId="6724" xr:uid="{00000000-0005-0000-0000-0000F10C0000}"/>
    <cellStyle name="Currency 5 3 3 2 6 2 2" xfId="15163" xr:uid="{A51466F7-928E-4A7B-8A85-97D7B3EBECBB}"/>
    <cellStyle name="Currency 5 3 3 2 6 3" xfId="10945" xr:uid="{0FE15782-8C66-459D-BEEF-FD10AA534872}"/>
    <cellStyle name="Currency 5 3 3 2 7" xfId="2736" xr:uid="{00000000-0005-0000-0000-0000F20C0000}"/>
    <cellStyle name="Currency 5 3 3 2 8" xfId="2817" xr:uid="{00000000-0005-0000-0000-0000F30C0000}"/>
    <cellStyle name="Currency 5 3 3 2 8 2" xfId="7041" xr:uid="{00000000-0005-0000-0000-0000F40C0000}"/>
    <cellStyle name="Currency 5 3 3 2 8 2 2" xfId="15480" xr:uid="{FA48B070-6559-440C-8706-C1AD40AD0FA9}"/>
    <cellStyle name="Currency 5 3 3 2 8 3" xfId="11262" xr:uid="{0DE95835-DE9C-4F9A-B99B-119A5E748661}"/>
    <cellStyle name="Currency 5 3 3 2 9" xfId="4658" xr:uid="{00000000-0005-0000-0000-0000F50C0000}"/>
    <cellStyle name="Currency 5 3 3 2 9 2" xfId="13097" xr:uid="{D4C5254A-C02D-4999-9E59-B98FDD16CE80}"/>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15655" xr:uid="{C2BB3B1C-010A-40BC-9599-E0A8F76F9B7F}"/>
    <cellStyle name="Currency 5 3 3 3 2 3" xfId="11437" xr:uid="{7B3842E1-D3F1-47DC-BB63-0ACFC43E050E}"/>
    <cellStyle name="Currency 5 3 3 3 3" xfId="5071" xr:uid="{00000000-0005-0000-0000-0000F90C0000}"/>
    <cellStyle name="Currency 5 3 3 3 3 2" xfId="13510" xr:uid="{879AF415-3B90-4325-9CEC-277837943F2C}"/>
    <cellStyle name="Currency 5 3 3 3 4" xfId="9292" xr:uid="{86AE5D87-E662-4ADC-B02F-2365CCE74D1D}"/>
    <cellStyle name="Currency 5 3 3 4" xfId="1175" xr:uid="{00000000-0005-0000-0000-0000FA0C0000}"/>
    <cellStyle name="Currency 5 3 3 4 2" xfId="3406" xr:uid="{00000000-0005-0000-0000-0000FB0C0000}"/>
    <cellStyle name="Currency 5 3 3 4 2 2" xfId="7629" xr:uid="{00000000-0005-0000-0000-0000FC0C0000}"/>
    <cellStyle name="Currency 5 3 3 4 2 2 2" xfId="16068" xr:uid="{67223DA9-28F2-4C07-9887-E22191321030}"/>
    <cellStyle name="Currency 5 3 3 4 2 3" xfId="11850" xr:uid="{ABB3D97C-E212-406E-A002-985D0C92F805}"/>
    <cellStyle name="Currency 5 3 3 4 3" xfId="5484" xr:uid="{00000000-0005-0000-0000-0000FD0C0000}"/>
    <cellStyle name="Currency 5 3 3 4 3 2" xfId="13923" xr:uid="{0D188C2F-479B-4108-BA6E-9ED32D5C56E7}"/>
    <cellStyle name="Currency 5 3 3 4 4" xfId="9705" xr:uid="{C8FF13AD-E04B-4781-8752-8264C500BCB7}"/>
    <cellStyle name="Currency 5 3 3 5" xfId="1589" xr:uid="{00000000-0005-0000-0000-0000FE0C0000}"/>
    <cellStyle name="Currency 5 3 3 5 2" xfId="3819" xr:uid="{00000000-0005-0000-0000-0000FF0C0000}"/>
    <cellStyle name="Currency 5 3 3 5 2 2" xfId="8042" xr:uid="{00000000-0005-0000-0000-0000000D0000}"/>
    <cellStyle name="Currency 5 3 3 5 2 2 2" xfId="16481" xr:uid="{D887E677-A44E-4A11-A3F2-38A069BB36E2}"/>
    <cellStyle name="Currency 5 3 3 5 2 3" xfId="12263" xr:uid="{48265688-9894-4AA7-9822-116DC784151A}"/>
    <cellStyle name="Currency 5 3 3 5 3" xfId="5897" xr:uid="{00000000-0005-0000-0000-0000010D0000}"/>
    <cellStyle name="Currency 5 3 3 5 3 2" xfId="14336" xr:uid="{74155A51-374C-4FAF-86FF-4D69A9D08227}"/>
    <cellStyle name="Currency 5 3 3 5 4" xfId="10118" xr:uid="{81360C65-71CC-4792-B08A-BACDEC80A8F4}"/>
    <cellStyle name="Currency 5 3 3 6" xfId="2003" xr:uid="{00000000-0005-0000-0000-0000020D0000}"/>
    <cellStyle name="Currency 5 3 3 6 2" xfId="4232" xr:uid="{00000000-0005-0000-0000-0000030D0000}"/>
    <cellStyle name="Currency 5 3 3 6 2 2" xfId="8455" xr:uid="{00000000-0005-0000-0000-0000040D0000}"/>
    <cellStyle name="Currency 5 3 3 6 2 2 2" xfId="16894" xr:uid="{70CB3241-AC15-4B18-958A-D78E940F22CA}"/>
    <cellStyle name="Currency 5 3 3 6 2 3" xfId="12676" xr:uid="{73A61F22-0C2E-46A7-9388-FE3AEE7D9E35}"/>
    <cellStyle name="Currency 5 3 3 6 3" xfId="6310" xr:uid="{00000000-0005-0000-0000-0000050D0000}"/>
    <cellStyle name="Currency 5 3 3 6 3 2" xfId="14749" xr:uid="{BBCAC741-7394-42C7-82A2-D49AC47962A6}"/>
    <cellStyle name="Currency 5 3 3 6 4" xfId="10531" xr:uid="{17D24210-5BE1-4230-BCE6-3385B078B554}"/>
    <cellStyle name="Currency 5 3 3 7" xfId="2438" xr:uid="{00000000-0005-0000-0000-0000060D0000}"/>
    <cellStyle name="Currency 5 3 3 7 2" xfId="6723" xr:uid="{00000000-0005-0000-0000-0000070D0000}"/>
    <cellStyle name="Currency 5 3 3 7 2 2" xfId="15162" xr:uid="{E8ACD4C8-EEAD-4FAF-9DC4-CB8C730C32FD}"/>
    <cellStyle name="Currency 5 3 3 7 3" xfId="10944" xr:uid="{BC85B469-AB76-43B8-90B1-B92F6054023C}"/>
    <cellStyle name="Currency 5 3 3 8" xfId="2735" xr:uid="{00000000-0005-0000-0000-0000080D0000}"/>
    <cellStyle name="Currency 5 3 3 9" xfId="2816" xr:uid="{00000000-0005-0000-0000-0000090D0000}"/>
    <cellStyle name="Currency 5 3 3 9 2" xfId="7040" xr:uid="{00000000-0005-0000-0000-00000A0D0000}"/>
    <cellStyle name="Currency 5 3 3 9 2 2" xfId="15479" xr:uid="{7BDB6CE7-C48F-4A3A-9036-B652BE704631}"/>
    <cellStyle name="Currency 5 3 3 9 3" xfId="11261" xr:uid="{DA72CBFE-71BC-4602-80B2-605AD4C23002}"/>
    <cellStyle name="Currency 5 3 4" xfId="216" xr:uid="{00000000-0005-0000-0000-00000B0D0000}"/>
    <cellStyle name="Currency 5 3 4 10" xfId="8880" xr:uid="{3DD2BA18-8E09-47CD-84F8-FBC24BAEE734}"/>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15657" xr:uid="{A7736844-16D6-4B98-AC22-2B5944C4277F}"/>
    <cellStyle name="Currency 5 3 4 2 2 3" xfId="11439" xr:uid="{325D798D-F0D6-4FA7-886D-15795D005656}"/>
    <cellStyle name="Currency 5 3 4 2 3" xfId="5073" xr:uid="{00000000-0005-0000-0000-00000F0D0000}"/>
    <cellStyle name="Currency 5 3 4 2 3 2" xfId="13512" xr:uid="{B61B1516-1DA7-47B5-9DB8-EE4D4E719FE4}"/>
    <cellStyle name="Currency 5 3 4 2 4" xfId="9294" xr:uid="{D7E3E094-FA9C-4F3D-BFB3-919BF8FA6687}"/>
    <cellStyle name="Currency 5 3 4 3" xfId="1177" xr:uid="{00000000-0005-0000-0000-0000100D0000}"/>
    <cellStyle name="Currency 5 3 4 3 2" xfId="3408" xr:uid="{00000000-0005-0000-0000-0000110D0000}"/>
    <cellStyle name="Currency 5 3 4 3 2 2" xfId="7631" xr:uid="{00000000-0005-0000-0000-0000120D0000}"/>
    <cellStyle name="Currency 5 3 4 3 2 2 2" xfId="16070" xr:uid="{6CE1A48A-EDF4-46AD-9765-55D21F26A0DE}"/>
    <cellStyle name="Currency 5 3 4 3 2 3" xfId="11852" xr:uid="{E3741CD2-51BB-495F-B8AE-131CF3AE20A3}"/>
    <cellStyle name="Currency 5 3 4 3 3" xfId="5486" xr:uid="{00000000-0005-0000-0000-0000130D0000}"/>
    <cellStyle name="Currency 5 3 4 3 3 2" xfId="13925" xr:uid="{28CAC25D-F9F5-4E6D-A07C-932687AEE1C1}"/>
    <cellStyle name="Currency 5 3 4 3 4" xfId="9707" xr:uid="{74A14EAF-899B-453F-ADF7-11DE6ED6A1D0}"/>
    <cellStyle name="Currency 5 3 4 4" xfId="1591" xr:uid="{00000000-0005-0000-0000-0000140D0000}"/>
    <cellStyle name="Currency 5 3 4 4 2" xfId="3821" xr:uid="{00000000-0005-0000-0000-0000150D0000}"/>
    <cellStyle name="Currency 5 3 4 4 2 2" xfId="8044" xr:uid="{00000000-0005-0000-0000-0000160D0000}"/>
    <cellStyle name="Currency 5 3 4 4 2 2 2" xfId="16483" xr:uid="{12DBE568-98CD-4FFC-914A-2358CD9FE4AB}"/>
    <cellStyle name="Currency 5 3 4 4 2 3" xfId="12265" xr:uid="{077335CB-8CF4-4E36-A690-24D95A3067BD}"/>
    <cellStyle name="Currency 5 3 4 4 3" xfId="5899" xr:uid="{00000000-0005-0000-0000-0000170D0000}"/>
    <cellStyle name="Currency 5 3 4 4 3 2" xfId="14338" xr:uid="{E24B96A4-9D70-444F-803D-4B01FCF8AA3C}"/>
    <cellStyle name="Currency 5 3 4 4 4" xfId="10120" xr:uid="{B06EE9CD-CFD8-4E17-95C3-FEA23561E026}"/>
    <cellStyle name="Currency 5 3 4 5" xfId="2005" xr:uid="{00000000-0005-0000-0000-0000180D0000}"/>
    <cellStyle name="Currency 5 3 4 5 2" xfId="4234" xr:uid="{00000000-0005-0000-0000-0000190D0000}"/>
    <cellStyle name="Currency 5 3 4 5 2 2" xfId="8457" xr:uid="{00000000-0005-0000-0000-00001A0D0000}"/>
    <cellStyle name="Currency 5 3 4 5 2 2 2" xfId="16896" xr:uid="{477B6DC2-9BF8-4D47-8DDA-9E56DFAC497C}"/>
    <cellStyle name="Currency 5 3 4 5 2 3" xfId="12678" xr:uid="{93690A69-5EDE-4A26-904F-BE89C29A5CFE}"/>
    <cellStyle name="Currency 5 3 4 5 3" xfId="6312" xr:uid="{00000000-0005-0000-0000-00001B0D0000}"/>
    <cellStyle name="Currency 5 3 4 5 3 2" xfId="14751" xr:uid="{0DF895EE-B31F-471F-BBE9-FDC935BA85A0}"/>
    <cellStyle name="Currency 5 3 4 5 4" xfId="10533" xr:uid="{42B3975C-74E2-465E-8113-E06AB3C43337}"/>
    <cellStyle name="Currency 5 3 4 6" xfId="2440" xr:uid="{00000000-0005-0000-0000-00001C0D0000}"/>
    <cellStyle name="Currency 5 3 4 6 2" xfId="6725" xr:uid="{00000000-0005-0000-0000-00001D0D0000}"/>
    <cellStyle name="Currency 5 3 4 6 2 2" xfId="15164" xr:uid="{8B9094C5-A323-4980-91D4-A76EFD2518D3}"/>
    <cellStyle name="Currency 5 3 4 6 3" xfId="10946" xr:uid="{455CA68F-260D-488E-BCC9-DA30BB0E449B}"/>
    <cellStyle name="Currency 5 3 4 7" xfId="2737" xr:uid="{00000000-0005-0000-0000-00001E0D0000}"/>
    <cellStyle name="Currency 5 3 4 8" xfId="2818" xr:uid="{00000000-0005-0000-0000-00001F0D0000}"/>
    <cellStyle name="Currency 5 3 4 8 2" xfId="7042" xr:uid="{00000000-0005-0000-0000-0000200D0000}"/>
    <cellStyle name="Currency 5 3 4 8 2 2" xfId="15481" xr:uid="{1B14C939-0450-4A44-91EA-9252D88A5958}"/>
    <cellStyle name="Currency 5 3 4 8 3" xfId="11263" xr:uid="{5B6F628F-C52C-4D80-A7E0-9711FDD609D4}"/>
    <cellStyle name="Currency 5 3 4 9" xfId="4659" xr:uid="{00000000-0005-0000-0000-0000210D0000}"/>
    <cellStyle name="Currency 5 3 4 9 2" xfId="13098" xr:uid="{2DAE5FB6-E7F1-4249-866B-28B3501CD94A}"/>
    <cellStyle name="Currency 5 3 5" xfId="217" xr:uid="{00000000-0005-0000-0000-0000220D0000}"/>
    <cellStyle name="Currency 5 3 5 10" xfId="8881" xr:uid="{7A55830B-754E-494D-B55C-D8F55E434A9C}"/>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15658" xr:uid="{E03BA6CC-BB7C-42A4-8C1E-8EA8DF880CD6}"/>
    <cellStyle name="Currency 5 3 5 2 2 3" xfId="11440" xr:uid="{01E6AB4D-6B35-40E4-9A8F-B9FBC160CACC}"/>
    <cellStyle name="Currency 5 3 5 2 3" xfId="5074" xr:uid="{00000000-0005-0000-0000-0000260D0000}"/>
    <cellStyle name="Currency 5 3 5 2 3 2" xfId="13513" xr:uid="{18454880-1E61-4FBA-BDB7-410BC0D11AC4}"/>
    <cellStyle name="Currency 5 3 5 2 4" xfId="9295" xr:uid="{43267D84-88AB-45E4-9407-248D10AAA68B}"/>
    <cellStyle name="Currency 5 3 5 3" xfId="1178" xr:uid="{00000000-0005-0000-0000-0000270D0000}"/>
    <cellStyle name="Currency 5 3 5 3 2" xfId="3409" xr:uid="{00000000-0005-0000-0000-0000280D0000}"/>
    <cellStyle name="Currency 5 3 5 3 2 2" xfId="7632" xr:uid="{00000000-0005-0000-0000-0000290D0000}"/>
    <cellStyle name="Currency 5 3 5 3 2 2 2" xfId="16071" xr:uid="{3B9D4798-0FA3-4B07-8B05-1C425FAAC3B0}"/>
    <cellStyle name="Currency 5 3 5 3 2 3" xfId="11853" xr:uid="{203FD14D-2114-4E7D-88AA-5B1D6F52AF97}"/>
    <cellStyle name="Currency 5 3 5 3 3" xfId="5487" xr:uid="{00000000-0005-0000-0000-00002A0D0000}"/>
    <cellStyle name="Currency 5 3 5 3 3 2" xfId="13926" xr:uid="{02F65D31-DBD3-4D0A-B5DF-16C34BBC9642}"/>
    <cellStyle name="Currency 5 3 5 3 4" xfId="9708" xr:uid="{A625A532-FAED-4D28-A30A-4A4CEA70C9B5}"/>
    <cellStyle name="Currency 5 3 5 4" xfId="1592" xr:uid="{00000000-0005-0000-0000-00002B0D0000}"/>
    <cellStyle name="Currency 5 3 5 4 2" xfId="3822" xr:uid="{00000000-0005-0000-0000-00002C0D0000}"/>
    <cellStyle name="Currency 5 3 5 4 2 2" xfId="8045" xr:uid="{00000000-0005-0000-0000-00002D0D0000}"/>
    <cellStyle name="Currency 5 3 5 4 2 2 2" xfId="16484" xr:uid="{A5823A67-3C40-4E19-90BE-3E864571DAEC}"/>
    <cellStyle name="Currency 5 3 5 4 2 3" xfId="12266" xr:uid="{53840482-8348-47B5-91B7-D9B26E291AB6}"/>
    <cellStyle name="Currency 5 3 5 4 3" xfId="5900" xr:uid="{00000000-0005-0000-0000-00002E0D0000}"/>
    <cellStyle name="Currency 5 3 5 4 3 2" xfId="14339" xr:uid="{74629604-3D7E-4135-8A08-634AED1F7CC5}"/>
    <cellStyle name="Currency 5 3 5 4 4" xfId="10121" xr:uid="{881B7AC2-0110-446F-A5D2-F7DE2D7C703D}"/>
    <cellStyle name="Currency 5 3 5 5" xfId="2006" xr:uid="{00000000-0005-0000-0000-00002F0D0000}"/>
    <cellStyle name="Currency 5 3 5 5 2" xfId="4235" xr:uid="{00000000-0005-0000-0000-0000300D0000}"/>
    <cellStyle name="Currency 5 3 5 5 2 2" xfId="8458" xr:uid="{00000000-0005-0000-0000-0000310D0000}"/>
    <cellStyle name="Currency 5 3 5 5 2 2 2" xfId="16897" xr:uid="{98873D04-8142-47EE-B017-32AE4099B488}"/>
    <cellStyle name="Currency 5 3 5 5 2 3" xfId="12679" xr:uid="{10A351A1-DDB5-4EAA-A7DC-7E9C65334E27}"/>
    <cellStyle name="Currency 5 3 5 5 3" xfId="6313" xr:uid="{00000000-0005-0000-0000-0000320D0000}"/>
    <cellStyle name="Currency 5 3 5 5 3 2" xfId="14752" xr:uid="{A2F169BD-9D06-4B3E-BEEA-3321C8B1AE68}"/>
    <cellStyle name="Currency 5 3 5 5 4" xfId="10534" xr:uid="{821EFD21-0004-403D-B6D6-3E4F8EEED007}"/>
    <cellStyle name="Currency 5 3 5 6" xfId="2441" xr:uid="{00000000-0005-0000-0000-0000330D0000}"/>
    <cellStyle name="Currency 5 3 5 6 2" xfId="6726" xr:uid="{00000000-0005-0000-0000-0000340D0000}"/>
    <cellStyle name="Currency 5 3 5 6 2 2" xfId="15165" xr:uid="{3EB9ECDA-9F8B-465E-A9D9-0810193A6393}"/>
    <cellStyle name="Currency 5 3 5 6 3" xfId="10947" xr:uid="{97D52EAE-AC70-4070-AB82-79DF55283777}"/>
    <cellStyle name="Currency 5 3 5 7" xfId="2738" xr:uid="{00000000-0005-0000-0000-0000350D0000}"/>
    <cellStyle name="Currency 5 3 5 8" xfId="2819" xr:uid="{00000000-0005-0000-0000-0000360D0000}"/>
    <cellStyle name="Currency 5 3 5 8 2" xfId="7043" xr:uid="{00000000-0005-0000-0000-0000370D0000}"/>
    <cellStyle name="Currency 5 3 5 8 2 2" xfId="15482" xr:uid="{1E99B2BE-60B2-472D-B669-582C87E9AA62}"/>
    <cellStyle name="Currency 5 3 5 8 3" xfId="11264" xr:uid="{C975C16E-718D-45DF-8C7A-3B2263AA3DF2}"/>
    <cellStyle name="Currency 5 3 5 9" xfId="4660" xr:uid="{00000000-0005-0000-0000-0000380D0000}"/>
    <cellStyle name="Currency 5 3 5 9 2" xfId="13099" xr:uid="{7FA836ED-4C70-4C06-B5E1-DA2F63CD64DE}"/>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0 2" xfId="13100" xr:uid="{F3C550A7-5AE9-4A2E-9FE7-2AC745BF39F5}"/>
    <cellStyle name="Currency 5 5 11" xfId="8882" xr:uid="{7F757B78-65FA-4EAE-B02B-A70C6EE45BCA}"/>
    <cellStyle name="Currency 5 5 2" xfId="220" xr:uid="{00000000-0005-0000-0000-00003D0D0000}"/>
    <cellStyle name="Currency 5 5 2 10" xfId="8883" xr:uid="{4ACC64B4-152F-415C-B13E-3EFB27EA9C93}"/>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15660" xr:uid="{F1AD2572-B837-4A49-9584-1CB2A2DA038F}"/>
    <cellStyle name="Currency 5 5 2 2 2 3" xfId="11442" xr:uid="{08BCC454-DC2B-4F59-9B5F-B3A7755F58D2}"/>
    <cellStyle name="Currency 5 5 2 2 3" xfId="5076" xr:uid="{00000000-0005-0000-0000-0000410D0000}"/>
    <cellStyle name="Currency 5 5 2 2 3 2" xfId="13515" xr:uid="{F53C064E-E102-47E6-BD8C-BCE7E759C40C}"/>
    <cellStyle name="Currency 5 5 2 2 4" xfId="9297" xr:uid="{0CE48EFE-9410-460B-A2FB-0F92C5A7A984}"/>
    <cellStyle name="Currency 5 5 2 3" xfId="1180" xr:uid="{00000000-0005-0000-0000-0000420D0000}"/>
    <cellStyle name="Currency 5 5 2 3 2" xfId="3411" xr:uid="{00000000-0005-0000-0000-0000430D0000}"/>
    <cellStyle name="Currency 5 5 2 3 2 2" xfId="7634" xr:uid="{00000000-0005-0000-0000-0000440D0000}"/>
    <cellStyle name="Currency 5 5 2 3 2 2 2" xfId="16073" xr:uid="{0B01CFFC-D06E-40E5-A068-427B343916C6}"/>
    <cellStyle name="Currency 5 5 2 3 2 3" xfId="11855" xr:uid="{92058BA3-0125-4F91-AA37-6D54844438DC}"/>
    <cellStyle name="Currency 5 5 2 3 3" xfId="5489" xr:uid="{00000000-0005-0000-0000-0000450D0000}"/>
    <cellStyle name="Currency 5 5 2 3 3 2" xfId="13928" xr:uid="{4D6F27B5-AE67-4C28-912C-762440BA10D9}"/>
    <cellStyle name="Currency 5 5 2 3 4" xfId="9710" xr:uid="{A27F207B-58E1-4065-BAA5-9A676CD9685B}"/>
    <cellStyle name="Currency 5 5 2 4" xfId="1594" xr:uid="{00000000-0005-0000-0000-0000460D0000}"/>
    <cellStyle name="Currency 5 5 2 4 2" xfId="3824" xr:uid="{00000000-0005-0000-0000-0000470D0000}"/>
    <cellStyle name="Currency 5 5 2 4 2 2" xfId="8047" xr:uid="{00000000-0005-0000-0000-0000480D0000}"/>
    <cellStyle name="Currency 5 5 2 4 2 2 2" xfId="16486" xr:uid="{F281CF83-79F5-4590-B901-4E7EDD01F719}"/>
    <cellStyle name="Currency 5 5 2 4 2 3" xfId="12268" xr:uid="{57080564-6F72-41B8-A2C5-E3A852E93EB5}"/>
    <cellStyle name="Currency 5 5 2 4 3" xfId="5902" xr:uid="{00000000-0005-0000-0000-0000490D0000}"/>
    <cellStyle name="Currency 5 5 2 4 3 2" xfId="14341" xr:uid="{8A58D1C3-BFD4-43E3-B555-DB0DE02B5944}"/>
    <cellStyle name="Currency 5 5 2 4 4" xfId="10123" xr:uid="{E61517EA-6912-48C6-A874-8B1E250C6C50}"/>
    <cellStyle name="Currency 5 5 2 5" xfId="2008" xr:uid="{00000000-0005-0000-0000-00004A0D0000}"/>
    <cellStyle name="Currency 5 5 2 5 2" xfId="4237" xr:uid="{00000000-0005-0000-0000-00004B0D0000}"/>
    <cellStyle name="Currency 5 5 2 5 2 2" xfId="8460" xr:uid="{00000000-0005-0000-0000-00004C0D0000}"/>
    <cellStyle name="Currency 5 5 2 5 2 2 2" xfId="16899" xr:uid="{642F3290-0DC1-4920-B625-5020ED06E61C}"/>
    <cellStyle name="Currency 5 5 2 5 2 3" xfId="12681" xr:uid="{50E95433-E14B-4F69-8571-8716C488B0D8}"/>
    <cellStyle name="Currency 5 5 2 5 3" xfId="6315" xr:uid="{00000000-0005-0000-0000-00004D0D0000}"/>
    <cellStyle name="Currency 5 5 2 5 3 2" xfId="14754" xr:uid="{86861643-3BD5-4258-8723-5AB06C6E4BDF}"/>
    <cellStyle name="Currency 5 5 2 5 4" xfId="10536" xr:uid="{59917ABA-7325-4C38-9B98-ADF591A25044}"/>
    <cellStyle name="Currency 5 5 2 6" xfId="2443" xr:uid="{00000000-0005-0000-0000-00004E0D0000}"/>
    <cellStyle name="Currency 5 5 2 6 2" xfId="6728" xr:uid="{00000000-0005-0000-0000-00004F0D0000}"/>
    <cellStyle name="Currency 5 5 2 6 2 2" xfId="15167" xr:uid="{4B66CDC0-0B12-4E8B-B6E1-7BB440792261}"/>
    <cellStyle name="Currency 5 5 2 6 3" xfId="10949" xr:uid="{B650BBCC-3A11-44CA-955D-61F800EFABE7}"/>
    <cellStyle name="Currency 5 5 2 7" xfId="2740" xr:uid="{00000000-0005-0000-0000-0000500D0000}"/>
    <cellStyle name="Currency 5 5 2 8" xfId="2821" xr:uid="{00000000-0005-0000-0000-0000510D0000}"/>
    <cellStyle name="Currency 5 5 2 8 2" xfId="7045" xr:uid="{00000000-0005-0000-0000-0000520D0000}"/>
    <cellStyle name="Currency 5 5 2 8 2 2" xfId="15484" xr:uid="{A931000F-3CD7-48DC-8858-15B50F06489A}"/>
    <cellStyle name="Currency 5 5 2 8 3" xfId="11266" xr:uid="{63ACE5B8-7A7C-4C7B-A6AC-7B168AD7DB2A}"/>
    <cellStyle name="Currency 5 5 2 9" xfId="4662" xr:uid="{00000000-0005-0000-0000-0000530D0000}"/>
    <cellStyle name="Currency 5 5 2 9 2" xfId="13101" xr:uid="{BF43EF40-1FDA-444D-8D46-96347DC4F7AD}"/>
    <cellStyle name="Currency 5 5 3" xfId="745" xr:uid="{00000000-0005-0000-0000-0000540D0000}"/>
    <cellStyle name="Currency 5 5 3 2" xfId="2997" xr:uid="{00000000-0005-0000-0000-0000550D0000}"/>
    <cellStyle name="Currency 5 5 3 2 2" xfId="7220" xr:uid="{00000000-0005-0000-0000-0000560D0000}"/>
    <cellStyle name="Currency 5 5 3 2 2 2" xfId="15659" xr:uid="{E8E502C7-52BC-4236-A5B5-C71B0CF1B876}"/>
    <cellStyle name="Currency 5 5 3 2 3" xfId="11441" xr:uid="{79CF46B8-3D69-40F4-AD39-A7CF4BCD38A3}"/>
    <cellStyle name="Currency 5 5 3 3" xfId="5075" xr:uid="{00000000-0005-0000-0000-0000570D0000}"/>
    <cellStyle name="Currency 5 5 3 3 2" xfId="13514" xr:uid="{8CDF00F8-4243-4C9F-A6E6-373F901E5B33}"/>
    <cellStyle name="Currency 5 5 3 4" xfId="9296" xr:uid="{AFCF6FA2-E96E-4BD7-A373-A9B217AB1E21}"/>
    <cellStyle name="Currency 5 5 4" xfId="1179" xr:uid="{00000000-0005-0000-0000-0000580D0000}"/>
    <cellStyle name="Currency 5 5 4 2" xfId="3410" xr:uid="{00000000-0005-0000-0000-0000590D0000}"/>
    <cellStyle name="Currency 5 5 4 2 2" xfId="7633" xr:uid="{00000000-0005-0000-0000-00005A0D0000}"/>
    <cellStyle name="Currency 5 5 4 2 2 2" xfId="16072" xr:uid="{C0C7E010-0CF3-490D-83C6-E840157FE4AD}"/>
    <cellStyle name="Currency 5 5 4 2 3" xfId="11854" xr:uid="{CF52AE01-36FC-4EBF-82E7-E4E6CBCF3355}"/>
    <cellStyle name="Currency 5 5 4 3" xfId="5488" xr:uid="{00000000-0005-0000-0000-00005B0D0000}"/>
    <cellStyle name="Currency 5 5 4 3 2" xfId="13927" xr:uid="{883D8BEA-A63E-4577-BE0F-769DDB560C21}"/>
    <cellStyle name="Currency 5 5 4 4" xfId="9709" xr:uid="{891E0368-C4D6-4353-A1BB-778A4C26DC24}"/>
    <cellStyle name="Currency 5 5 5" xfId="1593" xr:uid="{00000000-0005-0000-0000-00005C0D0000}"/>
    <cellStyle name="Currency 5 5 5 2" xfId="3823" xr:uid="{00000000-0005-0000-0000-00005D0D0000}"/>
    <cellStyle name="Currency 5 5 5 2 2" xfId="8046" xr:uid="{00000000-0005-0000-0000-00005E0D0000}"/>
    <cellStyle name="Currency 5 5 5 2 2 2" xfId="16485" xr:uid="{1B1FEA22-15ED-4158-9840-2FFBB2792C4A}"/>
    <cellStyle name="Currency 5 5 5 2 3" xfId="12267" xr:uid="{EEAEC4BD-EFAE-4C59-AD88-4D1AEB4267C3}"/>
    <cellStyle name="Currency 5 5 5 3" xfId="5901" xr:uid="{00000000-0005-0000-0000-00005F0D0000}"/>
    <cellStyle name="Currency 5 5 5 3 2" xfId="14340" xr:uid="{0081FC71-95E6-4196-9CE0-F6FA9A8F6268}"/>
    <cellStyle name="Currency 5 5 5 4" xfId="10122" xr:uid="{73DD1032-C278-41CA-BA7F-E8E1CDD8573B}"/>
    <cellStyle name="Currency 5 5 6" xfId="2007" xr:uid="{00000000-0005-0000-0000-0000600D0000}"/>
    <cellStyle name="Currency 5 5 6 2" xfId="4236" xr:uid="{00000000-0005-0000-0000-0000610D0000}"/>
    <cellStyle name="Currency 5 5 6 2 2" xfId="8459" xr:uid="{00000000-0005-0000-0000-0000620D0000}"/>
    <cellStyle name="Currency 5 5 6 2 2 2" xfId="16898" xr:uid="{24DC3D6B-A1A7-4DDE-8084-916F4F28CEED}"/>
    <cellStyle name="Currency 5 5 6 2 3" xfId="12680" xr:uid="{40E25B10-EE8C-47C2-85E2-23B3B9D9B07F}"/>
    <cellStyle name="Currency 5 5 6 3" xfId="6314" xr:uid="{00000000-0005-0000-0000-0000630D0000}"/>
    <cellStyle name="Currency 5 5 6 3 2" xfId="14753" xr:uid="{D62AAF3B-E19B-465F-BB16-CB33B901E6D6}"/>
    <cellStyle name="Currency 5 5 6 4" xfId="10535" xr:uid="{A46BE87B-34D1-437B-AC65-E30DF8FD8644}"/>
    <cellStyle name="Currency 5 5 7" xfId="2442" xr:uid="{00000000-0005-0000-0000-0000640D0000}"/>
    <cellStyle name="Currency 5 5 7 2" xfId="6727" xr:uid="{00000000-0005-0000-0000-0000650D0000}"/>
    <cellStyle name="Currency 5 5 7 2 2" xfId="15166" xr:uid="{3239C360-4E49-4B4F-8510-DACBE0E9D104}"/>
    <cellStyle name="Currency 5 5 7 3" xfId="10948" xr:uid="{574EB32A-8935-47E1-8A90-2E783470C39D}"/>
    <cellStyle name="Currency 5 5 8" xfId="2739" xr:uid="{00000000-0005-0000-0000-0000660D0000}"/>
    <cellStyle name="Currency 5 5 9" xfId="2820" xr:uid="{00000000-0005-0000-0000-0000670D0000}"/>
    <cellStyle name="Currency 5 5 9 2" xfId="7044" xr:uid="{00000000-0005-0000-0000-0000680D0000}"/>
    <cellStyle name="Currency 5 5 9 2 2" xfId="15483" xr:uid="{E8AC48EF-660A-44E1-98D7-CA703192D4A3}"/>
    <cellStyle name="Currency 5 5 9 3" xfId="11265" xr:uid="{5970E244-84DB-4B0C-BAED-8BBB0CF60BAA}"/>
    <cellStyle name="Currency 5 6" xfId="221" xr:uid="{00000000-0005-0000-0000-0000690D0000}"/>
    <cellStyle name="Currency 5 6 10" xfId="8884" xr:uid="{A8E5505D-4CF1-4E74-800D-5C2C323F21E1}"/>
    <cellStyle name="Currency 5 6 2" xfId="747" xr:uid="{00000000-0005-0000-0000-00006A0D0000}"/>
    <cellStyle name="Currency 5 6 2 2" xfId="2999" xr:uid="{00000000-0005-0000-0000-00006B0D0000}"/>
    <cellStyle name="Currency 5 6 2 2 2" xfId="7222" xr:uid="{00000000-0005-0000-0000-00006C0D0000}"/>
    <cellStyle name="Currency 5 6 2 2 2 2" xfId="15661" xr:uid="{275461C6-ACDF-4B96-8399-8808158DD650}"/>
    <cellStyle name="Currency 5 6 2 2 3" xfId="11443" xr:uid="{0CFF8A90-5A4C-4BF0-BC6F-1FFBDD4198B9}"/>
    <cellStyle name="Currency 5 6 2 3" xfId="5077" xr:uid="{00000000-0005-0000-0000-00006D0D0000}"/>
    <cellStyle name="Currency 5 6 2 3 2" xfId="13516" xr:uid="{CA681361-C0E7-4CF9-B7DF-E4263D97B135}"/>
    <cellStyle name="Currency 5 6 2 4" xfId="9298" xr:uid="{2779254E-C6C8-4FD0-9011-FD162CDB1A92}"/>
    <cellStyle name="Currency 5 6 3" xfId="1181" xr:uid="{00000000-0005-0000-0000-00006E0D0000}"/>
    <cellStyle name="Currency 5 6 3 2" xfId="3412" xr:uid="{00000000-0005-0000-0000-00006F0D0000}"/>
    <cellStyle name="Currency 5 6 3 2 2" xfId="7635" xr:uid="{00000000-0005-0000-0000-0000700D0000}"/>
    <cellStyle name="Currency 5 6 3 2 2 2" xfId="16074" xr:uid="{4DE6B22A-6958-4BF8-9F42-84B1C537DFE3}"/>
    <cellStyle name="Currency 5 6 3 2 3" xfId="11856" xr:uid="{6A393477-CCF2-4E5A-A74D-2C01FC00DAE8}"/>
    <cellStyle name="Currency 5 6 3 3" xfId="5490" xr:uid="{00000000-0005-0000-0000-0000710D0000}"/>
    <cellStyle name="Currency 5 6 3 3 2" xfId="13929" xr:uid="{C4A95385-FAF7-4CD7-B802-132D660E1A0D}"/>
    <cellStyle name="Currency 5 6 3 4" xfId="9711" xr:uid="{F32A05B7-173F-43EC-A195-5FE4CE6A2672}"/>
    <cellStyle name="Currency 5 6 4" xfId="1595" xr:uid="{00000000-0005-0000-0000-0000720D0000}"/>
    <cellStyle name="Currency 5 6 4 2" xfId="3825" xr:uid="{00000000-0005-0000-0000-0000730D0000}"/>
    <cellStyle name="Currency 5 6 4 2 2" xfId="8048" xr:uid="{00000000-0005-0000-0000-0000740D0000}"/>
    <cellStyle name="Currency 5 6 4 2 2 2" xfId="16487" xr:uid="{3FB79DB3-24F3-49E9-BF4B-C1CADE2276DD}"/>
    <cellStyle name="Currency 5 6 4 2 3" xfId="12269" xr:uid="{D5E2A6BA-3A3E-4BA4-AB4A-17C0A8FC2379}"/>
    <cellStyle name="Currency 5 6 4 3" xfId="5903" xr:uid="{00000000-0005-0000-0000-0000750D0000}"/>
    <cellStyle name="Currency 5 6 4 3 2" xfId="14342" xr:uid="{49F286F1-1823-4C0F-9807-B5E052B9020F}"/>
    <cellStyle name="Currency 5 6 4 4" xfId="10124" xr:uid="{95063028-3826-4BC4-9426-C3B35142455B}"/>
    <cellStyle name="Currency 5 6 5" xfId="2009" xr:uid="{00000000-0005-0000-0000-0000760D0000}"/>
    <cellStyle name="Currency 5 6 5 2" xfId="4238" xr:uid="{00000000-0005-0000-0000-0000770D0000}"/>
    <cellStyle name="Currency 5 6 5 2 2" xfId="8461" xr:uid="{00000000-0005-0000-0000-0000780D0000}"/>
    <cellStyle name="Currency 5 6 5 2 2 2" xfId="16900" xr:uid="{486A6060-EB8C-41E8-959F-2EED034CE5CC}"/>
    <cellStyle name="Currency 5 6 5 2 3" xfId="12682" xr:uid="{87599518-BB7F-4029-853E-D43DBC8DEA4C}"/>
    <cellStyle name="Currency 5 6 5 3" xfId="6316" xr:uid="{00000000-0005-0000-0000-0000790D0000}"/>
    <cellStyle name="Currency 5 6 5 3 2" xfId="14755" xr:uid="{7FE0707F-FEF6-4720-B722-5BB26B8CA9F0}"/>
    <cellStyle name="Currency 5 6 5 4" xfId="10537" xr:uid="{F5E3F2BC-566B-43DA-82E4-EA8180AFB77C}"/>
    <cellStyle name="Currency 5 6 6" xfId="2444" xr:uid="{00000000-0005-0000-0000-00007A0D0000}"/>
    <cellStyle name="Currency 5 6 6 2" xfId="6729" xr:uid="{00000000-0005-0000-0000-00007B0D0000}"/>
    <cellStyle name="Currency 5 6 6 2 2" xfId="15168" xr:uid="{17682047-EEDC-4BBF-8A10-F32602BD375A}"/>
    <cellStyle name="Currency 5 6 6 3" xfId="10950" xr:uid="{B00CB33E-8102-4BE0-9904-091343FFE053}"/>
    <cellStyle name="Currency 5 6 7" xfId="2741" xr:uid="{00000000-0005-0000-0000-00007C0D0000}"/>
    <cellStyle name="Currency 5 6 8" xfId="2822" xr:uid="{00000000-0005-0000-0000-00007D0D0000}"/>
    <cellStyle name="Currency 5 6 8 2" xfId="7046" xr:uid="{00000000-0005-0000-0000-00007E0D0000}"/>
    <cellStyle name="Currency 5 6 8 2 2" xfId="15485" xr:uid="{5EC85BA3-13AE-48A1-899C-18726B564A34}"/>
    <cellStyle name="Currency 5 6 8 3" xfId="11267" xr:uid="{6E2649D4-1BFD-4B3E-B4E0-B3BBC3CB2E9A}"/>
    <cellStyle name="Currency 5 6 9" xfId="4663" xr:uid="{00000000-0005-0000-0000-00007F0D0000}"/>
    <cellStyle name="Currency 5 6 9 2" xfId="13102" xr:uid="{A138AF18-85F1-4976-887F-BDFB89EB9B4E}"/>
    <cellStyle name="Currency 5 7" xfId="222" xr:uid="{00000000-0005-0000-0000-0000800D0000}"/>
    <cellStyle name="Currency 5 7 10" xfId="8885" xr:uid="{F0167826-EA0F-4AA3-A600-6B24D3E5BD2B}"/>
    <cellStyle name="Currency 5 7 2" xfId="748" xr:uid="{00000000-0005-0000-0000-0000810D0000}"/>
    <cellStyle name="Currency 5 7 2 2" xfId="3000" xr:uid="{00000000-0005-0000-0000-0000820D0000}"/>
    <cellStyle name="Currency 5 7 2 2 2" xfId="7223" xr:uid="{00000000-0005-0000-0000-0000830D0000}"/>
    <cellStyle name="Currency 5 7 2 2 2 2" xfId="15662" xr:uid="{5F6CECDF-1F5B-47F6-8200-1F1A6FEE9F30}"/>
    <cellStyle name="Currency 5 7 2 2 3" xfId="11444" xr:uid="{D7BE833E-CE2B-428A-85A4-BEA36AB18E4B}"/>
    <cellStyle name="Currency 5 7 2 3" xfId="5078" xr:uid="{00000000-0005-0000-0000-0000840D0000}"/>
    <cellStyle name="Currency 5 7 2 3 2" xfId="13517" xr:uid="{26894BA5-4984-45F4-A893-BC8A730FDE58}"/>
    <cellStyle name="Currency 5 7 2 4" xfId="9299" xr:uid="{B82285DB-0395-461D-984F-87EFF3415C39}"/>
    <cellStyle name="Currency 5 7 3" xfId="1182" xr:uid="{00000000-0005-0000-0000-0000850D0000}"/>
    <cellStyle name="Currency 5 7 3 2" xfId="3413" xr:uid="{00000000-0005-0000-0000-0000860D0000}"/>
    <cellStyle name="Currency 5 7 3 2 2" xfId="7636" xr:uid="{00000000-0005-0000-0000-0000870D0000}"/>
    <cellStyle name="Currency 5 7 3 2 2 2" xfId="16075" xr:uid="{BD66E542-36D1-4B9E-B55C-EA4861B7FD53}"/>
    <cellStyle name="Currency 5 7 3 2 3" xfId="11857" xr:uid="{1B979254-61C7-4832-AFC9-B86BA890A3B1}"/>
    <cellStyle name="Currency 5 7 3 3" xfId="5491" xr:uid="{00000000-0005-0000-0000-0000880D0000}"/>
    <cellStyle name="Currency 5 7 3 3 2" xfId="13930" xr:uid="{E3D63338-7FC6-40C0-AE2E-CD3163FB284A}"/>
    <cellStyle name="Currency 5 7 3 4" xfId="9712" xr:uid="{C349E64B-550D-4943-85C3-ECC2339A5A57}"/>
    <cellStyle name="Currency 5 7 4" xfId="1596" xr:uid="{00000000-0005-0000-0000-0000890D0000}"/>
    <cellStyle name="Currency 5 7 4 2" xfId="3826" xr:uid="{00000000-0005-0000-0000-00008A0D0000}"/>
    <cellStyle name="Currency 5 7 4 2 2" xfId="8049" xr:uid="{00000000-0005-0000-0000-00008B0D0000}"/>
    <cellStyle name="Currency 5 7 4 2 2 2" xfId="16488" xr:uid="{BF935EDB-8734-447C-8150-4C31C7FAAF35}"/>
    <cellStyle name="Currency 5 7 4 2 3" xfId="12270" xr:uid="{FAD0AA92-328E-42E2-B243-AF712AC1242F}"/>
    <cellStyle name="Currency 5 7 4 3" xfId="5904" xr:uid="{00000000-0005-0000-0000-00008C0D0000}"/>
    <cellStyle name="Currency 5 7 4 3 2" xfId="14343" xr:uid="{01D439F2-3BBF-4CDE-BE50-96DD31A3DEAA}"/>
    <cellStyle name="Currency 5 7 4 4" xfId="10125" xr:uid="{AD3AA37C-6C48-4A9A-B955-55D2FFC670A9}"/>
    <cellStyle name="Currency 5 7 5" xfId="2010" xr:uid="{00000000-0005-0000-0000-00008D0D0000}"/>
    <cellStyle name="Currency 5 7 5 2" xfId="4239" xr:uid="{00000000-0005-0000-0000-00008E0D0000}"/>
    <cellStyle name="Currency 5 7 5 2 2" xfId="8462" xr:uid="{00000000-0005-0000-0000-00008F0D0000}"/>
    <cellStyle name="Currency 5 7 5 2 2 2" xfId="16901" xr:uid="{118F6BE9-F665-44F8-91A7-D178BF729D49}"/>
    <cellStyle name="Currency 5 7 5 2 3" xfId="12683" xr:uid="{9A38406D-F808-4439-832D-6B03E6894D9A}"/>
    <cellStyle name="Currency 5 7 5 3" xfId="6317" xr:uid="{00000000-0005-0000-0000-0000900D0000}"/>
    <cellStyle name="Currency 5 7 5 3 2" xfId="14756" xr:uid="{8814C46D-807E-4C34-AE21-4982ED87A04F}"/>
    <cellStyle name="Currency 5 7 5 4" xfId="10538" xr:uid="{B18930CC-1B01-429F-95A1-F7D464E73485}"/>
    <cellStyle name="Currency 5 7 6" xfId="2445" xr:uid="{00000000-0005-0000-0000-0000910D0000}"/>
    <cellStyle name="Currency 5 7 6 2" xfId="6730" xr:uid="{00000000-0005-0000-0000-0000920D0000}"/>
    <cellStyle name="Currency 5 7 6 2 2" xfId="15169" xr:uid="{F48DD298-C88C-4FC3-878B-7B6A21CF98E2}"/>
    <cellStyle name="Currency 5 7 6 3" xfId="10951" xr:uid="{0ED88335-61C3-4F27-8873-71364D75472B}"/>
    <cellStyle name="Currency 5 7 7" xfId="2742" xr:uid="{00000000-0005-0000-0000-0000930D0000}"/>
    <cellStyle name="Currency 5 7 8" xfId="2823" xr:uid="{00000000-0005-0000-0000-0000940D0000}"/>
    <cellStyle name="Currency 5 7 8 2" xfId="7047" xr:uid="{00000000-0005-0000-0000-0000950D0000}"/>
    <cellStyle name="Currency 5 7 8 2 2" xfId="15486" xr:uid="{979AC9B0-49D7-4311-9999-9240DC0D8890}"/>
    <cellStyle name="Currency 5 7 8 3" xfId="11268" xr:uid="{67FD91FB-8F8C-4D8B-931D-B1E2F6EB9FEF}"/>
    <cellStyle name="Currency 5 7 9" xfId="4664" xr:uid="{00000000-0005-0000-0000-0000960D0000}"/>
    <cellStyle name="Currency 5 7 9 2" xfId="13103" xr:uid="{E57F8C6D-77AE-490C-AD42-4BC2CB443C9D}"/>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0 2 2" xfId="15170" xr:uid="{A484F5BC-51BD-4F6A-B17C-B7AE4DBFD827}"/>
    <cellStyle name="Normal 12 10 3" xfId="10952" xr:uid="{07E505B3-0444-4979-AA13-9F84EAC122B6}"/>
    <cellStyle name="Normal 12 11" xfId="4665" xr:uid="{00000000-0005-0000-0000-0000CC0D0000}"/>
    <cellStyle name="Normal 12 11 2" xfId="13104" xr:uid="{BDE3AB48-BB83-4F4E-83A6-C51D595CE826}"/>
    <cellStyle name="Normal 12 12" xfId="8886" xr:uid="{C04BE08A-E40C-4EA9-93AC-0A3923DDFD26}"/>
    <cellStyle name="Normal 12 2" xfId="260" xr:uid="{00000000-0005-0000-0000-0000CD0D0000}"/>
    <cellStyle name="Normal 12 2 10" xfId="8887" xr:uid="{4DC732C1-E3E3-48BC-A04F-C9512196F1F4}"/>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15666" xr:uid="{B6078042-4828-455A-BD99-0C983E2C159B}"/>
    <cellStyle name="Normal 12 2 2 2 2 2 3" xfId="11448" xr:uid="{FFF13998-C7B7-4242-910E-F6540E7F5371}"/>
    <cellStyle name="Normal 12 2 2 2 2 3" xfId="5082" xr:uid="{00000000-0005-0000-0000-0000D30D0000}"/>
    <cellStyle name="Normal 12 2 2 2 2 3 2" xfId="13521" xr:uid="{5DB5D20B-F957-4BEF-9D51-AD226033975A}"/>
    <cellStyle name="Normal 12 2 2 2 2 4" xfId="9303" xr:uid="{991BB8E6-0F0D-449A-B6F6-EDC857DF42B3}"/>
    <cellStyle name="Normal 12 2 2 2 3" xfId="1186" xr:uid="{00000000-0005-0000-0000-0000D40D0000}"/>
    <cellStyle name="Normal 12 2 2 2 3 2" xfId="3417" xr:uid="{00000000-0005-0000-0000-0000D50D0000}"/>
    <cellStyle name="Normal 12 2 2 2 3 2 2" xfId="7640" xr:uid="{00000000-0005-0000-0000-0000D60D0000}"/>
    <cellStyle name="Normal 12 2 2 2 3 2 2 2" xfId="16079" xr:uid="{73C76941-8652-4F9B-8655-ACD0AD3622BA}"/>
    <cellStyle name="Normal 12 2 2 2 3 2 3" xfId="11861" xr:uid="{B4C839BE-3DD5-461E-A83E-BF30A07172DC}"/>
    <cellStyle name="Normal 12 2 2 2 3 3" xfId="5495" xr:uid="{00000000-0005-0000-0000-0000D70D0000}"/>
    <cellStyle name="Normal 12 2 2 2 3 3 2" xfId="13934" xr:uid="{9C2D2715-2A2A-4497-BD7D-393C893F0102}"/>
    <cellStyle name="Normal 12 2 2 2 3 4" xfId="9716" xr:uid="{4F237963-8795-417A-A1DE-3202BE77944C}"/>
    <cellStyle name="Normal 12 2 2 2 4" xfId="1600" xr:uid="{00000000-0005-0000-0000-0000D80D0000}"/>
    <cellStyle name="Normal 12 2 2 2 4 2" xfId="3830" xr:uid="{00000000-0005-0000-0000-0000D90D0000}"/>
    <cellStyle name="Normal 12 2 2 2 4 2 2" xfId="8053" xr:uid="{00000000-0005-0000-0000-0000DA0D0000}"/>
    <cellStyle name="Normal 12 2 2 2 4 2 2 2" xfId="16492" xr:uid="{6780FF86-F5E1-43B1-9312-AB3D49999713}"/>
    <cellStyle name="Normal 12 2 2 2 4 2 3" xfId="12274" xr:uid="{2A976F1D-4935-4FDB-8939-2B70F7D020CE}"/>
    <cellStyle name="Normal 12 2 2 2 4 3" xfId="5908" xr:uid="{00000000-0005-0000-0000-0000DB0D0000}"/>
    <cellStyle name="Normal 12 2 2 2 4 3 2" xfId="14347" xr:uid="{45EA24BA-754F-4DD7-9552-F8C234FC36AA}"/>
    <cellStyle name="Normal 12 2 2 2 4 4" xfId="10129" xr:uid="{EDECD2A7-FA6C-4B25-B3C3-C16B25943BB0}"/>
    <cellStyle name="Normal 12 2 2 2 5" xfId="2014" xr:uid="{00000000-0005-0000-0000-0000DC0D0000}"/>
    <cellStyle name="Normal 12 2 2 2 5 2" xfId="4243" xr:uid="{00000000-0005-0000-0000-0000DD0D0000}"/>
    <cellStyle name="Normal 12 2 2 2 5 2 2" xfId="8466" xr:uid="{00000000-0005-0000-0000-0000DE0D0000}"/>
    <cellStyle name="Normal 12 2 2 2 5 2 2 2" xfId="16905" xr:uid="{C524CEEF-8E50-48CA-8D52-67DB20F359C5}"/>
    <cellStyle name="Normal 12 2 2 2 5 2 3" xfId="12687" xr:uid="{43942770-3E7A-40BC-81FB-B73A3CE59DA1}"/>
    <cellStyle name="Normal 12 2 2 2 5 3" xfId="6321" xr:uid="{00000000-0005-0000-0000-0000DF0D0000}"/>
    <cellStyle name="Normal 12 2 2 2 5 3 2" xfId="14760" xr:uid="{48DF8925-55DD-4991-A892-F293EF96ED60}"/>
    <cellStyle name="Normal 12 2 2 2 5 4" xfId="10542" xr:uid="{158EE9F3-37A7-4F8A-A2F2-4FD03ACA2908}"/>
    <cellStyle name="Normal 12 2 2 2 6" xfId="2450" xr:uid="{00000000-0005-0000-0000-0000E00D0000}"/>
    <cellStyle name="Normal 12 2 2 2 6 2" xfId="6734" xr:uid="{00000000-0005-0000-0000-0000E10D0000}"/>
    <cellStyle name="Normal 12 2 2 2 6 2 2" xfId="15173" xr:uid="{3ACE2CA1-FD9A-443E-B9CE-07DE63E59080}"/>
    <cellStyle name="Normal 12 2 2 2 6 3" xfId="10955" xr:uid="{C7DDF142-4463-4B97-BF57-3EB5947F205B}"/>
    <cellStyle name="Normal 12 2 2 2 7" xfId="4668" xr:uid="{00000000-0005-0000-0000-0000E20D0000}"/>
    <cellStyle name="Normal 12 2 2 2 7 2" xfId="13107" xr:uid="{E654382A-9102-47FD-AB20-C350DE1DAE56}"/>
    <cellStyle name="Normal 12 2 2 2 8" xfId="8889" xr:uid="{B6371D62-5C9F-454A-84D7-50CB9E28910C}"/>
    <cellStyle name="Normal 12 2 2 3" xfId="762" xr:uid="{00000000-0005-0000-0000-0000E30D0000}"/>
    <cellStyle name="Normal 12 2 2 3 2" xfId="3003" xr:uid="{00000000-0005-0000-0000-0000E40D0000}"/>
    <cellStyle name="Normal 12 2 2 3 2 2" xfId="7226" xr:uid="{00000000-0005-0000-0000-0000E50D0000}"/>
    <cellStyle name="Normal 12 2 2 3 2 2 2" xfId="15665" xr:uid="{95862625-7233-4C65-ACEE-C6E91E60A820}"/>
    <cellStyle name="Normal 12 2 2 3 2 3" xfId="11447" xr:uid="{47A00423-C7FB-4369-AE38-649439EF1CD1}"/>
    <cellStyle name="Normal 12 2 2 3 3" xfId="5081" xr:uid="{00000000-0005-0000-0000-0000E60D0000}"/>
    <cellStyle name="Normal 12 2 2 3 3 2" xfId="13520" xr:uid="{7C3096BD-CC1D-47B3-83B0-2320E32EC68C}"/>
    <cellStyle name="Normal 12 2 2 3 4" xfId="9302" xr:uid="{486DF12E-E55A-454C-A44D-CD876D9350CB}"/>
    <cellStyle name="Normal 12 2 2 4" xfId="1185" xr:uid="{00000000-0005-0000-0000-0000E70D0000}"/>
    <cellStyle name="Normal 12 2 2 4 2" xfId="3416" xr:uid="{00000000-0005-0000-0000-0000E80D0000}"/>
    <cellStyle name="Normal 12 2 2 4 2 2" xfId="7639" xr:uid="{00000000-0005-0000-0000-0000E90D0000}"/>
    <cellStyle name="Normal 12 2 2 4 2 2 2" xfId="16078" xr:uid="{35FECFCA-4644-403F-A30C-0C30DBC642B1}"/>
    <cellStyle name="Normal 12 2 2 4 2 3" xfId="11860" xr:uid="{82BDFDD7-3189-4D34-B485-A70E2E1C55C7}"/>
    <cellStyle name="Normal 12 2 2 4 3" xfId="5494" xr:uid="{00000000-0005-0000-0000-0000EA0D0000}"/>
    <cellStyle name="Normal 12 2 2 4 3 2" xfId="13933" xr:uid="{40A58805-41F5-409B-B1C5-2EA6ACCFD33A}"/>
    <cellStyle name="Normal 12 2 2 4 4" xfId="9715" xr:uid="{50716782-938F-4689-953E-49156F0021F2}"/>
    <cellStyle name="Normal 12 2 2 5" xfId="1599" xr:uid="{00000000-0005-0000-0000-0000EB0D0000}"/>
    <cellStyle name="Normal 12 2 2 5 2" xfId="3829" xr:uid="{00000000-0005-0000-0000-0000EC0D0000}"/>
    <cellStyle name="Normal 12 2 2 5 2 2" xfId="8052" xr:uid="{00000000-0005-0000-0000-0000ED0D0000}"/>
    <cellStyle name="Normal 12 2 2 5 2 2 2" xfId="16491" xr:uid="{35709B82-7D3C-42AA-AF99-548C0CF51D0D}"/>
    <cellStyle name="Normal 12 2 2 5 2 3" xfId="12273" xr:uid="{F41BCA89-B13E-4F22-A168-30F4854F962F}"/>
    <cellStyle name="Normal 12 2 2 5 3" xfId="5907" xr:uid="{00000000-0005-0000-0000-0000EE0D0000}"/>
    <cellStyle name="Normal 12 2 2 5 3 2" xfId="14346" xr:uid="{5621C82B-22CD-40F3-95F1-346D72618151}"/>
    <cellStyle name="Normal 12 2 2 5 4" xfId="10128" xr:uid="{A38EB076-66BB-4323-980A-5CED416A3868}"/>
    <cellStyle name="Normal 12 2 2 6" xfId="2013" xr:uid="{00000000-0005-0000-0000-0000EF0D0000}"/>
    <cellStyle name="Normal 12 2 2 6 2" xfId="4242" xr:uid="{00000000-0005-0000-0000-0000F00D0000}"/>
    <cellStyle name="Normal 12 2 2 6 2 2" xfId="8465" xr:uid="{00000000-0005-0000-0000-0000F10D0000}"/>
    <cellStyle name="Normal 12 2 2 6 2 2 2" xfId="16904" xr:uid="{AC1B356F-DE97-4B73-813D-8204CC2268F9}"/>
    <cellStyle name="Normal 12 2 2 6 2 3" xfId="12686" xr:uid="{0AB341E8-33AF-4EFA-AA2F-37F3606694BD}"/>
    <cellStyle name="Normal 12 2 2 6 3" xfId="6320" xr:uid="{00000000-0005-0000-0000-0000F20D0000}"/>
    <cellStyle name="Normal 12 2 2 6 3 2" xfId="14759" xr:uid="{4B004169-E19F-46D4-9344-3D22F7290465}"/>
    <cellStyle name="Normal 12 2 2 6 4" xfId="10541" xr:uid="{661905A2-F2DB-4A89-A12B-3C4364659834}"/>
    <cellStyle name="Normal 12 2 2 7" xfId="2449" xr:uid="{00000000-0005-0000-0000-0000F30D0000}"/>
    <cellStyle name="Normal 12 2 2 7 2" xfId="6733" xr:uid="{00000000-0005-0000-0000-0000F40D0000}"/>
    <cellStyle name="Normal 12 2 2 7 2 2" xfId="15172" xr:uid="{72A3E2E0-A450-47F9-9ECE-9389AD0385D8}"/>
    <cellStyle name="Normal 12 2 2 7 3" xfId="10954" xr:uid="{4365A29F-3D95-41CC-A6F8-7540DAAE6E7D}"/>
    <cellStyle name="Normal 12 2 2 8" xfId="4667" xr:uid="{00000000-0005-0000-0000-0000F50D0000}"/>
    <cellStyle name="Normal 12 2 2 8 2" xfId="13106" xr:uid="{6A071EC0-1F12-43FC-B995-D9071AC2E48F}"/>
    <cellStyle name="Normal 12 2 2 9" xfId="8888" xr:uid="{94A8EC2F-1658-4E93-8C9F-DD3B71E892B6}"/>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2 2 2" xfId="15667" xr:uid="{669172EB-AE9E-4694-BE3F-263AC6C10088}"/>
    <cellStyle name="Normal 12 2 3 2 2 3" xfId="11449" xr:uid="{6003F22E-007E-4775-ACA5-CFFFA3768638}"/>
    <cellStyle name="Normal 12 2 3 2 3" xfId="5083" xr:uid="{00000000-0005-0000-0000-0000FA0D0000}"/>
    <cellStyle name="Normal 12 2 3 2 3 2" xfId="13522" xr:uid="{4E10FAEE-19CD-45A2-B898-FA650A7A330E}"/>
    <cellStyle name="Normal 12 2 3 2 4" xfId="9304" xr:uid="{2E177633-06A8-42A1-A721-0D9015D36CFB}"/>
    <cellStyle name="Normal 12 2 3 3" xfId="1187" xr:uid="{00000000-0005-0000-0000-0000FB0D0000}"/>
    <cellStyle name="Normal 12 2 3 3 2" xfId="3418" xr:uid="{00000000-0005-0000-0000-0000FC0D0000}"/>
    <cellStyle name="Normal 12 2 3 3 2 2" xfId="7641" xr:uid="{00000000-0005-0000-0000-0000FD0D0000}"/>
    <cellStyle name="Normal 12 2 3 3 2 2 2" xfId="16080" xr:uid="{182D4AD1-C01A-4AC6-8B7D-3EC0ECA71DD4}"/>
    <cellStyle name="Normal 12 2 3 3 2 3" xfId="11862" xr:uid="{9068206D-2EC4-40F7-A92F-A5661C57E90E}"/>
    <cellStyle name="Normal 12 2 3 3 3" xfId="5496" xr:uid="{00000000-0005-0000-0000-0000FE0D0000}"/>
    <cellStyle name="Normal 12 2 3 3 3 2" xfId="13935" xr:uid="{7879FDD5-5AFE-465E-85C9-DFC215D7EECC}"/>
    <cellStyle name="Normal 12 2 3 3 4" xfId="9717" xr:uid="{5769DA6C-5EF2-488D-A8B9-6EF847AD327C}"/>
    <cellStyle name="Normal 12 2 3 4" xfId="1601" xr:uid="{00000000-0005-0000-0000-0000FF0D0000}"/>
    <cellStyle name="Normal 12 2 3 4 2" xfId="3831" xr:uid="{00000000-0005-0000-0000-0000000E0000}"/>
    <cellStyle name="Normal 12 2 3 4 2 2" xfId="8054" xr:uid="{00000000-0005-0000-0000-0000010E0000}"/>
    <cellStyle name="Normal 12 2 3 4 2 2 2" xfId="16493" xr:uid="{C5DA1BDD-C452-44EB-B4CB-79F90D1463BC}"/>
    <cellStyle name="Normal 12 2 3 4 2 3" xfId="12275" xr:uid="{4C322DC7-B2D3-4212-AEF0-ECDEB148D401}"/>
    <cellStyle name="Normal 12 2 3 4 3" xfId="5909" xr:uid="{00000000-0005-0000-0000-0000020E0000}"/>
    <cellStyle name="Normal 12 2 3 4 3 2" xfId="14348" xr:uid="{6AF6C2EF-56F6-4584-A822-2470CD8363E1}"/>
    <cellStyle name="Normal 12 2 3 4 4" xfId="10130" xr:uid="{5D9D7CAB-139B-414E-9812-E1DAAB8E8308}"/>
    <cellStyle name="Normal 12 2 3 5" xfId="2015" xr:uid="{00000000-0005-0000-0000-0000030E0000}"/>
    <cellStyle name="Normal 12 2 3 5 2" xfId="4244" xr:uid="{00000000-0005-0000-0000-0000040E0000}"/>
    <cellStyle name="Normal 12 2 3 5 2 2" xfId="8467" xr:uid="{00000000-0005-0000-0000-0000050E0000}"/>
    <cellStyle name="Normal 12 2 3 5 2 2 2" xfId="16906" xr:uid="{8A614400-4409-4656-AB4C-88A827EA11E1}"/>
    <cellStyle name="Normal 12 2 3 5 2 3" xfId="12688" xr:uid="{2BD8CC8E-3067-4CA1-B20C-D658C64BFFC5}"/>
    <cellStyle name="Normal 12 2 3 5 3" xfId="6322" xr:uid="{00000000-0005-0000-0000-0000060E0000}"/>
    <cellStyle name="Normal 12 2 3 5 3 2" xfId="14761" xr:uid="{0188B106-D0C6-4EC1-94D2-2E3936CF5E7F}"/>
    <cellStyle name="Normal 12 2 3 5 4" xfId="10543" xr:uid="{2F0445A9-6358-46F6-82F9-7E805B5702FC}"/>
    <cellStyle name="Normal 12 2 3 6" xfId="2451" xr:uid="{00000000-0005-0000-0000-0000070E0000}"/>
    <cellStyle name="Normal 12 2 3 6 2" xfId="6735" xr:uid="{00000000-0005-0000-0000-0000080E0000}"/>
    <cellStyle name="Normal 12 2 3 6 2 2" xfId="15174" xr:uid="{FAABDC8B-5303-43BE-A61B-63947E8FEA49}"/>
    <cellStyle name="Normal 12 2 3 6 3" xfId="10956" xr:uid="{D94E9840-CEEF-4D58-867A-7E5270E19268}"/>
    <cellStyle name="Normal 12 2 3 7" xfId="4669" xr:uid="{00000000-0005-0000-0000-0000090E0000}"/>
    <cellStyle name="Normal 12 2 3 7 2" xfId="13108" xr:uid="{2591E17A-D483-4C40-9D4F-A92E2AA6B7C4}"/>
    <cellStyle name="Normal 12 2 3 8" xfId="8890" xr:uid="{9D88E9BF-7245-4BCD-80FB-6C2F46896974}"/>
    <cellStyle name="Normal 12 2 4" xfId="761" xr:uid="{00000000-0005-0000-0000-00000A0E0000}"/>
    <cellStyle name="Normal 12 2 4 2" xfId="3002" xr:uid="{00000000-0005-0000-0000-00000B0E0000}"/>
    <cellStyle name="Normal 12 2 4 2 2" xfId="7225" xr:uid="{00000000-0005-0000-0000-00000C0E0000}"/>
    <cellStyle name="Normal 12 2 4 2 2 2" xfId="15664" xr:uid="{1706D783-CC6C-4ACD-BEE4-0E71BB6BD557}"/>
    <cellStyle name="Normal 12 2 4 2 3" xfId="11446" xr:uid="{2FE8E645-0FDC-473F-A1E2-621C11C0007A}"/>
    <cellStyle name="Normal 12 2 4 3" xfId="5080" xr:uid="{00000000-0005-0000-0000-00000D0E0000}"/>
    <cellStyle name="Normal 12 2 4 3 2" xfId="13519" xr:uid="{EE6EBC90-9531-45A9-8263-2DD66776F1EF}"/>
    <cellStyle name="Normal 12 2 4 4" xfId="9301" xr:uid="{F375A031-26A7-4DDE-BA38-659DA325C600}"/>
    <cellStyle name="Normal 12 2 5" xfId="1184" xr:uid="{00000000-0005-0000-0000-00000E0E0000}"/>
    <cellStyle name="Normal 12 2 5 2" xfId="3415" xr:uid="{00000000-0005-0000-0000-00000F0E0000}"/>
    <cellStyle name="Normal 12 2 5 2 2" xfId="7638" xr:uid="{00000000-0005-0000-0000-0000100E0000}"/>
    <cellStyle name="Normal 12 2 5 2 2 2" xfId="16077" xr:uid="{B2969BBE-1B6A-4D31-B3A7-AADD5F574301}"/>
    <cellStyle name="Normal 12 2 5 2 3" xfId="11859" xr:uid="{7A66899B-4771-47E1-90EC-0F1B9341047F}"/>
    <cellStyle name="Normal 12 2 5 3" xfId="5493" xr:uid="{00000000-0005-0000-0000-0000110E0000}"/>
    <cellStyle name="Normal 12 2 5 3 2" xfId="13932" xr:uid="{3ED07BBD-6037-4D77-AC47-37342669DAEA}"/>
    <cellStyle name="Normal 12 2 5 4" xfId="9714" xr:uid="{BC9670D1-E40A-4CE5-85E9-CCDE45177EB0}"/>
    <cellStyle name="Normal 12 2 6" xfId="1598" xr:uid="{00000000-0005-0000-0000-0000120E0000}"/>
    <cellStyle name="Normal 12 2 6 2" xfId="3828" xr:uid="{00000000-0005-0000-0000-0000130E0000}"/>
    <cellStyle name="Normal 12 2 6 2 2" xfId="8051" xr:uid="{00000000-0005-0000-0000-0000140E0000}"/>
    <cellStyle name="Normal 12 2 6 2 2 2" xfId="16490" xr:uid="{D28541C4-EE29-40E5-9324-B774BEBD443A}"/>
    <cellStyle name="Normal 12 2 6 2 3" xfId="12272" xr:uid="{85AF32FA-1212-4BB2-B430-663A5B831E74}"/>
    <cellStyle name="Normal 12 2 6 3" xfId="5906" xr:uid="{00000000-0005-0000-0000-0000150E0000}"/>
    <cellStyle name="Normal 12 2 6 3 2" xfId="14345" xr:uid="{8978B1F3-0A1E-44D8-96B1-495D30340375}"/>
    <cellStyle name="Normal 12 2 6 4" xfId="10127" xr:uid="{5F027BBF-9EC0-4C14-9837-E105105B72F1}"/>
    <cellStyle name="Normal 12 2 7" xfId="2012" xr:uid="{00000000-0005-0000-0000-0000160E0000}"/>
    <cellStyle name="Normal 12 2 7 2" xfId="4241" xr:uid="{00000000-0005-0000-0000-0000170E0000}"/>
    <cellStyle name="Normal 12 2 7 2 2" xfId="8464" xr:uid="{00000000-0005-0000-0000-0000180E0000}"/>
    <cellStyle name="Normal 12 2 7 2 2 2" xfId="16903" xr:uid="{91E5CD84-4B4C-4EF0-9688-0EDE055B2EF3}"/>
    <cellStyle name="Normal 12 2 7 2 3" xfId="12685" xr:uid="{6EF7598A-4707-4CBC-9D09-BC6DDEB5C83D}"/>
    <cellStyle name="Normal 12 2 7 3" xfId="6319" xr:uid="{00000000-0005-0000-0000-0000190E0000}"/>
    <cellStyle name="Normal 12 2 7 3 2" xfId="14758" xr:uid="{836FD7B9-1521-4BB6-A3E6-E4F0DC979683}"/>
    <cellStyle name="Normal 12 2 7 4" xfId="10540" xr:uid="{E2BCCD91-C3C7-4AC6-A7A5-4A4EF177B6AF}"/>
    <cellStyle name="Normal 12 2 8" xfId="2448" xr:uid="{00000000-0005-0000-0000-00001A0E0000}"/>
    <cellStyle name="Normal 12 2 8 2" xfId="6732" xr:uid="{00000000-0005-0000-0000-00001B0E0000}"/>
    <cellStyle name="Normal 12 2 8 2 2" xfId="15171" xr:uid="{839FCD9B-A02A-42AA-8C00-42E8B6126CE0}"/>
    <cellStyle name="Normal 12 2 8 3" xfId="10953" xr:uid="{278FAF5C-F153-494D-AA3F-3AFF294F8D10}"/>
    <cellStyle name="Normal 12 2 9" xfId="4666" xr:uid="{00000000-0005-0000-0000-00001C0E0000}"/>
    <cellStyle name="Normal 12 2 9 2" xfId="13105" xr:uid="{8F0EBC35-6734-4AF6-95D4-FAE1A3E60E42}"/>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2 2 2" xfId="15669" xr:uid="{B49048B0-917A-4AAB-A988-2C342110CAD2}"/>
    <cellStyle name="Normal 12 3 2 2 2 3" xfId="11451" xr:uid="{BFFE040C-DE46-46E9-A3C2-80BEF00DBE90}"/>
    <cellStyle name="Normal 12 3 2 2 3" xfId="5085" xr:uid="{00000000-0005-0000-0000-0000220E0000}"/>
    <cellStyle name="Normal 12 3 2 2 3 2" xfId="13524" xr:uid="{0B9700F1-79EB-470C-A02E-90C4DB84EA41}"/>
    <cellStyle name="Normal 12 3 2 2 4" xfId="9306" xr:uid="{5BFA4B4E-70E8-4705-BF55-31747B785042}"/>
    <cellStyle name="Normal 12 3 2 3" xfId="1189" xr:uid="{00000000-0005-0000-0000-0000230E0000}"/>
    <cellStyle name="Normal 12 3 2 3 2" xfId="3420" xr:uid="{00000000-0005-0000-0000-0000240E0000}"/>
    <cellStyle name="Normal 12 3 2 3 2 2" xfId="7643" xr:uid="{00000000-0005-0000-0000-0000250E0000}"/>
    <cellStyle name="Normal 12 3 2 3 2 2 2" xfId="16082" xr:uid="{547B5A38-26DE-49CB-B758-017D885144AB}"/>
    <cellStyle name="Normal 12 3 2 3 2 3" xfId="11864" xr:uid="{F910B04C-C8DF-4A6D-818D-50BC4E14675F}"/>
    <cellStyle name="Normal 12 3 2 3 3" xfId="5498" xr:uid="{00000000-0005-0000-0000-0000260E0000}"/>
    <cellStyle name="Normal 12 3 2 3 3 2" xfId="13937" xr:uid="{73CAFC8B-1ED3-4428-94C6-B8081FAC265B}"/>
    <cellStyle name="Normal 12 3 2 3 4" xfId="9719" xr:uid="{01207DEE-2FBE-483A-BB9E-F8093FCD331B}"/>
    <cellStyle name="Normal 12 3 2 4" xfId="1603" xr:uid="{00000000-0005-0000-0000-0000270E0000}"/>
    <cellStyle name="Normal 12 3 2 4 2" xfId="3833" xr:uid="{00000000-0005-0000-0000-0000280E0000}"/>
    <cellStyle name="Normal 12 3 2 4 2 2" xfId="8056" xr:uid="{00000000-0005-0000-0000-0000290E0000}"/>
    <cellStyle name="Normal 12 3 2 4 2 2 2" xfId="16495" xr:uid="{D0A6CC1B-30B9-40F2-A9B0-C6D991DF1C77}"/>
    <cellStyle name="Normal 12 3 2 4 2 3" xfId="12277" xr:uid="{EE1C3B90-4784-48F4-93DC-D904F5EFB60C}"/>
    <cellStyle name="Normal 12 3 2 4 3" xfId="5911" xr:uid="{00000000-0005-0000-0000-00002A0E0000}"/>
    <cellStyle name="Normal 12 3 2 4 3 2" xfId="14350" xr:uid="{1F875556-F687-4575-A8DD-36F889E597FF}"/>
    <cellStyle name="Normal 12 3 2 4 4" xfId="10132" xr:uid="{07347EE6-D244-4E67-A85E-345F1907028E}"/>
    <cellStyle name="Normal 12 3 2 5" xfId="2017" xr:uid="{00000000-0005-0000-0000-00002B0E0000}"/>
    <cellStyle name="Normal 12 3 2 5 2" xfId="4246" xr:uid="{00000000-0005-0000-0000-00002C0E0000}"/>
    <cellStyle name="Normal 12 3 2 5 2 2" xfId="8469" xr:uid="{00000000-0005-0000-0000-00002D0E0000}"/>
    <cellStyle name="Normal 12 3 2 5 2 2 2" xfId="16908" xr:uid="{8111963A-7EDF-408B-ABEA-936A27BCF2A8}"/>
    <cellStyle name="Normal 12 3 2 5 2 3" xfId="12690" xr:uid="{20AEC571-8587-42A3-B53D-BFAC02113874}"/>
    <cellStyle name="Normal 12 3 2 5 3" xfId="6324" xr:uid="{00000000-0005-0000-0000-00002E0E0000}"/>
    <cellStyle name="Normal 12 3 2 5 3 2" xfId="14763" xr:uid="{82E9D4E0-2E59-4DA6-9B07-CAADA90F40FF}"/>
    <cellStyle name="Normal 12 3 2 5 4" xfId="10545" xr:uid="{5BB5ED84-376C-4EF0-9D91-57BAE0866624}"/>
    <cellStyle name="Normal 12 3 2 6" xfId="2453" xr:uid="{00000000-0005-0000-0000-00002F0E0000}"/>
    <cellStyle name="Normal 12 3 2 6 2" xfId="6737" xr:uid="{00000000-0005-0000-0000-0000300E0000}"/>
    <cellStyle name="Normal 12 3 2 6 2 2" xfId="15176" xr:uid="{1B432C26-9A8E-4A03-9710-267AFFABDBBC}"/>
    <cellStyle name="Normal 12 3 2 6 3" xfId="10958" xr:uid="{022721D9-9835-42FD-9D17-C80CF4ADB742}"/>
    <cellStyle name="Normal 12 3 2 7" xfId="4671" xr:uid="{00000000-0005-0000-0000-0000310E0000}"/>
    <cellStyle name="Normal 12 3 2 7 2" xfId="13110" xr:uid="{FD1C70AC-E29D-4BEA-80AB-A67FA4E5F32A}"/>
    <cellStyle name="Normal 12 3 2 8" xfId="8892" xr:uid="{B56F7332-372D-4D02-A0DC-A2DE7414BBF9}"/>
    <cellStyle name="Normal 12 3 3" xfId="765" xr:uid="{00000000-0005-0000-0000-0000320E0000}"/>
    <cellStyle name="Normal 12 3 3 2" xfId="3006" xr:uid="{00000000-0005-0000-0000-0000330E0000}"/>
    <cellStyle name="Normal 12 3 3 2 2" xfId="7229" xr:uid="{00000000-0005-0000-0000-0000340E0000}"/>
    <cellStyle name="Normal 12 3 3 2 2 2" xfId="15668" xr:uid="{416EA72E-EC83-4A99-A2AE-5571CB96336F}"/>
    <cellStyle name="Normal 12 3 3 2 3" xfId="11450" xr:uid="{7140D626-6A60-4059-B570-1AB69FF222AE}"/>
    <cellStyle name="Normal 12 3 3 3" xfId="5084" xr:uid="{00000000-0005-0000-0000-0000350E0000}"/>
    <cellStyle name="Normal 12 3 3 3 2" xfId="13523" xr:uid="{E6EB92F4-52CC-4C9E-A46F-DD27EACAEAF9}"/>
    <cellStyle name="Normal 12 3 3 4" xfId="9305" xr:uid="{109F140C-97AD-4378-99D7-710C29832912}"/>
    <cellStyle name="Normal 12 3 4" xfId="1188" xr:uid="{00000000-0005-0000-0000-0000360E0000}"/>
    <cellStyle name="Normal 12 3 4 2" xfId="3419" xr:uid="{00000000-0005-0000-0000-0000370E0000}"/>
    <cellStyle name="Normal 12 3 4 2 2" xfId="7642" xr:uid="{00000000-0005-0000-0000-0000380E0000}"/>
    <cellStyle name="Normal 12 3 4 2 2 2" xfId="16081" xr:uid="{5B0C0508-F30A-4CFC-98F2-41B2919CA417}"/>
    <cellStyle name="Normal 12 3 4 2 3" xfId="11863" xr:uid="{E722AB9A-A836-4F28-AAAF-1F91444E5CAC}"/>
    <cellStyle name="Normal 12 3 4 3" xfId="5497" xr:uid="{00000000-0005-0000-0000-0000390E0000}"/>
    <cellStyle name="Normal 12 3 4 3 2" xfId="13936" xr:uid="{2C785D42-1E49-40BC-8E4E-B4A42FBC1D14}"/>
    <cellStyle name="Normal 12 3 4 4" xfId="9718" xr:uid="{8228CBCC-A26A-4E0F-A41B-B721C548A9FA}"/>
    <cellStyle name="Normal 12 3 5" xfId="1602" xr:uid="{00000000-0005-0000-0000-00003A0E0000}"/>
    <cellStyle name="Normal 12 3 5 2" xfId="3832" xr:uid="{00000000-0005-0000-0000-00003B0E0000}"/>
    <cellStyle name="Normal 12 3 5 2 2" xfId="8055" xr:uid="{00000000-0005-0000-0000-00003C0E0000}"/>
    <cellStyle name="Normal 12 3 5 2 2 2" xfId="16494" xr:uid="{49FD2F88-7EF1-4560-975D-F8BC24261655}"/>
    <cellStyle name="Normal 12 3 5 2 3" xfId="12276" xr:uid="{30C97A46-2E00-4D60-88E4-E509F62456DA}"/>
    <cellStyle name="Normal 12 3 5 3" xfId="5910" xr:uid="{00000000-0005-0000-0000-00003D0E0000}"/>
    <cellStyle name="Normal 12 3 5 3 2" xfId="14349" xr:uid="{067C486D-ED54-4E5D-960A-4B6EC2A7F0DB}"/>
    <cellStyle name="Normal 12 3 5 4" xfId="10131" xr:uid="{B465F255-8B1E-4B3C-B5FC-00CEB85CDF90}"/>
    <cellStyle name="Normal 12 3 6" xfId="2016" xr:uid="{00000000-0005-0000-0000-00003E0E0000}"/>
    <cellStyle name="Normal 12 3 6 2" xfId="4245" xr:uid="{00000000-0005-0000-0000-00003F0E0000}"/>
    <cellStyle name="Normal 12 3 6 2 2" xfId="8468" xr:uid="{00000000-0005-0000-0000-0000400E0000}"/>
    <cellStyle name="Normal 12 3 6 2 2 2" xfId="16907" xr:uid="{77EB1C9B-9F5A-433C-88E0-5EDAAC26F2C6}"/>
    <cellStyle name="Normal 12 3 6 2 3" xfId="12689" xr:uid="{AABB96C1-CB99-40A1-9CF6-35741AC32872}"/>
    <cellStyle name="Normal 12 3 6 3" xfId="6323" xr:uid="{00000000-0005-0000-0000-0000410E0000}"/>
    <cellStyle name="Normal 12 3 6 3 2" xfId="14762" xr:uid="{7FAFFA87-FDD6-48EF-A78E-EA37C9440428}"/>
    <cellStyle name="Normal 12 3 6 4" xfId="10544" xr:uid="{ADA459EF-60EA-44FB-8E09-3FE831112753}"/>
    <cellStyle name="Normal 12 3 7" xfId="2452" xr:uid="{00000000-0005-0000-0000-0000420E0000}"/>
    <cellStyle name="Normal 12 3 7 2" xfId="6736" xr:uid="{00000000-0005-0000-0000-0000430E0000}"/>
    <cellStyle name="Normal 12 3 7 2 2" xfId="15175" xr:uid="{3D135E28-E3AB-49DA-A257-811F3658AD64}"/>
    <cellStyle name="Normal 12 3 7 3" xfId="10957" xr:uid="{482219E3-15FB-4ECC-ADC4-E08B9EC9B7E5}"/>
    <cellStyle name="Normal 12 3 8" xfId="4670" xr:uid="{00000000-0005-0000-0000-0000440E0000}"/>
    <cellStyle name="Normal 12 3 8 2" xfId="13109" xr:uid="{7B13BE28-9F52-4527-A85A-6D31B912BBB4}"/>
    <cellStyle name="Normal 12 3 9" xfId="8891" xr:uid="{75B5FEA9-E2BE-4210-AE43-A994330382E1}"/>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2 2 2" xfId="15670" xr:uid="{0922F63D-2AF4-465E-B417-29F890249087}"/>
    <cellStyle name="Normal 12 4 2 2 3" xfId="11452" xr:uid="{A6726F80-9D2E-468F-9253-3087D3886FE4}"/>
    <cellStyle name="Normal 12 4 2 3" xfId="5086" xr:uid="{00000000-0005-0000-0000-0000490E0000}"/>
    <cellStyle name="Normal 12 4 2 3 2" xfId="13525" xr:uid="{10D1E03A-CD6A-40B7-A8DE-306639C91AF1}"/>
    <cellStyle name="Normal 12 4 2 4" xfId="9307" xr:uid="{800D5F38-E615-4CB2-9892-D961BC6C44EA}"/>
    <cellStyle name="Normal 12 4 3" xfId="1190" xr:uid="{00000000-0005-0000-0000-00004A0E0000}"/>
    <cellStyle name="Normal 12 4 3 2" xfId="3421" xr:uid="{00000000-0005-0000-0000-00004B0E0000}"/>
    <cellStyle name="Normal 12 4 3 2 2" xfId="7644" xr:uid="{00000000-0005-0000-0000-00004C0E0000}"/>
    <cellStyle name="Normal 12 4 3 2 2 2" xfId="16083" xr:uid="{A4E12527-98B6-4A44-AAF5-DCE4F4CAFB86}"/>
    <cellStyle name="Normal 12 4 3 2 3" xfId="11865" xr:uid="{144A1B73-F919-4A9E-99BF-58D1C7384091}"/>
    <cellStyle name="Normal 12 4 3 3" xfId="5499" xr:uid="{00000000-0005-0000-0000-00004D0E0000}"/>
    <cellStyle name="Normal 12 4 3 3 2" xfId="13938" xr:uid="{25E3D6F1-355C-4378-BCFD-D0A36A8EEF61}"/>
    <cellStyle name="Normal 12 4 3 4" xfId="9720" xr:uid="{9DB1DB87-DDCD-4542-A835-5CEFDFA191F3}"/>
    <cellStyle name="Normal 12 4 4" xfId="1604" xr:uid="{00000000-0005-0000-0000-00004E0E0000}"/>
    <cellStyle name="Normal 12 4 4 2" xfId="3834" xr:uid="{00000000-0005-0000-0000-00004F0E0000}"/>
    <cellStyle name="Normal 12 4 4 2 2" xfId="8057" xr:uid="{00000000-0005-0000-0000-0000500E0000}"/>
    <cellStyle name="Normal 12 4 4 2 2 2" xfId="16496" xr:uid="{D69932E8-11AA-4FFF-AD95-C6D57980217D}"/>
    <cellStyle name="Normal 12 4 4 2 3" xfId="12278" xr:uid="{A92826A9-2D26-4A3E-8624-BB2EBE64B072}"/>
    <cellStyle name="Normal 12 4 4 3" xfId="5912" xr:uid="{00000000-0005-0000-0000-0000510E0000}"/>
    <cellStyle name="Normal 12 4 4 3 2" xfId="14351" xr:uid="{D94CDE90-9F1B-48A9-BFD7-1C2FA88EEC3F}"/>
    <cellStyle name="Normal 12 4 4 4" xfId="10133" xr:uid="{44BEE419-0F65-404B-840A-1BEB0F6448DA}"/>
    <cellStyle name="Normal 12 4 5" xfId="2018" xr:uid="{00000000-0005-0000-0000-0000520E0000}"/>
    <cellStyle name="Normal 12 4 5 2" xfId="4247" xr:uid="{00000000-0005-0000-0000-0000530E0000}"/>
    <cellStyle name="Normal 12 4 5 2 2" xfId="8470" xr:uid="{00000000-0005-0000-0000-0000540E0000}"/>
    <cellStyle name="Normal 12 4 5 2 2 2" xfId="16909" xr:uid="{FEB92DCC-80A2-46C0-B826-1B2818C43D3C}"/>
    <cellStyle name="Normal 12 4 5 2 3" xfId="12691" xr:uid="{F8A6455C-F6F6-415D-8739-EA68F218296A}"/>
    <cellStyle name="Normal 12 4 5 3" xfId="6325" xr:uid="{00000000-0005-0000-0000-0000550E0000}"/>
    <cellStyle name="Normal 12 4 5 3 2" xfId="14764" xr:uid="{E86A5466-D0E0-4A5A-B645-58C4B7396E71}"/>
    <cellStyle name="Normal 12 4 5 4" xfId="10546" xr:uid="{00237B56-EC6B-4474-BCA6-4CD223CA436E}"/>
    <cellStyle name="Normal 12 4 6" xfId="2454" xr:uid="{00000000-0005-0000-0000-0000560E0000}"/>
    <cellStyle name="Normal 12 4 6 2" xfId="6738" xr:uid="{00000000-0005-0000-0000-0000570E0000}"/>
    <cellStyle name="Normal 12 4 6 2 2" xfId="15177" xr:uid="{8339E1E1-5A76-4C26-BD35-64297288AB79}"/>
    <cellStyle name="Normal 12 4 6 3" xfId="10959" xr:uid="{BBE9F962-2A6F-46CD-920D-0CF136352B90}"/>
    <cellStyle name="Normal 12 4 7" xfId="4672" xr:uid="{00000000-0005-0000-0000-0000580E0000}"/>
    <cellStyle name="Normal 12 4 7 2" xfId="13111" xr:uid="{463DA52E-54D1-4803-BC0E-D31712DC78FD}"/>
    <cellStyle name="Normal 12 4 8" xfId="8893" xr:uid="{63BCA3FA-38A3-4C8F-AC08-9678179B41F3}"/>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15663" xr:uid="{9FD81BC6-BF53-42DE-AEE5-9C3C01EB3A6C}"/>
    <cellStyle name="Normal 12 6 2 3" xfId="11445" xr:uid="{677249FC-FD04-4A71-A8CB-03459FE1343D}"/>
    <cellStyle name="Normal 12 6 3" xfId="5079" xr:uid="{00000000-0005-0000-0000-00005D0E0000}"/>
    <cellStyle name="Normal 12 6 3 2" xfId="13518" xr:uid="{51382A39-81CB-4403-B566-84976EB6B75C}"/>
    <cellStyle name="Normal 12 6 4" xfId="9300" xr:uid="{A756660A-0DB9-4589-B556-BB89C4ADA248}"/>
    <cellStyle name="Normal 12 7" xfId="1183" xr:uid="{00000000-0005-0000-0000-00005E0E0000}"/>
    <cellStyle name="Normal 12 7 2" xfId="3414" xr:uid="{00000000-0005-0000-0000-00005F0E0000}"/>
    <cellStyle name="Normal 12 7 2 2" xfId="7637" xr:uid="{00000000-0005-0000-0000-0000600E0000}"/>
    <cellStyle name="Normal 12 7 2 2 2" xfId="16076" xr:uid="{E708ADD9-19D6-4CEC-B2D3-0460D88EEFEF}"/>
    <cellStyle name="Normal 12 7 2 3" xfId="11858" xr:uid="{DE48A368-47BD-478D-B348-4B6912D2DA44}"/>
    <cellStyle name="Normal 12 7 3" xfId="5492" xr:uid="{00000000-0005-0000-0000-0000610E0000}"/>
    <cellStyle name="Normal 12 7 3 2" xfId="13931" xr:uid="{4E82B4DE-BADA-4175-A553-622571FE233B}"/>
    <cellStyle name="Normal 12 7 4" xfId="9713" xr:uid="{7E57FF28-9366-4273-AF01-4F0E5954ED59}"/>
    <cellStyle name="Normal 12 8" xfId="1597" xr:uid="{00000000-0005-0000-0000-0000620E0000}"/>
    <cellStyle name="Normal 12 8 2" xfId="3827" xr:uid="{00000000-0005-0000-0000-0000630E0000}"/>
    <cellStyle name="Normal 12 8 2 2" xfId="8050" xr:uid="{00000000-0005-0000-0000-0000640E0000}"/>
    <cellStyle name="Normal 12 8 2 2 2" xfId="16489" xr:uid="{D5E69A5F-1DD8-4B10-AE2C-95505EEFDD4A}"/>
    <cellStyle name="Normal 12 8 2 3" xfId="12271" xr:uid="{DEF06E40-2CB7-4B6E-887E-D51A551875B6}"/>
    <cellStyle name="Normal 12 8 3" xfId="5905" xr:uid="{00000000-0005-0000-0000-0000650E0000}"/>
    <cellStyle name="Normal 12 8 3 2" xfId="14344" xr:uid="{40E50CC4-447D-4765-9A56-C6B210BCB943}"/>
    <cellStyle name="Normal 12 8 4" xfId="10126" xr:uid="{8FFD8DCD-DC0E-41E2-A133-C68078C182C1}"/>
    <cellStyle name="Normal 12 9" xfId="2011" xr:uid="{00000000-0005-0000-0000-0000660E0000}"/>
    <cellStyle name="Normal 12 9 2" xfId="4240" xr:uid="{00000000-0005-0000-0000-0000670E0000}"/>
    <cellStyle name="Normal 12 9 2 2" xfId="8463" xr:uid="{00000000-0005-0000-0000-0000680E0000}"/>
    <cellStyle name="Normal 12 9 2 2 2" xfId="16902" xr:uid="{2A7E0726-365C-4F53-BC5C-49B75B15DBC9}"/>
    <cellStyle name="Normal 12 9 2 3" xfId="12684" xr:uid="{14FE4273-717E-4A80-A91D-A64647077EC7}"/>
    <cellStyle name="Normal 12 9 3" xfId="6318" xr:uid="{00000000-0005-0000-0000-0000690E0000}"/>
    <cellStyle name="Normal 12 9 3 2" xfId="14757" xr:uid="{650D0B3F-CCD9-4903-AA39-3058D06972C4}"/>
    <cellStyle name="Normal 12 9 4" xfId="10539" xr:uid="{57659D4E-3D6E-462A-9859-3BFD2DAA6B92}"/>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2 2 2" xfId="15671" xr:uid="{6C089CC8-30E8-4919-8B4C-CEE9ACBFF1FF}"/>
    <cellStyle name="Normal 14 2 2 3" xfId="11453" xr:uid="{F26D36CE-4831-4C10-A890-C821FF9C035F}"/>
    <cellStyle name="Normal 14 2 3" xfId="5087" xr:uid="{00000000-0005-0000-0000-0000700E0000}"/>
    <cellStyle name="Normal 14 2 3 2" xfId="13526" xr:uid="{DBE4792D-4695-4A86-B9C6-C2759B9BBB28}"/>
    <cellStyle name="Normal 14 2 4" xfId="9308" xr:uid="{26B56A14-64A0-4A56-AB44-055CB5FE9CAC}"/>
    <cellStyle name="Normal 14 3" xfId="1191" xr:uid="{00000000-0005-0000-0000-0000710E0000}"/>
    <cellStyle name="Normal 14 3 2" xfId="3422" xr:uid="{00000000-0005-0000-0000-0000720E0000}"/>
    <cellStyle name="Normal 14 3 2 2" xfId="7645" xr:uid="{00000000-0005-0000-0000-0000730E0000}"/>
    <cellStyle name="Normal 14 3 2 2 2" xfId="16084" xr:uid="{A8E768AB-62D0-4AD1-8405-248333BCB412}"/>
    <cellStyle name="Normal 14 3 2 3" xfId="11866" xr:uid="{4D91F10E-BFE7-4A58-9A9D-2F8A10AEFA2F}"/>
    <cellStyle name="Normal 14 3 3" xfId="5500" xr:uid="{00000000-0005-0000-0000-0000740E0000}"/>
    <cellStyle name="Normal 14 3 3 2" xfId="13939" xr:uid="{F25627B3-FA05-4EBE-A0D1-CF366BDE9267}"/>
    <cellStyle name="Normal 14 3 4" xfId="9721" xr:uid="{7C29E63B-131E-4CE0-A428-20061C83DEA1}"/>
    <cellStyle name="Normal 14 4" xfId="1605" xr:uid="{00000000-0005-0000-0000-0000750E0000}"/>
    <cellStyle name="Normal 14 4 2" xfId="3835" xr:uid="{00000000-0005-0000-0000-0000760E0000}"/>
    <cellStyle name="Normal 14 4 2 2" xfId="8058" xr:uid="{00000000-0005-0000-0000-0000770E0000}"/>
    <cellStyle name="Normal 14 4 2 2 2" xfId="16497" xr:uid="{4E469164-4C5E-4F91-A593-3CEEE4CA23C1}"/>
    <cellStyle name="Normal 14 4 2 3" xfId="12279" xr:uid="{62DD9A62-0E31-401E-A054-80929E6DBD53}"/>
    <cellStyle name="Normal 14 4 3" xfId="5913" xr:uid="{00000000-0005-0000-0000-0000780E0000}"/>
    <cellStyle name="Normal 14 4 3 2" xfId="14352" xr:uid="{94055DF8-C46F-403A-B203-AA6C90A37F6E}"/>
    <cellStyle name="Normal 14 4 4" xfId="10134" xr:uid="{F6F97EF3-FA66-4C5E-9FF2-85CCDDE21A29}"/>
    <cellStyle name="Normal 14 5" xfId="2019" xr:uid="{00000000-0005-0000-0000-0000790E0000}"/>
    <cellStyle name="Normal 14 5 2" xfId="4248" xr:uid="{00000000-0005-0000-0000-00007A0E0000}"/>
    <cellStyle name="Normal 14 5 2 2" xfId="8471" xr:uid="{00000000-0005-0000-0000-00007B0E0000}"/>
    <cellStyle name="Normal 14 5 2 2 2" xfId="16910" xr:uid="{BF44C41B-6AFF-4C11-867A-E2B72C457F2C}"/>
    <cellStyle name="Normal 14 5 2 3" xfId="12692" xr:uid="{A7DA96FC-B20A-4BBF-A65F-248633AAB84F}"/>
    <cellStyle name="Normal 14 5 3" xfId="6326" xr:uid="{00000000-0005-0000-0000-00007C0E0000}"/>
    <cellStyle name="Normal 14 5 3 2" xfId="14765" xr:uid="{A23639D0-51F1-4270-ABD2-4E96D847AB8C}"/>
    <cellStyle name="Normal 14 5 4" xfId="10547" xr:uid="{C656BB12-5091-4EB9-AD59-3F3D9A4D6ACE}"/>
    <cellStyle name="Normal 14 6" xfId="2455" xr:uid="{00000000-0005-0000-0000-00007D0E0000}"/>
    <cellStyle name="Normal 14 6 2" xfId="6739" xr:uid="{00000000-0005-0000-0000-00007E0E0000}"/>
    <cellStyle name="Normal 14 6 2 2" xfId="15178" xr:uid="{584D5367-B8C5-4317-AEF3-76C87DD41C0F}"/>
    <cellStyle name="Normal 14 6 3" xfId="10960" xr:uid="{0252D67F-0357-4AA1-B8AD-8485BCD70772}"/>
    <cellStyle name="Normal 14 7" xfId="4673" xr:uid="{00000000-0005-0000-0000-00007F0E0000}"/>
    <cellStyle name="Normal 14 7 2" xfId="13112" xr:uid="{7B868EF2-CA48-44C2-811A-0E92B2C54DF3}"/>
    <cellStyle name="Normal 14 8" xfId="8894" xr:uid="{784FA984-030C-4252-BD97-E410C175787A}"/>
    <cellStyle name="Normal 15" xfId="4496" xr:uid="{00000000-0005-0000-0000-0000800E0000}"/>
    <cellStyle name="Normal 15 2" xfId="12938" xr:uid="{FF697188-281A-436F-8317-37E922ACE120}"/>
    <cellStyle name="Normal 16" xfId="4500" xr:uid="{00000000-0005-0000-0000-0000810E0000}"/>
    <cellStyle name="Normal 16 2" xfId="8716" xr:uid="{00000000-0005-0000-0000-0000820E0000}"/>
    <cellStyle name="Normal 16 2 2" xfId="17155" xr:uid="{A95A97B7-EEBC-4E65-AE1B-4A0FCE1E7100}"/>
    <cellStyle name="Normal 16 3" xfId="8719" xr:uid="{3DE1BEEB-61FA-4094-B10F-9E0444F68763}"/>
    <cellStyle name="Normal 16 3 2" xfId="8723" xr:uid="{FE0BC069-4698-40B2-814D-8E09719245E9}"/>
    <cellStyle name="Normal 16 3 2 2" xfId="17161" xr:uid="{5994392A-CCF1-457E-8598-7C1471E7110B}"/>
    <cellStyle name="Normal 16 3 3" xfId="17158" xr:uid="{02562360-D72F-40CE-AD4D-F1BC9BE2F9A3}"/>
    <cellStyle name="Normal 16 4" xfId="12941" xr:uid="{3BF73ABC-8C75-4463-93EB-E360F8573930}"/>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2 2 2" xfId="16911" xr:uid="{25A95CD0-97EB-4EF0-B1EA-03DE3425D6F4}"/>
    <cellStyle name="Normal 2 4 2 10 2 3" xfId="12693" xr:uid="{21BB6C96-6C06-481A-A14D-B9177B780F78}"/>
    <cellStyle name="Normal 2 4 2 10 3" xfId="6327" xr:uid="{00000000-0005-0000-0000-0000910E0000}"/>
    <cellStyle name="Normal 2 4 2 10 3 2" xfId="14766" xr:uid="{16C41D8D-4D43-44B7-9B12-FBE272511520}"/>
    <cellStyle name="Normal 2 4 2 10 4" xfId="10548" xr:uid="{BBED24FB-1DD3-4059-864D-682E85A6928B}"/>
    <cellStyle name="Normal 2 4 2 11" xfId="2456" xr:uid="{00000000-0005-0000-0000-0000920E0000}"/>
    <cellStyle name="Normal 2 4 2 11 2" xfId="6740" xr:uid="{00000000-0005-0000-0000-0000930E0000}"/>
    <cellStyle name="Normal 2 4 2 11 2 2" xfId="15179" xr:uid="{357AF62F-6E2B-4C3E-8A70-60BC8485CF2B}"/>
    <cellStyle name="Normal 2 4 2 11 3" xfId="10961" xr:uid="{01570025-48FA-4226-AC1B-F31C50767B2A}"/>
    <cellStyle name="Normal 2 4 2 12" xfId="4674" xr:uid="{00000000-0005-0000-0000-0000940E0000}"/>
    <cellStyle name="Normal 2 4 2 12 2" xfId="13113" xr:uid="{C48743B2-63B4-4DA5-A1F7-3103D0B1F1D6}"/>
    <cellStyle name="Normal 2 4 2 13" xfId="8895" xr:uid="{92B139E2-9B89-457E-9947-2EA44DFE8E61}"/>
    <cellStyle name="Normal 2 4 2 2" xfId="280" xr:uid="{00000000-0005-0000-0000-0000950E0000}"/>
    <cellStyle name="Normal 2 4 2 3" xfId="281" xr:uid="{00000000-0005-0000-0000-0000960E0000}"/>
    <cellStyle name="Normal 2 4 2 3 10" xfId="4675" xr:uid="{00000000-0005-0000-0000-0000970E0000}"/>
    <cellStyle name="Normal 2 4 2 3 10 2" xfId="13114" xr:uid="{682D8B62-9FC0-4F2D-917C-7C9D15E9CCA9}"/>
    <cellStyle name="Normal 2 4 2 3 11" xfId="8896" xr:uid="{812F34BF-F85C-4807-874F-4CD3E236E585}"/>
    <cellStyle name="Normal 2 4 2 3 2" xfId="282" xr:uid="{00000000-0005-0000-0000-0000980E0000}"/>
    <cellStyle name="Normal 2 4 2 3 2 10" xfId="8897" xr:uid="{3A755A94-86F3-424E-9937-FEE37C623219}"/>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15676" xr:uid="{654193A9-D0EE-4094-A4C0-2B1D611FC225}"/>
    <cellStyle name="Normal 2 4 2 3 2 2 2 2 2 3" xfId="11458" xr:uid="{D1EEDBD9-925E-4D6E-B08A-8148A533812D}"/>
    <cellStyle name="Normal 2 4 2 3 2 2 2 2 3" xfId="5092" xr:uid="{00000000-0005-0000-0000-00009E0E0000}"/>
    <cellStyle name="Normal 2 4 2 3 2 2 2 2 3 2" xfId="13531" xr:uid="{DC17B419-E93C-412D-993B-8FDDCB399F8D}"/>
    <cellStyle name="Normal 2 4 2 3 2 2 2 2 4" xfId="9313" xr:uid="{4F66ADF2-8AB6-4944-BBDF-50CD14EB8812}"/>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2 2" xfId="16089" xr:uid="{D2003EC6-E028-4E82-80DB-FC579BC4C201}"/>
    <cellStyle name="Normal 2 4 2 3 2 2 2 3 2 3" xfId="11871" xr:uid="{5A00F0AF-4356-44E2-97C0-1A66EE69F2ED}"/>
    <cellStyle name="Normal 2 4 2 3 2 2 2 3 3" xfId="5505" xr:uid="{00000000-0005-0000-0000-0000A20E0000}"/>
    <cellStyle name="Normal 2 4 2 3 2 2 2 3 3 2" xfId="13944" xr:uid="{A205FE12-702B-4F60-A623-5BC3355FB722}"/>
    <cellStyle name="Normal 2 4 2 3 2 2 2 3 4" xfId="9726" xr:uid="{9ADFAF4E-554F-40E3-A9AA-FCCF3D8A5C31}"/>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2 2 2" xfId="16502" xr:uid="{9EA09D74-27D5-4E51-A753-83EDEE7A691E}"/>
    <cellStyle name="Normal 2 4 2 3 2 2 2 4 2 3" xfId="12284" xr:uid="{545F8935-7383-467E-A8BD-3BB3AF1C0DC0}"/>
    <cellStyle name="Normal 2 4 2 3 2 2 2 4 3" xfId="5918" xr:uid="{00000000-0005-0000-0000-0000A60E0000}"/>
    <cellStyle name="Normal 2 4 2 3 2 2 2 4 3 2" xfId="14357" xr:uid="{C30E6DAB-75FF-4E02-A4B3-D576E228026C}"/>
    <cellStyle name="Normal 2 4 2 3 2 2 2 4 4" xfId="10139" xr:uid="{26A1660E-FF4B-4374-8720-F742A8159CA9}"/>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2 2 2" xfId="16915" xr:uid="{135AD724-9103-482F-8E1F-0F322E223236}"/>
    <cellStyle name="Normal 2 4 2 3 2 2 2 5 2 3" xfId="12697" xr:uid="{23743631-A001-4846-8294-2A6BA5FFB286}"/>
    <cellStyle name="Normal 2 4 2 3 2 2 2 5 3" xfId="6331" xr:uid="{00000000-0005-0000-0000-0000AA0E0000}"/>
    <cellStyle name="Normal 2 4 2 3 2 2 2 5 3 2" xfId="14770" xr:uid="{179D2851-704E-499D-9F14-D44E67FE06D6}"/>
    <cellStyle name="Normal 2 4 2 3 2 2 2 5 4" xfId="10552" xr:uid="{9FEFBFAA-D7B0-433D-9CF1-238AFC3010B7}"/>
    <cellStyle name="Normal 2 4 2 3 2 2 2 6" xfId="2460" xr:uid="{00000000-0005-0000-0000-0000AB0E0000}"/>
    <cellStyle name="Normal 2 4 2 3 2 2 2 6 2" xfId="6744" xr:uid="{00000000-0005-0000-0000-0000AC0E0000}"/>
    <cellStyle name="Normal 2 4 2 3 2 2 2 6 2 2" xfId="15183" xr:uid="{2DA02963-0465-4B2A-ACB3-43F955EE0DB1}"/>
    <cellStyle name="Normal 2 4 2 3 2 2 2 6 3" xfId="10965" xr:uid="{4BF39732-F24A-4A11-A112-B901007F5064}"/>
    <cellStyle name="Normal 2 4 2 3 2 2 2 7" xfId="4678" xr:uid="{00000000-0005-0000-0000-0000AD0E0000}"/>
    <cellStyle name="Normal 2 4 2 3 2 2 2 7 2" xfId="13117" xr:uid="{6B67F331-46D4-48F6-92AA-3CA9AB932D69}"/>
    <cellStyle name="Normal 2 4 2 3 2 2 2 8" xfId="8899" xr:uid="{89257C3F-F852-481F-9BBA-A7874C0D927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15675" xr:uid="{50679AB8-1492-4FD6-85AF-05E344C69C2D}"/>
    <cellStyle name="Normal 2 4 2 3 2 2 3 2 3" xfId="11457" xr:uid="{FABA33C6-D0B0-4A26-AB31-FE9DB0F9BF77}"/>
    <cellStyle name="Normal 2 4 2 3 2 2 3 3" xfId="5091" xr:uid="{00000000-0005-0000-0000-0000B10E0000}"/>
    <cellStyle name="Normal 2 4 2 3 2 2 3 3 2" xfId="13530" xr:uid="{3C2619C6-BC7C-4CFF-B052-7984CCAFE56E}"/>
    <cellStyle name="Normal 2 4 2 3 2 2 3 4" xfId="9312" xr:uid="{9B2C3A04-56DC-46EF-93FC-DE90C8F24646}"/>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2 2" xfId="16088" xr:uid="{E03D7123-6A23-4AE7-B15D-CFC62F0B23CC}"/>
    <cellStyle name="Normal 2 4 2 3 2 2 4 2 3" xfId="11870" xr:uid="{8A7AAE8A-9FF3-4E9B-BE90-3D3F64DE74AF}"/>
    <cellStyle name="Normal 2 4 2 3 2 2 4 3" xfId="5504" xr:uid="{00000000-0005-0000-0000-0000B50E0000}"/>
    <cellStyle name="Normal 2 4 2 3 2 2 4 3 2" xfId="13943" xr:uid="{183F17E6-B49D-42D3-8C42-793DDFF37D96}"/>
    <cellStyle name="Normal 2 4 2 3 2 2 4 4" xfId="9725" xr:uid="{003B53DF-4E01-45C9-8A5B-65908B971739}"/>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2 2 2" xfId="16501" xr:uid="{CA3442F3-3484-4E0E-AE04-21308C22B3F7}"/>
    <cellStyle name="Normal 2 4 2 3 2 2 5 2 3" xfId="12283" xr:uid="{805BCA2B-FA3F-4C7A-957F-A0B9047BD23E}"/>
    <cellStyle name="Normal 2 4 2 3 2 2 5 3" xfId="5917" xr:uid="{00000000-0005-0000-0000-0000B90E0000}"/>
    <cellStyle name="Normal 2 4 2 3 2 2 5 3 2" xfId="14356" xr:uid="{DBF8186F-8CE9-4641-AF92-53647FB29D58}"/>
    <cellStyle name="Normal 2 4 2 3 2 2 5 4" xfId="10138" xr:uid="{0EB4A554-B624-4BF9-AB14-009A59317369}"/>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2 2 2" xfId="16914" xr:uid="{A94F9E9B-7165-4634-87B8-559E11CE2694}"/>
    <cellStyle name="Normal 2 4 2 3 2 2 6 2 3" xfId="12696" xr:uid="{A3B05540-64DC-4D8E-881B-5A1C576EDC72}"/>
    <cellStyle name="Normal 2 4 2 3 2 2 6 3" xfId="6330" xr:uid="{00000000-0005-0000-0000-0000BD0E0000}"/>
    <cellStyle name="Normal 2 4 2 3 2 2 6 3 2" xfId="14769" xr:uid="{806C5091-D6BF-49D1-926D-07E97C596D23}"/>
    <cellStyle name="Normal 2 4 2 3 2 2 6 4" xfId="10551" xr:uid="{F2020761-9A90-431D-90C8-38104808EE85}"/>
    <cellStyle name="Normal 2 4 2 3 2 2 7" xfId="2459" xr:uid="{00000000-0005-0000-0000-0000BE0E0000}"/>
    <cellStyle name="Normal 2 4 2 3 2 2 7 2" xfId="6743" xr:uid="{00000000-0005-0000-0000-0000BF0E0000}"/>
    <cellStyle name="Normal 2 4 2 3 2 2 7 2 2" xfId="15182" xr:uid="{FF1A583B-5FE8-4738-A566-2668DC8D9508}"/>
    <cellStyle name="Normal 2 4 2 3 2 2 7 3" xfId="10964" xr:uid="{8BF7EC83-23A1-4687-B690-58677521F522}"/>
    <cellStyle name="Normal 2 4 2 3 2 2 8" xfId="4677" xr:uid="{00000000-0005-0000-0000-0000C00E0000}"/>
    <cellStyle name="Normal 2 4 2 3 2 2 8 2" xfId="13116" xr:uid="{09CB796C-F87B-42D9-9712-D350E3002738}"/>
    <cellStyle name="Normal 2 4 2 3 2 2 9" xfId="8898" xr:uid="{C1B4AF9F-BF23-4BA1-A489-2AB45CFF1A9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15677" xr:uid="{7F4ADE6E-3AC6-4533-AC7E-FFB64A0A9CAE}"/>
    <cellStyle name="Normal 2 4 2 3 2 3 2 2 3" xfId="11459" xr:uid="{0BDF0172-E4DB-4C24-837C-347F1276EF8B}"/>
    <cellStyle name="Normal 2 4 2 3 2 3 2 3" xfId="5093" xr:uid="{00000000-0005-0000-0000-0000C50E0000}"/>
    <cellStyle name="Normal 2 4 2 3 2 3 2 3 2" xfId="13532" xr:uid="{65FAA713-1AE5-4D35-8A9A-A10EB4B1C892}"/>
    <cellStyle name="Normal 2 4 2 3 2 3 2 4" xfId="9314" xr:uid="{D3C405EF-0582-4DA3-BC33-FDB37196FC42}"/>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2 2" xfId="16090" xr:uid="{4ED72418-91E1-42A7-9A19-3DA83AB07A16}"/>
    <cellStyle name="Normal 2 4 2 3 2 3 3 2 3" xfId="11872" xr:uid="{56F4F9CA-8C74-48FD-B9D5-DA3CCBC83230}"/>
    <cellStyle name="Normal 2 4 2 3 2 3 3 3" xfId="5506" xr:uid="{00000000-0005-0000-0000-0000C90E0000}"/>
    <cellStyle name="Normal 2 4 2 3 2 3 3 3 2" xfId="13945" xr:uid="{BB4B212C-A231-48D2-ABCE-B1FCA9580FC4}"/>
    <cellStyle name="Normal 2 4 2 3 2 3 3 4" xfId="9727" xr:uid="{E9DC62A6-E057-4EE1-88CA-B27A5D5C21CA}"/>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2 2 2" xfId="16503" xr:uid="{05164C3C-4A64-43AB-9B61-C3E824CF16DE}"/>
    <cellStyle name="Normal 2 4 2 3 2 3 4 2 3" xfId="12285" xr:uid="{DCAAC53E-FBEC-427C-A62F-884FC637E24F}"/>
    <cellStyle name="Normal 2 4 2 3 2 3 4 3" xfId="5919" xr:uid="{00000000-0005-0000-0000-0000CD0E0000}"/>
    <cellStyle name="Normal 2 4 2 3 2 3 4 3 2" xfId="14358" xr:uid="{4F0A9DE9-B47B-4D7D-AFB3-51AEBD446962}"/>
    <cellStyle name="Normal 2 4 2 3 2 3 4 4" xfId="10140" xr:uid="{59591CCF-5854-4CF7-BC7A-7D96FAA2CCBA}"/>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2 2 2" xfId="16916" xr:uid="{AEC53504-CE2F-4B93-A5E4-E3E7059C4592}"/>
    <cellStyle name="Normal 2 4 2 3 2 3 5 2 3" xfId="12698" xr:uid="{2ABE2F8B-0FD4-4242-BF6C-0B7607088D23}"/>
    <cellStyle name="Normal 2 4 2 3 2 3 5 3" xfId="6332" xr:uid="{00000000-0005-0000-0000-0000D10E0000}"/>
    <cellStyle name="Normal 2 4 2 3 2 3 5 3 2" xfId="14771" xr:uid="{EDD5C90B-02C1-4134-A0CF-30380E0B6E75}"/>
    <cellStyle name="Normal 2 4 2 3 2 3 5 4" xfId="10553" xr:uid="{ABB03E3D-E8FE-4092-8619-9C272903AF93}"/>
    <cellStyle name="Normal 2 4 2 3 2 3 6" xfId="2461" xr:uid="{00000000-0005-0000-0000-0000D20E0000}"/>
    <cellStyle name="Normal 2 4 2 3 2 3 6 2" xfId="6745" xr:uid="{00000000-0005-0000-0000-0000D30E0000}"/>
    <cellStyle name="Normal 2 4 2 3 2 3 6 2 2" xfId="15184" xr:uid="{541DCFC0-782F-440B-AFA9-8D4D21D46440}"/>
    <cellStyle name="Normal 2 4 2 3 2 3 6 3" xfId="10966" xr:uid="{83C8046E-E0DB-4C0D-B251-06DC30373E51}"/>
    <cellStyle name="Normal 2 4 2 3 2 3 7" xfId="4679" xr:uid="{00000000-0005-0000-0000-0000D40E0000}"/>
    <cellStyle name="Normal 2 4 2 3 2 3 7 2" xfId="13118" xr:uid="{AB235262-CD5D-46FA-9099-E99398C60198}"/>
    <cellStyle name="Normal 2 4 2 3 2 3 8" xfId="8900" xr:uid="{FDEBA6B2-0377-4366-BC47-C5F7C9DE6718}"/>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15674" xr:uid="{DCEF9593-63A7-488C-9B91-E80D2AE8E384}"/>
    <cellStyle name="Normal 2 4 2 3 2 4 2 3" xfId="11456" xr:uid="{BFD0BAFA-81BD-4312-A858-08419F285B31}"/>
    <cellStyle name="Normal 2 4 2 3 2 4 3" xfId="5090" xr:uid="{00000000-0005-0000-0000-0000D80E0000}"/>
    <cellStyle name="Normal 2 4 2 3 2 4 3 2" xfId="13529" xr:uid="{9803C14E-2FBC-4F8D-BDD2-6DB93D7FB645}"/>
    <cellStyle name="Normal 2 4 2 3 2 4 4" xfId="9311" xr:uid="{D8F5CC3D-49C2-4AAB-BAAC-D9ECE912B4CF}"/>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2 2" xfId="16087" xr:uid="{A9427FF6-C925-44C5-AEC6-1B4E3795083E}"/>
    <cellStyle name="Normal 2 4 2 3 2 5 2 3" xfId="11869" xr:uid="{DABFB71B-4368-46AE-97B0-6FDBA19F21BE}"/>
    <cellStyle name="Normal 2 4 2 3 2 5 3" xfId="5503" xr:uid="{00000000-0005-0000-0000-0000DC0E0000}"/>
    <cellStyle name="Normal 2 4 2 3 2 5 3 2" xfId="13942" xr:uid="{47F0D1FC-B86D-481A-8DB5-0ABFBB9189A8}"/>
    <cellStyle name="Normal 2 4 2 3 2 5 4" xfId="9724" xr:uid="{ADE93273-C7E9-47A6-97B1-96025E894EA2}"/>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2 2 2" xfId="16500" xr:uid="{2F3588C4-CB14-4CE8-AB14-ADDF98276D07}"/>
    <cellStyle name="Normal 2 4 2 3 2 6 2 3" xfId="12282" xr:uid="{882B4378-F6A0-4866-984E-B524FA2845F0}"/>
    <cellStyle name="Normal 2 4 2 3 2 6 3" xfId="5916" xr:uid="{00000000-0005-0000-0000-0000E00E0000}"/>
    <cellStyle name="Normal 2 4 2 3 2 6 3 2" xfId="14355" xr:uid="{B0B3A1A5-26F1-4ED6-867C-B4680488436F}"/>
    <cellStyle name="Normal 2 4 2 3 2 6 4" xfId="10137" xr:uid="{E1EE8B18-490A-4C96-A947-36FE2C261041}"/>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2 2 2" xfId="16913" xr:uid="{2FED1937-20D1-4501-A7F9-AAC45582CFDE}"/>
    <cellStyle name="Normal 2 4 2 3 2 7 2 3" xfId="12695" xr:uid="{B1266A7B-5938-4ADF-91B8-BF372B685DCF}"/>
    <cellStyle name="Normal 2 4 2 3 2 7 3" xfId="6329" xr:uid="{00000000-0005-0000-0000-0000E40E0000}"/>
    <cellStyle name="Normal 2 4 2 3 2 7 3 2" xfId="14768" xr:uid="{9B08BC50-AEDB-45B8-8D27-A92725E2ED9E}"/>
    <cellStyle name="Normal 2 4 2 3 2 7 4" xfId="10550" xr:uid="{EA8EF28D-FA3A-44E5-9AB5-AC588301305F}"/>
    <cellStyle name="Normal 2 4 2 3 2 8" xfId="2458" xr:uid="{00000000-0005-0000-0000-0000E50E0000}"/>
    <cellStyle name="Normal 2 4 2 3 2 8 2" xfId="6742" xr:uid="{00000000-0005-0000-0000-0000E60E0000}"/>
    <cellStyle name="Normal 2 4 2 3 2 8 2 2" xfId="15181" xr:uid="{32F74B30-FFD5-4643-B7D9-8C9BFB586A26}"/>
    <cellStyle name="Normal 2 4 2 3 2 8 3" xfId="10963" xr:uid="{EE1A412D-4128-4E5D-8BA8-7835C658A169}"/>
    <cellStyle name="Normal 2 4 2 3 2 9" xfId="4676" xr:uid="{00000000-0005-0000-0000-0000E70E0000}"/>
    <cellStyle name="Normal 2 4 2 3 2 9 2" xfId="13115" xr:uid="{9C53A3A3-32E5-4418-A850-7A6B8EA89838}"/>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15679" xr:uid="{1412DFC1-D61E-401F-A9CF-ACD378D4FED4}"/>
    <cellStyle name="Normal 2 4 2 3 3 2 2 2 3" xfId="11461" xr:uid="{2E6EC500-2448-43C6-AB0C-1C41CF87A0B9}"/>
    <cellStyle name="Normal 2 4 2 3 3 2 2 3" xfId="5095" xr:uid="{00000000-0005-0000-0000-0000ED0E0000}"/>
    <cellStyle name="Normal 2 4 2 3 3 2 2 3 2" xfId="13534" xr:uid="{A7DAA179-11E7-4740-8EFD-CE3901DA0533}"/>
    <cellStyle name="Normal 2 4 2 3 3 2 2 4" xfId="9316" xr:uid="{AB2493C6-9C28-4F9A-B3D1-22423A6E75C7}"/>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2 2" xfId="16092" xr:uid="{CF7F1A26-FE15-42D9-85D0-DE8262ED2EDD}"/>
    <cellStyle name="Normal 2 4 2 3 3 2 3 2 3" xfId="11874" xr:uid="{C0E3F4BF-4144-405E-8B1E-CA2D47A6F0D5}"/>
    <cellStyle name="Normal 2 4 2 3 3 2 3 3" xfId="5508" xr:uid="{00000000-0005-0000-0000-0000F10E0000}"/>
    <cellStyle name="Normal 2 4 2 3 3 2 3 3 2" xfId="13947" xr:uid="{C37FB2A6-72EA-4A68-B2BF-D7DF2356D3E5}"/>
    <cellStyle name="Normal 2 4 2 3 3 2 3 4" xfId="9729" xr:uid="{4715A5FD-7860-4CB2-8ACF-CE91B38911CC}"/>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2 2 2" xfId="16505" xr:uid="{694C1C03-861E-45B4-9FEA-B549709E4FC3}"/>
    <cellStyle name="Normal 2 4 2 3 3 2 4 2 3" xfId="12287" xr:uid="{FB5D7315-CFF1-48A6-A261-0B3014BFE2E3}"/>
    <cellStyle name="Normal 2 4 2 3 3 2 4 3" xfId="5921" xr:uid="{00000000-0005-0000-0000-0000F50E0000}"/>
    <cellStyle name="Normal 2 4 2 3 3 2 4 3 2" xfId="14360" xr:uid="{0C2152DA-E5FD-4059-BD72-4B0A56757996}"/>
    <cellStyle name="Normal 2 4 2 3 3 2 4 4" xfId="10142" xr:uid="{46EDA2AC-ABE8-4BB2-9DBA-926BA80601E9}"/>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2 2 2" xfId="16918" xr:uid="{4CAECC02-1BF4-4776-801B-87AC533623AD}"/>
    <cellStyle name="Normal 2 4 2 3 3 2 5 2 3" xfId="12700" xr:uid="{8CA96EA3-D36C-4E51-9913-F8F59A97E6C7}"/>
    <cellStyle name="Normal 2 4 2 3 3 2 5 3" xfId="6334" xr:uid="{00000000-0005-0000-0000-0000F90E0000}"/>
    <cellStyle name="Normal 2 4 2 3 3 2 5 3 2" xfId="14773" xr:uid="{4624EF87-6E00-4861-8952-16D9C2DF5EFB}"/>
    <cellStyle name="Normal 2 4 2 3 3 2 5 4" xfId="10555" xr:uid="{CD87983F-79B9-4532-82AA-457BBE51CE1C}"/>
    <cellStyle name="Normal 2 4 2 3 3 2 6" xfId="2463" xr:uid="{00000000-0005-0000-0000-0000FA0E0000}"/>
    <cellStyle name="Normal 2 4 2 3 3 2 6 2" xfId="6747" xr:uid="{00000000-0005-0000-0000-0000FB0E0000}"/>
    <cellStyle name="Normal 2 4 2 3 3 2 6 2 2" xfId="15186" xr:uid="{FC73AD2E-17F4-4935-A08C-27D514EC8A25}"/>
    <cellStyle name="Normal 2 4 2 3 3 2 6 3" xfId="10968" xr:uid="{E6489422-0761-4991-A75F-8F191E5C56E8}"/>
    <cellStyle name="Normal 2 4 2 3 3 2 7" xfId="4681" xr:uid="{00000000-0005-0000-0000-0000FC0E0000}"/>
    <cellStyle name="Normal 2 4 2 3 3 2 7 2" xfId="13120" xr:uid="{4FAE2977-6300-4B3D-A73C-8C07E4FEFFC3}"/>
    <cellStyle name="Normal 2 4 2 3 3 2 8" xfId="8902" xr:uid="{08E732BE-7504-4825-8B7E-C7F73B394DCC}"/>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15678" xr:uid="{FA36BB59-46D7-4F74-B465-BCD1BEC0C536}"/>
    <cellStyle name="Normal 2 4 2 3 3 3 2 3" xfId="11460" xr:uid="{6143D763-A3C7-451C-8C7D-FE78E26BAD7E}"/>
    <cellStyle name="Normal 2 4 2 3 3 3 3" xfId="5094" xr:uid="{00000000-0005-0000-0000-0000000F0000}"/>
    <cellStyle name="Normal 2 4 2 3 3 3 3 2" xfId="13533" xr:uid="{D64335AA-99C0-4D4B-89D2-80F8F201F88B}"/>
    <cellStyle name="Normal 2 4 2 3 3 3 4" xfId="9315" xr:uid="{77E59AE0-5C27-450E-94DD-9BB604E8D41B}"/>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2 2" xfId="16091" xr:uid="{E429D34B-9A20-410C-BB86-968B86DE7FEB}"/>
    <cellStyle name="Normal 2 4 2 3 3 4 2 3" xfId="11873" xr:uid="{EA95A512-82B7-4082-ADA6-D0B60FB006C8}"/>
    <cellStyle name="Normal 2 4 2 3 3 4 3" xfId="5507" xr:uid="{00000000-0005-0000-0000-0000040F0000}"/>
    <cellStyle name="Normal 2 4 2 3 3 4 3 2" xfId="13946" xr:uid="{96321989-5684-427C-8400-02EC526E00E7}"/>
    <cellStyle name="Normal 2 4 2 3 3 4 4" xfId="9728" xr:uid="{67737E49-513D-41D8-BF08-BAE594F3C626}"/>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2 2 2" xfId="16504" xr:uid="{9E62F808-2084-4793-9D72-904919C27662}"/>
    <cellStyle name="Normal 2 4 2 3 3 5 2 3" xfId="12286" xr:uid="{67955742-99FE-467F-9032-4A1469937D11}"/>
    <cellStyle name="Normal 2 4 2 3 3 5 3" xfId="5920" xr:uid="{00000000-0005-0000-0000-0000080F0000}"/>
    <cellStyle name="Normal 2 4 2 3 3 5 3 2" xfId="14359" xr:uid="{8F409617-8117-483F-9219-5F7DD11BCFE1}"/>
    <cellStyle name="Normal 2 4 2 3 3 5 4" xfId="10141" xr:uid="{1447F995-2BF1-479A-9024-14C60E2278E8}"/>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2 2 2" xfId="16917" xr:uid="{9A0F5996-73B6-4FB3-B2FC-B1571650C1B5}"/>
    <cellStyle name="Normal 2 4 2 3 3 6 2 3" xfId="12699" xr:uid="{C99B4A9D-6088-4A07-9487-1CCBF6951E22}"/>
    <cellStyle name="Normal 2 4 2 3 3 6 3" xfId="6333" xr:uid="{00000000-0005-0000-0000-00000C0F0000}"/>
    <cellStyle name="Normal 2 4 2 3 3 6 3 2" xfId="14772" xr:uid="{26D0F733-F166-44C8-BDA3-A1224BD82BE6}"/>
    <cellStyle name="Normal 2 4 2 3 3 6 4" xfId="10554" xr:uid="{EE44CCA4-1577-4583-A53F-EA1AF5668CA5}"/>
    <cellStyle name="Normal 2 4 2 3 3 7" xfId="2462" xr:uid="{00000000-0005-0000-0000-00000D0F0000}"/>
    <cellStyle name="Normal 2 4 2 3 3 7 2" xfId="6746" xr:uid="{00000000-0005-0000-0000-00000E0F0000}"/>
    <cellStyle name="Normal 2 4 2 3 3 7 2 2" xfId="15185" xr:uid="{18C76490-265D-46DB-A937-51C0CBED280F}"/>
    <cellStyle name="Normal 2 4 2 3 3 7 3" xfId="10967" xr:uid="{531EA775-9E55-4C44-A47A-313EAFD07C7C}"/>
    <cellStyle name="Normal 2 4 2 3 3 8" xfId="4680" xr:uid="{00000000-0005-0000-0000-00000F0F0000}"/>
    <cellStyle name="Normal 2 4 2 3 3 8 2" xfId="13119" xr:uid="{60F50CCB-A2E2-4D85-9ECE-A1C5C3924C8A}"/>
    <cellStyle name="Normal 2 4 2 3 3 9" xfId="8901" xr:uid="{AE8917FB-DB44-4184-A517-F840EBB21AC6}"/>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15680" xr:uid="{E64E7B59-C7BB-437E-BE8A-2C24628909CB}"/>
    <cellStyle name="Normal 2 4 2 3 4 2 2 3" xfId="11462" xr:uid="{224CB805-0EEB-4A2A-A8FD-F6EDB560F437}"/>
    <cellStyle name="Normal 2 4 2 3 4 2 3" xfId="5096" xr:uid="{00000000-0005-0000-0000-0000140F0000}"/>
    <cellStyle name="Normal 2 4 2 3 4 2 3 2" xfId="13535" xr:uid="{5F3265C6-1546-4DA7-9E39-B4864C115F52}"/>
    <cellStyle name="Normal 2 4 2 3 4 2 4" xfId="9317" xr:uid="{218C3858-8A83-4E0A-82D6-7E5C7507FE59}"/>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2 2" xfId="16093" xr:uid="{23EE7605-CDA5-488A-A9A5-0F3C21DFF4A1}"/>
    <cellStyle name="Normal 2 4 2 3 4 3 2 3" xfId="11875" xr:uid="{1103A211-F9A2-448E-A5B8-704545C8D15C}"/>
    <cellStyle name="Normal 2 4 2 3 4 3 3" xfId="5509" xr:uid="{00000000-0005-0000-0000-0000180F0000}"/>
    <cellStyle name="Normal 2 4 2 3 4 3 3 2" xfId="13948" xr:uid="{2F972D96-83B8-48F0-8514-666105C1E1CB}"/>
    <cellStyle name="Normal 2 4 2 3 4 3 4" xfId="9730" xr:uid="{E929F862-EB11-4B93-AC94-780E2524DDDF}"/>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2 2 2" xfId="16506" xr:uid="{0328B088-5DCC-4EA0-8DA6-334A71F3CD67}"/>
    <cellStyle name="Normal 2 4 2 3 4 4 2 3" xfId="12288" xr:uid="{A0DBB636-2DF3-4234-9B54-CD5AE4E0516E}"/>
    <cellStyle name="Normal 2 4 2 3 4 4 3" xfId="5922" xr:uid="{00000000-0005-0000-0000-00001C0F0000}"/>
    <cellStyle name="Normal 2 4 2 3 4 4 3 2" xfId="14361" xr:uid="{A796ED1C-EB25-48D2-9FB2-D308D0490521}"/>
    <cellStyle name="Normal 2 4 2 3 4 4 4" xfId="10143" xr:uid="{AA51F92B-8D07-431A-A07C-AB6A923B3625}"/>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2 2 2" xfId="16919" xr:uid="{6C3F6FCC-6016-4209-B647-F154774F7437}"/>
    <cellStyle name="Normal 2 4 2 3 4 5 2 3" xfId="12701" xr:uid="{E58615D2-7EB0-4F12-ABF7-62999D019A92}"/>
    <cellStyle name="Normal 2 4 2 3 4 5 3" xfId="6335" xr:uid="{00000000-0005-0000-0000-0000200F0000}"/>
    <cellStyle name="Normal 2 4 2 3 4 5 3 2" xfId="14774" xr:uid="{991C6DD0-C6B2-4BC7-99F2-4D60EB9E1346}"/>
    <cellStyle name="Normal 2 4 2 3 4 5 4" xfId="10556" xr:uid="{42C05C2A-F5E0-4AD3-944E-5721DD720409}"/>
    <cellStyle name="Normal 2 4 2 3 4 6" xfId="2464" xr:uid="{00000000-0005-0000-0000-0000210F0000}"/>
    <cellStyle name="Normal 2 4 2 3 4 6 2" xfId="6748" xr:uid="{00000000-0005-0000-0000-0000220F0000}"/>
    <cellStyle name="Normal 2 4 2 3 4 6 2 2" xfId="15187" xr:uid="{C98BB0A5-DCF1-4F3E-9A51-B1D4305C9842}"/>
    <cellStyle name="Normal 2 4 2 3 4 6 3" xfId="10969" xr:uid="{AA726A2F-98D8-4C64-832D-0D1609BA94A9}"/>
    <cellStyle name="Normal 2 4 2 3 4 7" xfId="4682" xr:uid="{00000000-0005-0000-0000-0000230F0000}"/>
    <cellStyle name="Normal 2 4 2 3 4 7 2" xfId="13121" xr:uid="{5F5FE967-3AC2-41C2-A880-40EE0081CD4C}"/>
    <cellStyle name="Normal 2 4 2 3 4 8" xfId="8903" xr:uid="{84BF1D0D-2E84-4C3F-B540-2174C653F276}"/>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15673" xr:uid="{3D77B270-74E3-4482-B7EB-59DE1C64BBDE}"/>
    <cellStyle name="Normal 2 4 2 3 5 2 3" xfId="11455" xr:uid="{23C4B585-D901-4248-8F8E-A2402435729A}"/>
    <cellStyle name="Normal 2 4 2 3 5 3" xfId="5089" xr:uid="{00000000-0005-0000-0000-0000270F0000}"/>
    <cellStyle name="Normal 2 4 2 3 5 3 2" xfId="13528" xr:uid="{0E308A28-6EB8-4251-B07D-BE85C57A6A5E}"/>
    <cellStyle name="Normal 2 4 2 3 5 4" xfId="9310" xr:uid="{1F10C947-025B-4025-A6BE-66B220F29D27}"/>
    <cellStyle name="Normal 2 4 2 3 6" xfId="1194" xr:uid="{00000000-0005-0000-0000-0000280F0000}"/>
    <cellStyle name="Normal 2 4 2 3 6 2" xfId="3424" xr:uid="{00000000-0005-0000-0000-0000290F0000}"/>
    <cellStyle name="Normal 2 4 2 3 6 2 2" xfId="7647" xr:uid="{00000000-0005-0000-0000-00002A0F0000}"/>
    <cellStyle name="Normal 2 4 2 3 6 2 2 2" xfId="16086" xr:uid="{FCC52B44-0C10-48A2-A11D-20F35D031007}"/>
    <cellStyle name="Normal 2 4 2 3 6 2 3" xfId="11868" xr:uid="{90A28B3E-8F1C-47A7-BB6F-ACE9C1EA8CDB}"/>
    <cellStyle name="Normal 2 4 2 3 6 3" xfId="5502" xr:uid="{00000000-0005-0000-0000-00002B0F0000}"/>
    <cellStyle name="Normal 2 4 2 3 6 3 2" xfId="13941" xr:uid="{BF743F3A-8105-4493-88BA-F4333C641BB8}"/>
    <cellStyle name="Normal 2 4 2 3 6 4" xfId="9723" xr:uid="{1844D471-4294-47D7-AA80-89C0EA1ADFD5}"/>
    <cellStyle name="Normal 2 4 2 3 7" xfId="1607" xr:uid="{00000000-0005-0000-0000-00002C0F0000}"/>
    <cellStyle name="Normal 2 4 2 3 7 2" xfId="3837" xr:uid="{00000000-0005-0000-0000-00002D0F0000}"/>
    <cellStyle name="Normal 2 4 2 3 7 2 2" xfId="8060" xr:uid="{00000000-0005-0000-0000-00002E0F0000}"/>
    <cellStyle name="Normal 2 4 2 3 7 2 2 2" xfId="16499" xr:uid="{E52CE53D-4C7E-45EB-A3A8-C70444F12FF5}"/>
    <cellStyle name="Normal 2 4 2 3 7 2 3" xfId="12281" xr:uid="{9CD64303-9856-44E0-881A-33F3BED8436C}"/>
    <cellStyle name="Normal 2 4 2 3 7 3" xfId="5915" xr:uid="{00000000-0005-0000-0000-00002F0F0000}"/>
    <cellStyle name="Normal 2 4 2 3 7 3 2" xfId="14354" xr:uid="{9E6D211C-4F01-4AD4-B24A-48BD5F4FC0A6}"/>
    <cellStyle name="Normal 2 4 2 3 7 4" xfId="10136" xr:uid="{90AFEA51-C424-4192-9057-F0BFE4FA2A10}"/>
    <cellStyle name="Normal 2 4 2 3 8" xfId="2021" xr:uid="{00000000-0005-0000-0000-0000300F0000}"/>
    <cellStyle name="Normal 2 4 2 3 8 2" xfId="4250" xr:uid="{00000000-0005-0000-0000-0000310F0000}"/>
    <cellStyle name="Normal 2 4 2 3 8 2 2" xfId="8473" xr:uid="{00000000-0005-0000-0000-0000320F0000}"/>
    <cellStyle name="Normal 2 4 2 3 8 2 2 2" xfId="16912" xr:uid="{BB461DFF-DEA3-4884-AB47-4727E3DAEE6C}"/>
    <cellStyle name="Normal 2 4 2 3 8 2 3" xfId="12694" xr:uid="{FD9F4A08-E034-4399-BB65-F93BD61A7AC1}"/>
    <cellStyle name="Normal 2 4 2 3 8 3" xfId="6328" xr:uid="{00000000-0005-0000-0000-0000330F0000}"/>
    <cellStyle name="Normal 2 4 2 3 8 3 2" xfId="14767" xr:uid="{58B0DCE3-0CE3-449D-A178-9B67A0FC326A}"/>
    <cellStyle name="Normal 2 4 2 3 8 4" xfId="10549" xr:uid="{15896A6F-5C0E-453B-A004-962CF63F81CA}"/>
    <cellStyle name="Normal 2 4 2 3 9" xfId="2457" xr:uid="{00000000-0005-0000-0000-0000340F0000}"/>
    <cellStyle name="Normal 2 4 2 3 9 2" xfId="6741" xr:uid="{00000000-0005-0000-0000-0000350F0000}"/>
    <cellStyle name="Normal 2 4 2 3 9 2 2" xfId="15180" xr:uid="{0BF0C362-49D5-48DA-AE73-D1BFB3E34F1E}"/>
    <cellStyle name="Normal 2 4 2 3 9 3" xfId="10962" xr:uid="{3EAA2564-D33F-4B3C-B19C-4610EF37A9FA}"/>
    <cellStyle name="Normal 2 4 2 4" xfId="289" xr:uid="{00000000-0005-0000-0000-0000360F0000}"/>
    <cellStyle name="Normal 2 4 2 4 10" xfId="8904" xr:uid="{83A17587-3483-4265-AEC7-C6932C151F67}"/>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15683" xr:uid="{CE06A091-157B-4222-B1C0-8B30AFD61F7E}"/>
    <cellStyle name="Normal 2 4 2 4 2 2 2 2 3" xfId="11465" xr:uid="{247F2687-3BD9-4113-9280-3FEDBED434DB}"/>
    <cellStyle name="Normal 2 4 2 4 2 2 2 3" xfId="5099" xr:uid="{00000000-0005-0000-0000-00003C0F0000}"/>
    <cellStyle name="Normal 2 4 2 4 2 2 2 3 2" xfId="13538" xr:uid="{676BEEC7-3F10-47EC-B082-00299361E48E}"/>
    <cellStyle name="Normal 2 4 2 4 2 2 2 4" xfId="9320" xr:uid="{8D40F899-E4EF-44D0-B2A0-5BA691058CA9}"/>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2 2" xfId="16096" xr:uid="{3444BCBD-AC24-4530-925C-424FDB459DFE}"/>
    <cellStyle name="Normal 2 4 2 4 2 2 3 2 3" xfId="11878" xr:uid="{6BB005D1-D08A-4575-8C35-D7E05024E966}"/>
    <cellStyle name="Normal 2 4 2 4 2 2 3 3" xfId="5512" xr:uid="{00000000-0005-0000-0000-0000400F0000}"/>
    <cellStyle name="Normal 2 4 2 4 2 2 3 3 2" xfId="13951" xr:uid="{C64AA8DD-BC5E-4B67-843D-987ED572B51E}"/>
    <cellStyle name="Normal 2 4 2 4 2 2 3 4" xfId="9733" xr:uid="{E89FD4CD-3801-4B57-8E6F-8AC061011908}"/>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2 2 2" xfId="16509" xr:uid="{B4688F58-A707-4275-86D7-7A7ED7E0179B}"/>
    <cellStyle name="Normal 2 4 2 4 2 2 4 2 3" xfId="12291" xr:uid="{0AEE10DE-76FA-409E-9C7B-7E750175A9AE}"/>
    <cellStyle name="Normal 2 4 2 4 2 2 4 3" xfId="5925" xr:uid="{00000000-0005-0000-0000-0000440F0000}"/>
    <cellStyle name="Normal 2 4 2 4 2 2 4 3 2" xfId="14364" xr:uid="{8C9179BD-2657-42E2-9691-D6EFF101218F}"/>
    <cellStyle name="Normal 2 4 2 4 2 2 4 4" xfId="10146" xr:uid="{725722BA-5BE2-45E1-97C7-BF2917C08634}"/>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2 2 2" xfId="16922" xr:uid="{8F896A9D-CF08-4954-9462-5FB20B310C3F}"/>
    <cellStyle name="Normal 2 4 2 4 2 2 5 2 3" xfId="12704" xr:uid="{6BFD141F-B4A8-4E61-919F-E1F7FB0D0179}"/>
    <cellStyle name="Normal 2 4 2 4 2 2 5 3" xfId="6338" xr:uid="{00000000-0005-0000-0000-0000480F0000}"/>
    <cellStyle name="Normal 2 4 2 4 2 2 5 3 2" xfId="14777" xr:uid="{CA02BCE2-7C9D-49C7-BD78-A04E12FD86C6}"/>
    <cellStyle name="Normal 2 4 2 4 2 2 5 4" xfId="10559" xr:uid="{4CB57923-5C77-4978-8450-B461C45409BD}"/>
    <cellStyle name="Normal 2 4 2 4 2 2 6" xfId="2467" xr:uid="{00000000-0005-0000-0000-0000490F0000}"/>
    <cellStyle name="Normal 2 4 2 4 2 2 6 2" xfId="6751" xr:uid="{00000000-0005-0000-0000-00004A0F0000}"/>
    <cellStyle name="Normal 2 4 2 4 2 2 6 2 2" xfId="15190" xr:uid="{8A76AC26-46FB-43B9-B26E-6FC5F92D9339}"/>
    <cellStyle name="Normal 2 4 2 4 2 2 6 3" xfId="10972" xr:uid="{E7E6B189-3AA6-450A-9D36-B07EA5798A38}"/>
    <cellStyle name="Normal 2 4 2 4 2 2 7" xfId="4685" xr:uid="{00000000-0005-0000-0000-00004B0F0000}"/>
    <cellStyle name="Normal 2 4 2 4 2 2 7 2" xfId="13124" xr:uid="{9DF09CCD-C904-42A9-A7D9-91F73D877B9B}"/>
    <cellStyle name="Normal 2 4 2 4 2 2 8" xfId="8906" xr:uid="{624DC5C6-4424-4F2F-8366-17AAF9B74D3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15682" xr:uid="{CF67478C-E94D-43E9-8BAF-622027E7E0A5}"/>
    <cellStyle name="Normal 2 4 2 4 2 3 2 3" xfId="11464" xr:uid="{11FE3A60-DAB3-47F5-9533-6A0933C9DB5F}"/>
    <cellStyle name="Normal 2 4 2 4 2 3 3" xfId="5098" xr:uid="{00000000-0005-0000-0000-00004F0F0000}"/>
    <cellStyle name="Normal 2 4 2 4 2 3 3 2" xfId="13537" xr:uid="{2E3CA1FA-18F8-43BF-8034-88F7533F9047}"/>
    <cellStyle name="Normal 2 4 2 4 2 3 4" xfId="9319" xr:uid="{13FDADCF-FB82-4238-8B46-968536E123D9}"/>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2 2" xfId="16095" xr:uid="{A0D1B57E-F438-46EB-9ECA-7FE71FB04F00}"/>
    <cellStyle name="Normal 2 4 2 4 2 4 2 3" xfId="11877" xr:uid="{4A1CEC24-CC63-41C6-9EF9-B0942E758596}"/>
    <cellStyle name="Normal 2 4 2 4 2 4 3" xfId="5511" xr:uid="{00000000-0005-0000-0000-0000530F0000}"/>
    <cellStyle name="Normal 2 4 2 4 2 4 3 2" xfId="13950" xr:uid="{AF484DA2-FEF0-4267-9201-E829F97766AA}"/>
    <cellStyle name="Normal 2 4 2 4 2 4 4" xfId="9732" xr:uid="{904E6779-D18D-43DA-BAD8-0CD121FD0735}"/>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2 2 2" xfId="16508" xr:uid="{224A0464-813E-49E8-A1EB-2DD5FF27D48F}"/>
    <cellStyle name="Normal 2 4 2 4 2 5 2 3" xfId="12290" xr:uid="{6B931BC8-2256-49B1-A896-BB0F9FFACDEB}"/>
    <cellStyle name="Normal 2 4 2 4 2 5 3" xfId="5924" xr:uid="{00000000-0005-0000-0000-0000570F0000}"/>
    <cellStyle name="Normal 2 4 2 4 2 5 3 2" xfId="14363" xr:uid="{93D66403-AE6D-4138-B555-68F0900800EC}"/>
    <cellStyle name="Normal 2 4 2 4 2 5 4" xfId="10145" xr:uid="{84D321F4-1762-45E3-98DA-BE0B6BF5127C}"/>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2 2 2" xfId="16921" xr:uid="{BA9C9FCB-0F83-431F-9884-43DFBE4D25A0}"/>
    <cellStyle name="Normal 2 4 2 4 2 6 2 3" xfId="12703" xr:uid="{70FFF4B6-5FB9-41CA-AE05-80178EF86B80}"/>
    <cellStyle name="Normal 2 4 2 4 2 6 3" xfId="6337" xr:uid="{00000000-0005-0000-0000-00005B0F0000}"/>
    <cellStyle name="Normal 2 4 2 4 2 6 3 2" xfId="14776" xr:uid="{A4D5254E-14D8-4C9B-B546-55200E2FB141}"/>
    <cellStyle name="Normal 2 4 2 4 2 6 4" xfId="10558" xr:uid="{947DF4DC-A134-4DFC-902A-04CB9A11AE8F}"/>
    <cellStyle name="Normal 2 4 2 4 2 7" xfId="2466" xr:uid="{00000000-0005-0000-0000-00005C0F0000}"/>
    <cellStyle name="Normal 2 4 2 4 2 7 2" xfId="6750" xr:uid="{00000000-0005-0000-0000-00005D0F0000}"/>
    <cellStyle name="Normal 2 4 2 4 2 7 2 2" xfId="15189" xr:uid="{EE6EF136-52DF-43A0-8A19-0611DEBCA277}"/>
    <cellStyle name="Normal 2 4 2 4 2 7 3" xfId="10971" xr:uid="{2752CAB7-908C-4A00-AABB-5BE662D6FE94}"/>
    <cellStyle name="Normal 2 4 2 4 2 8" xfId="4684" xr:uid="{00000000-0005-0000-0000-00005E0F0000}"/>
    <cellStyle name="Normal 2 4 2 4 2 8 2" xfId="13123" xr:uid="{87FA367E-301A-4F85-A277-9A8F191F1DCE}"/>
    <cellStyle name="Normal 2 4 2 4 2 9" xfId="8905" xr:uid="{3B034F79-64F6-4BEA-8DDD-D75D756BBA23}"/>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15684" xr:uid="{4F412AED-5BF8-4708-B2AF-36BFE601777C}"/>
    <cellStyle name="Normal 2 4 2 4 3 2 2 3" xfId="11466" xr:uid="{46C3B74B-144C-4D61-98B2-86322D467E96}"/>
    <cellStyle name="Normal 2 4 2 4 3 2 3" xfId="5100" xr:uid="{00000000-0005-0000-0000-0000630F0000}"/>
    <cellStyle name="Normal 2 4 2 4 3 2 3 2" xfId="13539" xr:uid="{130415A6-5C9B-4F98-A9BB-AFE108F6482D}"/>
    <cellStyle name="Normal 2 4 2 4 3 2 4" xfId="9321" xr:uid="{A50BF012-24E3-4151-8E31-BF106B3A3E37}"/>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2 2" xfId="16097" xr:uid="{7F2DF684-D396-4B7C-829B-6716327EACDC}"/>
    <cellStyle name="Normal 2 4 2 4 3 3 2 3" xfId="11879" xr:uid="{73D9FEFC-75AD-4F70-831C-ED230311A6BD}"/>
    <cellStyle name="Normal 2 4 2 4 3 3 3" xfId="5513" xr:uid="{00000000-0005-0000-0000-0000670F0000}"/>
    <cellStyle name="Normal 2 4 2 4 3 3 3 2" xfId="13952" xr:uid="{1166D5C8-DEF9-448D-B0E3-F91D9FE6C178}"/>
    <cellStyle name="Normal 2 4 2 4 3 3 4" xfId="9734" xr:uid="{642796C5-8492-416B-9BE9-D8BE0CB3CCD9}"/>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2 2 2" xfId="16510" xr:uid="{F00B6B60-5021-4F08-8C47-409214F9472F}"/>
    <cellStyle name="Normal 2 4 2 4 3 4 2 3" xfId="12292" xr:uid="{B7AE3787-B9CC-4EDC-8833-FEAE54D52370}"/>
    <cellStyle name="Normal 2 4 2 4 3 4 3" xfId="5926" xr:uid="{00000000-0005-0000-0000-00006B0F0000}"/>
    <cellStyle name="Normal 2 4 2 4 3 4 3 2" xfId="14365" xr:uid="{2B9292F2-F446-47D9-9982-FFD92F2C072F}"/>
    <cellStyle name="Normal 2 4 2 4 3 4 4" xfId="10147" xr:uid="{097DE44E-4014-4ABF-90A4-719FA2F9D56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2 2 2" xfId="16923" xr:uid="{11863ED8-4557-4E8B-907F-2E409B3F531D}"/>
    <cellStyle name="Normal 2 4 2 4 3 5 2 3" xfId="12705" xr:uid="{47163A89-235C-421A-8A4F-19E33C4EA8F7}"/>
    <cellStyle name="Normal 2 4 2 4 3 5 3" xfId="6339" xr:uid="{00000000-0005-0000-0000-00006F0F0000}"/>
    <cellStyle name="Normal 2 4 2 4 3 5 3 2" xfId="14778" xr:uid="{6F06CC3A-B782-4888-AF3E-9C8C2CA2C48D}"/>
    <cellStyle name="Normal 2 4 2 4 3 5 4" xfId="10560" xr:uid="{0BF97837-ADF4-4B67-9E5E-F2DE9CAA7713}"/>
    <cellStyle name="Normal 2 4 2 4 3 6" xfId="2468" xr:uid="{00000000-0005-0000-0000-0000700F0000}"/>
    <cellStyle name="Normal 2 4 2 4 3 6 2" xfId="6752" xr:uid="{00000000-0005-0000-0000-0000710F0000}"/>
    <cellStyle name="Normal 2 4 2 4 3 6 2 2" xfId="15191" xr:uid="{2E4F9E10-8EF9-49D4-8313-8DED5FABC69B}"/>
    <cellStyle name="Normal 2 4 2 4 3 6 3" xfId="10973" xr:uid="{1D7EBF44-AB9B-41E1-9DAA-A12BD591D1DA}"/>
    <cellStyle name="Normal 2 4 2 4 3 7" xfId="4686" xr:uid="{00000000-0005-0000-0000-0000720F0000}"/>
    <cellStyle name="Normal 2 4 2 4 3 7 2" xfId="13125" xr:uid="{85A17C22-2399-4FAB-A1A0-5DB4498A7891}"/>
    <cellStyle name="Normal 2 4 2 4 3 8" xfId="8907" xr:uid="{BFA55059-280A-4A92-AFBF-9AD52BCF071F}"/>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15681" xr:uid="{64EA6EA0-C65C-41F8-B14B-64C5D24C84A8}"/>
    <cellStyle name="Normal 2 4 2 4 4 2 3" xfId="11463" xr:uid="{6C5777A4-D94D-4191-8B22-6C89447D0BE9}"/>
    <cellStyle name="Normal 2 4 2 4 4 3" xfId="5097" xr:uid="{00000000-0005-0000-0000-0000760F0000}"/>
    <cellStyle name="Normal 2 4 2 4 4 3 2" xfId="13536" xr:uid="{D0FCB926-8FAE-47C3-A472-F7A5B3BF90B3}"/>
    <cellStyle name="Normal 2 4 2 4 4 4" xfId="9318" xr:uid="{0960505A-BEE3-4D8D-B45F-40043771D536}"/>
    <cellStyle name="Normal 2 4 2 4 5" xfId="1202" xr:uid="{00000000-0005-0000-0000-0000770F0000}"/>
    <cellStyle name="Normal 2 4 2 4 5 2" xfId="3432" xr:uid="{00000000-0005-0000-0000-0000780F0000}"/>
    <cellStyle name="Normal 2 4 2 4 5 2 2" xfId="7655" xr:uid="{00000000-0005-0000-0000-0000790F0000}"/>
    <cellStyle name="Normal 2 4 2 4 5 2 2 2" xfId="16094" xr:uid="{02167CBB-A6B5-4A36-BED2-67C2D963F75C}"/>
    <cellStyle name="Normal 2 4 2 4 5 2 3" xfId="11876" xr:uid="{32AC50F2-5174-4F7E-A921-7EF55D973541}"/>
    <cellStyle name="Normal 2 4 2 4 5 3" xfId="5510" xr:uid="{00000000-0005-0000-0000-00007A0F0000}"/>
    <cellStyle name="Normal 2 4 2 4 5 3 2" xfId="13949" xr:uid="{54F63468-944A-4BEB-8586-278DDC65538B}"/>
    <cellStyle name="Normal 2 4 2 4 5 4" xfId="9731" xr:uid="{92974238-4C99-49A1-AFE0-193CBC6BF0EB}"/>
    <cellStyle name="Normal 2 4 2 4 6" xfId="1615" xr:uid="{00000000-0005-0000-0000-00007B0F0000}"/>
    <cellStyle name="Normal 2 4 2 4 6 2" xfId="3845" xr:uid="{00000000-0005-0000-0000-00007C0F0000}"/>
    <cellStyle name="Normal 2 4 2 4 6 2 2" xfId="8068" xr:uid="{00000000-0005-0000-0000-00007D0F0000}"/>
    <cellStyle name="Normal 2 4 2 4 6 2 2 2" xfId="16507" xr:uid="{48CD8470-263A-4683-A37F-EBF45B7A6958}"/>
    <cellStyle name="Normal 2 4 2 4 6 2 3" xfId="12289" xr:uid="{73E8BDA4-25E8-4407-8CBC-76A324927D0F}"/>
    <cellStyle name="Normal 2 4 2 4 6 3" xfId="5923" xr:uid="{00000000-0005-0000-0000-00007E0F0000}"/>
    <cellStyle name="Normal 2 4 2 4 6 3 2" xfId="14362" xr:uid="{F7CF6BA7-3AA3-46A5-BC14-9021923A7FA6}"/>
    <cellStyle name="Normal 2 4 2 4 6 4" xfId="10144" xr:uid="{54208F56-BF87-425A-BF35-457E68E6959A}"/>
    <cellStyle name="Normal 2 4 2 4 7" xfId="2029" xr:uid="{00000000-0005-0000-0000-00007F0F0000}"/>
    <cellStyle name="Normal 2 4 2 4 7 2" xfId="4258" xr:uid="{00000000-0005-0000-0000-0000800F0000}"/>
    <cellStyle name="Normal 2 4 2 4 7 2 2" xfId="8481" xr:uid="{00000000-0005-0000-0000-0000810F0000}"/>
    <cellStyle name="Normal 2 4 2 4 7 2 2 2" xfId="16920" xr:uid="{17DED961-3490-416B-B216-D9A52CE917F6}"/>
    <cellStyle name="Normal 2 4 2 4 7 2 3" xfId="12702" xr:uid="{B59E3AA0-81C1-457E-953E-C5ECDF295C6B}"/>
    <cellStyle name="Normal 2 4 2 4 7 3" xfId="6336" xr:uid="{00000000-0005-0000-0000-0000820F0000}"/>
    <cellStyle name="Normal 2 4 2 4 7 3 2" xfId="14775" xr:uid="{5DE133FB-4EA0-4CE6-A365-0EF9298FDF4A}"/>
    <cellStyle name="Normal 2 4 2 4 7 4" xfId="10557" xr:uid="{C5871818-4760-49AC-BED4-6E93691D928C}"/>
    <cellStyle name="Normal 2 4 2 4 8" xfId="2465" xr:uid="{00000000-0005-0000-0000-0000830F0000}"/>
    <cellStyle name="Normal 2 4 2 4 8 2" xfId="6749" xr:uid="{00000000-0005-0000-0000-0000840F0000}"/>
    <cellStyle name="Normal 2 4 2 4 8 2 2" xfId="15188" xr:uid="{81575110-F67A-4083-A702-9E957012FD48}"/>
    <cellStyle name="Normal 2 4 2 4 8 3" xfId="10970" xr:uid="{BE263497-6AE1-445B-B137-197EAFE8C7A5}"/>
    <cellStyle name="Normal 2 4 2 4 9" xfId="4683" xr:uid="{00000000-0005-0000-0000-0000850F0000}"/>
    <cellStyle name="Normal 2 4 2 4 9 2" xfId="13122" xr:uid="{DD181999-2F2C-4C31-8FB3-8D92AC1FD928}"/>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15686" xr:uid="{91BAEC6F-A7A2-4CC6-87DA-E62FC26B8947}"/>
    <cellStyle name="Normal 2 4 2 5 2 2 2 3" xfId="11468" xr:uid="{16AB8927-52AF-423E-8E22-4BCC8F370E24}"/>
    <cellStyle name="Normal 2 4 2 5 2 2 3" xfId="5102" xr:uid="{00000000-0005-0000-0000-00008B0F0000}"/>
    <cellStyle name="Normal 2 4 2 5 2 2 3 2" xfId="13541" xr:uid="{DF11A835-BF13-4E8A-A18B-AF68385FAE0C}"/>
    <cellStyle name="Normal 2 4 2 5 2 2 4" xfId="9323" xr:uid="{8D92D857-9DD0-47F5-8967-B575067BFB3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2 2" xfId="16099" xr:uid="{99501446-914F-49E4-A844-31CA9DEC9346}"/>
    <cellStyle name="Normal 2 4 2 5 2 3 2 3" xfId="11881" xr:uid="{923B5EEC-D6BD-4E43-ACB1-EB1867F1EE9B}"/>
    <cellStyle name="Normal 2 4 2 5 2 3 3" xfId="5515" xr:uid="{00000000-0005-0000-0000-00008F0F0000}"/>
    <cellStyle name="Normal 2 4 2 5 2 3 3 2" xfId="13954" xr:uid="{EBA440F7-D49C-4758-9B45-6CF43D9EEF23}"/>
    <cellStyle name="Normal 2 4 2 5 2 3 4" xfId="9736" xr:uid="{0309B370-3FAA-43A5-B76D-ABBAD554A866}"/>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2 2 2" xfId="16512" xr:uid="{CA10BC19-02F6-4ED0-9635-5223D543A2D9}"/>
    <cellStyle name="Normal 2 4 2 5 2 4 2 3" xfId="12294" xr:uid="{7C41545A-1691-4B1F-B352-E7C2DA458772}"/>
    <cellStyle name="Normal 2 4 2 5 2 4 3" xfId="5928" xr:uid="{00000000-0005-0000-0000-0000930F0000}"/>
    <cellStyle name="Normal 2 4 2 5 2 4 3 2" xfId="14367" xr:uid="{05835590-D40A-4B1F-913F-6EE6CFE6BEA0}"/>
    <cellStyle name="Normal 2 4 2 5 2 4 4" xfId="10149" xr:uid="{9C75A13D-82A0-4FEC-B04B-76733DB0BC08}"/>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2 2 2" xfId="16925" xr:uid="{4E8DAE48-6D82-4C8F-83D2-A59C4CC81D66}"/>
    <cellStyle name="Normal 2 4 2 5 2 5 2 3" xfId="12707" xr:uid="{EF85094B-712A-443B-B642-7DD45DEF7F17}"/>
    <cellStyle name="Normal 2 4 2 5 2 5 3" xfId="6341" xr:uid="{00000000-0005-0000-0000-0000970F0000}"/>
    <cellStyle name="Normal 2 4 2 5 2 5 3 2" xfId="14780" xr:uid="{184E518C-152B-4584-9209-55B7338C37DC}"/>
    <cellStyle name="Normal 2 4 2 5 2 5 4" xfId="10562" xr:uid="{81FBBB37-FA39-4D97-A203-81552F597C0C}"/>
    <cellStyle name="Normal 2 4 2 5 2 6" xfId="2470" xr:uid="{00000000-0005-0000-0000-0000980F0000}"/>
    <cellStyle name="Normal 2 4 2 5 2 6 2" xfId="6754" xr:uid="{00000000-0005-0000-0000-0000990F0000}"/>
    <cellStyle name="Normal 2 4 2 5 2 6 2 2" xfId="15193" xr:uid="{A8631616-89B8-481C-8BC9-A0341C1E1608}"/>
    <cellStyle name="Normal 2 4 2 5 2 6 3" xfId="10975" xr:uid="{1C8DBCE9-7EAC-4A5C-8AE1-13D3981E30DD}"/>
    <cellStyle name="Normal 2 4 2 5 2 7" xfId="4688" xr:uid="{00000000-0005-0000-0000-00009A0F0000}"/>
    <cellStyle name="Normal 2 4 2 5 2 7 2" xfId="13127" xr:uid="{1F27AC08-A47C-4B4F-9DBD-A2F6827F5FE4}"/>
    <cellStyle name="Normal 2 4 2 5 2 8" xfId="8909" xr:uid="{E1F2FDF5-1CD4-4A0C-85B9-2C50C6697D8D}"/>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15685" xr:uid="{42965797-4304-4E25-AFA4-7D6E41B42672}"/>
    <cellStyle name="Normal 2 4 2 5 3 2 3" xfId="11467" xr:uid="{5A4C50AC-7698-48F3-9A41-3F1DB934F23E}"/>
    <cellStyle name="Normal 2 4 2 5 3 3" xfId="5101" xr:uid="{00000000-0005-0000-0000-00009E0F0000}"/>
    <cellStyle name="Normal 2 4 2 5 3 3 2" xfId="13540" xr:uid="{F3579AFF-3502-4ADC-A769-DF3AD4AA1C9A}"/>
    <cellStyle name="Normal 2 4 2 5 3 4" xfId="9322" xr:uid="{FF4EABED-3F46-4A31-858A-720315A80B23}"/>
    <cellStyle name="Normal 2 4 2 5 4" xfId="1206" xr:uid="{00000000-0005-0000-0000-00009F0F0000}"/>
    <cellStyle name="Normal 2 4 2 5 4 2" xfId="3436" xr:uid="{00000000-0005-0000-0000-0000A00F0000}"/>
    <cellStyle name="Normal 2 4 2 5 4 2 2" xfId="7659" xr:uid="{00000000-0005-0000-0000-0000A10F0000}"/>
    <cellStyle name="Normal 2 4 2 5 4 2 2 2" xfId="16098" xr:uid="{7947D551-6A5A-41A4-B37E-A410E55AE9CC}"/>
    <cellStyle name="Normal 2 4 2 5 4 2 3" xfId="11880" xr:uid="{9EF71910-85F5-42AC-B3F0-FDA108F539B5}"/>
    <cellStyle name="Normal 2 4 2 5 4 3" xfId="5514" xr:uid="{00000000-0005-0000-0000-0000A20F0000}"/>
    <cellStyle name="Normal 2 4 2 5 4 3 2" xfId="13953" xr:uid="{421F4496-55BB-49BD-9B69-C016AF3E1FD3}"/>
    <cellStyle name="Normal 2 4 2 5 4 4" xfId="9735" xr:uid="{F947F27B-B158-4548-B234-F0D5CA3DE7BC}"/>
    <cellStyle name="Normal 2 4 2 5 5" xfId="1619" xr:uid="{00000000-0005-0000-0000-0000A30F0000}"/>
    <cellStyle name="Normal 2 4 2 5 5 2" xfId="3849" xr:uid="{00000000-0005-0000-0000-0000A40F0000}"/>
    <cellStyle name="Normal 2 4 2 5 5 2 2" xfId="8072" xr:uid="{00000000-0005-0000-0000-0000A50F0000}"/>
    <cellStyle name="Normal 2 4 2 5 5 2 2 2" xfId="16511" xr:uid="{ABA722EA-E9BC-4C94-B5ED-EB841E0A1AC0}"/>
    <cellStyle name="Normal 2 4 2 5 5 2 3" xfId="12293" xr:uid="{8C9DE311-E050-42E5-8C66-D7683AA3BC73}"/>
    <cellStyle name="Normal 2 4 2 5 5 3" xfId="5927" xr:uid="{00000000-0005-0000-0000-0000A60F0000}"/>
    <cellStyle name="Normal 2 4 2 5 5 3 2" xfId="14366" xr:uid="{CE702AC5-AF9A-4915-AC1A-B78D6D80056B}"/>
    <cellStyle name="Normal 2 4 2 5 5 4" xfId="10148" xr:uid="{0594B31E-91B8-4D33-8D3C-98E3EC4C514E}"/>
    <cellStyle name="Normal 2 4 2 5 6" xfId="2033" xr:uid="{00000000-0005-0000-0000-0000A70F0000}"/>
    <cellStyle name="Normal 2 4 2 5 6 2" xfId="4262" xr:uid="{00000000-0005-0000-0000-0000A80F0000}"/>
    <cellStyle name="Normal 2 4 2 5 6 2 2" xfId="8485" xr:uid="{00000000-0005-0000-0000-0000A90F0000}"/>
    <cellStyle name="Normal 2 4 2 5 6 2 2 2" xfId="16924" xr:uid="{C5776BB2-CAF4-47B0-AD78-DFC71023E6A8}"/>
    <cellStyle name="Normal 2 4 2 5 6 2 3" xfId="12706" xr:uid="{04DDDFBC-7B1C-4B15-A68C-E13ABECF9E04}"/>
    <cellStyle name="Normal 2 4 2 5 6 3" xfId="6340" xr:uid="{00000000-0005-0000-0000-0000AA0F0000}"/>
    <cellStyle name="Normal 2 4 2 5 6 3 2" xfId="14779" xr:uid="{DA950007-9226-4520-A039-457BA1795FAB}"/>
    <cellStyle name="Normal 2 4 2 5 6 4" xfId="10561" xr:uid="{58AAC4B8-777D-40C0-A4AA-6203569982D7}"/>
    <cellStyle name="Normal 2 4 2 5 7" xfId="2469" xr:uid="{00000000-0005-0000-0000-0000AB0F0000}"/>
    <cellStyle name="Normal 2 4 2 5 7 2" xfId="6753" xr:uid="{00000000-0005-0000-0000-0000AC0F0000}"/>
    <cellStyle name="Normal 2 4 2 5 7 2 2" xfId="15192" xr:uid="{58BD2A12-4845-4412-B5C7-5B9AB9013AAD}"/>
    <cellStyle name="Normal 2 4 2 5 7 3" xfId="10974" xr:uid="{E6FB31E5-51E6-4222-B909-8E272B5983E8}"/>
    <cellStyle name="Normal 2 4 2 5 8" xfId="4687" xr:uid="{00000000-0005-0000-0000-0000AD0F0000}"/>
    <cellStyle name="Normal 2 4 2 5 8 2" xfId="13126" xr:uid="{FD42EB72-BEDD-4547-9B9D-5CED20C5A9C0}"/>
    <cellStyle name="Normal 2 4 2 5 9" xfId="8908" xr:uid="{0DE126D4-22B6-4D91-BB0A-4036CEAD9065}"/>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15687" xr:uid="{86FFF67C-CE78-4BEC-9E6A-F0A095048D9B}"/>
    <cellStyle name="Normal 2 4 2 6 2 2 3" xfId="11469" xr:uid="{B15D91E0-B1DD-4A59-BA45-4861A2594FC4}"/>
    <cellStyle name="Normal 2 4 2 6 2 3" xfId="5103" xr:uid="{00000000-0005-0000-0000-0000B20F0000}"/>
    <cellStyle name="Normal 2 4 2 6 2 3 2" xfId="13542" xr:uid="{D10E007E-7D82-4A46-8C7C-737CC029108D}"/>
    <cellStyle name="Normal 2 4 2 6 2 4" xfId="9324" xr:uid="{85B347F9-F7B7-452D-B3D6-98B4437C57D8}"/>
    <cellStyle name="Normal 2 4 2 6 3" xfId="1208" xr:uid="{00000000-0005-0000-0000-0000B30F0000}"/>
    <cellStyle name="Normal 2 4 2 6 3 2" xfId="3438" xr:uid="{00000000-0005-0000-0000-0000B40F0000}"/>
    <cellStyle name="Normal 2 4 2 6 3 2 2" xfId="7661" xr:uid="{00000000-0005-0000-0000-0000B50F0000}"/>
    <cellStyle name="Normal 2 4 2 6 3 2 2 2" xfId="16100" xr:uid="{66BC77DD-01F0-444A-A702-B012B21DBFA9}"/>
    <cellStyle name="Normal 2 4 2 6 3 2 3" xfId="11882" xr:uid="{DA9A7BC8-7781-4AC8-BA44-625C39BAB009}"/>
    <cellStyle name="Normal 2 4 2 6 3 3" xfId="5516" xr:uid="{00000000-0005-0000-0000-0000B60F0000}"/>
    <cellStyle name="Normal 2 4 2 6 3 3 2" xfId="13955" xr:uid="{BA2EAD64-43C1-4329-BB8C-7BBD43E28F3A}"/>
    <cellStyle name="Normal 2 4 2 6 3 4" xfId="9737" xr:uid="{9EB6BD22-A290-4885-95C7-E2C75CED8976}"/>
    <cellStyle name="Normal 2 4 2 6 4" xfId="1621" xr:uid="{00000000-0005-0000-0000-0000B70F0000}"/>
    <cellStyle name="Normal 2 4 2 6 4 2" xfId="3851" xr:uid="{00000000-0005-0000-0000-0000B80F0000}"/>
    <cellStyle name="Normal 2 4 2 6 4 2 2" xfId="8074" xr:uid="{00000000-0005-0000-0000-0000B90F0000}"/>
    <cellStyle name="Normal 2 4 2 6 4 2 2 2" xfId="16513" xr:uid="{C4711D1F-7054-4FB3-97C4-C8087AD3855A}"/>
    <cellStyle name="Normal 2 4 2 6 4 2 3" xfId="12295" xr:uid="{EF0105CB-0A12-4BED-859D-F80697BEA7F9}"/>
    <cellStyle name="Normal 2 4 2 6 4 3" xfId="5929" xr:uid="{00000000-0005-0000-0000-0000BA0F0000}"/>
    <cellStyle name="Normal 2 4 2 6 4 3 2" xfId="14368" xr:uid="{53D0E956-BD75-4184-B453-497677F338E6}"/>
    <cellStyle name="Normal 2 4 2 6 4 4" xfId="10150" xr:uid="{717304DE-D02C-4149-BE17-B8DD324270A0}"/>
    <cellStyle name="Normal 2 4 2 6 5" xfId="2035" xr:uid="{00000000-0005-0000-0000-0000BB0F0000}"/>
    <cellStyle name="Normal 2 4 2 6 5 2" xfId="4264" xr:uid="{00000000-0005-0000-0000-0000BC0F0000}"/>
    <cellStyle name="Normal 2 4 2 6 5 2 2" xfId="8487" xr:uid="{00000000-0005-0000-0000-0000BD0F0000}"/>
    <cellStyle name="Normal 2 4 2 6 5 2 2 2" xfId="16926" xr:uid="{FE07F19D-A00C-42C5-8D73-F5340077D807}"/>
    <cellStyle name="Normal 2 4 2 6 5 2 3" xfId="12708" xr:uid="{F25CBC57-A7C1-4F98-940F-645F19468975}"/>
    <cellStyle name="Normal 2 4 2 6 5 3" xfId="6342" xr:uid="{00000000-0005-0000-0000-0000BE0F0000}"/>
    <cellStyle name="Normal 2 4 2 6 5 3 2" xfId="14781" xr:uid="{B42646D2-B864-4F51-B1BA-432255822AAF}"/>
    <cellStyle name="Normal 2 4 2 6 5 4" xfId="10563" xr:uid="{E9C8EF0E-4650-45FF-B9DC-B8C6468F6180}"/>
    <cellStyle name="Normal 2 4 2 6 6" xfId="2471" xr:uid="{00000000-0005-0000-0000-0000BF0F0000}"/>
    <cellStyle name="Normal 2 4 2 6 6 2" xfId="6755" xr:uid="{00000000-0005-0000-0000-0000C00F0000}"/>
    <cellStyle name="Normal 2 4 2 6 6 2 2" xfId="15194" xr:uid="{C689F955-E5B6-46EA-9BA1-0DE770B39006}"/>
    <cellStyle name="Normal 2 4 2 6 6 3" xfId="10976" xr:uid="{5158A030-EC23-45EE-A850-C6A9CA6DCB64}"/>
    <cellStyle name="Normal 2 4 2 6 7" xfId="4689" xr:uid="{00000000-0005-0000-0000-0000C10F0000}"/>
    <cellStyle name="Normal 2 4 2 6 7 2" xfId="13128" xr:uid="{8AD3D985-6FC7-49E6-A8E2-53AF7D5B1CB9}"/>
    <cellStyle name="Normal 2 4 2 6 8" xfId="8910" xr:uid="{A537DB10-ED56-455E-9D44-E34547482787}"/>
    <cellStyle name="Normal 2 4 2 7" xfId="771" xr:uid="{00000000-0005-0000-0000-0000C20F0000}"/>
    <cellStyle name="Normal 2 4 2 7 2" xfId="3010" xr:uid="{00000000-0005-0000-0000-0000C30F0000}"/>
    <cellStyle name="Normal 2 4 2 7 2 2" xfId="7233" xr:uid="{00000000-0005-0000-0000-0000C40F0000}"/>
    <cellStyle name="Normal 2 4 2 7 2 2 2" xfId="15672" xr:uid="{0ACADE0C-E371-4025-B249-58EF91E84D0B}"/>
    <cellStyle name="Normal 2 4 2 7 2 3" xfId="11454" xr:uid="{D9549867-DEE9-43CF-9D0F-6A4705F35F29}"/>
    <cellStyle name="Normal 2 4 2 7 3" xfId="5088" xr:uid="{00000000-0005-0000-0000-0000C50F0000}"/>
    <cellStyle name="Normal 2 4 2 7 3 2" xfId="13527" xr:uid="{EC677B2E-EFD8-44AA-8E1B-F552D0CADE5E}"/>
    <cellStyle name="Normal 2 4 2 7 4" xfId="9309" xr:uid="{4731A553-CC84-4317-87EB-394692DA67E3}"/>
    <cellStyle name="Normal 2 4 2 8" xfId="1193" xr:uid="{00000000-0005-0000-0000-0000C60F0000}"/>
    <cellStyle name="Normal 2 4 2 8 2" xfId="3423" xr:uid="{00000000-0005-0000-0000-0000C70F0000}"/>
    <cellStyle name="Normal 2 4 2 8 2 2" xfId="7646" xr:uid="{00000000-0005-0000-0000-0000C80F0000}"/>
    <cellStyle name="Normal 2 4 2 8 2 2 2" xfId="16085" xr:uid="{601E0A65-83F4-4881-8F36-0613B0680A66}"/>
    <cellStyle name="Normal 2 4 2 8 2 3" xfId="11867" xr:uid="{CBBCF6E9-69FE-46C0-AD5E-44FC1E08D1A2}"/>
    <cellStyle name="Normal 2 4 2 8 3" xfId="5501" xr:uid="{00000000-0005-0000-0000-0000C90F0000}"/>
    <cellStyle name="Normal 2 4 2 8 3 2" xfId="13940" xr:uid="{CD07F925-338F-442C-9A69-C20A7062B098}"/>
    <cellStyle name="Normal 2 4 2 8 4" xfId="9722" xr:uid="{63F6282A-3314-43DE-8381-B20A17E6C074}"/>
    <cellStyle name="Normal 2 4 2 9" xfId="1606" xr:uid="{00000000-0005-0000-0000-0000CA0F0000}"/>
    <cellStyle name="Normal 2 4 2 9 2" xfId="3836" xr:uid="{00000000-0005-0000-0000-0000CB0F0000}"/>
    <cellStyle name="Normal 2 4 2 9 2 2" xfId="8059" xr:uid="{00000000-0005-0000-0000-0000CC0F0000}"/>
    <cellStyle name="Normal 2 4 2 9 2 2 2" xfId="16498" xr:uid="{BDBE05E3-5533-4FEB-9209-D9DCB899A6E8}"/>
    <cellStyle name="Normal 2 4 2 9 2 3" xfId="12280" xr:uid="{71DB22C6-61BB-4847-A7E6-1E58FA582B23}"/>
    <cellStyle name="Normal 2 4 2 9 3" xfId="5914" xr:uid="{00000000-0005-0000-0000-0000CD0F0000}"/>
    <cellStyle name="Normal 2 4 2 9 3 2" xfId="14353" xr:uid="{56F3B87E-A21B-4982-A3AE-6F40C07D03BB}"/>
    <cellStyle name="Normal 2 4 2 9 4" xfId="10135" xr:uid="{F2476322-1F96-4590-AA97-0B887661F984}"/>
    <cellStyle name="Normal 2 4 3" xfId="296" xr:uid="{00000000-0005-0000-0000-0000CE0F0000}"/>
    <cellStyle name="Normal 2 4 3 10" xfId="8911" xr:uid="{E07272DF-DB91-40A8-95C6-A271EF0D4A5B}"/>
    <cellStyle name="Normal 2 4 3 2" xfId="297" xr:uid="{00000000-0005-0000-0000-0000CF0F0000}"/>
    <cellStyle name="Normal 2 4 3 3" xfId="298" xr:uid="{00000000-0005-0000-0000-0000D00F0000}"/>
    <cellStyle name="Normal 2 4 3 3 10" xfId="8912" xr:uid="{12904B2D-AD4D-4689-B4D9-823FBDFB050B}"/>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15691" xr:uid="{E4BDACAD-C5AF-41C1-90D8-3C62CCC0A5DF}"/>
    <cellStyle name="Normal 2 4 3 3 2 2 2 2 3" xfId="11473" xr:uid="{006201B5-36D3-4D81-87D3-22C5F61C58B7}"/>
    <cellStyle name="Normal 2 4 3 3 2 2 2 3" xfId="5107" xr:uid="{00000000-0005-0000-0000-0000D60F0000}"/>
    <cellStyle name="Normal 2 4 3 3 2 2 2 3 2" xfId="13546" xr:uid="{5AE0604B-C9B2-41C0-BA1D-852DF6D6A8C9}"/>
    <cellStyle name="Normal 2 4 3 3 2 2 2 4" xfId="9328" xr:uid="{41D6520E-72DE-4E69-9FF8-A7923ED0D57F}"/>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2 2" xfId="16104" xr:uid="{7DBE73A4-6A14-4FA1-9785-3AC3EC805C0A}"/>
    <cellStyle name="Normal 2 4 3 3 2 2 3 2 3" xfId="11886" xr:uid="{19D0ECFE-815C-48D4-9EA6-54ABE56F6C1E}"/>
    <cellStyle name="Normal 2 4 3 3 2 2 3 3" xfId="5520" xr:uid="{00000000-0005-0000-0000-0000DA0F0000}"/>
    <cellStyle name="Normal 2 4 3 3 2 2 3 3 2" xfId="13959" xr:uid="{D5D53182-331C-44A2-ACB6-5FA705C08532}"/>
    <cellStyle name="Normal 2 4 3 3 2 2 3 4" xfId="9741" xr:uid="{9DB09B02-293C-4249-BECA-DFF2E2CE942F}"/>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2 2 2" xfId="16517" xr:uid="{2E791D5E-F6A2-44D2-8869-0DA9ECAC17D9}"/>
    <cellStyle name="Normal 2 4 3 3 2 2 4 2 3" xfId="12299" xr:uid="{22BAC310-295E-4085-81B1-683236D1B90D}"/>
    <cellStyle name="Normal 2 4 3 3 2 2 4 3" xfId="5933" xr:uid="{00000000-0005-0000-0000-0000DE0F0000}"/>
    <cellStyle name="Normal 2 4 3 3 2 2 4 3 2" xfId="14372" xr:uid="{798B5E76-58F8-4261-8697-152057342267}"/>
    <cellStyle name="Normal 2 4 3 3 2 2 4 4" xfId="10154" xr:uid="{86CF86CF-7D42-4EF8-B509-1C16B95A51BD}"/>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2 2 2" xfId="16930" xr:uid="{0E90F6A5-F86B-4546-AA3E-24D39EA8DDEC}"/>
    <cellStyle name="Normal 2 4 3 3 2 2 5 2 3" xfId="12712" xr:uid="{DE8412E1-6FC6-4903-813F-7D8E25BD232B}"/>
    <cellStyle name="Normal 2 4 3 3 2 2 5 3" xfId="6346" xr:uid="{00000000-0005-0000-0000-0000E20F0000}"/>
    <cellStyle name="Normal 2 4 3 3 2 2 5 3 2" xfId="14785" xr:uid="{2140973D-F4C5-4C58-8F7E-4CC4E7A9B4D5}"/>
    <cellStyle name="Normal 2 4 3 3 2 2 5 4" xfId="10567" xr:uid="{CA4644A9-1E15-49A7-9040-AEB3BF812F6B}"/>
    <cellStyle name="Normal 2 4 3 3 2 2 6" xfId="2475" xr:uid="{00000000-0005-0000-0000-0000E30F0000}"/>
    <cellStyle name="Normal 2 4 3 3 2 2 6 2" xfId="6759" xr:uid="{00000000-0005-0000-0000-0000E40F0000}"/>
    <cellStyle name="Normal 2 4 3 3 2 2 6 2 2" xfId="15198" xr:uid="{437BB9DC-E7D9-42C1-9C18-6CD12F00A9A8}"/>
    <cellStyle name="Normal 2 4 3 3 2 2 6 3" xfId="10980" xr:uid="{35A14C20-545F-43EE-A7A4-9B59BC245923}"/>
    <cellStyle name="Normal 2 4 3 3 2 2 7" xfId="4693" xr:uid="{00000000-0005-0000-0000-0000E50F0000}"/>
    <cellStyle name="Normal 2 4 3 3 2 2 7 2" xfId="13132" xr:uid="{A9D0DF08-EBF6-4266-BD77-F40E85EBF1B6}"/>
    <cellStyle name="Normal 2 4 3 3 2 2 8" xfId="8914" xr:uid="{35AB5121-6FEF-4118-9A3B-6FA8034C84A1}"/>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15690" xr:uid="{5CDD0484-8136-4BCA-AEAD-C15A7D78A2B0}"/>
    <cellStyle name="Normal 2 4 3 3 2 3 2 3" xfId="11472" xr:uid="{45923824-4CF2-45A1-A44C-D009093E7B27}"/>
    <cellStyle name="Normal 2 4 3 3 2 3 3" xfId="5106" xr:uid="{00000000-0005-0000-0000-0000E90F0000}"/>
    <cellStyle name="Normal 2 4 3 3 2 3 3 2" xfId="13545" xr:uid="{47FE528C-153A-4577-997A-93FCD9BE0C94}"/>
    <cellStyle name="Normal 2 4 3 3 2 3 4" xfId="9327" xr:uid="{12E14C5A-E922-43BC-8C46-23AB726FC44F}"/>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2 2" xfId="16103" xr:uid="{81756183-7875-42F0-B6B9-790158542AA0}"/>
    <cellStyle name="Normal 2 4 3 3 2 4 2 3" xfId="11885" xr:uid="{DC240B1B-5AC6-4A8C-8512-C8A9130CF4D5}"/>
    <cellStyle name="Normal 2 4 3 3 2 4 3" xfId="5519" xr:uid="{00000000-0005-0000-0000-0000ED0F0000}"/>
    <cellStyle name="Normal 2 4 3 3 2 4 3 2" xfId="13958" xr:uid="{4C6F0383-32AE-4967-B6C1-03563B8BC913}"/>
    <cellStyle name="Normal 2 4 3 3 2 4 4" xfId="9740" xr:uid="{6E1AD7A2-2EBB-478D-AB0A-3B36BF20936E}"/>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2 2 2" xfId="16516" xr:uid="{34592EF6-0913-49E1-9E5E-A9ED02E83B81}"/>
    <cellStyle name="Normal 2 4 3 3 2 5 2 3" xfId="12298" xr:uid="{D4B38FF8-3F4F-4ACE-8FF6-EF742823B2E5}"/>
    <cellStyle name="Normal 2 4 3 3 2 5 3" xfId="5932" xr:uid="{00000000-0005-0000-0000-0000F10F0000}"/>
    <cellStyle name="Normal 2 4 3 3 2 5 3 2" xfId="14371" xr:uid="{E34277C8-8526-448B-BE97-195387CF0DE7}"/>
    <cellStyle name="Normal 2 4 3 3 2 5 4" xfId="10153" xr:uid="{4C04676C-06AD-4E62-B75A-491A7BAA98A8}"/>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2 2 2" xfId="16929" xr:uid="{AD3D5EC8-5515-40DD-ADDA-200C063B7366}"/>
    <cellStyle name="Normal 2 4 3 3 2 6 2 3" xfId="12711" xr:uid="{3A854366-AAD5-4BA0-AA18-9A4467B80CD1}"/>
    <cellStyle name="Normal 2 4 3 3 2 6 3" xfId="6345" xr:uid="{00000000-0005-0000-0000-0000F50F0000}"/>
    <cellStyle name="Normal 2 4 3 3 2 6 3 2" xfId="14784" xr:uid="{63DF7038-FFD1-41A7-8848-C8AB56C975AF}"/>
    <cellStyle name="Normal 2 4 3 3 2 6 4" xfId="10566" xr:uid="{A73D106A-6B7C-4B5C-8CA3-32D3B9340100}"/>
    <cellStyle name="Normal 2 4 3 3 2 7" xfId="2474" xr:uid="{00000000-0005-0000-0000-0000F60F0000}"/>
    <cellStyle name="Normal 2 4 3 3 2 7 2" xfId="6758" xr:uid="{00000000-0005-0000-0000-0000F70F0000}"/>
    <cellStyle name="Normal 2 4 3 3 2 7 2 2" xfId="15197" xr:uid="{943CF048-A0DD-4572-92B8-06E6BB782340}"/>
    <cellStyle name="Normal 2 4 3 3 2 7 3" xfId="10979" xr:uid="{9DE97223-058D-44A1-8F0E-66EB14F26823}"/>
    <cellStyle name="Normal 2 4 3 3 2 8" xfId="4692" xr:uid="{00000000-0005-0000-0000-0000F80F0000}"/>
    <cellStyle name="Normal 2 4 3 3 2 8 2" xfId="13131" xr:uid="{5B80FB25-B57C-46A7-B44F-69F4584CECAB}"/>
    <cellStyle name="Normal 2 4 3 3 2 9" xfId="8913" xr:uid="{4455EC71-A6EF-4E08-AA03-8FDA69B079E8}"/>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15692" xr:uid="{EF3B8E4E-5423-44E4-AB01-E144DE9D52E9}"/>
    <cellStyle name="Normal 2 4 3 3 3 2 2 3" xfId="11474" xr:uid="{CAB4FF32-0441-4989-8590-507268B79136}"/>
    <cellStyle name="Normal 2 4 3 3 3 2 3" xfId="5108" xr:uid="{00000000-0005-0000-0000-0000FD0F0000}"/>
    <cellStyle name="Normal 2 4 3 3 3 2 3 2" xfId="13547" xr:uid="{BACBC4AE-9EC6-48AC-8161-FFB33F7D751A}"/>
    <cellStyle name="Normal 2 4 3 3 3 2 4" xfId="9329" xr:uid="{AB3CE75F-2518-4226-87A7-7DD20306E30C}"/>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2 2" xfId="16105" xr:uid="{738DE8E5-CD5C-4D99-9665-3B1F9A24B790}"/>
    <cellStyle name="Normal 2 4 3 3 3 3 2 3" xfId="11887" xr:uid="{816B1E06-B56E-4EAC-9124-5763F7231BD1}"/>
    <cellStyle name="Normal 2 4 3 3 3 3 3" xfId="5521" xr:uid="{00000000-0005-0000-0000-000001100000}"/>
    <cellStyle name="Normal 2 4 3 3 3 3 3 2" xfId="13960" xr:uid="{D640F987-DE0B-40FC-8880-5A424ED46778}"/>
    <cellStyle name="Normal 2 4 3 3 3 3 4" xfId="9742" xr:uid="{B08D5660-B728-4B34-8823-95BD89984C22}"/>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2 2 2" xfId="16518" xr:uid="{B26EC983-8A69-4DB5-B2DE-C891D7F59342}"/>
    <cellStyle name="Normal 2 4 3 3 3 4 2 3" xfId="12300" xr:uid="{A44B51D6-120C-4542-AD20-9F52A1AE115A}"/>
    <cellStyle name="Normal 2 4 3 3 3 4 3" xfId="5934" xr:uid="{00000000-0005-0000-0000-000005100000}"/>
    <cellStyle name="Normal 2 4 3 3 3 4 3 2" xfId="14373" xr:uid="{C857EADC-A5F7-4833-96C0-CA401293D166}"/>
    <cellStyle name="Normal 2 4 3 3 3 4 4" xfId="10155" xr:uid="{120377A0-44DC-4BCA-A91B-9979E19407B1}"/>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2 2 2" xfId="16931" xr:uid="{CCA67FB3-BDA2-45A2-B73F-528BF3291690}"/>
    <cellStyle name="Normal 2 4 3 3 3 5 2 3" xfId="12713" xr:uid="{520AA406-535B-4804-97C7-68F88B3EC92A}"/>
    <cellStyle name="Normal 2 4 3 3 3 5 3" xfId="6347" xr:uid="{00000000-0005-0000-0000-000009100000}"/>
    <cellStyle name="Normal 2 4 3 3 3 5 3 2" xfId="14786" xr:uid="{9D114888-D83D-49B3-BCA9-3641214E1A74}"/>
    <cellStyle name="Normal 2 4 3 3 3 5 4" xfId="10568" xr:uid="{4EB499BE-F028-4AF1-A24F-BE3916C08BB7}"/>
    <cellStyle name="Normal 2 4 3 3 3 6" xfId="2476" xr:uid="{00000000-0005-0000-0000-00000A100000}"/>
    <cellStyle name="Normal 2 4 3 3 3 6 2" xfId="6760" xr:uid="{00000000-0005-0000-0000-00000B100000}"/>
    <cellStyle name="Normal 2 4 3 3 3 6 2 2" xfId="15199" xr:uid="{B42E3BED-F9FE-4F44-A420-5A540567D8C0}"/>
    <cellStyle name="Normal 2 4 3 3 3 6 3" xfId="10981" xr:uid="{D76CADF6-3FE2-41C9-B70A-D85A40A96011}"/>
    <cellStyle name="Normal 2 4 3 3 3 7" xfId="4694" xr:uid="{00000000-0005-0000-0000-00000C100000}"/>
    <cellStyle name="Normal 2 4 3 3 3 7 2" xfId="13133" xr:uid="{1117C79B-6C96-4BAA-9143-6174EDD957A2}"/>
    <cellStyle name="Normal 2 4 3 3 3 8" xfId="8915" xr:uid="{5958DAE5-4813-47DB-9667-69678966F2FB}"/>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15689" xr:uid="{46647241-1828-4474-8B14-84582B69B3D4}"/>
    <cellStyle name="Normal 2 4 3 3 4 2 3" xfId="11471" xr:uid="{0E70EA92-C499-43A4-9ADB-5EE16A8F88EC}"/>
    <cellStyle name="Normal 2 4 3 3 4 3" xfId="5105" xr:uid="{00000000-0005-0000-0000-000010100000}"/>
    <cellStyle name="Normal 2 4 3 3 4 3 2" xfId="13544" xr:uid="{9CAA91D9-C926-48A0-8DF2-C1EB7CB89293}"/>
    <cellStyle name="Normal 2 4 3 3 4 4" xfId="9326" xr:uid="{5AFCFFD0-C916-4994-B665-87B84619AF83}"/>
    <cellStyle name="Normal 2 4 3 3 5" xfId="1210" xr:uid="{00000000-0005-0000-0000-000011100000}"/>
    <cellStyle name="Normal 2 4 3 3 5 2" xfId="3440" xr:uid="{00000000-0005-0000-0000-000012100000}"/>
    <cellStyle name="Normal 2 4 3 3 5 2 2" xfId="7663" xr:uid="{00000000-0005-0000-0000-000013100000}"/>
    <cellStyle name="Normal 2 4 3 3 5 2 2 2" xfId="16102" xr:uid="{D85115A1-DBDA-4D29-B27F-F87038556D31}"/>
    <cellStyle name="Normal 2 4 3 3 5 2 3" xfId="11884" xr:uid="{16B6BA8D-39A8-4F15-80AE-A04090B90833}"/>
    <cellStyle name="Normal 2 4 3 3 5 3" xfId="5518" xr:uid="{00000000-0005-0000-0000-000014100000}"/>
    <cellStyle name="Normal 2 4 3 3 5 3 2" xfId="13957" xr:uid="{04D6F537-49D3-4665-8320-79A165B62BC4}"/>
    <cellStyle name="Normal 2 4 3 3 5 4" xfId="9739" xr:uid="{AB505929-E9EF-4200-BC7D-CC259175AC8D}"/>
    <cellStyle name="Normal 2 4 3 3 6" xfId="1623" xr:uid="{00000000-0005-0000-0000-000015100000}"/>
    <cellStyle name="Normal 2 4 3 3 6 2" xfId="3853" xr:uid="{00000000-0005-0000-0000-000016100000}"/>
    <cellStyle name="Normal 2 4 3 3 6 2 2" xfId="8076" xr:uid="{00000000-0005-0000-0000-000017100000}"/>
    <cellStyle name="Normal 2 4 3 3 6 2 2 2" xfId="16515" xr:uid="{88054AE1-2DFA-4D32-A03B-EC45C6B2BF39}"/>
    <cellStyle name="Normal 2 4 3 3 6 2 3" xfId="12297" xr:uid="{60C7BAD6-8D64-4D28-B388-B129EBB884D4}"/>
    <cellStyle name="Normal 2 4 3 3 6 3" xfId="5931" xr:uid="{00000000-0005-0000-0000-000018100000}"/>
    <cellStyle name="Normal 2 4 3 3 6 3 2" xfId="14370" xr:uid="{7528B3AD-C30A-4B16-9025-73C97EFAECCB}"/>
    <cellStyle name="Normal 2 4 3 3 6 4" xfId="10152" xr:uid="{94F0403C-86F8-42EA-9B77-249A2675B9F4}"/>
    <cellStyle name="Normal 2 4 3 3 7" xfId="2037" xr:uid="{00000000-0005-0000-0000-000019100000}"/>
    <cellStyle name="Normal 2 4 3 3 7 2" xfId="4266" xr:uid="{00000000-0005-0000-0000-00001A100000}"/>
    <cellStyle name="Normal 2 4 3 3 7 2 2" xfId="8489" xr:uid="{00000000-0005-0000-0000-00001B100000}"/>
    <cellStyle name="Normal 2 4 3 3 7 2 2 2" xfId="16928" xr:uid="{CCACC090-98E6-455A-9951-A77E7955613B}"/>
    <cellStyle name="Normal 2 4 3 3 7 2 3" xfId="12710" xr:uid="{63359FFA-7C00-41F1-97AF-0F9DAFA3CF2E}"/>
    <cellStyle name="Normal 2 4 3 3 7 3" xfId="6344" xr:uid="{00000000-0005-0000-0000-00001C100000}"/>
    <cellStyle name="Normal 2 4 3 3 7 3 2" xfId="14783" xr:uid="{7ED9A65A-FE72-421D-9334-22BB3C4556A5}"/>
    <cellStyle name="Normal 2 4 3 3 7 4" xfId="10565" xr:uid="{5A659980-7934-42AA-8630-49A0345D2B57}"/>
    <cellStyle name="Normal 2 4 3 3 8" xfId="2473" xr:uid="{00000000-0005-0000-0000-00001D100000}"/>
    <cellStyle name="Normal 2 4 3 3 8 2" xfId="6757" xr:uid="{00000000-0005-0000-0000-00001E100000}"/>
    <cellStyle name="Normal 2 4 3 3 8 2 2" xfId="15196" xr:uid="{131AE1B2-28FF-406E-AB08-C4EF76213CAA}"/>
    <cellStyle name="Normal 2 4 3 3 8 3" xfId="10978" xr:uid="{263AE3A8-4516-41D9-BBF3-98746B2339CC}"/>
    <cellStyle name="Normal 2 4 3 3 9" xfId="4691" xr:uid="{00000000-0005-0000-0000-00001F100000}"/>
    <cellStyle name="Normal 2 4 3 3 9 2" xfId="13130" xr:uid="{7F8AC512-8642-48A3-B459-E402EC159F6F}"/>
    <cellStyle name="Normal 2 4 3 4" xfId="787" xr:uid="{00000000-0005-0000-0000-000020100000}"/>
    <cellStyle name="Normal 2 4 3 4 2" xfId="3026" xr:uid="{00000000-0005-0000-0000-000021100000}"/>
    <cellStyle name="Normal 2 4 3 4 2 2" xfId="7249" xr:uid="{00000000-0005-0000-0000-000022100000}"/>
    <cellStyle name="Normal 2 4 3 4 2 2 2" xfId="15688" xr:uid="{02D821FA-E50E-4636-ABC6-7EE0E7C42B5A}"/>
    <cellStyle name="Normal 2 4 3 4 2 3" xfId="11470" xr:uid="{1F53C7EB-74AA-44BA-8E9E-BD10D6BA6B31}"/>
    <cellStyle name="Normal 2 4 3 4 3" xfId="5104" xr:uid="{00000000-0005-0000-0000-000023100000}"/>
    <cellStyle name="Normal 2 4 3 4 3 2" xfId="13543" xr:uid="{4BE43197-8E8B-438C-9520-A911095AF140}"/>
    <cellStyle name="Normal 2 4 3 4 4" xfId="9325" xr:uid="{3F4AD678-F092-40B8-9E5A-52D34CE4D242}"/>
    <cellStyle name="Normal 2 4 3 5" xfId="1209" xr:uid="{00000000-0005-0000-0000-000024100000}"/>
    <cellStyle name="Normal 2 4 3 5 2" xfId="3439" xr:uid="{00000000-0005-0000-0000-000025100000}"/>
    <cellStyle name="Normal 2 4 3 5 2 2" xfId="7662" xr:uid="{00000000-0005-0000-0000-000026100000}"/>
    <cellStyle name="Normal 2 4 3 5 2 2 2" xfId="16101" xr:uid="{5EB8FA2A-61AE-4615-B35F-1B599D680108}"/>
    <cellStyle name="Normal 2 4 3 5 2 3" xfId="11883" xr:uid="{D62EEBFE-62ED-44F7-83AF-DABD4DEE58BC}"/>
    <cellStyle name="Normal 2 4 3 5 3" xfId="5517" xr:uid="{00000000-0005-0000-0000-000027100000}"/>
    <cellStyle name="Normal 2 4 3 5 3 2" xfId="13956" xr:uid="{0709B619-0031-4521-940C-AB4F817F2F90}"/>
    <cellStyle name="Normal 2 4 3 5 4" xfId="9738" xr:uid="{B0E273F0-34CB-432C-9163-BEA777E51506}"/>
    <cellStyle name="Normal 2 4 3 6" xfId="1622" xr:uid="{00000000-0005-0000-0000-000028100000}"/>
    <cellStyle name="Normal 2 4 3 6 2" xfId="3852" xr:uid="{00000000-0005-0000-0000-000029100000}"/>
    <cellStyle name="Normal 2 4 3 6 2 2" xfId="8075" xr:uid="{00000000-0005-0000-0000-00002A100000}"/>
    <cellStyle name="Normal 2 4 3 6 2 2 2" xfId="16514" xr:uid="{5877B526-53AE-4DB8-9A9D-152128B7F2A4}"/>
    <cellStyle name="Normal 2 4 3 6 2 3" xfId="12296" xr:uid="{7E4B7EB5-B0AA-408D-B47E-442EBA0356A8}"/>
    <cellStyle name="Normal 2 4 3 6 3" xfId="5930" xr:uid="{00000000-0005-0000-0000-00002B100000}"/>
    <cellStyle name="Normal 2 4 3 6 3 2" xfId="14369" xr:uid="{A6CA641C-A967-4917-BC27-5B7E59EF2C05}"/>
    <cellStyle name="Normal 2 4 3 6 4" xfId="10151" xr:uid="{003EDB4A-E716-4408-A831-9EF2D2A8748F}"/>
    <cellStyle name="Normal 2 4 3 7" xfId="2036" xr:uid="{00000000-0005-0000-0000-00002C100000}"/>
    <cellStyle name="Normal 2 4 3 7 2" xfId="4265" xr:uid="{00000000-0005-0000-0000-00002D100000}"/>
    <cellStyle name="Normal 2 4 3 7 2 2" xfId="8488" xr:uid="{00000000-0005-0000-0000-00002E100000}"/>
    <cellStyle name="Normal 2 4 3 7 2 2 2" xfId="16927" xr:uid="{AE578CC8-E769-4E8E-93C3-1DE1F0B40F6C}"/>
    <cellStyle name="Normal 2 4 3 7 2 3" xfId="12709" xr:uid="{80BFF618-D568-4B94-BF0C-ADAC23D2AB27}"/>
    <cellStyle name="Normal 2 4 3 7 3" xfId="6343" xr:uid="{00000000-0005-0000-0000-00002F100000}"/>
    <cellStyle name="Normal 2 4 3 7 3 2" xfId="14782" xr:uid="{677F6D02-E2B0-4793-A9C8-E92DE94600D7}"/>
    <cellStyle name="Normal 2 4 3 7 4" xfId="10564" xr:uid="{583DABFF-EE8A-4596-AFDC-9DC6B0F66CF0}"/>
    <cellStyle name="Normal 2 4 3 8" xfId="2472" xr:uid="{00000000-0005-0000-0000-000030100000}"/>
    <cellStyle name="Normal 2 4 3 8 2" xfId="6756" xr:uid="{00000000-0005-0000-0000-000031100000}"/>
    <cellStyle name="Normal 2 4 3 8 2 2" xfId="15195" xr:uid="{2697A902-0527-4273-BB35-5FE91F7822B7}"/>
    <cellStyle name="Normal 2 4 3 8 3" xfId="10977" xr:uid="{70D6AD33-5658-4DCB-81B0-D47700B8510F}"/>
    <cellStyle name="Normal 2 4 3 9" xfId="4690" xr:uid="{00000000-0005-0000-0000-000032100000}"/>
    <cellStyle name="Normal 2 4 3 9 2" xfId="13129" xr:uid="{33AF3BBC-5FF9-41C0-915D-54FD840B8A77}"/>
    <cellStyle name="Normal 2 4 4" xfId="302" xr:uid="{00000000-0005-0000-0000-000033100000}"/>
    <cellStyle name="Normal 2 4 5" xfId="303" xr:uid="{00000000-0005-0000-0000-000034100000}"/>
    <cellStyle name="Normal 2 4 5 10" xfId="4695" xr:uid="{00000000-0005-0000-0000-000035100000}"/>
    <cellStyle name="Normal 2 4 5 10 2" xfId="13134" xr:uid="{98F5A5F0-BF86-4D16-BB39-8CAC2A5A8BFB}"/>
    <cellStyle name="Normal 2 4 5 11" xfId="8916" xr:uid="{F6007188-697D-4608-AD02-6F6746667D1C}"/>
    <cellStyle name="Normal 2 4 5 2" xfId="304" xr:uid="{00000000-0005-0000-0000-000036100000}"/>
    <cellStyle name="Normal 2 4 5 2 10" xfId="8917" xr:uid="{BDC12DAB-FE05-4EC0-B8D1-95CA7487CB92}"/>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15696" xr:uid="{DC340F80-58AE-439C-B1A6-01DA4049E2DC}"/>
    <cellStyle name="Normal 2 4 5 2 2 2 2 2 3" xfId="11478" xr:uid="{DCBD3F1B-F2C9-438F-B152-D9186A58CF37}"/>
    <cellStyle name="Normal 2 4 5 2 2 2 2 3" xfId="5112" xr:uid="{00000000-0005-0000-0000-00003C100000}"/>
    <cellStyle name="Normal 2 4 5 2 2 2 2 3 2" xfId="13551" xr:uid="{A689EDAD-90EB-42AE-9CCD-F28D0DEEB05E}"/>
    <cellStyle name="Normal 2 4 5 2 2 2 2 4" xfId="9333" xr:uid="{1A342D1F-D7BA-4ED4-AED8-0EC5F4CA4114}"/>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2 2" xfId="16109" xr:uid="{E3B70594-A391-47EA-A0DE-0103FFE55D78}"/>
    <cellStyle name="Normal 2 4 5 2 2 2 3 2 3" xfId="11891" xr:uid="{5E9B3F91-7BE4-4FDB-8B5F-D9E88F6AF4F4}"/>
    <cellStyle name="Normal 2 4 5 2 2 2 3 3" xfId="5525" xr:uid="{00000000-0005-0000-0000-000040100000}"/>
    <cellStyle name="Normal 2 4 5 2 2 2 3 3 2" xfId="13964" xr:uid="{9EF88650-7BDC-403A-97D1-3DDF72761D71}"/>
    <cellStyle name="Normal 2 4 5 2 2 2 3 4" xfId="9746" xr:uid="{F9D58A0D-2C63-4E49-A368-FFFBA11E8D3E}"/>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2 2 2" xfId="16522" xr:uid="{F3E94943-5FA8-4280-9360-EADEBFF08BAF}"/>
    <cellStyle name="Normal 2 4 5 2 2 2 4 2 3" xfId="12304" xr:uid="{80F1C3E4-5F61-43DA-9880-01F1A1768DA5}"/>
    <cellStyle name="Normal 2 4 5 2 2 2 4 3" xfId="5938" xr:uid="{00000000-0005-0000-0000-000044100000}"/>
    <cellStyle name="Normal 2 4 5 2 2 2 4 3 2" xfId="14377" xr:uid="{806C30CA-BF09-4333-9216-BDEE32BB4A55}"/>
    <cellStyle name="Normal 2 4 5 2 2 2 4 4" xfId="10159" xr:uid="{40293E2B-EF4D-43BF-91A8-C21CDE92ECB3}"/>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2 2 2" xfId="16935" xr:uid="{E693FC9F-2D5A-4953-B30A-CF0D9D94A558}"/>
    <cellStyle name="Normal 2 4 5 2 2 2 5 2 3" xfId="12717" xr:uid="{3E4650C0-10E5-4BA0-B728-A947EAD2DF44}"/>
    <cellStyle name="Normal 2 4 5 2 2 2 5 3" xfId="6351" xr:uid="{00000000-0005-0000-0000-000048100000}"/>
    <cellStyle name="Normal 2 4 5 2 2 2 5 3 2" xfId="14790" xr:uid="{F9CE19F4-D14D-4240-A910-446C028095F0}"/>
    <cellStyle name="Normal 2 4 5 2 2 2 5 4" xfId="10572" xr:uid="{121CD9E5-B2A1-41F1-965F-5C34495944DA}"/>
    <cellStyle name="Normal 2 4 5 2 2 2 6" xfId="2480" xr:uid="{00000000-0005-0000-0000-000049100000}"/>
    <cellStyle name="Normal 2 4 5 2 2 2 6 2" xfId="6764" xr:uid="{00000000-0005-0000-0000-00004A100000}"/>
    <cellStyle name="Normal 2 4 5 2 2 2 6 2 2" xfId="15203" xr:uid="{5E592E68-E71D-4125-B6F8-3B117EED1EC8}"/>
    <cellStyle name="Normal 2 4 5 2 2 2 6 3" xfId="10985" xr:uid="{EAEC3050-26DA-4E67-99A5-C330E45071E2}"/>
    <cellStyle name="Normal 2 4 5 2 2 2 7" xfId="4698" xr:uid="{00000000-0005-0000-0000-00004B100000}"/>
    <cellStyle name="Normal 2 4 5 2 2 2 7 2" xfId="13137" xr:uid="{FC0C0B03-F225-4E44-82F6-B916345B78BA}"/>
    <cellStyle name="Normal 2 4 5 2 2 2 8" xfId="8919" xr:uid="{CC368637-37D5-4FF1-BDB8-F9486B36BF6F}"/>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15695" xr:uid="{263F1E36-21E6-4A3B-BBD1-1B9A5023CEDA}"/>
    <cellStyle name="Normal 2 4 5 2 2 3 2 3" xfId="11477" xr:uid="{599EFEE7-674F-4318-AB60-0BABA585F32B}"/>
    <cellStyle name="Normal 2 4 5 2 2 3 3" xfId="5111" xr:uid="{00000000-0005-0000-0000-00004F100000}"/>
    <cellStyle name="Normal 2 4 5 2 2 3 3 2" xfId="13550" xr:uid="{BA0D2EFA-DC31-4FAA-974D-650ED9A9B0AF}"/>
    <cellStyle name="Normal 2 4 5 2 2 3 4" xfId="9332" xr:uid="{334FCB3D-8822-4B6A-8E96-93E3719C7EFD}"/>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2 2" xfId="16108" xr:uid="{1A1D8E9A-4E73-4164-B5E7-C81691421C7A}"/>
    <cellStyle name="Normal 2 4 5 2 2 4 2 3" xfId="11890" xr:uid="{749ACDF7-2417-43AD-9AE9-6F05C9D1F290}"/>
    <cellStyle name="Normal 2 4 5 2 2 4 3" xfId="5524" xr:uid="{00000000-0005-0000-0000-000053100000}"/>
    <cellStyle name="Normal 2 4 5 2 2 4 3 2" xfId="13963" xr:uid="{7E8BDA92-F8A2-4F8C-9AF0-D7797104905F}"/>
    <cellStyle name="Normal 2 4 5 2 2 4 4" xfId="9745" xr:uid="{0FE596DA-4424-4A99-A771-1337C86366BF}"/>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2 2 2" xfId="16521" xr:uid="{944B7DCB-D6EB-4162-AD92-DA9952901BBF}"/>
    <cellStyle name="Normal 2 4 5 2 2 5 2 3" xfId="12303" xr:uid="{BDE14F23-C40A-4D60-940A-91203DA6A0A2}"/>
    <cellStyle name="Normal 2 4 5 2 2 5 3" xfId="5937" xr:uid="{00000000-0005-0000-0000-000057100000}"/>
    <cellStyle name="Normal 2 4 5 2 2 5 3 2" xfId="14376" xr:uid="{56D00E0C-DB02-4A8B-AF0C-D437CFA033D0}"/>
    <cellStyle name="Normal 2 4 5 2 2 5 4" xfId="10158" xr:uid="{AE7B39B1-CF46-42D6-964F-7BEACBA1775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2 2 2" xfId="16934" xr:uid="{49334080-E883-4F18-8F01-9F7953AAAD5C}"/>
    <cellStyle name="Normal 2 4 5 2 2 6 2 3" xfId="12716" xr:uid="{6EAA68C4-3868-4D9E-80EE-904CBDD79B54}"/>
    <cellStyle name="Normal 2 4 5 2 2 6 3" xfId="6350" xr:uid="{00000000-0005-0000-0000-00005B100000}"/>
    <cellStyle name="Normal 2 4 5 2 2 6 3 2" xfId="14789" xr:uid="{C07CFE0F-03AD-40F6-AFC0-76C0B1F0962F}"/>
    <cellStyle name="Normal 2 4 5 2 2 6 4" xfId="10571" xr:uid="{F406DBD1-8A14-4F6F-B432-C6B00B0E038D}"/>
    <cellStyle name="Normal 2 4 5 2 2 7" xfId="2479" xr:uid="{00000000-0005-0000-0000-00005C100000}"/>
    <cellStyle name="Normal 2 4 5 2 2 7 2" xfId="6763" xr:uid="{00000000-0005-0000-0000-00005D100000}"/>
    <cellStyle name="Normal 2 4 5 2 2 7 2 2" xfId="15202" xr:uid="{23B90AF8-40FB-4048-A5E0-DE59B8BCDEC8}"/>
    <cellStyle name="Normal 2 4 5 2 2 7 3" xfId="10984" xr:uid="{65BFFD59-11F8-4EE4-8C41-DB3F3D83D13D}"/>
    <cellStyle name="Normal 2 4 5 2 2 8" xfId="4697" xr:uid="{00000000-0005-0000-0000-00005E100000}"/>
    <cellStyle name="Normal 2 4 5 2 2 8 2" xfId="13136" xr:uid="{3E94E1D0-CD73-4944-B300-C1C8A2523225}"/>
    <cellStyle name="Normal 2 4 5 2 2 9" xfId="8918" xr:uid="{70436BF0-F3F3-4A9B-AD20-8BCB4F97D7CA}"/>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15697" xr:uid="{BB0478F1-3487-47D0-89F2-7514E9292940}"/>
    <cellStyle name="Normal 2 4 5 2 3 2 2 3" xfId="11479" xr:uid="{E54D3FEE-8457-4618-B6E5-0DF097F10426}"/>
    <cellStyle name="Normal 2 4 5 2 3 2 3" xfId="5113" xr:uid="{00000000-0005-0000-0000-000063100000}"/>
    <cellStyle name="Normal 2 4 5 2 3 2 3 2" xfId="13552" xr:uid="{192D72DC-58D7-4882-8C06-734DFB04EF79}"/>
    <cellStyle name="Normal 2 4 5 2 3 2 4" xfId="9334" xr:uid="{6F5A6A6C-BFAB-424F-9669-B9FF1610A01C}"/>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2 2" xfId="16110" xr:uid="{45AEDEA9-2E18-49B9-9296-E489C0EF853C}"/>
    <cellStyle name="Normal 2 4 5 2 3 3 2 3" xfId="11892" xr:uid="{373B7445-068B-497D-A4BC-23B5DA9E78FE}"/>
    <cellStyle name="Normal 2 4 5 2 3 3 3" xfId="5526" xr:uid="{00000000-0005-0000-0000-000067100000}"/>
    <cellStyle name="Normal 2 4 5 2 3 3 3 2" xfId="13965" xr:uid="{91203447-9E8F-4584-99EC-933814B97F4F}"/>
    <cellStyle name="Normal 2 4 5 2 3 3 4" xfId="9747" xr:uid="{08B1DD88-6218-4688-A2E8-EC7D0EE1CC8E}"/>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2 2 2" xfId="16523" xr:uid="{DBC4BCB3-59CC-4B55-8990-FE14D96DCD17}"/>
    <cellStyle name="Normal 2 4 5 2 3 4 2 3" xfId="12305" xr:uid="{3F6BE027-BF4D-4EA2-A956-6BBD660D6694}"/>
    <cellStyle name="Normal 2 4 5 2 3 4 3" xfId="5939" xr:uid="{00000000-0005-0000-0000-00006B100000}"/>
    <cellStyle name="Normal 2 4 5 2 3 4 3 2" xfId="14378" xr:uid="{FFD00EBB-E417-4A7E-A4EA-BB574095FE8E}"/>
    <cellStyle name="Normal 2 4 5 2 3 4 4" xfId="10160" xr:uid="{53BF6CF9-3055-4CF3-AEEE-220C210E7425}"/>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2 2 2" xfId="16936" xr:uid="{B0BD00F1-AEE0-4A16-B30D-A9F087A7973B}"/>
    <cellStyle name="Normal 2 4 5 2 3 5 2 3" xfId="12718" xr:uid="{29C1CE24-BE37-4134-B678-6C642E1D60E2}"/>
    <cellStyle name="Normal 2 4 5 2 3 5 3" xfId="6352" xr:uid="{00000000-0005-0000-0000-00006F100000}"/>
    <cellStyle name="Normal 2 4 5 2 3 5 3 2" xfId="14791" xr:uid="{9973CD02-3C88-4848-97DA-D5D5F654DE2C}"/>
    <cellStyle name="Normal 2 4 5 2 3 5 4" xfId="10573" xr:uid="{ED9C1B81-4547-4236-8129-EBFD82A2E525}"/>
    <cellStyle name="Normal 2 4 5 2 3 6" xfId="2481" xr:uid="{00000000-0005-0000-0000-000070100000}"/>
    <cellStyle name="Normal 2 4 5 2 3 6 2" xfId="6765" xr:uid="{00000000-0005-0000-0000-000071100000}"/>
    <cellStyle name="Normal 2 4 5 2 3 6 2 2" xfId="15204" xr:uid="{6F8215E1-3C6E-4305-88A6-F0F2D19E59B9}"/>
    <cellStyle name="Normal 2 4 5 2 3 6 3" xfId="10986" xr:uid="{C3A5EB79-CEFF-4880-BB43-3BFCACA551CB}"/>
    <cellStyle name="Normal 2 4 5 2 3 7" xfId="4699" xr:uid="{00000000-0005-0000-0000-000072100000}"/>
    <cellStyle name="Normal 2 4 5 2 3 7 2" xfId="13138" xr:uid="{0CC2915F-EB3A-45EF-B204-CA14A4DA4A2A}"/>
    <cellStyle name="Normal 2 4 5 2 3 8" xfId="8920" xr:uid="{D371B962-2EC9-4380-A039-B9BB45A43A21}"/>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15694" xr:uid="{2CFE6B37-CA8C-4F46-BEEA-3EA754B1ECDA}"/>
    <cellStyle name="Normal 2 4 5 2 4 2 3" xfId="11476" xr:uid="{31081897-C64C-495B-9E95-3FDE46C9FF9E}"/>
    <cellStyle name="Normal 2 4 5 2 4 3" xfId="5110" xr:uid="{00000000-0005-0000-0000-000076100000}"/>
    <cellStyle name="Normal 2 4 5 2 4 3 2" xfId="13549" xr:uid="{08B1C625-2A51-4FB6-98A2-C4843F7DF880}"/>
    <cellStyle name="Normal 2 4 5 2 4 4" xfId="9331" xr:uid="{DEE0E053-ED76-41CA-9DD3-BD16BEDE9E90}"/>
    <cellStyle name="Normal 2 4 5 2 5" xfId="1215" xr:uid="{00000000-0005-0000-0000-000077100000}"/>
    <cellStyle name="Normal 2 4 5 2 5 2" xfId="3445" xr:uid="{00000000-0005-0000-0000-000078100000}"/>
    <cellStyle name="Normal 2 4 5 2 5 2 2" xfId="7668" xr:uid="{00000000-0005-0000-0000-000079100000}"/>
    <cellStyle name="Normal 2 4 5 2 5 2 2 2" xfId="16107" xr:uid="{61FD5187-722C-48B7-A669-E2231E735FE9}"/>
    <cellStyle name="Normal 2 4 5 2 5 2 3" xfId="11889" xr:uid="{298F0C77-BCC5-4C24-B811-69F46E5F50EE}"/>
    <cellStyle name="Normal 2 4 5 2 5 3" xfId="5523" xr:uid="{00000000-0005-0000-0000-00007A100000}"/>
    <cellStyle name="Normal 2 4 5 2 5 3 2" xfId="13962" xr:uid="{965273B1-4132-4C81-9BA6-EB0B9E7AEE89}"/>
    <cellStyle name="Normal 2 4 5 2 5 4" xfId="9744" xr:uid="{9F0EDE15-F030-40E0-B0FD-8420E7F46BF9}"/>
    <cellStyle name="Normal 2 4 5 2 6" xfId="1628" xr:uid="{00000000-0005-0000-0000-00007B100000}"/>
    <cellStyle name="Normal 2 4 5 2 6 2" xfId="3858" xr:uid="{00000000-0005-0000-0000-00007C100000}"/>
    <cellStyle name="Normal 2 4 5 2 6 2 2" xfId="8081" xr:uid="{00000000-0005-0000-0000-00007D100000}"/>
    <cellStyle name="Normal 2 4 5 2 6 2 2 2" xfId="16520" xr:uid="{CF93E39C-DAC4-49BE-8058-BAAF708C55CC}"/>
    <cellStyle name="Normal 2 4 5 2 6 2 3" xfId="12302" xr:uid="{92B7CB6D-2416-4B3B-93F1-CE526B2A9CFB}"/>
    <cellStyle name="Normal 2 4 5 2 6 3" xfId="5936" xr:uid="{00000000-0005-0000-0000-00007E100000}"/>
    <cellStyle name="Normal 2 4 5 2 6 3 2" xfId="14375" xr:uid="{63EBF87E-DC52-40DB-94FD-707DF2F3A58A}"/>
    <cellStyle name="Normal 2 4 5 2 6 4" xfId="10157" xr:uid="{7D5F7905-9B38-493C-A29B-3C528D42873E}"/>
    <cellStyle name="Normal 2 4 5 2 7" xfId="2042" xr:uid="{00000000-0005-0000-0000-00007F100000}"/>
    <cellStyle name="Normal 2 4 5 2 7 2" xfId="4271" xr:uid="{00000000-0005-0000-0000-000080100000}"/>
    <cellStyle name="Normal 2 4 5 2 7 2 2" xfId="8494" xr:uid="{00000000-0005-0000-0000-000081100000}"/>
    <cellStyle name="Normal 2 4 5 2 7 2 2 2" xfId="16933" xr:uid="{CB72ADD2-CBA5-4008-9982-7925991E412D}"/>
    <cellStyle name="Normal 2 4 5 2 7 2 3" xfId="12715" xr:uid="{19614C66-CD5B-465B-B6B3-2F4CC76AA20A}"/>
    <cellStyle name="Normal 2 4 5 2 7 3" xfId="6349" xr:uid="{00000000-0005-0000-0000-000082100000}"/>
    <cellStyle name="Normal 2 4 5 2 7 3 2" xfId="14788" xr:uid="{17FB14A5-58C0-4277-90CD-3A6FA9BC1461}"/>
    <cellStyle name="Normal 2 4 5 2 7 4" xfId="10570" xr:uid="{978DC4B5-A1F9-4505-AAFB-6B3CE091BE7F}"/>
    <cellStyle name="Normal 2 4 5 2 8" xfId="2478" xr:uid="{00000000-0005-0000-0000-000083100000}"/>
    <cellStyle name="Normal 2 4 5 2 8 2" xfId="6762" xr:uid="{00000000-0005-0000-0000-000084100000}"/>
    <cellStyle name="Normal 2 4 5 2 8 2 2" xfId="15201" xr:uid="{A756D1AD-F65B-4E60-A476-046C7B99E4D1}"/>
    <cellStyle name="Normal 2 4 5 2 8 3" xfId="10983" xr:uid="{1FBFC952-096C-4D61-9F1E-EFBD43631EC9}"/>
    <cellStyle name="Normal 2 4 5 2 9" xfId="4696" xr:uid="{00000000-0005-0000-0000-000085100000}"/>
    <cellStyle name="Normal 2 4 5 2 9 2" xfId="13135" xr:uid="{8DBC0CAE-FB76-4055-B6E3-67BD32CF15E1}"/>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15699" xr:uid="{14A611B9-E9F3-479B-A8BC-0957F6CC5D4D}"/>
    <cellStyle name="Normal 2 4 5 3 2 2 2 3" xfId="11481" xr:uid="{9FF2957E-02A0-4E54-B5D0-ED67A6AE39B7}"/>
    <cellStyle name="Normal 2 4 5 3 2 2 3" xfId="5115" xr:uid="{00000000-0005-0000-0000-00008B100000}"/>
    <cellStyle name="Normal 2 4 5 3 2 2 3 2" xfId="13554" xr:uid="{9335D65A-17CE-44FD-AA86-55FA52965873}"/>
    <cellStyle name="Normal 2 4 5 3 2 2 4" xfId="9336" xr:uid="{8CA8F625-04C3-492B-9E16-3722322629AD}"/>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2 2" xfId="16112" xr:uid="{05476E70-053A-4D10-A121-2B337C1B727F}"/>
    <cellStyle name="Normal 2 4 5 3 2 3 2 3" xfId="11894" xr:uid="{7BD6167A-2D5A-4FEC-8725-0A6A045F4473}"/>
    <cellStyle name="Normal 2 4 5 3 2 3 3" xfId="5528" xr:uid="{00000000-0005-0000-0000-00008F100000}"/>
    <cellStyle name="Normal 2 4 5 3 2 3 3 2" xfId="13967" xr:uid="{881D8901-71FB-44D1-B5AE-1F11DD2F42D8}"/>
    <cellStyle name="Normal 2 4 5 3 2 3 4" xfId="9749" xr:uid="{C76738D2-DD0A-48C2-8881-1A37E76ADABF}"/>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2 2 2" xfId="16525" xr:uid="{BE4C6484-C3B0-4D6C-B164-4E8FF8912B0A}"/>
    <cellStyle name="Normal 2 4 5 3 2 4 2 3" xfId="12307" xr:uid="{D75FDFF7-757A-42EE-9874-DE688948CE36}"/>
    <cellStyle name="Normal 2 4 5 3 2 4 3" xfId="5941" xr:uid="{00000000-0005-0000-0000-000093100000}"/>
    <cellStyle name="Normal 2 4 5 3 2 4 3 2" xfId="14380" xr:uid="{C3210995-F7B9-44E3-88DD-DBF9DE17B7AB}"/>
    <cellStyle name="Normal 2 4 5 3 2 4 4" xfId="10162" xr:uid="{1BDB1517-8F47-4FCF-AE07-4E730933A1A7}"/>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2 2 2" xfId="16938" xr:uid="{92502051-3157-4A63-A948-AFEF0F288B9C}"/>
    <cellStyle name="Normal 2 4 5 3 2 5 2 3" xfId="12720" xr:uid="{CF61FDAE-ABF3-43D1-9AC8-D4A18DCF2198}"/>
    <cellStyle name="Normal 2 4 5 3 2 5 3" xfId="6354" xr:uid="{00000000-0005-0000-0000-000097100000}"/>
    <cellStyle name="Normal 2 4 5 3 2 5 3 2" xfId="14793" xr:uid="{97863D44-788C-4632-87BA-1C2C8248B61E}"/>
    <cellStyle name="Normal 2 4 5 3 2 5 4" xfId="10575" xr:uid="{5C6C4321-09C9-4353-ADB8-C8FDD563BADB}"/>
    <cellStyle name="Normal 2 4 5 3 2 6" xfId="2483" xr:uid="{00000000-0005-0000-0000-000098100000}"/>
    <cellStyle name="Normal 2 4 5 3 2 6 2" xfId="6767" xr:uid="{00000000-0005-0000-0000-000099100000}"/>
    <cellStyle name="Normal 2 4 5 3 2 6 2 2" xfId="15206" xr:uid="{106D7F45-A95E-4D1E-9623-C17DD1DEF273}"/>
    <cellStyle name="Normal 2 4 5 3 2 6 3" xfId="10988" xr:uid="{DF4D5324-4D4E-49BA-A933-A8DD639F5E7C}"/>
    <cellStyle name="Normal 2 4 5 3 2 7" xfId="4701" xr:uid="{00000000-0005-0000-0000-00009A100000}"/>
    <cellStyle name="Normal 2 4 5 3 2 7 2" xfId="13140" xr:uid="{20039CF4-9336-4F36-BB1C-850E3BCB2599}"/>
    <cellStyle name="Normal 2 4 5 3 2 8" xfId="8922" xr:uid="{805DA734-5E67-4B49-A3A6-530AD268274B}"/>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15698" xr:uid="{103EAC99-0091-457D-A299-B92B82D33DF6}"/>
    <cellStyle name="Normal 2 4 5 3 3 2 3" xfId="11480" xr:uid="{AC625485-A356-418B-858F-246E53D734CB}"/>
    <cellStyle name="Normal 2 4 5 3 3 3" xfId="5114" xr:uid="{00000000-0005-0000-0000-00009E100000}"/>
    <cellStyle name="Normal 2 4 5 3 3 3 2" xfId="13553" xr:uid="{E39EE8C6-78D0-4857-8A98-38E5FBFA1D63}"/>
    <cellStyle name="Normal 2 4 5 3 3 4" xfId="9335" xr:uid="{81FDE0B4-E83F-4C84-814A-3C8F92BEBD0F}"/>
    <cellStyle name="Normal 2 4 5 3 4" xfId="1219" xr:uid="{00000000-0005-0000-0000-00009F100000}"/>
    <cellStyle name="Normal 2 4 5 3 4 2" xfId="3449" xr:uid="{00000000-0005-0000-0000-0000A0100000}"/>
    <cellStyle name="Normal 2 4 5 3 4 2 2" xfId="7672" xr:uid="{00000000-0005-0000-0000-0000A1100000}"/>
    <cellStyle name="Normal 2 4 5 3 4 2 2 2" xfId="16111" xr:uid="{FEC6C30D-ACAE-4045-B93D-D4888D3015C0}"/>
    <cellStyle name="Normal 2 4 5 3 4 2 3" xfId="11893" xr:uid="{B78C0B4B-FAF6-45E7-B591-5BD950A2E1B9}"/>
    <cellStyle name="Normal 2 4 5 3 4 3" xfId="5527" xr:uid="{00000000-0005-0000-0000-0000A2100000}"/>
    <cellStyle name="Normal 2 4 5 3 4 3 2" xfId="13966" xr:uid="{9A258005-1794-4EFA-81A0-E9A6629170D7}"/>
    <cellStyle name="Normal 2 4 5 3 4 4" xfId="9748" xr:uid="{3DFC0333-0C80-4EFF-A001-01479EFE0A92}"/>
    <cellStyle name="Normal 2 4 5 3 5" xfId="1632" xr:uid="{00000000-0005-0000-0000-0000A3100000}"/>
    <cellStyle name="Normal 2 4 5 3 5 2" xfId="3862" xr:uid="{00000000-0005-0000-0000-0000A4100000}"/>
    <cellStyle name="Normal 2 4 5 3 5 2 2" xfId="8085" xr:uid="{00000000-0005-0000-0000-0000A5100000}"/>
    <cellStyle name="Normal 2 4 5 3 5 2 2 2" xfId="16524" xr:uid="{E121F6ED-85F0-4DDD-90C3-AB145B2AFE91}"/>
    <cellStyle name="Normal 2 4 5 3 5 2 3" xfId="12306" xr:uid="{CC6D043A-4E0F-4EE2-A0FE-2CBF61C1F187}"/>
    <cellStyle name="Normal 2 4 5 3 5 3" xfId="5940" xr:uid="{00000000-0005-0000-0000-0000A6100000}"/>
    <cellStyle name="Normal 2 4 5 3 5 3 2" xfId="14379" xr:uid="{5F9F4882-4C75-4A43-B14D-7E46C34BE4F0}"/>
    <cellStyle name="Normal 2 4 5 3 5 4" xfId="10161" xr:uid="{A2F7D8F0-DB32-43C0-B9E8-D6C0581D8E8E}"/>
    <cellStyle name="Normal 2 4 5 3 6" xfId="2046" xr:uid="{00000000-0005-0000-0000-0000A7100000}"/>
    <cellStyle name="Normal 2 4 5 3 6 2" xfId="4275" xr:uid="{00000000-0005-0000-0000-0000A8100000}"/>
    <cellStyle name="Normal 2 4 5 3 6 2 2" xfId="8498" xr:uid="{00000000-0005-0000-0000-0000A9100000}"/>
    <cellStyle name="Normal 2 4 5 3 6 2 2 2" xfId="16937" xr:uid="{3AD83C86-8B02-43D9-BA14-BD2BB560D79E}"/>
    <cellStyle name="Normal 2 4 5 3 6 2 3" xfId="12719" xr:uid="{E3F5E82C-0508-470B-88E6-DE445A724DFE}"/>
    <cellStyle name="Normal 2 4 5 3 6 3" xfId="6353" xr:uid="{00000000-0005-0000-0000-0000AA100000}"/>
    <cellStyle name="Normal 2 4 5 3 6 3 2" xfId="14792" xr:uid="{B8D6F5F8-2F64-46FF-9D96-9D8F21B5780B}"/>
    <cellStyle name="Normal 2 4 5 3 6 4" xfId="10574" xr:uid="{40E5853F-94C6-479B-B6BE-07902993CD62}"/>
    <cellStyle name="Normal 2 4 5 3 7" xfId="2482" xr:uid="{00000000-0005-0000-0000-0000AB100000}"/>
    <cellStyle name="Normal 2 4 5 3 7 2" xfId="6766" xr:uid="{00000000-0005-0000-0000-0000AC100000}"/>
    <cellStyle name="Normal 2 4 5 3 7 2 2" xfId="15205" xr:uid="{E0228A1E-7774-4B50-A18A-DA65810D1529}"/>
    <cellStyle name="Normal 2 4 5 3 7 3" xfId="10987" xr:uid="{A773D497-28C7-44FE-844B-191FBE09724F}"/>
    <cellStyle name="Normal 2 4 5 3 8" xfId="4700" xr:uid="{00000000-0005-0000-0000-0000AD100000}"/>
    <cellStyle name="Normal 2 4 5 3 8 2" xfId="13139" xr:uid="{0F869955-30D2-4670-8EF4-9D851B4BA698}"/>
    <cellStyle name="Normal 2 4 5 3 9" xfId="8921" xr:uid="{66BAC986-9430-44E2-905E-6298DC8CB6A6}"/>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15700" xr:uid="{418A4D3F-2A82-4E2D-B009-D70D9A313844}"/>
    <cellStyle name="Normal 2 4 5 4 2 2 3" xfId="11482" xr:uid="{025630C3-54BA-4FD5-99BC-E7EF69C5839F}"/>
    <cellStyle name="Normal 2 4 5 4 2 3" xfId="5116" xr:uid="{00000000-0005-0000-0000-0000B2100000}"/>
    <cellStyle name="Normal 2 4 5 4 2 3 2" xfId="13555" xr:uid="{62F4D8E4-1150-4722-9A68-776299615FE1}"/>
    <cellStyle name="Normal 2 4 5 4 2 4" xfId="9337" xr:uid="{82D65D4D-78BC-466C-BE03-DE1FA6911CED}"/>
    <cellStyle name="Normal 2 4 5 4 3" xfId="1221" xr:uid="{00000000-0005-0000-0000-0000B3100000}"/>
    <cellStyle name="Normal 2 4 5 4 3 2" xfId="3451" xr:uid="{00000000-0005-0000-0000-0000B4100000}"/>
    <cellStyle name="Normal 2 4 5 4 3 2 2" xfId="7674" xr:uid="{00000000-0005-0000-0000-0000B5100000}"/>
    <cellStyle name="Normal 2 4 5 4 3 2 2 2" xfId="16113" xr:uid="{FBECFC6C-D595-4778-A9D3-6906A4068481}"/>
    <cellStyle name="Normal 2 4 5 4 3 2 3" xfId="11895" xr:uid="{75006BD4-8CF1-4AFB-9AC8-1394BE0FD7F1}"/>
    <cellStyle name="Normal 2 4 5 4 3 3" xfId="5529" xr:uid="{00000000-0005-0000-0000-0000B6100000}"/>
    <cellStyle name="Normal 2 4 5 4 3 3 2" xfId="13968" xr:uid="{2489E6A1-EB2E-470A-8741-6D8D01B4FD7D}"/>
    <cellStyle name="Normal 2 4 5 4 3 4" xfId="9750" xr:uid="{5360BD0D-5E25-4C61-A266-FD9480DE001B}"/>
    <cellStyle name="Normal 2 4 5 4 4" xfId="1634" xr:uid="{00000000-0005-0000-0000-0000B7100000}"/>
    <cellStyle name="Normal 2 4 5 4 4 2" xfId="3864" xr:uid="{00000000-0005-0000-0000-0000B8100000}"/>
    <cellStyle name="Normal 2 4 5 4 4 2 2" xfId="8087" xr:uid="{00000000-0005-0000-0000-0000B9100000}"/>
    <cellStyle name="Normal 2 4 5 4 4 2 2 2" xfId="16526" xr:uid="{F4908540-451B-496E-A8E2-191D1E0A3433}"/>
    <cellStyle name="Normal 2 4 5 4 4 2 3" xfId="12308" xr:uid="{C2D86077-CF4F-447E-BE20-3B24C8A07AD4}"/>
    <cellStyle name="Normal 2 4 5 4 4 3" xfId="5942" xr:uid="{00000000-0005-0000-0000-0000BA100000}"/>
    <cellStyle name="Normal 2 4 5 4 4 3 2" xfId="14381" xr:uid="{48D83031-201A-4668-9709-09E5613A09D6}"/>
    <cellStyle name="Normal 2 4 5 4 4 4" xfId="10163" xr:uid="{9FE8FCFF-B793-403B-920A-B42992A48CF9}"/>
    <cellStyle name="Normal 2 4 5 4 5" xfId="2048" xr:uid="{00000000-0005-0000-0000-0000BB100000}"/>
    <cellStyle name="Normal 2 4 5 4 5 2" xfId="4277" xr:uid="{00000000-0005-0000-0000-0000BC100000}"/>
    <cellStyle name="Normal 2 4 5 4 5 2 2" xfId="8500" xr:uid="{00000000-0005-0000-0000-0000BD100000}"/>
    <cellStyle name="Normal 2 4 5 4 5 2 2 2" xfId="16939" xr:uid="{D75C205C-97D1-4A00-BC73-821E83BE5C57}"/>
    <cellStyle name="Normal 2 4 5 4 5 2 3" xfId="12721" xr:uid="{9A16CA56-FAF9-4411-823F-E5C107E79B24}"/>
    <cellStyle name="Normal 2 4 5 4 5 3" xfId="6355" xr:uid="{00000000-0005-0000-0000-0000BE100000}"/>
    <cellStyle name="Normal 2 4 5 4 5 3 2" xfId="14794" xr:uid="{306A2F4A-42E4-4343-A146-67B3F4A67230}"/>
    <cellStyle name="Normal 2 4 5 4 5 4" xfId="10576" xr:uid="{C09D8CE7-2D1D-4226-9AE7-E777BD61D4E4}"/>
    <cellStyle name="Normal 2 4 5 4 6" xfId="2484" xr:uid="{00000000-0005-0000-0000-0000BF100000}"/>
    <cellStyle name="Normal 2 4 5 4 6 2" xfId="6768" xr:uid="{00000000-0005-0000-0000-0000C0100000}"/>
    <cellStyle name="Normal 2 4 5 4 6 2 2" xfId="15207" xr:uid="{81D8C792-C9BD-477F-9758-437D57DD33C3}"/>
    <cellStyle name="Normal 2 4 5 4 6 3" xfId="10989" xr:uid="{F649B0B1-D281-4610-B396-10900ACC3A18}"/>
    <cellStyle name="Normal 2 4 5 4 7" xfId="4702" xr:uid="{00000000-0005-0000-0000-0000C1100000}"/>
    <cellStyle name="Normal 2 4 5 4 7 2" xfId="13141" xr:uid="{057ECD9F-0E34-4854-A7B8-0F6C901EF50A}"/>
    <cellStyle name="Normal 2 4 5 4 8" xfId="8923" xr:uid="{DD7C626A-3398-44B5-940C-3B813530D405}"/>
    <cellStyle name="Normal 2 4 5 5" xfId="792" xr:uid="{00000000-0005-0000-0000-0000C2100000}"/>
    <cellStyle name="Normal 2 4 5 5 2" xfId="3031" xr:uid="{00000000-0005-0000-0000-0000C3100000}"/>
    <cellStyle name="Normal 2 4 5 5 2 2" xfId="7254" xr:uid="{00000000-0005-0000-0000-0000C4100000}"/>
    <cellStyle name="Normal 2 4 5 5 2 2 2" xfId="15693" xr:uid="{14E65A84-1A3A-41D5-8189-DD59576D110F}"/>
    <cellStyle name="Normal 2 4 5 5 2 3" xfId="11475" xr:uid="{08E7A2EE-4145-4657-9CD8-A620E4F7852E}"/>
    <cellStyle name="Normal 2 4 5 5 3" xfId="5109" xr:uid="{00000000-0005-0000-0000-0000C5100000}"/>
    <cellStyle name="Normal 2 4 5 5 3 2" xfId="13548" xr:uid="{C9F9698F-6B64-4C3D-A2D7-C7ADE3193759}"/>
    <cellStyle name="Normal 2 4 5 5 4" xfId="9330" xr:uid="{BA6C2668-F775-428D-A45D-FA29D662C6E8}"/>
    <cellStyle name="Normal 2 4 5 6" xfId="1214" xr:uid="{00000000-0005-0000-0000-0000C6100000}"/>
    <cellStyle name="Normal 2 4 5 6 2" xfId="3444" xr:uid="{00000000-0005-0000-0000-0000C7100000}"/>
    <cellStyle name="Normal 2 4 5 6 2 2" xfId="7667" xr:uid="{00000000-0005-0000-0000-0000C8100000}"/>
    <cellStyle name="Normal 2 4 5 6 2 2 2" xfId="16106" xr:uid="{3BA9054D-A766-4A7F-AA1D-642754F47D41}"/>
    <cellStyle name="Normal 2 4 5 6 2 3" xfId="11888" xr:uid="{D56CCF5D-65E7-4617-A75D-80764C0EA228}"/>
    <cellStyle name="Normal 2 4 5 6 3" xfId="5522" xr:uid="{00000000-0005-0000-0000-0000C9100000}"/>
    <cellStyle name="Normal 2 4 5 6 3 2" xfId="13961" xr:uid="{B0B31290-CC0A-4B26-A86B-1656DB08F3B3}"/>
    <cellStyle name="Normal 2 4 5 6 4" xfId="9743" xr:uid="{4B0146BD-2DE5-4FC5-82EB-FBCBB482A1D8}"/>
    <cellStyle name="Normal 2 4 5 7" xfId="1627" xr:uid="{00000000-0005-0000-0000-0000CA100000}"/>
    <cellStyle name="Normal 2 4 5 7 2" xfId="3857" xr:uid="{00000000-0005-0000-0000-0000CB100000}"/>
    <cellStyle name="Normal 2 4 5 7 2 2" xfId="8080" xr:uid="{00000000-0005-0000-0000-0000CC100000}"/>
    <cellStyle name="Normal 2 4 5 7 2 2 2" xfId="16519" xr:uid="{84D63829-65EB-4063-AA03-8F8EF72E9008}"/>
    <cellStyle name="Normal 2 4 5 7 2 3" xfId="12301" xr:uid="{D04461B3-D411-44ED-8133-BD49E6688AE8}"/>
    <cellStyle name="Normal 2 4 5 7 3" xfId="5935" xr:uid="{00000000-0005-0000-0000-0000CD100000}"/>
    <cellStyle name="Normal 2 4 5 7 3 2" xfId="14374" xr:uid="{DF605CDD-00A3-4E26-B786-B08C34905C9C}"/>
    <cellStyle name="Normal 2 4 5 7 4" xfId="10156" xr:uid="{3B0BE7BF-C18B-42CC-88B6-E119529B49AC}"/>
    <cellStyle name="Normal 2 4 5 8" xfId="2041" xr:uid="{00000000-0005-0000-0000-0000CE100000}"/>
    <cellStyle name="Normal 2 4 5 8 2" xfId="4270" xr:uid="{00000000-0005-0000-0000-0000CF100000}"/>
    <cellStyle name="Normal 2 4 5 8 2 2" xfId="8493" xr:uid="{00000000-0005-0000-0000-0000D0100000}"/>
    <cellStyle name="Normal 2 4 5 8 2 2 2" xfId="16932" xr:uid="{EA4B2311-4D8C-47A0-997F-FE9501B07478}"/>
    <cellStyle name="Normal 2 4 5 8 2 3" xfId="12714" xr:uid="{1CB895BA-3C11-4EF6-B1A0-A21D329DC5D8}"/>
    <cellStyle name="Normal 2 4 5 8 3" xfId="6348" xr:uid="{00000000-0005-0000-0000-0000D1100000}"/>
    <cellStyle name="Normal 2 4 5 8 3 2" xfId="14787" xr:uid="{0B01FDD3-2FFB-423E-B1DE-C34483E6087C}"/>
    <cellStyle name="Normal 2 4 5 8 4" xfId="10569" xr:uid="{193F1564-FDA5-42A0-B6E3-6F1603A9E97A}"/>
    <cellStyle name="Normal 2 4 5 9" xfId="2477" xr:uid="{00000000-0005-0000-0000-0000D2100000}"/>
    <cellStyle name="Normal 2 4 5 9 2" xfId="6761" xr:uid="{00000000-0005-0000-0000-0000D3100000}"/>
    <cellStyle name="Normal 2 4 5 9 2 2" xfId="15200" xr:uid="{C6A17460-39F4-45F4-8949-6A213C336E58}"/>
    <cellStyle name="Normal 2 4 5 9 3" xfId="10982" xr:uid="{54640C3E-3DC7-431A-AF5E-A6BE707E6257}"/>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15702" xr:uid="{82972FF3-2EAB-4217-BE7B-A8DC00380EA6}"/>
    <cellStyle name="Normal 2 4 7 2 2 2 3" xfId="11484" xr:uid="{5ADA7DEC-3D30-4985-BA41-EECE21F31AF5}"/>
    <cellStyle name="Normal 2 4 7 2 2 3" xfId="5118" xr:uid="{00000000-0005-0000-0000-0000DA100000}"/>
    <cellStyle name="Normal 2 4 7 2 2 3 2" xfId="13557" xr:uid="{2485291C-8AC1-41F0-AA93-01D8A324B93D}"/>
    <cellStyle name="Normal 2 4 7 2 2 4" xfId="9339" xr:uid="{9BF4A473-4F6C-4498-9B16-0BC7B0113AB3}"/>
    <cellStyle name="Normal 2 4 7 2 3" xfId="1223" xr:uid="{00000000-0005-0000-0000-0000DB100000}"/>
    <cellStyle name="Normal 2 4 7 2 3 2" xfId="3453" xr:uid="{00000000-0005-0000-0000-0000DC100000}"/>
    <cellStyle name="Normal 2 4 7 2 3 2 2" xfId="7676" xr:uid="{00000000-0005-0000-0000-0000DD100000}"/>
    <cellStyle name="Normal 2 4 7 2 3 2 2 2" xfId="16115" xr:uid="{36AE6411-F6A9-4C7B-B79E-C10A2D02E95B}"/>
    <cellStyle name="Normal 2 4 7 2 3 2 3" xfId="11897" xr:uid="{A220B144-75F7-4FDD-8267-2AEDA135BCD5}"/>
    <cellStyle name="Normal 2 4 7 2 3 3" xfId="5531" xr:uid="{00000000-0005-0000-0000-0000DE100000}"/>
    <cellStyle name="Normal 2 4 7 2 3 3 2" xfId="13970" xr:uid="{5D11819E-D75A-4710-8886-48F3EA4E9AEC}"/>
    <cellStyle name="Normal 2 4 7 2 3 4" xfId="9752" xr:uid="{AB3DF130-878D-46B6-9CEE-E93E2E0540AE}"/>
    <cellStyle name="Normal 2 4 7 2 4" xfId="1636" xr:uid="{00000000-0005-0000-0000-0000DF100000}"/>
    <cellStyle name="Normal 2 4 7 2 4 2" xfId="3866" xr:uid="{00000000-0005-0000-0000-0000E0100000}"/>
    <cellStyle name="Normal 2 4 7 2 4 2 2" xfId="8089" xr:uid="{00000000-0005-0000-0000-0000E1100000}"/>
    <cellStyle name="Normal 2 4 7 2 4 2 2 2" xfId="16528" xr:uid="{0B06BB7D-3454-491C-901D-831162147771}"/>
    <cellStyle name="Normal 2 4 7 2 4 2 3" xfId="12310" xr:uid="{C8B8C305-9969-44A5-84FA-86438500DF41}"/>
    <cellStyle name="Normal 2 4 7 2 4 3" xfId="5944" xr:uid="{00000000-0005-0000-0000-0000E2100000}"/>
    <cellStyle name="Normal 2 4 7 2 4 3 2" xfId="14383" xr:uid="{ED7349EC-CE99-45B9-A792-902AE45D46EE}"/>
    <cellStyle name="Normal 2 4 7 2 4 4" xfId="10165" xr:uid="{612634C0-7AF6-425D-AC38-A009C578C2B0}"/>
    <cellStyle name="Normal 2 4 7 2 5" xfId="2050" xr:uid="{00000000-0005-0000-0000-0000E3100000}"/>
    <cellStyle name="Normal 2 4 7 2 5 2" xfId="4279" xr:uid="{00000000-0005-0000-0000-0000E4100000}"/>
    <cellStyle name="Normal 2 4 7 2 5 2 2" xfId="8502" xr:uid="{00000000-0005-0000-0000-0000E5100000}"/>
    <cellStyle name="Normal 2 4 7 2 5 2 2 2" xfId="16941" xr:uid="{BE5CE74E-24A9-4EA9-9726-18CA62AF1CB2}"/>
    <cellStyle name="Normal 2 4 7 2 5 2 3" xfId="12723" xr:uid="{3474C82D-1162-4949-9986-7CE87DE75DF5}"/>
    <cellStyle name="Normal 2 4 7 2 5 3" xfId="6357" xr:uid="{00000000-0005-0000-0000-0000E6100000}"/>
    <cellStyle name="Normal 2 4 7 2 5 3 2" xfId="14796" xr:uid="{87848175-81C5-458D-9EF7-D2171993333C}"/>
    <cellStyle name="Normal 2 4 7 2 5 4" xfId="10578" xr:uid="{327C1A92-AB7A-4AF6-AAC3-C2AB8B2FB206}"/>
    <cellStyle name="Normal 2 4 7 2 6" xfId="2486" xr:uid="{00000000-0005-0000-0000-0000E7100000}"/>
    <cellStyle name="Normal 2 4 7 2 6 2" xfId="6770" xr:uid="{00000000-0005-0000-0000-0000E8100000}"/>
    <cellStyle name="Normal 2 4 7 2 6 2 2" xfId="15209" xr:uid="{69316835-D2E4-49FF-85CE-A829A5982F3C}"/>
    <cellStyle name="Normal 2 4 7 2 6 3" xfId="10991" xr:uid="{04B7919A-BF3C-483A-A256-4C2543B1FDA3}"/>
    <cellStyle name="Normal 2 4 7 2 7" xfId="4704" xr:uid="{00000000-0005-0000-0000-0000E9100000}"/>
    <cellStyle name="Normal 2 4 7 2 7 2" xfId="13143" xr:uid="{9D8BFF06-9A4D-4B2F-B863-A1C37FA20D05}"/>
    <cellStyle name="Normal 2 4 7 2 8" xfId="8925" xr:uid="{01BB0598-1763-4F13-84DB-19E862C6EEE0}"/>
    <cellStyle name="Normal 2 4 7 3" xfId="800" xr:uid="{00000000-0005-0000-0000-0000EA100000}"/>
    <cellStyle name="Normal 2 4 7 3 2" xfId="3039" xr:uid="{00000000-0005-0000-0000-0000EB100000}"/>
    <cellStyle name="Normal 2 4 7 3 2 2" xfId="7262" xr:uid="{00000000-0005-0000-0000-0000EC100000}"/>
    <cellStyle name="Normal 2 4 7 3 2 2 2" xfId="15701" xr:uid="{5290A776-94E0-4363-A9A1-31714B49F60E}"/>
    <cellStyle name="Normal 2 4 7 3 2 3" xfId="11483" xr:uid="{CE5A7A22-1F02-4EDF-AB6B-00FA6182D390}"/>
    <cellStyle name="Normal 2 4 7 3 3" xfId="5117" xr:uid="{00000000-0005-0000-0000-0000ED100000}"/>
    <cellStyle name="Normal 2 4 7 3 3 2" xfId="13556" xr:uid="{13A9DB9D-BC28-4BA2-9C1C-03B5C6551612}"/>
    <cellStyle name="Normal 2 4 7 3 4" xfId="9338" xr:uid="{C801A86D-A918-402C-9005-52D307D6D84E}"/>
    <cellStyle name="Normal 2 4 7 4" xfId="1222" xr:uid="{00000000-0005-0000-0000-0000EE100000}"/>
    <cellStyle name="Normal 2 4 7 4 2" xfId="3452" xr:uid="{00000000-0005-0000-0000-0000EF100000}"/>
    <cellStyle name="Normal 2 4 7 4 2 2" xfId="7675" xr:uid="{00000000-0005-0000-0000-0000F0100000}"/>
    <cellStyle name="Normal 2 4 7 4 2 2 2" xfId="16114" xr:uid="{D73700EE-0FE7-484C-AB16-814F36F300A9}"/>
    <cellStyle name="Normal 2 4 7 4 2 3" xfId="11896" xr:uid="{53EFAA63-3E4B-41C0-9F20-086652D27C4E}"/>
    <cellStyle name="Normal 2 4 7 4 3" xfId="5530" xr:uid="{00000000-0005-0000-0000-0000F1100000}"/>
    <cellStyle name="Normal 2 4 7 4 3 2" xfId="13969" xr:uid="{72F23D6A-A7F5-4AD6-A351-6651CD3FC2F8}"/>
    <cellStyle name="Normal 2 4 7 4 4" xfId="9751" xr:uid="{37F8D930-A684-46B4-B828-0500C258BF3A}"/>
    <cellStyle name="Normal 2 4 7 5" xfId="1635" xr:uid="{00000000-0005-0000-0000-0000F2100000}"/>
    <cellStyle name="Normal 2 4 7 5 2" xfId="3865" xr:uid="{00000000-0005-0000-0000-0000F3100000}"/>
    <cellStyle name="Normal 2 4 7 5 2 2" xfId="8088" xr:uid="{00000000-0005-0000-0000-0000F4100000}"/>
    <cellStyle name="Normal 2 4 7 5 2 2 2" xfId="16527" xr:uid="{5BBB124D-3167-4174-9223-3228C773F4AB}"/>
    <cellStyle name="Normal 2 4 7 5 2 3" xfId="12309" xr:uid="{1E8F31D0-D71B-4C70-97C3-2BB9D2AF4E28}"/>
    <cellStyle name="Normal 2 4 7 5 3" xfId="5943" xr:uid="{00000000-0005-0000-0000-0000F5100000}"/>
    <cellStyle name="Normal 2 4 7 5 3 2" xfId="14382" xr:uid="{1CA61015-F687-4C0D-8CC2-4D871410820A}"/>
    <cellStyle name="Normal 2 4 7 5 4" xfId="10164" xr:uid="{BA049776-887A-416D-9481-A67C46E22A2F}"/>
    <cellStyle name="Normal 2 4 7 6" xfId="2049" xr:uid="{00000000-0005-0000-0000-0000F6100000}"/>
    <cellStyle name="Normal 2 4 7 6 2" xfId="4278" xr:uid="{00000000-0005-0000-0000-0000F7100000}"/>
    <cellStyle name="Normal 2 4 7 6 2 2" xfId="8501" xr:uid="{00000000-0005-0000-0000-0000F8100000}"/>
    <cellStyle name="Normal 2 4 7 6 2 2 2" xfId="16940" xr:uid="{B45EB4CC-30F4-44DD-A3BF-8D35D7449839}"/>
    <cellStyle name="Normal 2 4 7 6 2 3" xfId="12722" xr:uid="{D91F40D6-AB8A-4BFC-B02F-D97F7DF01440}"/>
    <cellStyle name="Normal 2 4 7 6 3" xfId="6356" xr:uid="{00000000-0005-0000-0000-0000F9100000}"/>
    <cellStyle name="Normal 2 4 7 6 3 2" xfId="14795" xr:uid="{B775747D-F27B-4588-B3BF-514B178DE873}"/>
    <cellStyle name="Normal 2 4 7 6 4" xfId="10577" xr:uid="{81BD292C-5F11-4CDE-9218-DB98C9EC8918}"/>
    <cellStyle name="Normal 2 4 7 7" xfId="2485" xr:uid="{00000000-0005-0000-0000-0000FA100000}"/>
    <cellStyle name="Normal 2 4 7 7 2" xfId="6769" xr:uid="{00000000-0005-0000-0000-0000FB100000}"/>
    <cellStyle name="Normal 2 4 7 7 2 2" xfId="15208" xr:uid="{5761F0B3-60D5-4544-A9E1-3FE56CFD40A8}"/>
    <cellStyle name="Normal 2 4 7 7 3" xfId="10990" xr:uid="{747F8F3C-EA01-4D4C-98F1-724E6A363E5A}"/>
    <cellStyle name="Normal 2 4 7 8" xfId="4703" xr:uid="{00000000-0005-0000-0000-0000FC100000}"/>
    <cellStyle name="Normal 2 4 7 8 2" xfId="13142" xr:uid="{447E4D15-04E9-4EA6-A269-D6C389C5D8F2}"/>
    <cellStyle name="Normal 2 4 7 9" xfId="8924" xr:uid="{B716E774-0EE4-46A6-8847-BF0910FFE51F}"/>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2 2 2" xfId="15703" xr:uid="{2A343899-0335-4AB1-810E-CE3C7C2FFCE5}"/>
    <cellStyle name="Normal 2 4 8 2 2 3" xfId="11485" xr:uid="{EFB82A14-5264-4D4A-B3B5-5F7FD1624AFC}"/>
    <cellStyle name="Normal 2 4 8 2 3" xfId="5119" xr:uid="{00000000-0005-0000-0000-000001110000}"/>
    <cellStyle name="Normal 2 4 8 2 3 2" xfId="13558" xr:uid="{2A0A9680-7FA9-4625-895E-421A95E57B22}"/>
    <cellStyle name="Normal 2 4 8 2 4" xfId="9340" xr:uid="{AB98CD84-C756-4EAE-8FF5-D0ECA6328051}"/>
    <cellStyle name="Normal 2 4 8 3" xfId="1224" xr:uid="{00000000-0005-0000-0000-000002110000}"/>
    <cellStyle name="Normal 2 4 8 3 2" xfId="3454" xr:uid="{00000000-0005-0000-0000-000003110000}"/>
    <cellStyle name="Normal 2 4 8 3 2 2" xfId="7677" xr:uid="{00000000-0005-0000-0000-000004110000}"/>
    <cellStyle name="Normal 2 4 8 3 2 2 2" xfId="16116" xr:uid="{0A924A97-A862-45DB-895B-5A9E6197F80F}"/>
    <cellStyle name="Normal 2 4 8 3 2 3" xfId="11898" xr:uid="{1796C8D3-7C90-41DA-AB45-13E52E18EEF0}"/>
    <cellStyle name="Normal 2 4 8 3 3" xfId="5532" xr:uid="{00000000-0005-0000-0000-000005110000}"/>
    <cellStyle name="Normal 2 4 8 3 3 2" xfId="13971" xr:uid="{734D7FB6-5A47-4CBA-9016-4C88851029BB}"/>
    <cellStyle name="Normal 2 4 8 3 4" xfId="9753" xr:uid="{6BCCB942-76BB-4CCE-A1DC-150F2A8150BB}"/>
    <cellStyle name="Normal 2 4 8 4" xfId="1637" xr:uid="{00000000-0005-0000-0000-000006110000}"/>
    <cellStyle name="Normal 2 4 8 4 2" xfId="3867" xr:uid="{00000000-0005-0000-0000-000007110000}"/>
    <cellStyle name="Normal 2 4 8 4 2 2" xfId="8090" xr:uid="{00000000-0005-0000-0000-000008110000}"/>
    <cellStyle name="Normal 2 4 8 4 2 2 2" xfId="16529" xr:uid="{AE9AA424-822D-424E-B60B-7B895E55C5D7}"/>
    <cellStyle name="Normal 2 4 8 4 2 3" xfId="12311" xr:uid="{17043F93-46CE-4C35-828D-4F5F1150BF8C}"/>
    <cellStyle name="Normal 2 4 8 4 3" xfId="5945" xr:uid="{00000000-0005-0000-0000-000009110000}"/>
    <cellStyle name="Normal 2 4 8 4 3 2" xfId="14384" xr:uid="{AAED2166-AE3B-4955-9E3D-CB1F9CC9A0E0}"/>
    <cellStyle name="Normal 2 4 8 4 4" xfId="10166" xr:uid="{F7A9F2D4-B65E-40B2-A144-9A50E506F59F}"/>
    <cellStyle name="Normal 2 4 8 5" xfId="2051" xr:uid="{00000000-0005-0000-0000-00000A110000}"/>
    <cellStyle name="Normal 2 4 8 5 2" xfId="4280" xr:uid="{00000000-0005-0000-0000-00000B110000}"/>
    <cellStyle name="Normal 2 4 8 5 2 2" xfId="8503" xr:uid="{00000000-0005-0000-0000-00000C110000}"/>
    <cellStyle name="Normal 2 4 8 5 2 2 2" xfId="16942" xr:uid="{06AEE7B2-7FAC-4255-91FF-F116283C805A}"/>
    <cellStyle name="Normal 2 4 8 5 2 3" xfId="12724" xr:uid="{5F9D68A3-F540-4CC2-9E36-3A99308EC5DF}"/>
    <cellStyle name="Normal 2 4 8 5 3" xfId="6358" xr:uid="{00000000-0005-0000-0000-00000D110000}"/>
    <cellStyle name="Normal 2 4 8 5 3 2" xfId="14797" xr:uid="{DE6CCA30-F63E-4C3C-9FB4-42FDC6540B81}"/>
    <cellStyle name="Normal 2 4 8 5 4" xfId="10579" xr:uid="{BECDA420-4C67-40E3-89A7-98B52A9EDCE8}"/>
    <cellStyle name="Normal 2 4 8 6" xfId="2487" xr:uid="{00000000-0005-0000-0000-00000E110000}"/>
    <cellStyle name="Normal 2 4 8 6 2" xfId="6771" xr:uid="{00000000-0005-0000-0000-00000F110000}"/>
    <cellStyle name="Normal 2 4 8 6 2 2" xfId="15210" xr:uid="{6E469021-55D8-464B-90FF-A8B79AD2B45E}"/>
    <cellStyle name="Normal 2 4 8 6 3" xfId="10992" xr:uid="{40D3DEFB-CE30-4D01-9FD4-37A23F8F989A}"/>
    <cellStyle name="Normal 2 4 8 7" xfId="4705" xr:uid="{00000000-0005-0000-0000-000010110000}"/>
    <cellStyle name="Normal 2 4 8 7 2" xfId="13144" xr:uid="{ED7D2C89-328B-49FE-A76A-F11A20EF36C5}"/>
    <cellStyle name="Normal 2 4 8 8" xfId="8926" xr:uid="{CA2F3E3B-5507-46FF-9FAC-1EF773A66FC3}"/>
    <cellStyle name="Normal 2 5" xfId="315" xr:uid="{00000000-0005-0000-0000-000011110000}"/>
    <cellStyle name="Normal 2 5 10" xfId="4706" xr:uid="{00000000-0005-0000-0000-000012110000}"/>
    <cellStyle name="Normal 2 5 10 2" xfId="13145" xr:uid="{499C52CB-0FC8-42FE-B3EB-61C5F5FB2364}"/>
    <cellStyle name="Normal 2 5 11" xfId="8927" xr:uid="{635FDDC1-1DBF-4DAA-A8EC-18C736ACABFA}"/>
    <cellStyle name="Normal 2 5 2" xfId="316" xr:uid="{00000000-0005-0000-0000-000013110000}"/>
    <cellStyle name="Normal 2 5 3" xfId="317" xr:uid="{00000000-0005-0000-0000-000014110000}"/>
    <cellStyle name="Normal 2 5 4" xfId="318" xr:uid="{00000000-0005-0000-0000-000015110000}"/>
    <cellStyle name="Normal 2 5 4 10" xfId="8928" xr:uid="{07BB59C6-3FE5-40F6-AB5F-FD4C0C90EFEC}"/>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15707" xr:uid="{ADF03993-87C2-42D0-BE9B-B955DD73FDE7}"/>
    <cellStyle name="Normal 2 5 4 2 2 2 2 3" xfId="11489" xr:uid="{0EDD84FD-D72E-4D70-9AF8-7C5B96269513}"/>
    <cellStyle name="Normal 2 5 4 2 2 2 3" xfId="5123" xr:uid="{00000000-0005-0000-0000-00001B110000}"/>
    <cellStyle name="Normal 2 5 4 2 2 2 3 2" xfId="13562" xr:uid="{C0A4CDF6-6DD3-49B3-A5E3-506C27061EC4}"/>
    <cellStyle name="Normal 2 5 4 2 2 2 4" xfId="9344" xr:uid="{6F3C09CC-2248-4667-A260-871612457684}"/>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2 2" xfId="16120" xr:uid="{EF67D6C6-64CA-4D24-9CB9-9A46A78FFEA1}"/>
    <cellStyle name="Normal 2 5 4 2 2 3 2 3" xfId="11902" xr:uid="{CEA788AE-4CCB-483D-9B88-5912D6805077}"/>
    <cellStyle name="Normal 2 5 4 2 2 3 3" xfId="5536" xr:uid="{00000000-0005-0000-0000-00001F110000}"/>
    <cellStyle name="Normal 2 5 4 2 2 3 3 2" xfId="13975" xr:uid="{558BB947-41A8-4B50-AB0D-84730E6BF68F}"/>
    <cellStyle name="Normal 2 5 4 2 2 3 4" xfId="9757" xr:uid="{E0F9E3D4-434C-423D-BDEF-B3ECB6D0C298}"/>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2 2 2" xfId="16533" xr:uid="{895039B3-9A58-4462-A325-118AEE39A28A}"/>
    <cellStyle name="Normal 2 5 4 2 2 4 2 3" xfId="12315" xr:uid="{1B74ABCB-794A-4623-B39B-478D8B4EBE6A}"/>
    <cellStyle name="Normal 2 5 4 2 2 4 3" xfId="5949" xr:uid="{00000000-0005-0000-0000-000023110000}"/>
    <cellStyle name="Normal 2 5 4 2 2 4 3 2" xfId="14388" xr:uid="{BF2F754D-BE63-49B3-A9B1-5ACBC042FB29}"/>
    <cellStyle name="Normal 2 5 4 2 2 4 4" xfId="10170" xr:uid="{105348AF-B416-4903-A0C7-141EAD6CFD3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2 2 2" xfId="16946" xr:uid="{E84471CB-2B15-4C4C-BEAB-E66DD38A73A8}"/>
    <cellStyle name="Normal 2 5 4 2 2 5 2 3" xfId="12728" xr:uid="{12BE7DD0-8059-446B-8B58-88CACA0A0E4C}"/>
    <cellStyle name="Normal 2 5 4 2 2 5 3" xfId="6362" xr:uid="{00000000-0005-0000-0000-000027110000}"/>
    <cellStyle name="Normal 2 5 4 2 2 5 3 2" xfId="14801" xr:uid="{CF4AD12E-6381-4502-A6AE-31F962318B81}"/>
    <cellStyle name="Normal 2 5 4 2 2 5 4" xfId="10583" xr:uid="{87E34ACD-7853-4656-BEF6-75B0D86FE684}"/>
    <cellStyle name="Normal 2 5 4 2 2 6" xfId="2491" xr:uid="{00000000-0005-0000-0000-000028110000}"/>
    <cellStyle name="Normal 2 5 4 2 2 6 2" xfId="6775" xr:uid="{00000000-0005-0000-0000-000029110000}"/>
    <cellStyle name="Normal 2 5 4 2 2 6 2 2" xfId="15214" xr:uid="{88F75918-1F7B-4704-B897-CBE833C3020F}"/>
    <cellStyle name="Normal 2 5 4 2 2 6 3" xfId="10996" xr:uid="{797F40C3-A1D7-4798-81C9-29721AE93A2B}"/>
    <cellStyle name="Normal 2 5 4 2 2 7" xfId="4709" xr:uid="{00000000-0005-0000-0000-00002A110000}"/>
    <cellStyle name="Normal 2 5 4 2 2 7 2" xfId="13148" xr:uid="{75133F45-85B6-45EF-BF23-1FED24A73E76}"/>
    <cellStyle name="Normal 2 5 4 2 2 8" xfId="8930" xr:uid="{5ABFBE41-B781-4B3A-80F7-C670E671E3D5}"/>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15706" xr:uid="{6B2F31D7-28D2-4262-AA09-F2EBDEB55EBC}"/>
    <cellStyle name="Normal 2 5 4 2 3 2 3" xfId="11488" xr:uid="{45BC338E-1360-4CC5-9B44-490F2F5A4657}"/>
    <cellStyle name="Normal 2 5 4 2 3 3" xfId="5122" xr:uid="{00000000-0005-0000-0000-00002E110000}"/>
    <cellStyle name="Normal 2 5 4 2 3 3 2" xfId="13561" xr:uid="{16BAA135-62DF-4863-85E1-367436DCA704}"/>
    <cellStyle name="Normal 2 5 4 2 3 4" xfId="9343" xr:uid="{75040FB9-FBA9-4D17-80E7-1464F1613F8C}"/>
    <cellStyle name="Normal 2 5 4 2 4" xfId="1227" xr:uid="{00000000-0005-0000-0000-00002F110000}"/>
    <cellStyle name="Normal 2 5 4 2 4 2" xfId="3457" xr:uid="{00000000-0005-0000-0000-000030110000}"/>
    <cellStyle name="Normal 2 5 4 2 4 2 2" xfId="7680" xr:uid="{00000000-0005-0000-0000-000031110000}"/>
    <cellStyle name="Normal 2 5 4 2 4 2 2 2" xfId="16119" xr:uid="{E97820A3-84E6-4CAF-912D-DA006141ED7D}"/>
    <cellStyle name="Normal 2 5 4 2 4 2 3" xfId="11901" xr:uid="{78739F51-CC20-4F91-B0EF-EC34541D0C93}"/>
    <cellStyle name="Normal 2 5 4 2 4 3" xfId="5535" xr:uid="{00000000-0005-0000-0000-000032110000}"/>
    <cellStyle name="Normal 2 5 4 2 4 3 2" xfId="13974" xr:uid="{1213441F-49EA-4CE2-923E-F17E52D988D6}"/>
    <cellStyle name="Normal 2 5 4 2 4 4" xfId="9756" xr:uid="{94FEC64A-5BEB-49E7-9DAE-D77BAF80CDCB}"/>
    <cellStyle name="Normal 2 5 4 2 5" xfId="1640" xr:uid="{00000000-0005-0000-0000-000033110000}"/>
    <cellStyle name="Normal 2 5 4 2 5 2" xfId="3870" xr:uid="{00000000-0005-0000-0000-000034110000}"/>
    <cellStyle name="Normal 2 5 4 2 5 2 2" xfId="8093" xr:uid="{00000000-0005-0000-0000-000035110000}"/>
    <cellStyle name="Normal 2 5 4 2 5 2 2 2" xfId="16532" xr:uid="{5A9D5924-3775-4E16-AAC5-64331D6A1E81}"/>
    <cellStyle name="Normal 2 5 4 2 5 2 3" xfId="12314" xr:uid="{68D36846-AFD3-4B04-93E7-FDB6CACFC542}"/>
    <cellStyle name="Normal 2 5 4 2 5 3" xfId="5948" xr:uid="{00000000-0005-0000-0000-000036110000}"/>
    <cellStyle name="Normal 2 5 4 2 5 3 2" xfId="14387" xr:uid="{279B3F14-A692-4813-9EFB-C21C4E59AB5D}"/>
    <cellStyle name="Normal 2 5 4 2 5 4" xfId="10169" xr:uid="{3218417A-B915-43EB-BA49-1162B69858B5}"/>
    <cellStyle name="Normal 2 5 4 2 6" xfId="2054" xr:uid="{00000000-0005-0000-0000-000037110000}"/>
    <cellStyle name="Normal 2 5 4 2 6 2" xfId="4283" xr:uid="{00000000-0005-0000-0000-000038110000}"/>
    <cellStyle name="Normal 2 5 4 2 6 2 2" xfId="8506" xr:uid="{00000000-0005-0000-0000-000039110000}"/>
    <cellStyle name="Normal 2 5 4 2 6 2 2 2" xfId="16945" xr:uid="{B1484940-D058-44D8-A33E-87BBAEC15E7A}"/>
    <cellStyle name="Normal 2 5 4 2 6 2 3" xfId="12727" xr:uid="{22225C5E-B456-48D4-A1E2-D884E2C84B85}"/>
    <cellStyle name="Normal 2 5 4 2 6 3" xfId="6361" xr:uid="{00000000-0005-0000-0000-00003A110000}"/>
    <cellStyle name="Normal 2 5 4 2 6 3 2" xfId="14800" xr:uid="{D08F6B4D-9BFD-458D-BE5C-83B2CD6661A2}"/>
    <cellStyle name="Normal 2 5 4 2 6 4" xfId="10582" xr:uid="{45032882-4464-4AE9-8BE2-D6A2EAE6622E}"/>
    <cellStyle name="Normal 2 5 4 2 7" xfId="2490" xr:uid="{00000000-0005-0000-0000-00003B110000}"/>
    <cellStyle name="Normal 2 5 4 2 7 2" xfId="6774" xr:uid="{00000000-0005-0000-0000-00003C110000}"/>
    <cellStyle name="Normal 2 5 4 2 7 2 2" xfId="15213" xr:uid="{F2B85BCE-BD43-466D-8CE7-70174CA25CA1}"/>
    <cellStyle name="Normal 2 5 4 2 7 3" xfId="10995" xr:uid="{72AC531E-BC3F-41F7-AB44-D402DE04485D}"/>
    <cellStyle name="Normal 2 5 4 2 8" xfId="4708" xr:uid="{00000000-0005-0000-0000-00003D110000}"/>
    <cellStyle name="Normal 2 5 4 2 8 2" xfId="13147" xr:uid="{30B04BB6-D80E-440A-9C24-99A525EA56FE}"/>
    <cellStyle name="Normal 2 5 4 2 9" xfId="8929" xr:uid="{3EEBF580-5BF4-4387-A2C9-9CC0ABDF506C}"/>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15708" xr:uid="{BDE1F0B7-876B-4572-A60A-68977E543B59}"/>
    <cellStyle name="Normal 2 5 4 3 2 2 3" xfId="11490" xr:uid="{09EF1528-6186-4F31-9A65-AC9FE8207004}"/>
    <cellStyle name="Normal 2 5 4 3 2 3" xfId="5124" xr:uid="{00000000-0005-0000-0000-000042110000}"/>
    <cellStyle name="Normal 2 5 4 3 2 3 2" xfId="13563" xr:uid="{C8098137-1F70-4648-91C0-EFFD967D004D}"/>
    <cellStyle name="Normal 2 5 4 3 2 4" xfId="9345" xr:uid="{E5F92E03-61CF-4093-98E1-70CB8005BEAD}"/>
    <cellStyle name="Normal 2 5 4 3 3" xfId="1229" xr:uid="{00000000-0005-0000-0000-000043110000}"/>
    <cellStyle name="Normal 2 5 4 3 3 2" xfId="3459" xr:uid="{00000000-0005-0000-0000-000044110000}"/>
    <cellStyle name="Normal 2 5 4 3 3 2 2" xfId="7682" xr:uid="{00000000-0005-0000-0000-000045110000}"/>
    <cellStyle name="Normal 2 5 4 3 3 2 2 2" xfId="16121" xr:uid="{6DFAEDB8-0D8C-4845-BD11-D5EA23C3A476}"/>
    <cellStyle name="Normal 2 5 4 3 3 2 3" xfId="11903" xr:uid="{0309A01D-041E-4465-A0E9-AB04C680D7ED}"/>
    <cellStyle name="Normal 2 5 4 3 3 3" xfId="5537" xr:uid="{00000000-0005-0000-0000-000046110000}"/>
    <cellStyle name="Normal 2 5 4 3 3 3 2" xfId="13976" xr:uid="{C82FF88D-6428-4288-9D60-84381D2EDE08}"/>
    <cellStyle name="Normal 2 5 4 3 3 4" xfId="9758" xr:uid="{8030C9FA-F0C5-4B89-A0CA-D571E75F5EF8}"/>
    <cellStyle name="Normal 2 5 4 3 4" xfId="1642" xr:uid="{00000000-0005-0000-0000-000047110000}"/>
    <cellStyle name="Normal 2 5 4 3 4 2" xfId="3872" xr:uid="{00000000-0005-0000-0000-000048110000}"/>
    <cellStyle name="Normal 2 5 4 3 4 2 2" xfId="8095" xr:uid="{00000000-0005-0000-0000-000049110000}"/>
    <cellStyle name="Normal 2 5 4 3 4 2 2 2" xfId="16534" xr:uid="{93F97CBF-CDC3-404D-AD40-F378734BB5A4}"/>
    <cellStyle name="Normal 2 5 4 3 4 2 3" xfId="12316" xr:uid="{84218AB2-65D8-4E01-8261-F8DB810B89F2}"/>
    <cellStyle name="Normal 2 5 4 3 4 3" xfId="5950" xr:uid="{00000000-0005-0000-0000-00004A110000}"/>
    <cellStyle name="Normal 2 5 4 3 4 3 2" xfId="14389" xr:uid="{50F16992-ABC7-40E0-894F-3596FBCC6A2D}"/>
    <cellStyle name="Normal 2 5 4 3 4 4" xfId="10171" xr:uid="{3BC98F23-B855-4993-BD8E-CD841A4E854D}"/>
    <cellStyle name="Normal 2 5 4 3 5" xfId="2056" xr:uid="{00000000-0005-0000-0000-00004B110000}"/>
    <cellStyle name="Normal 2 5 4 3 5 2" xfId="4285" xr:uid="{00000000-0005-0000-0000-00004C110000}"/>
    <cellStyle name="Normal 2 5 4 3 5 2 2" xfId="8508" xr:uid="{00000000-0005-0000-0000-00004D110000}"/>
    <cellStyle name="Normal 2 5 4 3 5 2 2 2" xfId="16947" xr:uid="{7702A2F6-7186-4C58-88A6-39C35BABDE31}"/>
    <cellStyle name="Normal 2 5 4 3 5 2 3" xfId="12729" xr:uid="{2A643E14-FD31-4ED5-9F21-B666BE8C4CEF}"/>
    <cellStyle name="Normal 2 5 4 3 5 3" xfId="6363" xr:uid="{00000000-0005-0000-0000-00004E110000}"/>
    <cellStyle name="Normal 2 5 4 3 5 3 2" xfId="14802" xr:uid="{CD2E7DAA-7BDE-41A9-BA64-988A51FFF4FE}"/>
    <cellStyle name="Normal 2 5 4 3 5 4" xfId="10584" xr:uid="{3828D809-6A67-4936-8046-22B0D2D8CA09}"/>
    <cellStyle name="Normal 2 5 4 3 6" xfId="2492" xr:uid="{00000000-0005-0000-0000-00004F110000}"/>
    <cellStyle name="Normal 2 5 4 3 6 2" xfId="6776" xr:uid="{00000000-0005-0000-0000-000050110000}"/>
    <cellStyle name="Normal 2 5 4 3 6 2 2" xfId="15215" xr:uid="{7A7964D8-96C4-40D3-9093-7E62979448F0}"/>
    <cellStyle name="Normal 2 5 4 3 6 3" xfId="10997" xr:uid="{9A04C300-5A36-475B-B29D-714C78B52DEE}"/>
    <cellStyle name="Normal 2 5 4 3 7" xfId="4710" xr:uid="{00000000-0005-0000-0000-000051110000}"/>
    <cellStyle name="Normal 2 5 4 3 7 2" xfId="13149" xr:uid="{6CAE7EDA-26EF-4573-8BB9-9D517723AB81}"/>
    <cellStyle name="Normal 2 5 4 3 8" xfId="8931" xr:uid="{3C067745-5B4D-469F-8711-715529B61A58}"/>
    <cellStyle name="Normal 2 5 4 4" xfId="804" xr:uid="{00000000-0005-0000-0000-000052110000}"/>
    <cellStyle name="Normal 2 5 4 4 2" xfId="3043" xr:uid="{00000000-0005-0000-0000-000053110000}"/>
    <cellStyle name="Normal 2 5 4 4 2 2" xfId="7266" xr:uid="{00000000-0005-0000-0000-000054110000}"/>
    <cellStyle name="Normal 2 5 4 4 2 2 2" xfId="15705" xr:uid="{F456BA83-57C8-406F-AA9F-F4FF5C875E7B}"/>
    <cellStyle name="Normal 2 5 4 4 2 3" xfId="11487" xr:uid="{086EDBF7-4A47-4661-9223-81008302E3ED}"/>
    <cellStyle name="Normal 2 5 4 4 3" xfId="5121" xr:uid="{00000000-0005-0000-0000-000055110000}"/>
    <cellStyle name="Normal 2 5 4 4 3 2" xfId="13560" xr:uid="{5E330CBF-6AAC-4830-A6CD-319BA9434073}"/>
    <cellStyle name="Normal 2 5 4 4 4" xfId="9342" xr:uid="{2AA72E37-1681-4E65-A005-007B19FE545B}"/>
    <cellStyle name="Normal 2 5 4 5" xfId="1226" xr:uid="{00000000-0005-0000-0000-000056110000}"/>
    <cellStyle name="Normal 2 5 4 5 2" xfId="3456" xr:uid="{00000000-0005-0000-0000-000057110000}"/>
    <cellStyle name="Normal 2 5 4 5 2 2" xfId="7679" xr:uid="{00000000-0005-0000-0000-000058110000}"/>
    <cellStyle name="Normal 2 5 4 5 2 2 2" xfId="16118" xr:uid="{5920059D-2121-4098-A6B5-BC986560237B}"/>
    <cellStyle name="Normal 2 5 4 5 2 3" xfId="11900" xr:uid="{CFD1EE53-5771-4F89-BC55-B95FD5DD99E3}"/>
    <cellStyle name="Normal 2 5 4 5 3" xfId="5534" xr:uid="{00000000-0005-0000-0000-000059110000}"/>
    <cellStyle name="Normal 2 5 4 5 3 2" xfId="13973" xr:uid="{B72475A0-6E4F-4320-A4C1-BCB10A0FD106}"/>
    <cellStyle name="Normal 2 5 4 5 4" xfId="9755" xr:uid="{E28408C9-AEBE-4FD8-B88F-5131D652C161}"/>
    <cellStyle name="Normal 2 5 4 6" xfId="1639" xr:uid="{00000000-0005-0000-0000-00005A110000}"/>
    <cellStyle name="Normal 2 5 4 6 2" xfId="3869" xr:uid="{00000000-0005-0000-0000-00005B110000}"/>
    <cellStyle name="Normal 2 5 4 6 2 2" xfId="8092" xr:uid="{00000000-0005-0000-0000-00005C110000}"/>
    <cellStyle name="Normal 2 5 4 6 2 2 2" xfId="16531" xr:uid="{DE9DFF19-D09C-4CB6-9159-FC9955505B89}"/>
    <cellStyle name="Normal 2 5 4 6 2 3" xfId="12313" xr:uid="{915CA1DB-2482-45F3-8596-DF3DBD3EC9F8}"/>
    <cellStyle name="Normal 2 5 4 6 3" xfId="5947" xr:uid="{00000000-0005-0000-0000-00005D110000}"/>
    <cellStyle name="Normal 2 5 4 6 3 2" xfId="14386" xr:uid="{921F9F31-C637-4685-9216-1E36589295F0}"/>
    <cellStyle name="Normal 2 5 4 6 4" xfId="10168" xr:uid="{5B1350D4-0BAE-4C44-884F-7EFDECF210B5}"/>
    <cellStyle name="Normal 2 5 4 7" xfId="2053" xr:uid="{00000000-0005-0000-0000-00005E110000}"/>
    <cellStyle name="Normal 2 5 4 7 2" xfId="4282" xr:uid="{00000000-0005-0000-0000-00005F110000}"/>
    <cellStyle name="Normal 2 5 4 7 2 2" xfId="8505" xr:uid="{00000000-0005-0000-0000-000060110000}"/>
    <cellStyle name="Normal 2 5 4 7 2 2 2" xfId="16944" xr:uid="{51862781-1655-4FCE-95EF-CFB6F2BB2E26}"/>
    <cellStyle name="Normal 2 5 4 7 2 3" xfId="12726" xr:uid="{BF40A79C-5F62-4E3B-AA38-90C1FA25099F}"/>
    <cellStyle name="Normal 2 5 4 7 3" xfId="6360" xr:uid="{00000000-0005-0000-0000-000061110000}"/>
    <cellStyle name="Normal 2 5 4 7 3 2" xfId="14799" xr:uid="{61EE2606-6BC7-433E-AE2E-CA32AF44CD46}"/>
    <cellStyle name="Normal 2 5 4 7 4" xfId="10581" xr:uid="{22DB3F60-A8C8-4BF5-AD88-4FD5F46AEADF}"/>
    <cellStyle name="Normal 2 5 4 8" xfId="2489" xr:uid="{00000000-0005-0000-0000-000062110000}"/>
    <cellStyle name="Normal 2 5 4 8 2" xfId="6773" xr:uid="{00000000-0005-0000-0000-000063110000}"/>
    <cellStyle name="Normal 2 5 4 8 2 2" xfId="15212" xr:uid="{7ED88460-5D4F-4279-9D13-2A7692A74A8B}"/>
    <cellStyle name="Normal 2 5 4 8 3" xfId="10994" xr:uid="{DBEB929A-D131-4552-B460-140D5421A492}"/>
    <cellStyle name="Normal 2 5 4 9" xfId="4707" xr:uid="{00000000-0005-0000-0000-000064110000}"/>
    <cellStyle name="Normal 2 5 4 9 2" xfId="13146" xr:uid="{0B573E86-3875-403B-8B07-C99AACD048E9}"/>
    <cellStyle name="Normal 2 5 5" xfId="803" xr:uid="{00000000-0005-0000-0000-000065110000}"/>
    <cellStyle name="Normal 2 5 5 2" xfId="3042" xr:uid="{00000000-0005-0000-0000-000066110000}"/>
    <cellStyle name="Normal 2 5 5 2 2" xfId="7265" xr:uid="{00000000-0005-0000-0000-000067110000}"/>
    <cellStyle name="Normal 2 5 5 2 2 2" xfId="15704" xr:uid="{156E92AB-4CA3-4E7D-89B7-D32D7B7260FA}"/>
    <cellStyle name="Normal 2 5 5 2 3" xfId="11486" xr:uid="{4B57F443-36A5-4127-AD8A-AB6D96C6FBBB}"/>
    <cellStyle name="Normal 2 5 5 3" xfId="5120" xr:uid="{00000000-0005-0000-0000-000068110000}"/>
    <cellStyle name="Normal 2 5 5 3 2" xfId="13559" xr:uid="{F42449A7-0712-4DB6-B34E-E3DE1535C651}"/>
    <cellStyle name="Normal 2 5 5 4" xfId="9341" xr:uid="{58C10D06-7349-4884-A0EE-A7A8AEBFFC8C}"/>
    <cellStyle name="Normal 2 5 6" xfId="1225" xr:uid="{00000000-0005-0000-0000-000069110000}"/>
    <cellStyle name="Normal 2 5 6 2" xfId="3455" xr:uid="{00000000-0005-0000-0000-00006A110000}"/>
    <cellStyle name="Normal 2 5 6 2 2" xfId="7678" xr:uid="{00000000-0005-0000-0000-00006B110000}"/>
    <cellStyle name="Normal 2 5 6 2 2 2" xfId="16117" xr:uid="{04E266E7-A926-4B00-8DDE-1AD57C1AB6AC}"/>
    <cellStyle name="Normal 2 5 6 2 3" xfId="11899" xr:uid="{CD2455DC-420C-45EA-9C67-FBB6AE301DD9}"/>
    <cellStyle name="Normal 2 5 6 3" xfId="5533" xr:uid="{00000000-0005-0000-0000-00006C110000}"/>
    <cellStyle name="Normal 2 5 6 3 2" xfId="13972" xr:uid="{E9D12C9A-C724-418F-A712-F6682BEB450F}"/>
    <cellStyle name="Normal 2 5 6 4" xfId="9754" xr:uid="{52AEBB53-DBF4-4D5E-898E-D505BCAE9355}"/>
    <cellStyle name="Normal 2 5 7" xfId="1638" xr:uid="{00000000-0005-0000-0000-00006D110000}"/>
    <cellStyle name="Normal 2 5 7 2" xfId="3868" xr:uid="{00000000-0005-0000-0000-00006E110000}"/>
    <cellStyle name="Normal 2 5 7 2 2" xfId="8091" xr:uid="{00000000-0005-0000-0000-00006F110000}"/>
    <cellStyle name="Normal 2 5 7 2 2 2" xfId="16530" xr:uid="{5FFEB5C7-12A2-4DAA-AF2A-B1B88D52F978}"/>
    <cellStyle name="Normal 2 5 7 2 3" xfId="12312" xr:uid="{5D18021C-7CAF-46D3-99A9-3254CA1D73AA}"/>
    <cellStyle name="Normal 2 5 7 3" xfId="5946" xr:uid="{00000000-0005-0000-0000-000070110000}"/>
    <cellStyle name="Normal 2 5 7 3 2" xfId="14385" xr:uid="{BDEE3583-1973-4ADF-AC2A-D66DBE7E2F48}"/>
    <cellStyle name="Normal 2 5 7 4" xfId="10167" xr:uid="{74A57E03-8D9B-4792-A6D8-DA18A293B79A}"/>
    <cellStyle name="Normal 2 5 8" xfId="2052" xr:uid="{00000000-0005-0000-0000-000071110000}"/>
    <cellStyle name="Normal 2 5 8 2" xfId="4281" xr:uid="{00000000-0005-0000-0000-000072110000}"/>
    <cellStyle name="Normal 2 5 8 2 2" xfId="8504" xr:uid="{00000000-0005-0000-0000-000073110000}"/>
    <cellStyle name="Normal 2 5 8 2 2 2" xfId="16943" xr:uid="{16667E5B-A242-4107-94C7-81218E9BED4E}"/>
    <cellStyle name="Normal 2 5 8 2 3" xfId="12725" xr:uid="{BEADBAC2-8DC4-4134-98ED-C4CEBCE16E3F}"/>
    <cellStyle name="Normal 2 5 8 3" xfId="6359" xr:uid="{00000000-0005-0000-0000-000074110000}"/>
    <cellStyle name="Normal 2 5 8 3 2" xfId="14798" xr:uid="{6F6B0452-57B2-4C8E-9732-EE64FBC8F4D4}"/>
    <cellStyle name="Normal 2 5 8 4" xfId="10580" xr:uid="{66501363-4DF9-4A56-B2AF-41177E0E062D}"/>
    <cellStyle name="Normal 2 5 9" xfId="2488" xr:uid="{00000000-0005-0000-0000-000075110000}"/>
    <cellStyle name="Normal 2 5 9 2" xfId="6772" xr:uid="{00000000-0005-0000-0000-000076110000}"/>
    <cellStyle name="Normal 2 5 9 2 2" xfId="15211" xr:uid="{1D3C5EF6-7EE2-4672-8A41-A70223CA5586}"/>
    <cellStyle name="Normal 2 5 9 3" xfId="10993" xr:uid="{2867A00C-9963-4E9D-95BB-A1F9F3C51BF9}"/>
    <cellStyle name="Normal 2 6" xfId="322" xr:uid="{00000000-0005-0000-0000-000077110000}"/>
    <cellStyle name="Normal 2 7" xfId="769" xr:uid="{00000000-0005-0000-0000-000078110000}"/>
    <cellStyle name="Normal 2 8" xfId="4495" xr:uid="{00000000-0005-0000-0000-000079110000}"/>
    <cellStyle name="Normal 2 8 2" xfId="12937" xr:uid="{8F696572-FCD8-4ABF-BE9F-8351AC950617}"/>
    <cellStyle name="Normal 3" xfId="323" xr:uid="{00000000-0005-0000-0000-00007A110000}"/>
    <cellStyle name="Normal 3 2" xfId="324" xr:uid="{00000000-0005-0000-0000-00007B110000}"/>
    <cellStyle name="Normal 3 2 10" xfId="8932" xr:uid="{EC5479F9-AA8C-4D84-9868-95BF0A086B8B}"/>
    <cellStyle name="Normal 3 2 2" xfId="325" xr:uid="{00000000-0005-0000-0000-00007C110000}"/>
    <cellStyle name="Normal 3 2 2 2" xfId="810" xr:uid="{00000000-0005-0000-0000-00007D110000}"/>
    <cellStyle name="Normal 3 2 3" xfId="326" xr:uid="{00000000-0005-0000-0000-00007E110000}"/>
    <cellStyle name="Normal 3 2 3 10" xfId="8933" xr:uid="{5EE4CCE4-04D9-4327-BC7E-DBD3CD1A2D66}"/>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15712" xr:uid="{989844C9-BEEA-4E0E-BB1B-DC82BD1D807C}"/>
    <cellStyle name="Normal 3 2 3 2 2 2 2 3" xfId="11494" xr:uid="{E82A9E34-80B5-4CFD-A4D9-0F4874D067CB}"/>
    <cellStyle name="Normal 3 2 3 2 2 2 3" xfId="5128" xr:uid="{00000000-0005-0000-0000-000084110000}"/>
    <cellStyle name="Normal 3 2 3 2 2 2 3 2" xfId="13567" xr:uid="{6E8E3B14-3CAA-4DAF-8152-0C9274FD0840}"/>
    <cellStyle name="Normal 3 2 3 2 2 2 4" xfId="9349" xr:uid="{BC19B15A-7DD7-4514-BBDB-B521206749F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2 2" xfId="16125" xr:uid="{C6990F8B-5563-4427-9F1C-CD5CB06128E7}"/>
    <cellStyle name="Normal 3 2 3 2 2 3 2 3" xfId="11907" xr:uid="{0D032CA6-3195-467E-A8B0-DF29FF3F587A}"/>
    <cellStyle name="Normal 3 2 3 2 2 3 3" xfId="5541" xr:uid="{00000000-0005-0000-0000-000088110000}"/>
    <cellStyle name="Normal 3 2 3 2 2 3 3 2" xfId="13980" xr:uid="{97A0FC3D-6715-4CFA-9D1F-E5E5E4256DF8}"/>
    <cellStyle name="Normal 3 2 3 2 2 3 4" xfId="9762" xr:uid="{B4422802-7422-467A-86DF-323112FAE725}"/>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2 2 2" xfId="16538" xr:uid="{D9C206A5-D49D-4ABB-92FE-15EDAE191B4E}"/>
    <cellStyle name="Normal 3 2 3 2 2 4 2 3" xfId="12320" xr:uid="{813E3F5C-284D-4A8A-991E-70BB70421E87}"/>
    <cellStyle name="Normal 3 2 3 2 2 4 3" xfId="5954" xr:uid="{00000000-0005-0000-0000-00008C110000}"/>
    <cellStyle name="Normal 3 2 3 2 2 4 3 2" xfId="14393" xr:uid="{CE8788FB-48F6-4676-8662-2B7CAFA513C3}"/>
    <cellStyle name="Normal 3 2 3 2 2 4 4" xfId="10175" xr:uid="{D4293D12-68F4-49FF-9D20-FF8EFAE22A85}"/>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2 2 2" xfId="16951" xr:uid="{EE3F827A-331D-4F20-9B41-4AE8876FEA0C}"/>
    <cellStyle name="Normal 3 2 3 2 2 5 2 3" xfId="12733" xr:uid="{5C3D7539-ED73-4153-B3C6-0EF3C18444A6}"/>
    <cellStyle name="Normal 3 2 3 2 2 5 3" xfId="6367" xr:uid="{00000000-0005-0000-0000-000090110000}"/>
    <cellStyle name="Normal 3 2 3 2 2 5 3 2" xfId="14806" xr:uid="{6DEA9EA1-7E36-4DF8-B69D-2C6D956B7458}"/>
    <cellStyle name="Normal 3 2 3 2 2 5 4" xfId="10588" xr:uid="{7CBB6089-72FC-4787-AEE6-592D600C397A}"/>
    <cellStyle name="Normal 3 2 3 2 2 6" xfId="2496" xr:uid="{00000000-0005-0000-0000-000091110000}"/>
    <cellStyle name="Normal 3 2 3 2 2 6 2" xfId="6780" xr:uid="{00000000-0005-0000-0000-000092110000}"/>
    <cellStyle name="Normal 3 2 3 2 2 6 2 2" xfId="15219" xr:uid="{2F02C03B-0751-4947-8029-59624219D54C}"/>
    <cellStyle name="Normal 3 2 3 2 2 6 3" xfId="11001" xr:uid="{CC652534-4C29-40A7-874D-13F1D90A751C}"/>
    <cellStyle name="Normal 3 2 3 2 2 7" xfId="4714" xr:uid="{00000000-0005-0000-0000-000093110000}"/>
    <cellStyle name="Normal 3 2 3 2 2 7 2" xfId="13153" xr:uid="{C672BEC9-F485-45A4-8D4C-CCB72FADBE28}"/>
    <cellStyle name="Normal 3 2 3 2 2 8" xfId="8935" xr:uid="{FF6E47E2-D9BA-43AB-9FB1-AF648258EE1C}"/>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15711" xr:uid="{24B7D4EE-DDC8-4B81-86B9-0CA5D694905C}"/>
    <cellStyle name="Normal 3 2 3 2 3 2 3" xfId="11493" xr:uid="{02B581DE-121F-4AE8-B0E1-70AD1EC62B64}"/>
    <cellStyle name="Normal 3 2 3 2 3 3" xfId="5127" xr:uid="{00000000-0005-0000-0000-000097110000}"/>
    <cellStyle name="Normal 3 2 3 2 3 3 2" xfId="13566" xr:uid="{34325D04-E5B7-4180-9496-0F1B0DA120C6}"/>
    <cellStyle name="Normal 3 2 3 2 3 4" xfId="9348" xr:uid="{4D87650E-9ABB-4899-A5C6-9D861CA6D18E}"/>
    <cellStyle name="Normal 3 2 3 2 4" xfId="1232" xr:uid="{00000000-0005-0000-0000-000098110000}"/>
    <cellStyle name="Normal 3 2 3 2 4 2" xfId="3462" xr:uid="{00000000-0005-0000-0000-000099110000}"/>
    <cellStyle name="Normal 3 2 3 2 4 2 2" xfId="7685" xr:uid="{00000000-0005-0000-0000-00009A110000}"/>
    <cellStyle name="Normal 3 2 3 2 4 2 2 2" xfId="16124" xr:uid="{EEBBA95B-D635-4C3A-85B0-017D79C7C2E4}"/>
    <cellStyle name="Normal 3 2 3 2 4 2 3" xfId="11906" xr:uid="{319D2D52-E186-4A08-AAFA-824610B3CFEF}"/>
    <cellStyle name="Normal 3 2 3 2 4 3" xfId="5540" xr:uid="{00000000-0005-0000-0000-00009B110000}"/>
    <cellStyle name="Normal 3 2 3 2 4 3 2" xfId="13979" xr:uid="{C5E69453-A39F-4817-9C75-5244D98C6339}"/>
    <cellStyle name="Normal 3 2 3 2 4 4" xfId="9761" xr:uid="{BB01B757-026A-4DBF-AA3B-ED0A477E3B2A}"/>
    <cellStyle name="Normal 3 2 3 2 5" xfId="1645" xr:uid="{00000000-0005-0000-0000-00009C110000}"/>
    <cellStyle name="Normal 3 2 3 2 5 2" xfId="3875" xr:uid="{00000000-0005-0000-0000-00009D110000}"/>
    <cellStyle name="Normal 3 2 3 2 5 2 2" xfId="8098" xr:uid="{00000000-0005-0000-0000-00009E110000}"/>
    <cellStyle name="Normal 3 2 3 2 5 2 2 2" xfId="16537" xr:uid="{92C2E4F6-22D8-4721-9D9F-0CAF617837E4}"/>
    <cellStyle name="Normal 3 2 3 2 5 2 3" xfId="12319" xr:uid="{9EF2449F-C801-4670-B99B-5AE77EA1295E}"/>
    <cellStyle name="Normal 3 2 3 2 5 3" xfId="5953" xr:uid="{00000000-0005-0000-0000-00009F110000}"/>
    <cellStyle name="Normal 3 2 3 2 5 3 2" xfId="14392" xr:uid="{0C9CE332-1184-4F6D-B790-C8BC3CF2601D}"/>
    <cellStyle name="Normal 3 2 3 2 5 4" xfId="10174" xr:uid="{12692405-C92A-4A13-91F9-0B8EACB6F2E9}"/>
    <cellStyle name="Normal 3 2 3 2 6" xfId="2059" xr:uid="{00000000-0005-0000-0000-0000A0110000}"/>
    <cellStyle name="Normal 3 2 3 2 6 2" xfId="4288" xr:uid="{00000000-0005-0000-0000-0000A1110000}"/>
    <cellStyle name="Normal 3 2 3 2 6 2 2" xfId="8511" xr:uid="{00000000-0005-0000-0000-0000A2110000}"/>
    <cellStyle name="Normal 3 2 3 2 6 2 2 2" xfId="16950" xr:uid="{D1D7B37C-A0A6-4F8A-AD79-D49D60DE08FC}"/>
    <cellStyle name="Normal 3 2 3 2 6 2 3" xfId="12732" xr:uid="{16A7CF9B-5985-4106-AC52-6910F78C8BBE}"/>
    <cellStyle name="Normal 3 2 3 2 6 3" xfId="6366" xr:uid="{00000000-0005-0000-0000-0000A3110000}"/>
    <cellStyle name="Normal 3 2 3 2 6 3 2" xfId="14805" xr:uid="{B7762961-677C-406C-B3E6-07B17D31EE38}"/>
    <cellStyle name="Normal 3 2 3 2 6 4" xfId="10587" xr:uid="{1C435D30-2CAF-447F-A638-5567BDD979CB}"/>
    <cellStyle name="Normal 3 2 3 2 7" xfId="2495" xr:uid="{00000000-0005-0000-0000-0000A4110000}"/>
    <cellStyle name="Normal 3 2 3 2 7 2" xfId="6779" xr:uid="{00000000-0005-0000-0000-0000A5110000}"/>
    <cellStyle name="Normal 3 2 3 2 7 2 2" xfId="15218" xr:uid="{3C27D708-BD84-4680-A79D-231A863CD463}"/>
    <cellStyle name="Normal 3 2 3 2 7 3" xfId="11000" xr:uid="{D2E1CF6F-5C80-4023-95E7-070E6C5E6415}"/>
    <cellStyle name="Normal 3 2 3 2 8" xfId="4713" xr:uid="{00000000-0005-0000-0000-0000A6110000}"/>
    <cellStyle name="Normal 3 2 3 2 8 2" xfId="13152" xr:uid="{B561CC4E-525D-4FD6-92C9-452C904B0230}"/>
    <cellStyle name="Normal 3 2 3 2 9" xfId="8934" xr:uid="{789C4BEB-0286-465B-9B38-E9B4890C408A}"/>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15713" xr:uid="{16C21358-EEDE-4152-B5EB-C9268989E6D8}"/>
    <cellStyle name="Normal 3 2 3 3 2 2 3" xfId="11495" xr:uid="{2F183915-9435-43CA-AC84-DAA403A184FA}"/>
    <cellStyle name="Normal 3 2 3 3 2 3" xfId="5129" xr:uid="{00000000-0005-0000-0000-0000AB110000}"/>
    <cellStyle name="Normal 3 2 3 3 2 3 2" xfId="13568" xr:uid="{6F494D1A-3E15-431A-8273-C4B21F7BA72C}"/>
    <cellStyle name="Normal 3 2 3 3 2 4" xfId="9350" xr:uid="{C1F5ABA5-8B1E-4891-8808-2E910FFB500D}"/>
    <cellStyle name="Normal 3 2 3 3 3" xfId="1234" xr:uid="{00000000-0005-0000-0000-0000AC110000}"/>
    <cellStyle name="Normal 3 2 3 3 3 2" xfId="3464" xr:uid="{00000000-0005-0000-0000-0000AD110000}"/>
    <cellStyle name="Normal 3 2 3 3 3 2 2" xfId="7687" xr:uid="{00000000-0005-0000-0000-0000AE110000}"/>
    <cellStyle name="Normal 3 2 3 3 3 2 2 2" xfId="16126" xr:uid="{81C1BE02-08C0-458A-A67E-E80531D4F948}"/>
    <cellStyle name="Normal 3 2 3 3 3 2 3" xfId="11908" xr:uid="{FC81234D-60C7-4C0F-AE46-B11C44291531}"/>
    <cellStyle name="Normal 3 2 3 3 3 3" xfId="5542" xr:uid="{00000000-0005-0000-0000-0000AF110000}"/>
    <cellStyle name="Normal 3 2 3 3 3 3 2" xfId="13981" xr:uid="{029BE2AD-AE4D-4DBA-A28C-12C47DCBA203}"/>
    <cellStyle name="Normal 3 2 3 3 3 4" xfId="9763" xr:uid="{3AF05DAB-4F53-4756-96F0-D95E740B5875}"/>
    <cellStyle name="Normal 3 2 3 3 4" xfId="1647" xr:uid="{00000000-0005-0000-0000-0000B0110000}"/>
    <cellStyle name="Normal 3 2 3 3 4 2" xfId="3877" xr:uid="{00000000-0005-0000-0000-0000B1110000}"/>
    <cellStyle name="Normal 3 2 3 3 4 2 2" xfId="8100" xr:uid="{00000000-0005-0000-0000-0000B2110000}"/>
    <cellStyle name="Normal 3 2 3 3 4 2 2 2" xfId="16539" xr:uid="{AF3BD799-35A5-494C-BC4E-9CCB4BC22658}"/>
    <cellStyle name="Normal 3 2 3 3 4 2 3" xfId="12321" xr:uid="{C12FDE1B-F174-4F5B-B4B5-CCFCB6F4CE69}"/>
    <cellStyle name="Normal 3 2 3 3 4 3" xfId="5955" xr:uid="{00000000-0005-0000-0000-0000B3110000}"/>
    <cellStyle name="Normal 3 2 3 3 4 3 2" xfId="14394" xr:uid="{FBD01836-C41B-4C87-8845-634171153AC0}"/>
    <cellStyle name="Normal 3 2 3 3 4 4" xfId="10176" xr:uid="{8A2CDFA5-1DAC-446C-84CA-2AB8EA9D7FF1}"/>
    <cellStyle name="Normal 3 2 3 3 5" xfId="2061" xr:uid="{00000000-0005-0000-0000-0000B4110000}"/>
    <cellStyle name="Normal 3 2 3 3 5 2" xfId="4290" xr:uid="{00000000-0005-0000-0000-0000B5110000}"/>
    <cellStyle name="Normal 3 2 3 3 5 2 2" xfId="8513" xr:uid="{00000000-0005-0000-0000-0000B6110000}"/>
    <cellStyle name="Normal 3 2 3 3 5 2 2 2" xfId="16952" xr:uid="{1A35CF25-E40C-429F-969B-89B09D6B4335}"/>
    <cellStyle name="Normal 3 2 3 3 5 2 3" xfId="12734" xr:uid="{1F24EEC5-1F17-4DEB-BC64-C5AC8C2A389F}"/>
    <cellStyle name="Normal 3 2 3 3 5 3" xfId="6368" xr:uid="{00000000-0005-0000-0000-0000B7110000}"/>
    <cellStyle name="Normal 3 2 3 3 5 3 2" xfId="14807" xr:uid="{1B7AEB86-A1E1-46BF-88D3-D1E937D2382D}"/>
    <cellStyle name="Normal 3 2 3 3 5 4" xfId="10589" xr:uid="{F644CF27-7B2E-4C43-8B80-EC75ED1E89A4}"/>
    <cellStyle name="Normal 3 2 3 3 6" xfId="2497" xr:uid="{00000000-0005-0000-0000-0000B8110000}"/>
    <cellStyle name="Normal 3 2 3 3 6 2" xfId="6781" xr:uid="{00000000-0005-0000-0000-0000B9110000}"/>
    <cellStyle name="Normal 3 2 3 3 6 2 2" xfId="15220" xr:uid="{AB2E2170-37F1-4172-A7AA-671E5AE1C30C}"/>
    <cellStyle name="Normal 3 2 3 3 6 3" xfId="11002" xr:uid="{68251B03-B0E7-439F-BBC3-99F145E4DDEB}"/>
    <cellStyle name="Normal 3 2 3 3 7" xfId="4715" xr:uid="{00000000-0005-0000-0000-0000BA110000}"/>
    <cellStyle name="Normal 3 2 3 3 7 2" xfId="13154" xr:uid="{E53E5201-3D3B-458C-B5DC-DEB17C278A45}"/>
    <cellStyle name="Normal 3 2 3 3 8" xfId="8936" xr:uid="{165BEEE1-8D5F-431E-810B-0E4C5487A2B6}"/>
    <cellStyle name="Normal 3 2 3 4" xfId="811" xr:uid="{00000000-0005-0000-0000-0000BB110000}"/>
    <cellStyle name="Normal 3 2 3 4 2" xfId="3048" xr:uid="{00000000-0005-0000-0000-0000BC110000}"/>
    <cellStyle name="Normal 3 2 3 4 2 2" xfId="7271" xr:uid="{00000000-0005-0000-0000-0000BD110000}"/>
    <cellStyle name="Normal 3 2 3 4 2 2 2" xfId="15710" xr:uid="{65DB810E-D49B-4D92-AE7D-C374A51DEF1A}"/>
    <cellStyle name="Normal 3 2 3 4 2 3" xfId="11492" xr:uid="{CB2A932F-1C8A-499D-B8B6-7BAF27E1C862}"/>
    <cellStyle name="Normal 3 2 3 4 3" xfId="5126" xr:uid="{00000000-0005-0000-0000-0000BE110000}"/>
    <cellStyle name="Normal 3 2 3 4 3 2" xfId="13565" xr:uid="{989B3FE4-DAF8-4C0F-BE98-990AD7393B73}"/>
    <cellStyle name="Normal 3 2 3 4 4" xfId="9347" xr:uid="{D7233598-5C81-46BD-B41B-204044C5B300}"/>
    <cellStyle name="Normal 3 2 3 5" xfId="1231" xr:uid="{00000000-0005-0000-0000-0000BF110000}"/>
    <cellStyle name="Normal 3 2 3 5 2" xfId="3461" xr:uid="{00000000-0005-0000-0000-0000C0110000}"/>
    <cellStyle name="Normal 3 2 3 5 2 2" xfId="7684" xr:uid="{00000000-0005-0000-0000-0000C1110000}"/>
    <cellStyle name="Normal 3 2 3 5 2 2 2" xfId="16123" xr:uid="{B6CF643C-11FA-418D-8C6C-BEBA755DC461}"/>
    <cellStyle name="Normal 3 2 3 5 2 3" xfId="11905" xr:uid="{2A584B04-4567-4A9C-B975-5C5325BDF56F}"/>
    <cellStyle name="Normal 3 2 3 5 3" xfId="5539" xr:uid="{00000000-0005-0000-0000-0000C2110000}"/>
    <cellStyle name="Normal 3 2 3 5 3 2" xfId="13978" xr:uid="{AD20CC75-19A9-4080-ABEB-2C209622CB04}"/>
    <cellStyle name="Normal 3 2 3 5 4" xfId="9760" xr:uid="{4FB8AB10-B25A-4D2E-9135-1D3ECEADB984}"/>
    <cellStyle name="Normal 3 2 3 6" xfId="1644" xr:uid="{00000000-0005-0000-0000-0000C3110000}"/>
    <cellStyle name="Normal 3 2 3 6 2" xfId="3874" xr:uid="{00000000-0005-0000-0000-0000C4110000}"/>
    <cellStyle name="Normal 3 2 3 6 2 2" xfId="8097" xr:uid="{00000000-0005-0000-0000-0000C5110000}"/>
    <cellStyle name="Normal 3 2 3 6 2 2 2" xfId="16536" xr:uid="{58CC88DC-F024-4BB0-B8CF-420AEF345953}"/>
    <cellStyle name="Normal 3 2 3 6 2 3" xfId="12318" xr:uid="{D6CC2D02-57B4-40DC-86D6-3BCD551EED43}"/>
    <cellStyle name="Normal 3 2 3 6 3" xfId="5952" xr:uid="{00000000-0005-0000-0000-0000C6110000}"/>
    <cellStyle name="Normal 3 2 3 6 3 2" xfId="14391" xr:uid="{ACDD680C-0EF9-451D-9BBE-2F13E09031FD}"/>
    <cellStyle name="Normal 3 2 3 6 4" xfId="10173" xr:uid="{AC6E67BD-ABE7-473C-BDB5-7492326EAF50}"/>
    <cellStyle name="Normal 3 2 3 7" xfId="2058" xr:uid="{00000000-0005-0000-0000-0000C7110000}"/>
    <cellStyle name="Normal 3 2 3 7 2" xfId="4287" xr:uid="{00000000-0005-0000-0000-0000C8110000}"/>
    <cellStyle name="Normal 3 2 3 7 2 2" xfId="8510" xr:uid="{00000000-0005-0000-0000-0000C9110000}"/>
    <cellStyle name="Normal 3 2 3 7 2 2 2" xfId="16949" xr:uid="{2A03F85D-9AF7-4774-A2FD-548657E75EBB}"/>
    <cellStyle name="Normal 3 2 3 7 2 3" xfId="12731" xr:uid="{D0F2DB78-395E-4F15-9759-053C1C06B14F}"/>
    <cellStyle name="Normal 3 2 3 7 3" xfId="6365" xr:uid="{00000000-0005-0000-0000-0000CA110000}"/>
    <cellStyle name="Normal 3 2 3 7 3 2" xfId="14804" xr:uid="{AC9C6FF8-5E99-45F6-92B7-D8BE5DC5BC52}"/>
    <cellStyle name="Normal 3 2 3 7 4" xfId="10586" xr:uid="{57365D73-7CD4-4D29-B8D9-64AA23EB455D}"/>
    <cellStyle name="Normal 3 2 3 8" xfId="2494" xr:uid="{00000000-0005-0000-0000-0000CB110000}"/>
    <cellStyle name="Normal 3 2 3 8 2" xfId="6778" xr:uid="{00000000-0005-0000-0000-0000CC110000}"/>
    <cellStyle name="Normal 3 2 3 8 2 2" xfId="15217" xr:uid="{9AF42799-A581-4688-9D9F-6B9AC85807B1}"/>
    <cellStyle name="Normal 3 2 3 8 3" xfId="10999" xr:uid="{F41D989F-0401-4688-BED9-281A8CC3131A}"/>
    <cellStyle name="Normal 3 2 3 9" xfId="4712" xr:uid="{00000000-0005-0000-0000-0000CD110000}"/>
    <cellStyle name="Normal 3 2 3 9 2" xfId="13151" xr:uid="{88945400-D512-4D94-91DD-92B32F549D7F}"/>
    <cellStyle name="Normal 3 2 4" xfId="809" xr:uid="{00000000-0005-0000-0000-0000CE110000}"/>
    <cellStyle name="Normal 3 2 4 2" xfId="3047" xr:uid="{00000000-0005-0000-0000-0000CF110000}"/>
    <cellStyle name="Normal 3 2 4 2 2" xfId="7270" xr:uid="{00000000-0005-0000-0000-0000D0110000}"/>
    <cellStyle name="Normal 3 2 4 2 2 2" xfId="15709" xr:uid="{FDE40997-D657-4A47-B6E5-6FCA6FD6A192}"/>
    <cellStyle name="Normal 3 2 4 2 3" xfId="11491" xr:uid="{7D5F2591-3C70-45D0-9BBC-B314681F2778}"/>
    <cellStyle name="Normal 3 2 4 3" xfId="5125" xr:uid="{00000000-0005-0000-0000-0000D1110000}"/>
    <cellStyle name="Normal 3 2 4 3 2" xfId="13564" xr:uid="{6A70F649-D713-485F-9E1D-7381BCCB8CBE}"/>
    <cellStyle name="Normal 3 2 4 4" xfId="9346" xr:uid="{B4B9C6FA-77DE-4D18-88C7-89CA88233549}"/>
    <cellStyle name="Normal 3 2 5" xfId="1230" xr:uid="{00000000-0005-0000-0000-0000D2110000}"/>
    <cellStyle name="Normal 3 2 5 2" xfId="3460" xr:uid="{00000000-0005-0000-0000-0000D3110000}"/>
    <cellStyle name="Normal 3 2 5 2 2" xfId="7683" xr:uid="{00000000-0005-0000-0000-0000D4110000}"/>
    <cellStyle name="Normal 3 2 5 2 2 2" xfId="16122" xr:uid="{1D43907B-7287-4662-97F8-BA4B22EE06CF}"/>
    <cellStyle name="Normal 3 2 5 2 3" xfId="11904" xr:uid="{D4FBBA0A-3338-4B2F-AA82-2351A0B1727E}"/>
    <cellStyle name="Normal 3 2 5 3" xfId="5538" xr:uid="{00000000-0005-0000-0000-0000D5110000}"/>
    <cellStyle name="Normal 3 2 5 3 2" xfId="13977" xr:uid="{EDC86C0B-9C82-4EF3-85C7-EDCB79678D0D}"/>
    <cellStyle name="Normal 3 2 5 4" xfId="9759" xr:uid="{04F5173F-263A-47A1-817A-9DF78D010A8F}"/>
    <cellStyle name="Normal 3 2 6" xfId="1643" xr:uid="{00000000-0005-0000-0000-0000D6110000}"/>
    <cellStyle name="Normal 3 2 6 2" xfId="3873" xr:uid="{00000000-0005-0000-0000-0000D7110000}"/>
    <cellStyle name="Normal 3 2 6 2 2" xfId="8096" xr:uid="{00000000-0005-0000-0000-0000D8110000}"/>
    <cellStyle name="Normal 3 2 6 2 2 2" xfId="16535" xr:uid="{AB550A1D-620C-42C1-9E32-5AAC4DC280BD}"/>
    <cellStyle name="Normal 3 2 6 2 3" xfId="12317" xr:uid="{82357F7E-A251-4D9F-A3E1-75948D88C90B}"/>
    <cellStyle name="Normal 3 2 6 3" xfId="5951" xr:uid="{00000000-0005-0000-0000-0000D9110000}"/>
    <cellStyle name="Normal 3 2 6 3 2" xfId="14390" xr:uid="{EBB3841E-BE2F-4A9A-92D1-509D2311C8B9}"/>
    <cellStyle name="Normal 3 2 6 4" xfId="10172" xr:uid="{CE9E9D2E-844A-432F-9DA7-2C8CE91DDFA7}"/>
    <cellStyle name="Normal 3 2 7" xfId="2057" xr:uid="{00000000-0005-0000-0000-0000DA110000}"/>
    <cellStyle name="Normal 3 2 7 2" xfId="4286" xr:uid="{00000000-0005-0000-0000-0000DB110000}"/>
    <cellStyle name="Normal 3 2 7 2 2" xfId="8509" xr:uid="{00000000-0005-0000-0000-0000DC110000}"/>
    <cellStyle name="Normal 3 2 7 2 2 2" xfId="16948" xr:uid="{D5EEDDB0-1F91-4B99-B42A-8233D878275F}"/>
    <cellStyle name="Normal 3 2 7 2 3" xfId="12730" xr:uid="{8BAB7827-FB84-4E20-ADD0-22BD57495F85}"/>
    <cellStyle name="Normal 3 2 7 3" xfId="6364" xr:uid="{00000000-0005-0000-0000-0000DD110000}"/>
    <cellStyle name="Normal 3 2 7 3 2" xfId="14803" xr:uid="{22D4AEC0-1679-4586-BE75-74D0D75AEEAB}"/>
    <cellStyle name="Normal 3 2 7 4" xfId="10585" xr:uid="{3134A70B-D0A9-4C38-9909-2D930CCA673C}"/>
    <cellStyle name="Normal 3 2 8" xfId="2493" xr:uid="{00000000-0005-0000-0000-0000DE110000}"/>
    <cellStyle name="Normal 3 2 8 2" xfId="6777" xr:uid="{00000000-0005-0000-0000-0000DF110000}"/>
    <cellStyle name="Normal 3 2 8 2 2" xfId="15216" xr:uid="{C4B5EA12-862B-4478-810A-59E8349620D1}"/>
    <cellStyle name="Normal 3 2 8 3" xfId="10998" xr:uid="{DE52BB10-5EE9-4CAC-B6C6-7AC6DAFDAB4A}"/>
    <cellStyle name="Normal 3 2 9" xfId="4711" xr:uid="{00000000-0005-0000-0000-0000E0110000}"/>
    <cellStyle name="Normal 3 2 9 2" xfId="13150" xr:uid="{1D589FAA-B91D-4F8A-85D1-6D173FE453A8}"/>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37" xr:uid="{A83C2F6E-DCF3-4B3C-849E-1EB139702E8F}"/>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2 2 2" xfId="16953" xr:uid="{6A2C0E50-020F-41D0-A00D-2100FA3B9C4A}"/>
    <cellStyle name="Normal 4 2 2 10 2 3" xfId="12735" xr:uid="{046C74B6-3AB9-4690-B9A3-D0A8F6DFF9FB}"/>
    <cellStyle name="Normal 4 2 2 10 3" xfId="6369" xr:uid="{00000000-0005-0000-0000-0000ED110000}"/>
    <cellStyle name="Normal 4 2 2 10 3 2" xfId="14808" xr:uid="{6EA4B0D5-DD13-452A-A9A6-39ABF3768675}"/>
    <cellStyle name="Normal 4 2 2 10 4" xfId="10590" xr:uid="{E362C8AC-D237-4C58-AE71-9F6102E8007A}"/>
    <cellStyle name="Normal 4 2 2 11" xfId="2498" xr:uid="{00000000-0005-0000-0000-0000EE110000}"/>
    <cellStyle name="Normal 4 2 2 11 2" xfId="6782" xr:uid="{00000000-0005-0000-0000-0000EF110000}"/>
    <cellStyle name="Normal 4 2 2 11 2 2" xfId="15221" xr:uid="{853AE709-5F67-4707-9BC4-66CDFD9D698E}"/>
    <cellStyle name="Normal 4 2 2 11 3" xfId="11003" xr:uid="{FE376C4B-F11F-4AFC-9EF6-94BD4F3D9CCD}"/>
    <cellStyle name="Normal 4 2 2 12" xfId="4717" xr:uid="{00000000-0005-0000-0000-0000F0110000}"/>
    <cellStyle name="Normal 4 2 2 12 2" xfId="13156" xr:uid="{E656C86D-C431-41BF-9D94-5AD4CE046846}"/>
    <cellStyle name="Normal 4 2 2 13" xfId="8938" xr:uid="{A8F3BCE5-9E35-4471-A7F8-EF4C11AD0226}"/>
    <cellStyle name="Normal 4 2 2 2" xfId="338" xr:uid="{00000000-0005-0000-0000-0000F1110000}"/>
    <cellStyle name="Normal 4 2 2 3" xfId="339" xr:uid="{00000000-0005-0000-0000-0000F2110000}"/>
    <cellStyle name="Normal 4 2 2 3 10" xfId="4718" xr:uid="{00000000-0005-0000-0000-0000F3110000}"/>
    <cellStyle name="Normal 4 2 2 3 10 2" xfId="13157" xr:uid="{325A4335-73A6-42BE-A459-E33A5E92F2FC}"/>
    <cellStyle name="Normal 4 2 2 3 11" xfId="8939" xr:uid="{B72F6FC1-D91F-431F-A251-48A687510847}"/>
    <cellStyle name="Normal 4 2 2 3 2" xfId="340" xr:uid="{00000000-0005-0000-0000-0000F4110000}"/>
    <cellStyle name="Normal 4 2 2 3 2 10" xfId="8940" xr:uid="{1651D765-0AD5-44CB-8D60-CF58D3B1B6A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15718" xr:uid="{0DD737E6-3F42-4DF9-AE6D-955AFE34BA90}"/>
    <cellStyle name="Normal 4 2 2 3 2 2 2 2 2 3" xfId="11500" xr:uid="{AD468003-F0F7-46E5-B79E-F5E60059D698}"/>
    <cellStyle name="Normal 4 2 2 3 2 2 2 2 3" xfId="5134" xr:uid="{00000000-0005-0000-0000-0000FA110000}"/>
    <cellStyle name="Normal 4 2 2 3 2 2 2 2 3 2" xfId="13573" xr:uid="{A148760A-89C7-451D-A2A9-E4E6BF83A22F}"/>
    <cellStyle name="Normal 4 2 2 3 2 2 2 2 4" xfId="9355" xr:uid="{07899403-1FFF-4223-AE44-BDE25B9CDCAA}"/>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2 2" xfId="16131" xr:uid="{D28D49B1-3F49-4ADF-8D06-EFB1EFEF5D92}"/>
    <cellStyle name="Normal 4 2 2 3 2 2 2 3 2 3" xfId="11913" xr:uid="{6BFD198B-BF9E-422E-B98E-2795647FDFA3}"/>
    <cellStyle name="Normal 4 2 2 3 2 2 2 3 3" xfId="5547" xr:uid="{00000000-0005-0000-0000-0000FE110000}"/>
    <cellStyle name="Normal 4 2 2 3 2 2 2 3 3 2" xfId="13986" xr:uid="{1069CD5C-25BF-4FE5-A298-F494B2F648B3}"/>
    <cellStyle name="Normal 4 2 2 3 2 2 2 3 4" xfId="9768" xr:uid="{2FBFD8D6-28EF-4546-910B-C3601521153F}"/>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2 2 2" xfId="16544" xr:uid="{7C0FB211-D842-4876-BED2-B15B03A8EA63}"/>
    <cellStyle name="Normal 4 2 2 3 2 2 2 4 2 3" xfId="12326" xr:uid="{A9401B47-E190-4040-9FB4-CECAEBDF76E8}"/>
    <cellStyle name="Normal 4 2 2 3 2 2 2 4 3" xfId="5960" xr:uid="{00000000-0005-0000-0000-000002120000}"/>
    <cellStyle name="Normal 4 2 2 3 2 2 2 4 3 2" xfId="14399" xr:uid="{776D8055-384E-400D-BE9A-8DDC83A7DCBB}"/>
    <cellStyle name="Normal 4 2 2 3 2 2 2 4 4" xfId="10181" xr:uid="{CD44B63A-2734-49B2-877D-7B20CFC9B13D}"/>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2 2 2" xfId="16957" xr:uid="{5E5A1843-9DA4-4BF9-B9DB-8FD351E1C9B5}"/>
    <cellStyle name="Normal 4 2 2 3 2 2 2 5 2 3" xfId="12739" xr:uid="{A481892A-63D8-44A6-83BC-0B37C0345AF6}"/>
    <cellStyle name="Normal 4 2 2 3 2 2 2 5 3" xfId="6373" xr:uid="{00000000-0005-0000-0000-000006120000}"/>
    <cellStyle name="Normal 4 2 2 3 2 2 2 5 3 2" xfId="14812" xr:uid="{645F5CB2-23BC-48AB-B11D-92BC6182DE4F}"/>
    <cellStyle name="Normal 4 2 2 3 2 2 2 5 4" xfId="10594" xr:uid="{A644A7F3-9BFC-422E-9A38-324A34D5DF15}"/>
    <cellStyle name="Normal 4 2 2 3 2 2 2 6" xfId="2502" xr:uid="{00000000-0005-0000-0000-000007120000}"/>
    <cellStyle name="Normal 4 2 2 3 2 2 2 6 2" xfId="6786" xr:uid="{00000000-0005-0000-0000-000008120000}"/>
    <cellStyle name="Normal 4 2 2 3 2 2 2 6 2 2" xfId="15225" xr:uid="{E93781F1-19E1-48E0-9808-B6D7A7D2AE28}"/>
    <cellStyle name="Normal 4 2 2 3 2 2 2 6 3" xfId="11007" xr:uid="{6BBA038C-EF17-45F3-8403-84F92FADD5F9}"/>
    <cellStyle name="Normal 4 2 2 3 2 2 2 7" xfId="4721" xr:uid="{00000000-0005-0000-0000-000009120000}"/>
    <cellStyle name="Normal 4 2 2 3 2 2 2 7 2" xfId="13160" xr:uid="{0617EA94-722F-4420-A5B0-1E4696324F3E}"/>
    <cellStyle name="Normal 4 2 2 3 2 2 2 8" xfId="8942" xr:uid="{A0C890BB-E2AB-4DDF-8870-A3DFE5AB257F}"/>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15717" xr:uid="{12CABA93-367C-42F7-9258-2BF35D78E9C5}"/>
    <cellStyle name="Normal 4 2 2 3 2 2 3 2 3" xfId="11499" xr:uid="{8AE65925-E7F9-4843-8A35-DBC0C4169E46}"/>
    <cellStyle name="Normal 4 2 2 3 2 2 3 3" xfId="5133" xr:uid="{00000000-0005-0000-0000-00000D120000}"/>
    <cellStyle name="Normal 4 2 2 3 2 2 3 3 2" xfId="13572" xr:uid="{CE8C60F6-0153-47B0-A845-4540B3695FD7}"/>
    <cellStyle name="Normal 4 2 2 3 2 2 3 4" xfId="9354" xr:uid="{DC7AD160-6A04-4166-BC70-EDB571D51629}"/>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2 2" xfId="16130" xr:uid="{5F227DE8-B068-4748-A922-36D6088B60A0}"/>
    <cellStyle name="Normal 4 2 2 3 2 2 4 2 3" xfId="11912" xr:uid="{5093B25D-77D2-45A8-9DB4-A961706B3698}"/>
    <cellStyle name="Normal 4 2 2 3 2 2 4 3" xfId="5546" xr:uid="{00000000-0005-0000-0000-000011120000}"/>
    <cellStyle name="Normal 4 2 2 3 2 2 4 3 2" xfId="13985" xr:uid="{A2744E2D-3050-4AAA-B5A3-BAC307EB7737}"/>
    <cellStyle name="Normal 4 2 2 3 2 2 4 4" xfId="9767" xr:uid="{3BC5D753-9D1F-4983-821E-FF2D0F60DFB4}"/>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2 2 2" xfId="16543" xr:uid="{8DF34A86-C313-41FD-BCD0-373AE1381E75}"/>
    <cellStyle name="Normal 4 2 2 3 2 2 5 2 3" xfId="12325" xr:uid="{84F049D1-A1F7-4E87-ACB5-5A275C6C258C}"/>
    <cellStyle name="Normal 4 2 2 3 2 2 5 3" xfId="5959" xr:uid="{00000000-0005-0000-0000-000015120000}"/>
    <cellStyle name="Normal 4 2 2 3 2 2 5 3 2" xfId="14398" xr:uid="{56BA617D-0582-4A71-9C76-FC4168EC217B}"/>
    <cellStyle name="Normal 4 2 2 3 2 2 5 4" xfId="10180" xr:uid="{12344C96-E9A2-4B3A-ADF3-8D5952F6171B}"/>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2 2 2" xfId="16956" xr:uid="{8F01384A-B4F5-4907-8E1A-2487187207F9}"/>
    <cellStyle name="Normal 4 2 2 3 2 2 6 2 3" xfId="12738" xr:uid="{61E2D51B-4CA9-46E3-9D6A-1942D59A520D}"/>
    <cellStyle name="Normal 4 2 2 3 2 2 6 3" xfId="6372" xr:uid="{00000000-0005-0000-0000-000019120000}"/>
    <cellStyle name="Normal 4 2 2 3 2 2 6 3 2" xfId="14811" xr:uid="{7931084B-25DC-45D6-AD42-737AB066899E}"/>
    <cellStyle name="Normal 4 2 2 3 2 2 6 4" xfId="10593" xr:uid="{DB49418A-D57C-4630-BEB2-0A2584CD48D3}"/>
    <cellStyle name="Normal 4 2 2 3 2 2 7" xfId="2501" xr:uid="{00000000-0005-0000-0000-00001A120000}"/>
    <cellStyle name="Normal 4 2 2 3 2 2 7 2" xfId="6785" xr:uid="{00000000-0005-0000-0000-00001B120000}"/>
    <cellStyle name="Normal 4 2 2 3 2 2 7 2 2" xfId="15224" xr:uid="{974EEE4D-857E-4A83-B83C-B5838CAEDABA}"/>
    <cellStyle name="Normal 4 2 2 3 2 2 7 3" xfId="11006" xr:uid="{C844823C-1978-47AA-BC5F-5A3945CBDD4E}"/>
    <cellStyle name="Normal 4 2 2 3 2 2 8" xfId="4720" xr:uid="{00000000-0005-0000-0000-00001C120000}"/>
    <cellStyle name="Normal 4 2 2 3 2 2 8 2" xfId="13159" xr:uid="{15318034-C798-4240-83B5-CCAC8A7D6D12}"/>
    <cellStyle name="Normal 4 2 2 3 2 2 9" xfId="8941" xr:uid="{E5D0A43F-BBEB-4B24-994A-EDAB05E0DB4B}"/>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15719" xr:uid="{F32567AE-61A5-4473-86BE-816C036C045E}"/>
    <cellStyle name="Normal 4 2 2 3 2 3 2 2 3" xfId="11501" xr:uid="{7769442D-4D5D-45C7-BA2E-39F69F9CD3E4}"/>
    <cellStyle name="Normal 4 2 2 3 2 3 2 3" xfId="5135" xr:uid="{00000000-0005-0000-0000-000021120000}"/>
    <cellStyle name="Normal 4 2 2 3 2 3 2 3 2" xfId="13574" xr:uid="{BB360092-D8BE-4CE6-8938-8E1CC44DEBF1}"/>
    <cellStyle name="Normal 4 2 2 3 2 3 2 4" xfId="9356" xr:uid="{3FC4C200-E706-4774-BAE0-E5F3EBD56EEB}"/>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2 2" xfId="16132" xr:uid="{D6E58984-0506-4912-8C21-DB894F9638D4}"/>
    <cellStyle name="Normal 4 2 2 3 2 3 3 2 3" xfId="11914" xr:uid="{A1021885-38FB-4D37-BCE1-A9A96AC520A9}"/>
    <cellStyle name="Normal 4 2 2 3 2 3 3 3" xfId="5548" xr:uid="{00000000-0005-0000-0000-000025120000}"/>
    <cellStyle name="Normal 4 2 2 3 2 3 3 3 2" xfId="13987" xr:uid="{4B7ACB49-C55E-49F9-AFEC-44457D63BA86}"/>
    <cellStyle name="Normal 4 2 2 3 2 3 3 4" xfId="9769" xr:uid="{CA1F7F95-3C71-4287-97D4-915B3E0E6D1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2 2 2" xfId="16545" xr:uid="{27AE94D6-2198-47E5-A12D-A444188D9385}"/>
    <cellStyle name="Normal 4 2 2 3 2 3 4 2 3" xfId="12327" xr:uid="{BC827E01-D07B-4B92-B1C7-D434DF5AE15D}"/>
    <cellStyle name="Normal 4 2 2 3 2 3 4 3" xfId="5961" xr:uid="{00000000-0005-0000-0000-000029120000}"/>
    <cellStyle name="Normal 4 2 2 3 2 3 4 3 2" xfId="14400" xr:uid="{3AD1E9E1-1CA3-4A85-8BBA-F455E8188EA9}"/>
    <cellStyle name="Normal 4 2 2 3 2 3 4 4" xfId="10182" xr:uid="{6CED290D-DC57-4F66-93D8-D9E38414BB3B}"/>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2 2 2" xfId="16958" xr:uid="{D385322E-537D-4704-860F-74DE15B41482}"/>
    <cellStyle name="Normal 4 2 2 3 2 3 5 2 3" xfId="12740" xr:uid="{1890BF61-D828-4276-B74A-4AAD9681BFD5}"/>
    <cellStyle name="Normal 4 2 2 3 2 3 5 3" xfId="6374" xr:uid="{00000000-0005-0000-0000-00002D120000}"/>
    <cellStyle name="Normal 4 2 2 3 2 3 5 3 2" xfId="14813" xr:uid="{88D27468-10A8-48A6-AB73-E8E60DEC4CA2}"/>
    <cellStyle name="Normal 4 2 2 3 2 3 5 4" xfId="10595" xr:uid="{8BD56DB1-AEC1-4EA1-9819-D23B00E41600}"/>
    <cellStyle name="Normal 4 2 2 3 2 3 6" xfId="2503" xr:uid="{00000000-0005-0000-0000-00002E120000}"/>
    <cellStyle name="Normal 4 2 2 3 2 3 6 2" xfId="6787" xr:uid="{00000000-0005-0000-0000-00002F120000}"/>
    <cellStyle name="Normal 4 2 2 3 2 3 6 2 2" xfId="15226" xr:uid="{C534054C-DCFF-4DD1-A41C-96EAA4D2EC50}"/>
    <cellStyle name="Normal 4 2 2 3 2 3 6 3" xfId="11008" xr:uid="{E658226D-869D-4957-BB97-C74756C4A880}"/>
    <cellStyle name="Normal 4 2 2 3 2 3 7" xfId="4722" xr:uid="{00000000-0005-0000-0000-000030120000}"/>
    <cellStyle name="Normal 4 2 2 3 2 3 7 2" xfId="13161" xr:uid="{B3C9517B-A440-4DA5-8077-2CFBDD12FD6F}"/>
    <cellStyle name="Normal 4 2 2 3 2 3 8" xfId="8943" xr:uid="{12D493A7-5306-44B2-ABDB-20A6DE53D1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15716" xr:uid="{0D65284D-986D-4F33-A68C-3BD85689BC62}"/>
    <cellStyle name="Normal 4 2 2 3 2 4 2 3" xfId="11498" xr:uid="{3C8EB6A6-30FD-4CC5-ABC1-142C40285CC8}"/>
    <cellStyle name="Normal 4 2 2 3 2 4 3" xfId="5132" xr:uid="{00000000-0005-0000-0000-000034120000}"/>
    <cellStyle name="Normal 4 2 2 3 2 4 3 2" xfId="13571" xr:uid="{93DF5B17-2D09-4BE4-A7B4-0901C4B57584}"/>
    <cellStyle name="Normal 4 2 2 3 2 4 4" xfId="9353" xr:uid="{7A796B24-9F9A-4A7B-BF97-D86B986B5F77}"/>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2 2" xfId="16129" xr:uid="{706DFDC8-CF8A-4527-948A-40834296762C}"/>
    <cellStyle name="Normal 4 2 2 3 2 5 2 3" xfId="11911" xr:uid="{2E36B935-291C-4255-B91B-2BADB88CCE73}"/>
    <cellStyle name="Normal 4 2 2 3 2 5 3" xfId="5545" xr:uid="{00000000-0005-0000-0000-000038120000}"/>
    <cellStyle name="Normal 4 2 2 3 2 5 3 2" xfId="13984" xr:uid="{ECECA774-62FD-4540-914E-78DA3CEBE03B}"/>
    <cellStyle name="Normal 4 2 2 3 2 5 4" xfId="9766" xr:uid="{E7971656-FF19-4CDB-AADD-D10CC02F388E}"/>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2 2 2" xfId="16542" xr:uid="{0CC637D6-FA28-4175-886A-649A49CD53D6}"/>
    <cellStyle name="Normal 4 2 2 3 2 6 2 3" xfId="12324" xr:uid="{E40CF26D-491D-4121-8281-E2ECBA76D5DB}"/>
    <cellStyle name="Normal 4 2 2 3 2 6 3" xfId="5958" xr:uid="{00000000-0005-0000-0000-00003C120000}"/>
    <cellStyle name="Normal 4 2 2 3 2 6 3 2" xfId="14397" xr:uid="{DC9C9D9C-5D05-4BD4-AFB0-4B158CC51333}"/>
    <cellStyle name="Normal 4 2 2 3 2 6 4" xfId="10179" xr:uid="{D2CD733A-35E8-4D9E-B924-D0840F5B5DD3}"/>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2 2 2" xfId="16955" xr:uid="{CEC18822-99C2-41C3-A2BD-E469A9D77744}"/>
    <cellStyle name="Normal 4 2 2 3 2 7 2 3" xfId="12737" xr:uid="{AFE7BC9C-E455-40F2-810B-D4C2A0630584}"/>
    <cellStyle name="Normal 4 2 2 3 2 7 3" xfId="6371" xr:uid="{00000000-0005-0000-0000-000040120000}"/>
    <cellStyle name="Normal 4 2 2 3 2 7 3 2" xfId="14810" xr:uid="{E1A4E76A-A048-4B2F-9B80-397EAEFED898}"/>
    <cellStyle name="Normal 4 2 2 3 2 7 4" xfId="10592" xr:uid="{B635DF47-4AFF-4362-AC96-EB46418220F2}"/>
    <cellStyle name="Normal 4 2 2 3 2 8" xfId="2500" xr:uid="{00000000-0005-0000-0000-000041120000}"/>
    <cellStyle name="Normal 4 2 2 3 2 8 2" xfId="6784" xr:uid="{00000000-0005-0000-0000-000042120000}"/>
    <cellStyle name="Normal 4 2 2 3 2 8 2 2" xfId="15223" xr:uid="{D1603A09-8BF2-48D2-AC12-38D2E50CA073}"/>
    <cellStyle name="Normal 4 2 2 3 2 8 3" xfId="11005" xr:uid="{A44DBABB-875F-49DF-973B-DB5A9C44B491}"/>
    <cellStyle name="Normal 4 2 2 3 2 9" xfId="4719" xr:uid="{00000000-0005-0000-0000-000043120000}"/>
    <cellStyle name="Normal 4 2 2 3 2 9 2" xfId="13158" xr:uid="{65EAD1C0-B6AB-4D78-B615-0CB15D3778B8}"/>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15721" xr:uid="{275C8D32-06E2-4D0D-A78D-33270467045C}"/>
    <cellStyle name="Normal 4 2 2 3 3 2 2 2 3" xfId="11503" xr:uid="{1F59B1DD-203A-4399-BE23-34C7410D7DBD}"/>
    <cellStyle name="Normal 4 2 2 3 3 2 2 3" xfId="5137" xr:uid="{00000000-0005-0000-0000-000049120000}"/>
    <cellStyle name="Normal 4 2 2 3 3 2 2 3 2" xfId="13576" xr:uid="{9F0C6FEF-7CB2-4823-B969-1C492AC4DD06}"/>
    <cellStyle name="Normal 4 2 2 3 3 2 2 4" xfId="9358" xr:uid="{6219AFCD-2B40-4EE8-9D4B-1C5562A06E36}"/>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2 2" xfId="16134" xr:uid="{6F753F03-097A-4001-A0A7-4ED8892C6CEF}"/>
    <cellStyle name="Normal 4 2 2 3 3 2 3 2 3" xfId="11916" xr:uid="{AA89D598-AF2A-4673-8793-4FF46A32EED4}"/>
    <cellStyle name="Normal 4 2 2 3 3 2 3 3" xfId="5550" xr:uid="{00000000-0005-0000-0000-00004D120000}"/>
    <cellStyle name="Normal 4 2 2 3 3 2 3 3 2" xfId="13989" xr:uid="{1AB34EAE-BA98-4EC1-A8C1-25C50B027480}"/>
    <cellStyle name="Normal 4 2 2 3 3 2 3 4" xfId="9771" xr:uid="{413C2180-EA6D-4127-A89F-53763C4600E5}"/>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2 2 2" xfId="16547" xr:uid="{15452A3C-319B-44C0-AAEF-9CE944075543}"/>
    <cellStyle name="Normal 4 2 2 3 3 2 4 2 3" xfId="12329" xr:uid="{C4791768-C377-4FFB-AF47-F1CB9AFE0F10}"/>
    <cellStyle name="Normal 4 2 2 3 3 2 4 3" xfId="5963" xr:uid="{00000000-0005-0000-0000-000051120000}"/>
    <cellStyle name="Normal 4 2 2 3 3 2 4 3 2" xfId="14402" xr:uid="{C85CEBD5-9F58-4A9F-9693-577C27D4CE04}"/>
    <cellStyle name="Normal 4 2 2 3 3 2 4 4" xfId="10184" xr:uid="{D57906AB-24DD-43BF-B632-B09B02941E72}"/>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2 2 2" xfId="16960" xr:uid="{B2A3EA1A-1DBA-45B9-9897-80CD585CB3A3}"/>
    <cellStyle name="Normal 4 2 2 3 3 2 5 2 3" xfId="12742" xr:uid="{E238222E-6AAC-436E-8C45-15EFE7D8F7DC}"/>
    <cellStyle name="Normal 4 2 2 3 3 2 5 3" xfId="6376" xr:uid="{00000000-0005-0000-0000-000055120000}"/>
    <cellStyle name="Normal 4 2 2 3 3 2 5 3 2" xfId="14815" xr:uid="{2BC4D6E4-6CB5-478A-B4CC-FAE579158A82}"/>
    <cellStyle name="Normal 4 2 2 3 3 2 5 4" xfId="10597" xr:uid="{63F84088-DC5B-4DF3-85B9-DB6EACB66BD6}"/>
    <cellStyle name="Normal 4 2 2 3 3 2 6" xfId="2505" xr:uid="{00000000-0005-0000-0000-000056120000}"/>
    <cellStyle name="Normal 4 2 2 3 3 2 6 2" xfId="6789" xr:uid="{00000000-0005-0000-0000-000057120000}"/>
    <cellStyle name="Normal 4 2 2 3 3 2 6 2 2" xfId="15228" xr:uid="{4B70837F-F7AE-4653-A762-C8B042581192}"/>
    <cellStyle name="Normal 4 2 2 3 3 2 6 3" xfId="11010" xr:uid="{CE88F5B2-B1B5-44CA-9D7B-C251B1CA8E87}"/>
    <cellStyle name="Normal 4 2 2 3 3 2 7" xfId="4724" xr:uid="{00000000-0005-0000-0000-000058120000}"/>
    <cellStyle name="Normal 4 2 2 3 3 2 7 2" xfId="13163" xr:uid="{D723CD9B-1C88-4B1C-BD60-4F364DEA0D74}"/>
    <cellStyle name="Normal 4 2 2 3 3 2 8" xfId="8945" xr:uid="{55D334BC-5EEB-4222-824D-97C79E7A4A5B}"/>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15720" xr:uid="{C1C560B3-5763-4865-AC1C-4165385AA1A8}"/>
    <cellStyle name="Normal 4 2 2 3 3 3 2 3" xfId="11502" xr:uid="{E31ACDC2-0984-42C6-8C04-2F80F038B752}"/>
    <cellStyle name="Normal 4 2 2 3 3 3 3" xfId="5136" xr:uid="{00000000-0005-0000-0000-00005C120000}"/>
    <cellStyle name="Normal 4 2 2 3 3 3 3 2" xfId="13575" xr:uid="{8CFC50BD-0577-446F-A2F9-8C3D04776846}"/>
    <cellStyle name="Normal 4 2 2 3 3 3 4" xfId="9357" xr:uid="{D1EF8727-9F41-4BDD-9494-B7A2B9B484DC}"/>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2 2" xfId="16133" xr:uid="{86926C9E-BC76-4064-A794-276EDA4AEA1A}"/>
    <cellStyle name="Normal 4 2 2 3 3 4 2 3" xfId="11915" xr:uid="{CC8D8453-856D-463D-8806-A42E934F62AA}"/>
    <cellStyle name="Normal 4 2 2 3 3 4 3" xfId="5549" xr:uid="{00000000-0005-0000-0000-000060120000}"/>
    <cellStyle name="Normal 4 2 2 3 3 4 3 2" xfId="13988" xr:uid="{BADCF46C-4E46-4183-85D4-5243792DCCC4}"/>
    <cellStyle name="Normal 4 2 2 3 3 4 4" xfId="9770" xr:uid="{5FC3D380-3C0F-46E5-8731-994ECE125C28}"/>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2 2 2" xfId="16546" xr:uid="{741D2629-E68B-4719-9688-4F9A434FC9E8}"/>
    <cellStyle name="Normal 4 2 2 3 3 5 2 3" xfId="12328" xr:uid="{9E031102-D06D-4788-B9B8-05ADAC29C46B}"/>
    <cellStyle name="Normal 4 2 2 3 3 5 3" xfId="5962" xr:uid="{00000000-0005-0000-0000-000064120000}"/>
    <cellStyle name="Normal 4 2 2 3 3 5 3 2" xfId="14401" xr:uid="{3A047437-9FC9-49DE-A4CD-1C27DD4E2F13}"/>
    <cellStyle name="Normal 4 2 2 3 3 5 4" xfId="10183" xr:uid="{FBD04F82-8F82-4418-92F2-7CE4F1B3D84D}"/>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2 2 2" xfId="16959" xr:uid="{1D807F5B-7997-4B78-9D63-C0FE7B941A7C}"/>
    <cellStyle name="Normal 4 2 2 3 3 6 2 3" xfId="12741" xr:uid="{22B3E5DA-FB2C-4CE7-95CB-14952C203467}"/>
    <cellStyle name="Normal 4 2 2 3 3 6 3" xfId="6375" xr:uid="{00000000-0005-0000-0000-000068120000}"/>
    <cellStyle name="Normal 4 2 2 3 3 6 3 2" xfId="14814" xr:uid="{78ABDD28-3265-4447-961E-653E8963243E}"/>
    <cellStyle name="Normal 4 2 2 3 3 6 4" xfId="10596" xr:uid="{B456FC86-3729-4D57-A7C6-2CFF1DC0B6F8}"/>
    <cellStyle name="Normal 4 2 2 3 3 7" xfId="2504" xr:uid="{00000000-0005-0000-0000-000069120000}"/>
    <cellStyle name="Normal 4 2 2 3 3 7 2" xfId="6788" xr:uid="{00000000-0005-0000-0000-00006A120000}"/>
    <cellStyle name="Normal 4 2 2 3 3 7 2 2" xfId="15227" xr:uid="{2D691198-13DF-411F-85C1-2EB659537720}"/>
    <cellStyle name="Normal 4 2 2 3 3 7 3" xfId="11009" xr:uid="{877085A1-591B-463F-BD1A-D2FD431F7C1D}"/>
    <cellStyle name="Normal 4 2 2 3 3 8" xfId="4723" xr:uid="{00000000-0005-0000-0000-00006B120000}"/>
    <cellStyle name="Normal 4 2 2 3 3 8 2" xfId="13162" xr:uid="{C64867DF-FC00-4F37-A3AC-B2C2514A0273}"/>
    <cellStyle name="Normal 4 2 2 3 3 9" xfId="8944" xr:uid="{7E538470-62B3-4275-8F95-0670896A95DE}"/>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15722" xr:uid="{1C9B4037-C8C3-4F51-AC33-6A8300B95033}"/>
    <cellStyle name="Normal 4 2 2 3 4 2 2 3" xfId="11504" xr:uid="{48D3FB5C-C196-424A-8D69-2068C46BFB90}"/>
    <cellStyle name="Normal 4 2 2 3 4 2 3" xfId="5138" xr:uid="{00000000-0005-0000-0000-000070120000}"/>
    <cellStyle name="Normal 4 2 2 3 4 2 3 2" xfId="13577" xr:uid="{FBF4AB3E-23EB-4A0C-9A83-9F56E5DC7628}"/>
    <cellStyle name="Normal 4 2 2 3 4 2 4" xfId="9359" xr:uid="{8B1BEE2B-F14F-4B84-819C-595B7EC84ADF}"/>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2 2" xfId="16135" xr:uid="{7C40F92F-DAE9-4CE9-8B87-BC4AA9BD428B}"/>
    <cellStyle name="Normal 4 2 2 3 4 3 2 3" xfId="11917" xr:uid="{3071B2FE-134F-4417-B1EC-AB37C89BE767}"/>
    <cellStyle name="Normal 4 2 2 3 4 3 3" xfId="5551" xr:uid="{00000000-0005-0000-0000-000074120000}"/>
    <cellStyle name="Normal 4 2 2 3 4 3 3 2" xfId="13990" xr:uid="{6C59DDD9-7551-47D1-92A9-017871E009E8}"/>
    <cellStyle name="Normal 4 2 2 3 4 3 4" xfId="9772" xr:uid="{10F28358-EB62-486A-8F86-D9918D6A9833}"/>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2 2 2" xfId="16548" xr:uid="{F3E3F8D8-1342-4C6F-988E-04F6B7B67817}"/>
    <cellStyle name="Normal 4 2 2 3 4 4 2 3" xfId="12330" xr:uid="{1A9EBD5C-63A2-4866-BC88-4C9FE8F3822A}"/>
    <cellStyle name="Normal 4 2 2 3 4 4 3" xfId="5964" xr:uid="{00000000-0005-0000-0000-000078120000}"/>
    <cellStyle name="Normal 4 2 2 3 4 4 3 2" xfId="14403" xr:uid="{AF2DD46A-7CCD-477C-898F-456BAAD493E9}"/>
    <cellStyle name="Normal 4 2 2 3 4 4 4" xfId="10185" xr:uid="{5B660C25-E198-4EB2-95CA-DA62705DB0C8}"/>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2 2 2" xfId="16961" xr:uid="{E1A62A6C-D69D-4849-9318-8AFADE86AC37}"/>
    <cellStyle name="Normal 4 2 2 3 4 5 2 3" xfId="12743" xr:uid="{85A861AF-CAAB-44FE-A2F7-B2394147A6B5}"/>
    <cellStyle name="Normal 4 2 2 3 4 5 3" xfId="6377" xr:uid="{00000000-0005-0000-0000-00007C120000}"/>
    <cellStyle name="Normal 4 2 2 3 4 5 3 2" xfId="14816" xr:uid="{241E8BB3-0981-426C-885D-2F3C312A5DBF}"/>
    <cellStyle name="Normal 4 2 2 3 4 5 4" xfId="10598" xr:uid="{E3F1CC77-ECB9-4B47-9E5C-7AAF5BD93B1C}"/>
    <cellStyle name="Normal 4 2 2 3 4 6" xfId="2506" xr:uid="{00000000-0005-0000-0000-00007D120000}"/>
    <cellStyle name="Normal 4 2 2 3 4 6 2" xfId="6790" xr:uid="{00000000-0005-0000-0000-00007E120000}"/>
    <cellStyle name="Normal 4 2 2 3 4 6 2 2" xfId="15229" xr:uid="{1FB9D93C-A739-4536-A151-BD613E18EFEF}"/>
    <cellStyle name="Normal 4 2 2 3 4 6 3" xfId="11011" xr:uid="{FBF5B7DA-E6DC-4C95-B475-CC1911FA440E}"/>
    <cellStyle name="Normal 4 2 2 3 4 7" xfId="4725" xr:uid="{00000000-0005-0000-0000-00007F120000}"/>
    <cellStyle name="Normal 4 2 2 3 4 7 2" xfId="13164" xr:uid="{6CDB0648-8687-423A-AA07-8E5FFA27E3A8}"/>
    <cellStyle name="Normal 4 2 2 3 4 8" xfId="8946" xr:uid="{D9801166-1BC3-453B-B257-EDE1551368C1}"/>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15715" xr:uid="{85A95917-93D0-4C96-8200-BD2D77FE7323}"/>
    <cellStyle name="Normal 4 2 2 3 5 2 3" xfId="11497" xr:uid="{59F50525-2B93-42F3-92FE-E9F62721321A}"/>
    <cellStyle name="Normal 4 2 2 3 5 3" xfId="5131" xr:uid="{00000000-0005-0000-0000-000083120000}"/>
    <cellStyle name="Normal 4 2 2 3 5 3 2" xfId="13570" xr:uid="{6A8D72ED-C48B-4F9D-8815-2DB3A90CF306}"/>
    <cellStyle name="Normal 4 2 2 3 5 4" xfId="9352" xr:uid="{019D53F2-0CD8-455B-808C-74857EB0237D}"/>
    <cellStyle name="Normal 4 2 2 3 6" xfId="1236" xr:uid="{00000000-0005-0000-0000-000084120000}"/>
    <cellStyle name="Normal 4 2 2 3 6 2" xfId="3466" xr:uid="{00000000-0005-0000-0000-000085120000}"/>
    <cellStyle name="Normal 4 2 2 3 6 2 2" xfId="7689" xr:uid="{00000000-0005-0000-0000-000086120000}"/>
    <cellStyle name="Normal 4 2 2 3 6 2 2 2" xfId="16128" xr:uid="{DD6E95E4-65FF-41D9-A0B3-D3FE370318B4}"/>
    <cellStyle name="Normal 4 2 2 3 6 2 3" xfId="11910" xr:uid="{D3582907-BBFB-4F28-B780-618C3F3037B7}"/>
    <cellStyle name="Normal 4 2 2 3 6 3" xfId="5544" xr:uid="{00000000-0005-0000-0000-000087120000}"/>
    <cellStyle name="Normal 4 2 2 3 6 3 2" xfId="13983" xr:uid="{69F599C3-1FA1-42D4-BB15-3B2905042D65}"/>
    <cellStyle name="Normal 4 2 2 3 6 4" xfId="9765" xr:uid="{8BEF2981-62C0-433C-BB76-B6D5C8577899}"/>
    <cellStyle name="Normal 4 2 2 3 7" xfId="1649" xr:uid="{00000000-0005-0000-0000-000088120000}"/>
    <cellStyle name="Normal 4 2 2 3 7 2" xfId="3879" xr:uid="{00000000-0005-0000-0000-000089120000}"/>
    <cellStyle name="Normal 4 2 2 3 7 2 2" xfId="8102" xr:uid="{00000000-0005-0000-0000-00008A120000}"/>
    <cellStyle name="Normal 4 2 2 3 7 2 2 2" xfId="16541" xr:uid="{AAD7F36C-92CE-4E24-8E4D-2EA3899E030A}"/>
    <cellStyle name="Normal 4 2 2 3 7 2 3" xfId="12323" xr:uid="{C9E33B4E-1088-4A72-BB4E-D1CD43E52859}"/>
    <cellStyle name="Normal 4 2 2 3 7 3" xfId="5957" xr:uid="{00000000-0005-0000-0000-00008B120000}"/>
    <cellStyle name="Normal 4 2 2 3 7 3 2" xfId="14396" xr:uid="{EDDBF981-3934-4997-9D85-0A7801EC5492}"/>
    <cellStyle name="Normal 4 2 2 3 7 4" xfId="10178" xr:uid="{9FFE2C84-43D6-4632-92B8-4BBFC938975E}"/>
    <cellStyle name="Normal 4 2 2 3 8" xfId="2063" xr:uid="{00000000-0005-0000-0000-00008C120000}"/>
    <cellStyle name="Normal 4 2 2 3 8 2" xfId="4292" xr:uid="{00000000-0005-0000-0000-00008D120000}"/>
    <cellStyle name="Normal 4 2 2 3 8 2 2" xfId="8515" xr:uid="{00000000-0005-0000-0000-00008E120000}"/>
    <cellStyle name="Normal 4 2 2 3 8 2 2 2" xfId="16954" xr:uid="{58B96AEE-275A-4C58-A005-7B2C3A081F1D}"/>
    <cellStyle name="Normal 4 2 2 3 8 2 3" xfId="12736" xr:uid="{0D05FF6A-D2B5-4C7E-9497-88F8A1442523}"/>
    <cellStyle name="Normal 4 2 2 3 8 3" xfId="6370" xr:uid="{00000000-0005-0000-0000-00008F120000}"/>
    <cellStyle name="Normal 4 2 2 3 8 3 2" xfId="14809" xr:uid="{C22ABB0F-B83D-4F56-AB93-79C785BD1DCC}"/>
    <cellStyle name="Normal 4 2 2 3 8 4" xfId="10591" xr:uid="{F79EF690-97DA-455C-AFB5-A253AF7120E2}"/>
    <cellStyle name="Normal 4 2 2 3 9" xfId="2499" xr:uid="{00000000-0005-0000-0000-000090120000}"/>
    <cellStyle name="Normal 4 2 2 3 9 2" xfId="6783" xr:uid="{00000000-0005-0000-0000-000091120000}"/>
    <cellStyle name="Normal 4 2 2 3 9 2 2" xfId="15222" xr:uid="{2E81EE20-A6B0-4203-85EE-55CD74F2B07A}"/>
    <cellStyle name="Normal 4 2 2 3 9 3" xfId="11004" xr:uid="{5EB50867-23FA-41E9-9095-F25148DCA26D}"/>
    <cellStyle name="Normal 4 2 2 4" xfId="347" xr:uid="{00000000-0005-0000-0000-000092120000}"/>
    <cellStyle name="Normal 4 2 2 4 10" xfId="8947" xr:uid="{E59CE721-67A8-45B6-B46A-87FF2BC8401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15725" xr:uid="{6D90E1CC-CBB1-44B8-8DD9-C69D1B08A9B4}"/>
    <cellStyle name="Normal 4 2 2 4 2 2 2 2 3" xfId="11507" xr:uid="{E1631F7C-E32E-435D-A4AA-B1ECEC3D4AD6}"/>
    <cellStyle name="Normal 4 2 2 4 2 2 2 3" xfId="5141" xr:uid="{00000000-0005-0000-0000-000098120000}"/>
    <cellStyle name="Normal 4 2 2 4 2 2 2 3 2" xfId="13580" xr:uid="{9C20A3B5-FA76-4F95-AC11-17D4988AAA4F}"/>
    <cellStyle name="Normal 4 2 2 4 2 2 2 4" xfId="9362" xr:uid="{A1CA27C9-2A47-4667-BF4D-EA99D4290818}"/>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2 2" xfId="16138" xr:uid="{76B113D1-DA60-4BDA-9C91-5FF17D3A73EC}"/>
    <cellStyle name="Normal 4 2 2 4 2 2 3 2 3" xfId="11920" xr:uid="{E05AE415-8FE7-4473-ACC7-AB81D1D6AFCC}"/>
    <cellStyle name="Normal 4 2 2 4 2 2 3 3" xfId="5554" xr:uid="{00000000-0005-0000-0000-00009C120000}"/>
    <cellStyle name="Normal 4 2 2 4 2 2 3 3 2" xfId="13993" xr:uid="{8574F8B2-A0C6-44CF-8D20-1BF5E39BEED5}"/>
    <cellStyle name="Normal 4 2 2 4 2 2 3 4" xfId="9775" xr:uid="{C2D2FA90-8982-4725-BFF0-68958C0C32DB}"/>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2 2 2" xfId="16551" xr:uid="{C8139C3F-8068-4134-89FD-A6C514241623}"/>
    <cellStyle name="Normal 4 2 2 4 2 2 4 2 3" xfId="12333" xr:uid="{5B819D8D-6BDE-4344-BD86-6AFCA2194E78}"/>
    <cellStyle name="Normal 4 2 2 4 2 2 4 3" xfId="5967" xr:uid="{00000000-0005-0000-0000-0000A0120000}"/>
    <cellStyle name="Normal 4 2 2 4 2 2 4 3 2" xfId="14406" xr:uid="{D915A07B-1A55-49DD-864B-5FCC04A9F1DA}"/>
    <cellStyle name="Normal 4 2 2 4 2 2 4 4" xfId="10188" xr:uid="{0C908F17-A922-45AE-9EE1-E97DCFBD2D56}"/>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2 2 2" xfId="16964" xr:uid="{11ADC959-B411-43E8-A655-E895DA14EC67}"/>
    <cellStyle name="Normal 4 2 2 4 2 2 5 2 3" xfId="12746" xr:uid="{C89FF2A0-09EE-40BC-A79C-803D57F9E2A4}"/>
    <cellStyle name="Normal 4 2 2 4 2 2 5 3" xfId="6380" xr:uid="{00000000-0005-0000-0000-0000A4120000}"/>
    <cellStyle name="Normal 4 2 2 4 2 2 5 3 2" xfId="14819" xr:uid="{76BE5002-75D4-4BC1-87CE-B5184244A2CE}"/>
    <cellStyle name="Normal 4 2 2 4 2 2 5 4" xfId="10601" xr:uid="{5B898801-D5D9-4F02-98F1-2198B72E66E9}"/>
    <cellStyle name="Normal 4 2 2 4 2 2 6" xfId="2509" xr:uid="{00000000-0005-0000-0000-0000A5120000}"/>
    <cellStyle name="Normal 4 2 2 4 2 2 6 2" xfId="6793" xr:uid="{00000000-0005-0000-0000-0000A6120000}"/>
    <cellStyle name="Normal 4 2 2 4 2 2 6 2 2" xfId="15232" xr:uid="{2231CD17-696D-4095-BD5B-8F3E9E384022}"/>
    <cellStyle name="Normal 4 2 2 4 2 2 6 3" xfId="11014" xr:uid="{DE6D748A-863E-4A63-8BDD-EC1A6E324E97}"/>
    <cellStyle name="Normal 4 2 2 4 2 2 7" xfId="4728" xr:uid="{00000000-0005-0000-0000-0000A7120000}"/>
    <cellStyle name="Normal 4 2 2 4 2 2 7 2" xfId="13167" xr:uid="{5DB280F4-FA58-4FB3-974F-190D96D8586C}"/>
    <cellStyle name="Normal 4 2 2 4 2 2 8" xfId="8949" xr:uid="{3997D41C-CE16-4AEA-8A07-B68B8338B3D6}"/>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15724" xr:uid="{7DE81337-BB43-4AAC-B147-EF8CAE5BF476}"/>
    <cellStyle name="Normal 4 2 2 4 2 3 2 3" xfId="11506" xr:uid="{3378421B-161B-4B36-8423-956F3254F8F9}"/>
    <cellStyle name="Normal 4 2 2 4 2 3 3" xfId="5140" xr:uid="{00000000-0005-0000-0000-0000AB120000}"/>
    <cellStyle name="Normal 4 2 2 4 2 3 3 2" xfId="13579" xr:uid="{8C43E409-AA13-49DE-997A-917DA0B8DC5D}"/>
    <cellStyle name="Normal 4 2 2 4 2 3 4" xfId="9361" xr:uid="{DE5581DB-33B9-44DD-86EA-B62BF153808A}"/>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2 2" xfId="16137" xr:uid="{7223CC17-B567-4AE3-AC2D-334051724FB6}"/>
    <cellStyle name="Normal 4 2 2 4 2 4 2 3" xfId="11919" xr:uid="{00DCB6F4-4E90-4B4E-9817-8A307DB55D5B}"/>
    <cellStyle name="Normal 4 2 2 4 2 4 3" xfId="5553" xr:uid="{00000000-0005-0000-0000-0000AF120000}"/>
    <cellStyle name="Normal 4 2 2 4 2 4 3 2" xfId="13992" xr:uid="{80CDFCA2-61B0-4CC6-B3EC-223DAB1052AC}"/>
    <cellStyle name="Normal 4 2 2 4 2 4 4" xfId="9774" xr:uid="{FA1506D1-B276-4EA8-9D16-2C09BA7AD567}"/>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2 2 2" xfId="16550" xr:uid="{0740CB1B-9A0C-41C8-A97C-032D3FB871DF}"/>
    <cellStyle name="Normal 4 2 2 4 2 5 2 3" xfId="12332" xr:uid="{75DF964D-6CB0-450F-822D-D8D905ABF37A}"/>
    <cellStyle name="Normal 4 2 2 4 2 5 3" xfId="5966" xr:uid="{00000000-0005-0000-0000-0000B3120000}"/>
    <cellStyle name="Normal 4 2 2 4 2 5 3 2" xfId="14405" xr:uid="{572D6F4F-59E5-4719-95B3-725D56E84393}"/>
    <cellStyle name="Normal 4 2 2 4 2 5 4" xfId="10187" xr:uid="{263D6F5E-346D-4274-A05E-FEB929916E8A}"/>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2 2 2" xfId="16963" xr:uid="{CEF9181D-ECC1-4C18-A22A-EF51D2CC1477}"/>
    <cellStyle name="Normal 4 2 2 4 2 6 2 3" xfId="12745" xr:uid="{FA17B62E-DB22-40B1-B24C-FF88B6B80A3A}"/>
    <cellStyle name="Normal 4 2 2 4 2 6 3" xfId="6379" xr:uid="{00000000-0005-0000-0000-0000B7120000}"/>
    <cellStyle name="Normal 4 2 2 4 2 6 3 2" xfId="14818" xr:uid="{7BDA21F0-EC01-4273-9A76-A213E4711D42}"/>
    <cellStyle name="Normal 4 2 2 4 2 6 4" xfId="10600" xr:uid="{5F6E2E43-2C12-4C26-9527-4535911CDFCD}"/>
    <cellStyle name="Normal 4 2 2 4 2 7" xfId="2508" xr:uid="{00000000-0005-0000-0000-0000B8120000}"/>
    <cellStyle name="Normal 4 2 2 4 2 7 2" xfId="6792" xr:uid="{00000000-0005-0000-0000-0000B9120000}"/>
    <cellStyle name="Normal 4 2 2 4 2 7 2 2" xfId="15231" xr:uid="{958D3240-EDC9-49E4-BF84-36FFBC0D55BA}"/>
    <cellStyle name="Normal 4 2 2 4 2 7 3" xfId="11013" xr:uid="{7F5E0CEF-09A9-4578-9B8E-AD2471CF3B14}"/>
    <cellStyle name="Normal 4 2 2 4 2 8" xfId="4727" xr:uid="{00000000-0005-0000-0000-0000BA120000}"/>
    <cellStyle name="Normal 4 2 2 4 2 8 2" xfId="13166" xr:uid="{E1F9CCD4-DAE2-4A24-8ED4-28EB3BC8FF5B}"/>
    <cellStyle name="Normal 4 2 2 4 2 9" xfId="8948" xr:uid="{AA32C996-BD8D-40B5-A750-156D62E745C9}"/>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15726" xr:uid="{9FF4D968-4396-4273-ADC7-061221AA5A89}"/>
    <cellStyle name="Normal 4 2 2 4 3 2 2 3" xfId="11508" xr:uid="{4B9A3521-C4C0-45B5-A4A9-D16910B91E99}"/>
    <cellStyle name="Normal 4 2 2 4 3 2 3" xfId="5142" xr:uid="{00000000-0005-0000-0000-0000BF120000}"/>
    <cellStyle name="Normal 4 2 2 4 3 2 3 2" xfId="13581" xr:uid="{3970F1E2-8ED0-4006-B372-EF33CCA50CFB}"/>
    <cellStyle name="Normal 4 2 2 4 3 2 4" xfId="9363" xr:uid="{279F3BF1-A1AA-42C2-BE3E-0A74618A3C5B}"/>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2 2" xfId="16139" xr:uid="{52C184CF-2740-42DD-9A3B-9C0F08369658}"/>
    <cellStyle name="Normal 4 2 2 4 3 3 2 3" xfId="11921" xr:uid="{E7D60C4D-FB0C-448D-95F9-79181538E732}"/>
    <cellStyle name="Normal 4 2 2 4 3 3 3" xfId="5555" xr:uid="{00000000-0005-0000-0000-0000C3120000}"/>
    <cellStyle name="Normal 4 2 2 4 3 3 3 2" xfId="13994" xr:uid="{C1CCD318-D5DA-4EA5-8C68-A6AFC5711CC8}"/>
    <cellStyle name="Normal 4 2 2 4 3 3 4" xfId="9776" xr:uid="{8903212C-E231-4D01-8591-C00B000745C8}"/>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2 2 2" xfId="16552" xr:uid="{2DE01420-EE45-4784-B5BD-C189A47A2FDC}"/>
    <cellStyle name="Normal 4 2 2 4 3 4 2 3" xfId="12334" xr:uid="{3660B33A-F6F9-4768-ACF7-2B94E1C09ED7}"/>
    <cellStyle name="Normal 4 2 2 4 3 4 3" xfId="5968" xr:uid="{00000000-0005-0000-0000-0000C7120000}"/>
    <cellStyle name="Normal 4 2 2 4 3 4 3 2" xfId="14407" xr:uid="{A960A958-0378-4D9F-B202-2E0241391340}"/>
    <cellStyle name="Normal 4 2 2 4 3 4 4" xfId="10189" xr:uid="{A480B379-DBEF-4CA4-9D19-E3FE49966B52}"/>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2 2 2" xfId="16965" xr:uid="{0F126987-D44C-41E9-95A5-54D0BAAD7E87}"/>
    <cellStyle name="Normal 4 2 2 4 3 5 2 3" xfId="12747" xr:uid="{C1A5AC3E-C98B-494B-A5CD-D5A1746874FE}"/>
    <cellStyle name="Normal 4 2 2 4 3 5 3" xfId="6381" xr:uid="{00000000-0005-0000-0000-0000CB120000}"/>
    <cellStyle name="Normal 4 2 2 4 3 5 3 2" xfId="14820" xr:uid="{25ADE090-946D-421D-ADEA-A12F893C865C}"/>
    <cellStyle name="Normal 4 2 2 4 3 5 4" xfId="10602" xr:uid="{AFE643F3-B93C-431E-A9DB-73CB83514542}"/>
    <cellStyle name="Normal 4 2 2 4 3 6" xfId="2510" xr:uid="{00000000-0005-0000-0000-0000CC120000}"/>
    <cellStyle name="Normal 4 2 2 4 3 6 2" xfId="6794" xr:uid="{00000000-0005-0000-0000-0000CD120000}"/>
    <cellStyle name="Normal 4 2 2 4 3 6 2 2" xfId="15233" xr:uid="{941987C5-1632-49CB-B13D-F834BA3A5F02}"/>
    <cellStyle name="Normal 4 2 2 4 3 6 3" xfId="11015" xr:uid="{19C6C101-DAEA-4CB4-8639-62314EB40689}"/>
    <cellStyle name="Normal 4 2 2 4 3 7" xfId="4729" xr:uid="{00000000-0005-0000-0000-0000CE120000}"/>
    <cellStyle name="Normal 4 2 2 4 3 7 2" xfId="13168" xr:uid="{7A7CB906-E56A-442F-8609-CAEDFAF09EB5}"/>
    <cellStyle name="Normal 4 2 2 4 3 8" xfId="8950" xr:uid="{620C62A5-3E5C-4917-8F98-EE4116537181}"/>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15723" xr:uid="{1BFCE603-3C86-4A58-B92E-A03D6D69B74D}"/>
    <cellStyle name="Normal 4 2 2 4 4 2 3" xfId="11505" xr:uid="{4CA9AACE-007B-4B78-9C71-D644CC72D6F0}"/>
    <cellStyle name="Normal 4 2 2 4 4 3" xfId="5139" xr:uid="{00000000-0005-0000-0000-0000D2120000}"/>
    <cellStyle name="Normal 4 2 2 4 4 3 2" xfId="13578" xr:uid="{D3EACB5B-D072-48BD-9C9A-5751927D0C6A}"/>
    <cellStyle name="Normal 4 2 2 4 4 4" xfId="9360" xr:uid="{609BADD6-61BF-4144-9780-7066E76D4527}"/>
    <cellStyle name="Normal 4 2 2 4 5" xfId="1244" xr:uid="{00000000-0005-0000-0000-0000D3120000}"/>
    <cellStyle name="Normal 4 2 2 4 5 2" xfId="3474" xr:uid="{00000000-0005-0000-0000-0000D4120000}"/>
    <cellStyle name="Normal 4 2 2 4 5 2 2" xfId="7697" xr:uid="{00000000-0005-0000-0000-0000D5120000}"/>
    <cellStyle name="Normal 4 2 2 4 5 2 2 2" xfId="16136" xr:uid="{DD595504-4D10-408E-B8C8-68E078593C09}"/>
    <cellStyle name="Normal 4 2 2 4 5 2 3" xfId="11918" xr:uid="{BAEB1677-6CD4-4C67-8AFB-9A51B59DBE10}"/>
    <cellStyle name="Normal 4 2 2 4 5 3" xfId="5552" xr:uid="{00000000-0005-0000-0000-0000D6120000}"/>
    <cellStyle name="Normal 4 2 2 4 5 3 2" xfId="13991" xr:uid="{942A118D-2852-4852-BCDC-C29E2E69E3C4}"/>
    <cellStyle name="Normal 4 2 2 4 5 4" xfId="9773" xr:uid="{5EC442BC-E7AE-4F16-AE1F-6232A6F93422}"/>
    <cellStyle name="Normal 4 2 2 4 6" xfId="1657" xr:uid="{00000000-0005-0000-0000-0000D7120000}"/>
    <cellStyle name="Normal 4 2 2 4 6 2" xfId="3887" xr:uid="{00000000-0005-0000-0000-0000D8120000}"/>
    <cellStyle name="Normal 4 2 2 4 6 2 2" xfId="8110" xr:uid="{00000000-0005-0000-0000-0000D9120000}"/>
    <cellStyle name="Normal 4 2 2 4 6 2 2 2" xfId="16549" xr:uid="{E0C7BFF6-E9DF-4CD7-896C-E7C895933111}"/>
    <cellStyle name="Normal 4 2 2 4 6 2 3" xfId="12331" xr:uid="{21F348C4-7625-44E8-BD45-43405A5C48E0}"/>
    <cellStyle name="Normal 4 2 2 4 6 3" xfId="5965" xr:uid="{00000000-0005-0000-0000-0000DA120000}"/>
    <cellStyle name="Normal 4 2 2 4 6 3 2" xfId="14404" xr:uid="{982E79ED-E271-4DB6-A10A-F63F448D3EF7}"/>
    <cellStyle name="Normal 4 2 2 4 6 4" xfId="10186" xr:uid="{E33A268E-4982-4221-81B9-3E2D06D322AC}"/>
    <cellStyle name="Normal 4 2 2 4 7" xfId="2071" xr:uid="{00000000-0005-0000-0000-0000DB120000}"/>
    <cellStyle name="Normal 4 2 2 4 7 2" xfId="4300" xr:uid="{00000000-0005-0000-0000-0000DC120000}"/>
    <cellStyle name="Normal 4 2 2 4 7 2 2" xfId="8523" xr:uid="{00000000-0005-0000-0000-0000DD120000}"/>
    <cellStyle name="Normal 4 2 2 4 7 2 2 2" xfId="16962" xr:uid="{83F59D55-179C-406E-AD65-B6394C6B175E}"/>
    <cellStyle name="Normal 4 2 2 4 7 2 3" xfId="12744" xr:uid="{B1B36E43-A01A-4AE5-86C4-4BBD693A2013}"/>
    <cellStyle name="Normal 4 2 2 4 7 3" xfId="6378" xr:uid="{00000000-0005-0000-0000-0000DE120000}"/>
    <cellStyle name="Normal 4 2 2 4 7 3 2" xfId="14817" xr:uid="{97B34435-CCC3-4385-8347-733AB61DAE00}"/>
    <cellStyle name="Normal 4 2 2 4 7 4" xfId="10599" xr:uid="{4C9AB4F5-6ED3-4C50-8B9C-DCA8911540A5}"/>
    <cellStyle name="Normal 4 2 2 4 8" xfId="2507" xr:uid="{00000000-0005-0000-0000-0000DF120000}"/>
    <cellStyle name="Normal 4 2 2 4 8 2" xfId="6791" xr:uid="{00000000-0005-0000-0000-0000E0120000}"/>
    <cellStyle name="Normal 4 2 2 4 8 2 2" xfId="15230" xr:uid="{03361209-5971-4A2F-B060-07CC7DD21746}"/>
    <cellStyle name="Normal 4 2 2 4 8 3" xfId="11012" xr:uid="{49624818-23EE-4095-B71E-B91EF8D18064}"/>
    <cellStyle name="Normal 4 2 2 4 9" xfId="4726" xr:uid="{00000000-0005-0000-0000-0000E1120000}"/>
    <cellStyle name="Normal 4 2 2 4 9 2" xfId="13165" xr:uid="{CFE319E2-BE34-4A7D-96A0-4A425AD2253A}"/>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15728" xr:uid="{0AA3CF35-E67E-4C9E-928E-C20D0010279A}"/>
    <cellStyle name="Normal 4 2 2 5 2 2 2 3" xfId="11510" xr:uid="{5CE21AA2-CD13-4191-BE02-E7870BAC503C}"/>
    <cellStyle name="Normal 4 2 2 5 2 2 3" xfId="5144" xr:uid="{00000000-0005-0000-0000-0000E7120000}"/>
    <cellStyle name="Normal 4 2 2 5 2 2 3 2" xfId="13583" xr:uid="{13E87BF7-210A-4CF4-9BF0-6E0EF2DF7615}"/>
    <cellStyle name="Normal 4 2 2 5 2 2 4" xfId="9365" xr:uid="{6C659CB1-9D34-42D1-A3CF-18AD1473183D}"/>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2 2" xfId="16141" xr:uid="{2E045EF1-B33B-4275-B6C4-6EB9C05432D3}"/>
    <cellStyle name="Normal 4 2 2 5 2 3 2 3" xfId="11923" xr:uid="{AC1C9549-ADC6-490B-8CEF-3EE9E1441B8E}"/>
    <cellStyle name="Normal 4 2 2 5 2 3 3" xfId="5557" xr:uid="{00000000-0005-0000-0000-0000EB120000}"/>
    <cellStyle name="Normal 4 2 2 5 2 3 3 2" xfId="13996" xr:uid="{0198AE94-6074-435C-897D-A28F42630161}"/>
    <cellStyle name="Normal 4 2 2 5 2 3 4" xfId="9778" xr:uid="{90ACAADA-7133-4983-9401-6E00F6BE1484}"/>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2 2 2" xfId="16554" xr:uid="{2FBDC2FF-B077-42C0-9D1B-4F8051D069B2}"/>
    <cellStyle name="Normal 4 2 2 5 2 4 2 3" xfId="12336" xr:uid="{A83C9BAC-0655-4C4C-82EF-2BB6AE0B3E50}"/>
    <cellStyle name="Normal 4 2 2 5 2 4 3" xfId="5970" xr:uid="{00000000-0005-0000-0000-0000EF120000}"/>
    <cellStyle name="Normal 4 2 2 5 2 4 3 2" xfId="14409" xr:uid="{F9CDF6FC-D9E8-4F22-A288-EA2FFE7D5AA3}"/>
    <cellStyle name="Normal 4 2 2 5 2 4 4" xfId="10191" xr:uid="{97A9C949-DFBE-42C4-8E29-53764F5012DB}"/>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2 2 2" xfId="16967" xr:uid="{89141C86-17FD-48F0-95BB-628F60E14379}"/>
    <cellStyle name="Normal 4 2 2 5 2 5 2 3" xfId="12749" xr:uid="{84464CC4-F5A3-4EAA-9ADA-AC51555C8975}"/>
    <cellStyle name="Normal 4 2 2 5 2 5 3" xfId="6383" xr:uid="{00000000-0005-0000-0000-0000F3120000}"/>
    <cellStyle name="Normal 4 2 2 5 2 5 3 2" xfId="14822" xr:uid="{8D463952-51C9-4DCE-B0F2-6563826126BA}"/>
    <cellStyle name="Normal 4 2 2 5 2 5 4" xfId="10604" xr:uid="{137FD4F4-D147-44AD-8F0F-490570A17987}"/>
    <cellStyle name="Normal 4 2 2 5 2 6" xfId="2512" xr:uid="{00000000-0005-0000-0000-0000F4120000}"/>
    <cellStyle name="Normal 4 2 2 5 2 6 2" xfId="6796" xr:uid="{00000000-0005-0000-0000-0000F5120000}"/>
    <cellStyle name="Normal 4 2 2 5 2 6 2 2" xfId="15235" xr:uid="{B383FECB-FBE9-43EB-B535-761A2F4DD9C8}"/>
    <cellStyle name="Normal 4 2 2 5 2 6 3" xfId="11017" xr:uid="{78D0C647-6C23-469A-8E54-44BBA7CED3D9}"/>
    <cellStyle name="Normal 4 2 2 5 2 7" xfId="4731" xr:uid="{00000000-0005-0000-0000-0000F6120000}"/>
    <cellStyle name="Normal 4 2 2 5 2 7 2" xfId="13170" xr:uid="{898B9ED0-26DE-4ED2-B2FD-E6BDF1B02E17}"/>
    <cellStyle name="Normal 4 2 2 5 2 8" xfId="8952" xr:uid="{1AA5B8C0-0805-4967-85CD-3FAF8D237127}"/>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15727" xr:uid="{F62C1694-47C1-4C3E-84C6-0098D2A81837}"/>
    <cellStyle name="Normal 4 2 2 5 3 2 3" xfId="11509" xr:uid="{2D0B555A-4EB3-466F-A0E5-4F4617B31E4B}"/>
    <cellStyle name="Normal 4 2 2 5 3 3" xfId="5143" xr:uid="{00000000-0005-0000-0000-0000FA120000}"/>
    <cellStyle name="Normal 4 2 2 5 3 3 2" xfId="13582" xr:uid="{69D7B810-29C9-41B3-A826-3E189204A55F}"/>
    <cellStyle name="Normal 4 2 2 5 3 4" xfId="9364" xr:uid="{7F308E5A-CCAD-4912-94C0-D1FE437C778D}"/>
    <cellStyle name="Normal 4 2 2 5 4" xfId="1248" xr:uid="{00000000-0005-0000-0000-0000FB120000}"/>
    <cellStyle name="Normal 4 2 2 5 4 2" xfId="3478" xr:uid="{00000000-0005-0000-0000-0000FC120000}"/>
    <cellStyle name="Normal 4 2 2 5 4 2 2" xfId="7701" xr:uid="{00000000-0005-0000-0000-0000FD120000}"/>
    <cellStyle name="Normal 4 2 2 5 4 2 2 2" xfId="16140" xr:uid="{3F3F8597-36F5-49F4-BE0A-82F4D06B91F6}"/>
    <cellStyle name="Normal 4 2 2 5 4 2 3" xfId="11922" xr:uid="{5EBCFA59-472B-413F-BC45-34199204BE76}"/>
    <cellStyle name="Normal 4 2 2 5 4 3" xfId="5556" xr:uid="{00000000-0005-0000-0000-0000FE120000}"/>
    <cellStyle name="Normal 4 2 2 5 4 3 2" xfId="13995" xr:uid="{7654C10E-0B6F-47DD-9559-D0084E0B83CC}"/>
    <cellStyle name="Normal 4 2 2 5 4 4" xfId="9777" xr:uid="{A50D8941-F643-48DB-AE2B-EB7ED4BD8CBB}"/>
    <cellStyle name="Normal 4 2 2 5 5" xfId="1661" xr:uid="{00000000-0005-0000-0000-0000FF120000}"/>
    <cellStyle name="Normal 4 2 2 5 5 2" xfId="3891" xr:uid="{00000000-0005-0000-0000-000000130000}"/>
    <cellStyle name="Normal 4 2 2 5 5 2 2" xfId="8114" xr:uid="{00000000-0005-0000-0000-000001130000}"/>
    <cellStyle name="Normal 4 2 2 5 5 2 2 2" xfId="16553" xr:uid="{1587F5A3-C602-443E-8313-1AA9895B3E13}"/>
    <cellStyle name="Normal 4 2 2 5 5 2 3" xfId="12335" xr:uid="{A8AC786B-E2D0-41BF-A0C5-FDB3E1674978}"/>
    <cellStyle name="Normal 4 2 2 5 5 3" xfId="5969" xr:uid="{00000000-0005-0000-0000-000002130000}"/>
    <cellStyle name="Normal 4 2 2 5 5 3 2" xfId="14408" xr:uid="{D909634B-6C55-4CC2-A8FB-0749ACD68FF4}"/>
    <cellStyle name="Normal 4 2 2 5 5 4" xfId="10190" xr:uid="{3483960C-1F8A-4C5B-AC55-B29D33F8E421}"/>
    <cellStyle name="Normal 4 2 2 5 6" xfId="2075" xr:uid="{00000000-0005-0000-0000-000003130000}"/>
    <cellStyle name="Normal 4 2 2 5 6 2" xfId="4304" xr:uid="{00000000-0005-0000-0000-000004130000}"/>
    <cellStyle name="Normal 4 2 2 5 6 2 2" xfId="8527" xr:uid="{00000000-0005-0000-0000-000005130000}"/>
    <cellStyle name="Normal 4 2 2 5 6 2 2 2" xfId="16966" xr:uid="{2A1353A9-C1EA-42DE-9CF2-B2C175450E58}"/>
    <cellStyle name="Normal 4 2 2 5 6 2 3" xfId="12748" xr:uid="{8D502E1A-F5E6-4107-AA5F-5F294A6139F1}"/>
    <cellStyle name="Normal 4 2 2 5 6 3" xfId="6382" xr:uid="{00000000-0005-0000-0000-000006130000}"/>
    <cellStyle name="Normal 4 2 2 5 6 3 2" xfId="14821" xr:uid="{B147D00B-B08A-472D-B6CB-53214A6A8006}"/>
    <cellStyle name="Normal 4 2 2 5 6 4" xfId="10603" xr:uid="{14B323CE-23DB-45E9-AE18-567A88FBC23C}"/>
    <cellStyle name="Normal 4 2 2 5 7" xfId="2511" xr:uid="{00000000-0005-0000-0000-000007130000}"/>
    <cellStyle name="Normal 4 2 2 5 7 2" xfId="6795" xr:uid="{00000000-0005-0000-0000-000008130000}"/>
    <cellStyle name="Normal 4 2 2 5 7 2 2" xfId="15234" xr:uid="{FD392E6C-59F5-4F8E-8B4D-58D2C21FF703}"/>
    <cellStyle name="Normal 4 2 2 5 7 3" xfId="11016" xr:uid="{9651A405-B2B6-49A9-AC04-F43D1CC35A41}"/>
    <cellStyle name="Normal 4 2 2 5 8" xfId="4730" xr:uid="{00000000-0005-0000-0000-000009130000}"/>
    <cellStyle name="Normal 4 2 2 5 8 2" xfId="13169" xr:uid="{4B5E6EE9-28FF-4018-A210-20B5B1B51731}"/>
    <cellStyle name="Normal 4 2 2 5 9" xfId="8951" xr:uid="{AD25AE1B-0F01-4842-87F5-AECF5F810767}"/>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15729" xr:uid="{AF4E07EB-C9E7-440C-9881-DE265BC1A73B}"/>
    <cellStyle name="Normal 4 2 2 6 2 2 3" xfId="11511" xr:uid="{01F12D28-B0B9-4E8B-8FEB-19EC2F548F76}"/>
    <cellStyle name="Normal 4 2 2 6 2 3" xfId="5145" xr:uid="{00000000-0005-0000-0000-00000E130000}"/>
    <cellStyle name="Normal 4 2 2 6 2 3 2" xfId="13584" xr:uid="{3C47FCC0-36AE-4593-B929-D6D38DA52D6A}"/>
    <cellStyle name="Normal 4 2 2 6 2 4" xfId="9366" xr:uid="{E7F7F8DA-B217-42CE-95BC-DC22BD352B8C}"/>
    <cellStyle name="Normal 4 2 2 6 3" xfId="1250" xr:uid="{00000000-0005-0000-0000-00000F130000}"/>
    <cellStyle name="Normal 4 2 2 6 3 2" xfId="3480" xr:uid="{00000000-0005-0000-0000-000010130000}"/>
    <cellStyle name="Normal 4 2 2 6 3 2 2" xfId="7703" xr:uid="{00000000-0005-0000-0000-000011130000}"/>
    <cellStyle name="Normal 4 2 2 6 3 2 2 2" xfId="16142" xr:uid="{B64711D8-1EBE-4C26-8B4E-113F21F6CA8E}"/>
    <cellStyle name="Normal 4 2 2 6 3 2 3" xfId="11924" xr:uid="{3FF26992-D4BA-4E20-A4CA-19B12CD7E945}"/>
    <cellStyle name="Normal 4 2 2 6 3 3" xfId="5558" xr:uid="{00000000-0005-0000-0000-000012130000}"/>
    <cellStyle name="Normal 4 2 2 6 3 3 2" xfId="13997" xr:uid="{1AFB22C2-B864-440D-8300-36F8A137859D}"/>
    <cellStyle name="Normal 4 2 2 6 3 4" xfId="9779" xr:uid="{AD99330B-5C63-47B0-BCA5-15F580BDE98E}"/>
    <cellStyle name="Normal 4 2 2 6 4" xfId="1663" xr:uid="{00000000-0005-0000-0000-000013130000}"/>
    <cellStyle name="Normal 4 2 2 6 4 2" xfId="3893" xr:uid="{00000000-0005-0000-0000-000014130000}"/>
    <cellStyle name="Normal 4 2 2 6 4 2 2" xfId="8116" xr:uid="{00000000-0005-0000-0000-000015130000}"/>
    <cellStyle name="Normal 4 2 2 6 4 2 2 2" xfId="16555" xr:uid="{6DFC2534-DE63-4AA7-BDA7-177729BB442D}"/>
    <cellStyle name="Normal 4 2 2 6 4 2 3" xfId="12337" xr:uid="{BB56688F-3112-4890-B457-4F52E4AA4BC0}"/>
    <cellStyle name="Normal 4 2 2 6 4 3" xfId="5971" xr:uid="{00000000-0005-0000-0000-000016130000}"/>
    <cellStyle name="Normal 4 2 2 6 4 3 2" xfId="14410" xr:uid="{FAE74D4A-FFA4-4F28-9D28-673AA44702CE}"/>
    <cellStyle name="Normal 4 2 2 6 4 4" xfId="10192" xr:uid="{0E840B52-2E0E-4FD0-8766-0C78C36D27C3}"/>
    <cellStyle name="Normal 4 2 2 6 5" xfId="2077" xr:uid="{00000000-0005-0000-0000-000017130000}"/>
    <cellStyle name="Normal 4 2 2 6 5 2" xfId="4306" xr:uid="{00000000-0005-0000-0000-000018130000}"/>
    <cellStyle name="Normal 4 2 2 6 5 2 2" xfId="8529" xr:uid="{00000000-0005-0000-0000-000019130000}"/>
    <cellStyle name="Normal 4 2 2 6 5 2 2 2" xfId="16968" xr:uid="{C78F895B-FD95-4DED-B295-88CAD3C612B2}"/>
    <cellStyle name="Normal 4 2 2 6 5 2 3" xfId="12750" xr:uid="{2E1AD17D-0A62-4397-80ED-542228EA1D29}"/>
    <cellStyle name="Normal 4 2 2 6 5 3" xfId="6384" xr:uid="{00000000-0005-0000-0000-00001A130000}"/>
    <cellStyle name="Normal 4 2 2 6 5 3 2" xfId="14823" xr:uid="{2ED92826-ED99-43EF-A5FA-E3DCBE74CDD5}"/>
    <cellStyle name="Normal 4 2 2 6 5 4" xfId="10605" xr:uid="{1E30712C-8858-40B1-9454-DFF6B7D84812}"/>
    <cellStyle name="Normal 4 2 2 6 6" xfId="2513" xr:uid="{00000000-0005-0000-0000-00001B130000}"/>
    <cellStyle name="Normal 4 2 2 6 6 2" xfId="6797" xr:uid="{00000000-0005-0000-0000-00001C130000}"/>
    <cellStyle name="Normal 4 2 2 6 6 2 2" xfId="15236" xr:uid="{BC58E7A9-56C3-4376-8B54-8A5969B0AD5E}"/>
    <cellStyle name="Normal 4 2 2 6 6 3" xfId="11018" xr:uid="{7BAFE399-72FC-48BC-AD97-C352DE94D166}"/>
    <cellStyle name="Normal 4 2 2 6 7" xfId="4732" xr:uid="{00000000-0005-0000-0000-00001D130000}"/>
    <cellStyle name="Normal 4 2 2 6 7 2" xfId="13171" xr:uid="{ECD300A7-E50B-4CDD-BF69-EA32F1E2CD5E}"/>
    <cellStyle name="Normal 4 2 2 6 8" xfId="8953" xr:uid="{E6AE82D3-F198-4987-A4C4-BD6F6DA835EF}"/>
    <cellStyle name="Normal 4 2 2 7" xfId="815" xr:uid="{00000000-0005-0000-0000-00001E130000}"/>
    <cellStyle name="Normal 4 2 2 7 2" xfId="3052" xr:uid="{00000000-0005-0000-0000-00001F130000}"/>
    <cellStyle name="Normal 4 2 2 7 2 2" xfId="7275" xr:uid="{00000000-0005-0000-0000-000020130000}"/>
    <cellStyle name="Normal 4 2 2 7 2 2 2" xfId="15714" xr:uid="{9995F551-B110-49AC-B75A-6D4F8447C190}"/>
    <cellStyle name="Normal 4 2 2 7 2 3" xfId="11496" xr:uid="{DD39A195-62CE-4A3B-BC0B-FCC5F134EF58}"/>
    <cellStyle name="Normal 4 2 2 7 3" xfId="5130" xr:uid="{00000000-0005-0000-0000-000021130000}"/>
    <cellStyle name="Normal 4 2 2 7 3 2" xfId="13569" xr:uid="{DA17ABB8-A3AE-406F-80CC-AF86A5D66F28}"/>
    <cellStyle name="Normal 4 2 2 7 4" xfId="9351" xr:uid="{606B7B39-4A20-41B1-9B92-0503F69EBBCA}"/>
    <cellStyle name="Normal 4 2 2 8" xfId="1235" xr:uid="{00000000-0005-0000-0000-000022130000}"/>
    <cellStyle name="Normal 4 2 2 8 2" xfId="3465" xr:uid="{00000000-0005-0000-0000-000023130000}"/>
    <cellStyle name="Normal 4 2 2 8 2 2" xfId="7688" xr:uid="{00000000-0005-0000-0000-000024130000}"/>
    <cellStyle name="Normal 4 2 2 8 2 2 2" xfId="16127" xr:uid="{0E8C1914-74E1-47B9-B37B-6D52EE1EBAAB}"/>
    <cellStyle name="Normal 4 2 2 8 2 3" xfId="11909" xr:uid="{567F52CF-9117-49F2-A28C-F55776A2A540}"/>
    <cellStyle name="Normal 4 2 2 8 3" xfId="5543" xr:uid="{00000000-0005-0000-0000-000025130000}"/>
    <cellStyle name="Normal 4 2 2 8 3 2" xfId="13982" xr:uid="{85772FD7-9028-4C48-A1B6-D0D3A8B1AE26}"/>
    <cellStyle name="Normal 4 2 2 8 4" xfId="9764" xr:uid="{7E7F6157-D1BC-473F-9421-D2B6D019DD56}"/>
    <cellStyle name="Normal 4 2 2 9" xfId="1648" xr:uid="{00000000-0005-0000-0000-000026130000}"/>
    <cellStyle name="Normal 4 2 2 9 2" xfId="3878" xr:uid="{00000000-0005-0000-0000-000027130000}"/>
    <cellStyle name="Normal 4 2 2 9 2 2" xfId="8101" xr:uid="{00000000-0005-0000-0000-000028130000}"/>
    <cellStyle name="Normal 4 2 2 9 2 2 2" xfId="16540" xr:uid="{6CBD3FBD-43C9-47B1-8CD9-983D8185EB88}"/>
    <cellStyle name="Normal 4 2 2 9 2 3" xfId="12322" xr:uid="{FE4B38DF-FE16-492F-BCD7-CE2A080C06DF}"/>
    <cellStyle name="Normal 4 2 2 9 3" xfId="5956" xr:uid="{00000000-0005-0000-0000-000029130000}"/>
    <cellStyle name="Normal 4 2 2 9 3 2" xfId="14395" xr:uid="{23591333-9E14-475B-93F5-6188CD64DB91}"/>
    <cellStyle name="Normal 4 2 2 9 4" xfId="10177" xr:uid="{D746F263-F181-45F3-965B-6F8E5E14F81C}"/>
    <cellStyle name="Normal 4 2 3" xfId="354" xr:uid="{00000000-0005-0000-0000-00002A130000}"/>
    <cellStyle name="Normal 4 2 4" xfId="355" xr:uid="{00000000-0005-0000-0000-00002B130000}"/>
    <cellStyle name="Normal 4 2 4 10" xfId="4733" xr:uid="{00000000-0005-0000-0000-00002C130000}"/>
    <cellStyle name="Normal 4 2 4 10 2" xfId="13172" xr:uid="{127C5513-55AA-48F5-B45D-93709028C570}"/>
    <cellStyle name="Normal 4 2 4 11" xfId="8954" xr:uid="{6DC65234-6EBC-4A83-BEE6-40459CC49E25}"/>
    <cellStyle name="Normal 4 2 4 2" xfId="356" xr:uid="{00000000-0005-0000-0000-00002D130000}"/>
    <cellStyle name="Normal 4 2 4 2 10" xfId="8955" xr:uid="{62902F69-77A8-454E-8C57-0D817268FBF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15733" xr:uid="{B24FF239-CB70-4F7D-BF7C-F5328554B380}"/>
    <cellStyle name="Normal 4 2 4 2 2 2 2 2 3" xfId="11515" xr:uid="{6FCDA524-6492-417D-A2BC-57A96B68970D}"/>
    <cellStyle name="Normal 4 2 4 2 2 2 2 3" xfId="5149" xr:uid="{00000000-0005-0000-0000-000033130000}"/>
    <cellStyle name="Normal 4 2 4 2 2 2 2 3 2" xfId="13588" xr:uid="{C8DE2A25-D7BA-43D2-99A1-32CCB0F5EF96}"/>
    <cellStyle name="Normal 4 2 4 2 2 2 2 4" xfId="9370" xr:uid="{30F9D42C-E9F4-4F59-818D-F8DFF801A937}"/>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2 2" xfId="16146" xr:uid="{65D77D79-6C0A-4F59-AA28-756A9EC2B3EF}"/>
    <cellStyle name="Normal 4 2 4 2 2 2 3 2 3" xfId="11928" xr:uid="{E7657DCF-4146-4D10-97C8-2E1E1C9C2989}"/>
    <cellStyle name="Normal 4 2 4 2 2 2 3 3" xfId="5562" xr:uid="{00000000-0005-0000-0000-000037130000}"/>
    <cellStyle name="Normal 4 2 4 2 2 2 3 3 2" xfId="14001" xr:uid="{2BDA182D-A8F8-4D26-B17D-2D29FF47488A}"/>
    <cellStyle name="Normal 4 2 4 2 2 2 3 4" xfId="9783" xr:uid="{906C4D33-4B77-4FF4-8BF5-F9D4549377D4}"/>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2 2 2" xfId="16559" xr:uid="{5AA2C622-8CDA-4332-BF8C-E04B17C0948F}"/>
    <cellStyle name="Normal 4 2 4 2 2 2 4 2 3" xfId="12341" xr:uid="{1795EBE7-DCA8-48A1-AF6D-EF4A420469D1}"/>
    <cellStyle name="Normal 4 2 4 2 2 2 4 3" xfId="5975" xr:uid="{00000000-0005-0000-0000-00003B130000}"/>
    <cellStyle name="Normal 4 2 4 2 2 2 4 3 2" xfId="14414" xr:uid="{592144A5-B625-4DFE-95C4-613E5BA3A7BC}"/>
    <cellStyle name="Normal 4 2 4 2 2 2 4 4" xfId="10196" xr:uid="{2D12AA6B-41B9-46F8-A7AB-D61B5371EA52}"/>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2 2 2" xfId="16972" xr:uid="{0F8944CB-9A54-4D39-9951-C699E997AA9D}"/>
    <cellStyle name="Normal 4 2 4 2 2 2 5 2 3" xfId="12754" xr:uid="{6D8210D8-5740-499D-871C-FCFC5CFE2F35}"/>
    <cellStyle name="Normal 4 2 4 2 2 2 5 3" xfId="6388" xr:uid="{00000000-0005-0000-0000-00003F130000}"/>
    <cellStyle name="Normal 4 2 4 2 2 2 5 3 2" xfId="14827" xr:uid="{6D91EE59-0DFF-4581-AF03-9D3628555544}"/>
    <cellStyle name="Normal 4 2 4 2 2 2 5 4" xfId="10609" xr:uid="{2283EF67-09E0-4375-904F-F0551F9AF60C}"/>
    <cellStyle name="Normal 4 2 4 2 2 2 6" xfId="2517" xr:uid="{00000000-0005-0000-0000-000040130000}"/>
    <cellStyle name="Normal 4 2 4 2 2 2 6 2" xfId="6801" xr:uid="{00000000-0005-0000-0000-000041130000}"/>
    <cellStyle name="Normal 4 2 4 2 2 2 6 2 2" xfId="15240" xr:uid="{55C0D643-CFB7-482A-BD94-20483D001D39}"/>
    <cellStyle name="Normal 4 2 4 2 2 2 6 3" xfId="11022" xr:uid="{87BC8CEE-6C47-42C2-802C-F2CB37F3B15A}"/>
    <cellStyle name="Normal 4 2 4 2 2 2 7" xfId="4736" xr:uid="{00000000-0005-0000-0000-000042130000}"/>
    <cellStyle name="Normal 4 2 4 2 2 2 7 2" xfId="13175" xr:uid="{0A5B02A7-6A62-49F7-9734-42F5A38F3CE4}"/>
    <cellStyle name="Normal 4 2 4 2 2 2 8" xfId="8957" xr:uid="{36FA9FD7-4022-4F79-B0DC-87A06A163B63}"/>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15732" xr:uid="{28C01384-EFDF-4A0E-A688-6815B14A0520}"/>
    <cellStyle name="Normal 4 2 4 2 2 3 2 3" xfId="11514" xr:uid="{4F2E6537-E2BA-42A2-8A29-30BAAD8995B5}"/>
    <cellStyle name="Normal 4 2 4 2 2 3 3" xfId="5148" xr:uid="{00000000-0005-0000-0000-000046130000}"/>
    <cellStyle name="Normal 4 2 4 2 2 3 3 2" xfId="13587" xr:uid="{A201E9BB-98E2-4489-B8C3-BAF6181654AD}"/>
    <cellStyle name="Normal 4 2 4 2 2 3 4" xfId="9369" xr:uid="{52E81DEE-DFDB-4735-879A-8B7A609618D3}"/>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2 2" xfId="16145" xr:uid="{35932A03-7234-4DF0-85F7-A9EC4CF3AE5A}"/>
    <cellStyle name="Normal 4 2 4 2 2 4 2 3" xfId="11927" xr:uid="{C27F81E7-9D56-43CC-AC0E-4D46671F0B21}"/>
    <cellStyle name="Normal 4 2 4 2 2 4 3" xfId="5561" xr:uid="{00000000-0005-0000-0000-00004A130000}"/>
    <cellStyle name="Normal 4 2 4 2 2 4 3 2" xfId="14000" xr:uid="{0787C05C-7E9E-4491-A163-BC9AC7C2FC03}"/>
    <cellStyle name="Normal 4 2 4 2 2 4 4" xfId="9782" xr:uid="{62422F8B-1A26-40AE-BFBE-4F280EA259A1}"/>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2 2 2" xfId="16558" xr:uid="{F0C790BC-50E8-4231-8943-4112E991FAFA}"/>
    <cellStyle name="Normal 4 2 4 2 2 5 2 3" xfId="12340" xr:uid="{543CE792-B8D0-4B37-A0A1-1B344434C829}"/>
    <cellStyle name="Normal 4 2 4 2 2 5 3" xfId="5974" xr:uid="{00000000-0005-0000-0000-00004E130000}"/>
    <cellStyle name="Normal 4 2 4 2 2 5 3 2" xfId="14413" xr:uid="{FA080CDC-58CC-450F-834D-4606181F3EED}"/>
    <cellStyle name="Normal 4 2 4 2 2 5 4" xfId="10195" xr:uid="{B0C98E2B-3BAF-4A62-A85C-0EA677FF16D8}"/>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2 2 2" xfId="16971" xr:uid="{6D8AC28E-9AEC-42F6-88DD-0C924DE53669}"/>
    <cellStyle name="Normal 4 2 4 2 2 6 2 3" xfId="12753" xr:uid="{9874098A-7623-431D-924F-3490F67D7040}"/>
    <cellStyle name="Normal 4 2 4 2 2 6 3" xfId="6387" xr:uid="{00000000-0005-0000-0000-000052130000}"/>
    <cellStyle name="Normal 4 2 4 2 2 6 3 2" xfId="14826" xr:uid="{BD690FD8-9865-453F-B238-C3CE3751BD52}"/>
    <cellStyle name="Normal 4 2 4 2 2 6 4" xfId="10608" xr:uid="{A35409F1-2B0A-4375-AC79-53E395BD1C1A}"/>
    <cellStyle name="Normal 4 2 4 2 2 7" xfId="2516" xr:uid="{00000000-0005-0000-0000-000053130000}"/>
    <cellStyle name="Normal 4 2 4 2 2 7 2" xfId="6800" xr:uid="{00000000-0005-0000-0000-000054130000}"/>
    <cellStyle name="Normal 4 2 4 2 2 7 2 2" xfId="15239" xr:uid="{C05FAB3D-1E63-4DEC-994D-EC624C7ADF9A}"/>
    <cellStyle name="Normal 4 2 4 2 2 7 3" xfId="11021" xr:uid="{20B13DD9-74FB-4B5B-B6A5-54A3ECA4637D}"/>
    <cellStyle name="Normal 4 2 4 2 2 8" xfId="4735" xr:uid="{00000000-0005-0000-0000-000055130000}"/>
    <cellStyle name="Normal 4 2 4 2 2 8 2" xfId="13174" xr:uid="{A517BC10-226A-4A8D-8F29-138881799130}"/>
    <cellStyle name="Normal 4 2 4 2 2 9" xfId="8956" xr:uid="{CA131C64-30B8-44D7-8A08-0D51B063731D}"/>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15734" xr:uid="{9CC3F609-72F4-45EB-8C4C-EC3B91D65528}"/>
    <cellStyle name="Normal 4 2 4 2 3 2 2 3" xfId="11516" xr:uid="{B3720F58-E39F-491C-8376-F0FEB7017D91}"/>
    <cellStyle name="Normal 4 2 4 2 3 2 3" xfId="5150" xr:uid="{00000000-0005-0000-0000-00005A130000}"/>
    <cellStyle name="Normal 4 2 4 2 3 2 3 2" xfId="13589" xr:uid="{3F82FC0A-D3D6-4736-9EF5-7FDB386E48FA}"/>
    <cellStyle name="Normal 4 2 4 2 3 2 4" xfId="9371" xr:uid="{D073C6E0-F9E2-4110-984F-FBCE96189321}"/>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2 2" xfId="16147" xr:uid="{6FF9815E-E361-4D01-A1E4-16D5DB657041}"/>
    <cellStyle name="Normal 4 2 4 2 3 3 2 3" xfId="11929" xr:uid="{C3D66783-51AD-4645-B5FD-01D85DFF08D4}"/>
    <cellStyle name="Normal 4 2 4 2 3 3 3" xfId="5563" xr:uid="{00000000-0005-0000-0000-00005E130000}"/>
    <cellStyle name="Normal 4 2 4 2 3 3 3 2" xfId="14002" xr:uid="{2C507BC6-18AD-4C73-AD7D-134E960FD5B8}"/>
    <cellStyle name="Normal 4 2 4 2 3 3 4" xfId="9784" xr:uid="{F1D0FF03-4BFD-4D4B-A819-79BE67631AD4}"/>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2 2 2" xfId="16560" xr:uid="{93944866-8EC9-4A92-8953-F9696808DA15}"/>
    <cellStyle name="Normal 4 2 4 2 3 4 2 3" xfId="12342" xr:uid="{9ECC1AF7-BC94-4F20-A4B7-B3CB8A34106D}"/>
    <cellStyle name="Normal 4 2 4 2 3 4 3" xfId="5976" xr:uid="{00000000-0005-0000-0000-000062130000}"/>
    <cellStyle name="Normal 4 2 4 2 3 4 3 2" xfId="14415" xr:uid="{7E2C98E5-22B2-42EA-A858-CEC3E137E2CC}"/>
    <cellStyle name="Normal 4 2 4 2 3 4 4" xfId="10197" xr:uid="{24808244-703B-4FCF-840D-5C5339FC6B45}"/>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2 2 2" xfId="16973" xr:uid="{9706D472-010D-43BF-8A0D-BE9FF68C05E6}"/>
    <cellStyle name="Normal 4 2 4 2 3 5 2 3" xfId="12755" xr:uid="{6F85A800-23D9-4DAD-95F1-FD24C6133797}"/>
    <cellStyle name="Normal 4 2 4 2 3 5 3" xfId="6389" xr:uid="{00000000-0005-0000-0000-000066130000}"/>
    <cellStyle name="Normal 4 2 4 2 3 5 3 2" xfId="14828" xr:uid="{EF4B8966-A1C4-4F72-89AE-6C1410C85063}"/>
    <cellStyle name="Normal 4 2 4 2 3 5 4" xfId="10610" xr:uid="{7EE77088-9F7D-4E5B-8FD9-9B1BB9E8D282}"/>
    <cellStyle name="Normal 4 2 4 2 3 6" xfId="2518" xr:uid="{00000000-0005-0000-0000-000067130000}"/>
    <cellStyle name="Normal 4 2 4 2 3 6 2" xfId="6802" xr:uid="{00000000-0005-0000-0000-000068130000}"/>
    <cellStyle name="Normal 4 2 4 2 3 6 2 2" xfId="15241" xr:uid="{FABB0C40-02BA-484C-BD6A-B59B3B54DCB4}"/>
    <cellStyle name="Normal 4 2 4 2 3 6 3" xfId="11023" xr:uid="{D3C20241-98D3-4F68-A577-C51D38700C38}"/>
    <cellStyle name="Normal 4 2 4 2 3 7" xfId="4737" xr:uid="{00000000-0005-0000-0000-000069130000}"/>
    <cellStyle name="Normal 4 2 4 2 3 7 2" xfId="13176" xr:uid="{7F04E54A-5760-4079-866A-55AD8B932CBE}"/>
    <cellStyle name="Normal 4 2 4 2 3 8" xfId="8958" xr:uid="{1095FC4C-B780-4681-A107-C7A6A144C3BA}"/>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15731" xr:uid="{1D5E3709-5E61-4A7C-9DB1-7F8BC864FA61}"/>
    <cellStyle name="Normal 4 2 4 2 4 2 3" xfId="11513" xr:uid="{881B9F28-FD11-4859-8FD8-CBE4C132CD03}"/>
    <cellStyle name="Normal 4 2 4 2 4 3" xfId="5147" xr:uid="{00000000-0005-0000-0000-00006D130000}"/>
    <cellStyle name="Normal 4 2 4 2 4 3 2" xfId="13586" xr:uid="{3A264DBB-984E-4663-84EE-A2C80B720853}"/>
    <cellStyle name="Normal 4 2 4 2 4 4" xfId="9368" xr:uid="{E7EFF7A5-2878-4215-A0E7-4D309860AF1F}"/>
    <cellStyle name="Normal 4 2 4 2 5" xfId="1252" xr:uid="{00000000-0005-0000-0000-00006E130000}"/>
    <cellStyle name="Normal 4 2 4 2 5 2" xfId="3482" xr:uid="{00000000-0005-0000-0000-00006F130000}"/>
    <cellStyle name="Normal 4 2 4 2 5 2 2" xfId="7705" xr:uid="{00000000-0005-0000-0000-000070130000}"/>
    <cellStyle name="Normal 4 2 4 2 5 2 2 2" xfId="16144" xr:uid="{C5619762-5CFF-4966-B186-CC20665F069A}"/>
    <cellStyle name="Normal 4 2 4 2 5 2 3" xfId="11926" xr:uid="{FF346C86-E8D7-4C28-BABB-F33C91E822E6}"/>
    <cellStyle name="Normal 4 2 4 2 5 3" xfId="5560" xr:uid="{00000000-0005-0000-0000-000071130000}"/>
    <cellStyle name="Normal 4 2 4 2 5 3 2" xfId="13999" xr:uid="{E7EEE51F-3AEC-40D4-B0D6-E5D5F7476339}"/>
    <cellStyle name="Normal 4 2 4 2 5 4" xfId="9781" xr:uid="{C61F4661-7DEA-4C37-8BEF-0C2584FA7F2A}"/>
    <cellStyle name="Normal 4 2 4 2 6" xfId="1665" xr:uid="{00000000-0005-0000-0000-000072130000}"/>
    <cellStyle name="Normal 4 2 4 2 6 2" xfId="3895" xr:uid="{00000000-0005-0000-0000-000073130000}"/>
    <cellStyle name="Normal 4 2 4 2 6 2 2" xfId="8118" xr:uid="{00000000-0005-0000-0000-000074130000}"/>
    <cellStyle name="Normal 4 2 4 2 6 2 2 2" xfId="16557" xr:uid="{E50E2B18-3A0C-40CB-9F1C-B9DFBB604E9E}"/>
    <cellStyle name="Normal 4 2 4 2 6 2 3" xfId="12339" xr:uid="{8E759638-00FB-469B-9971-E7ABD7917D65}"/>
    <cellStyle name="Normal 4 2 4 2 6 3" xfId="5973" xr:uid="{00000000-0005-0000-0000-000075130000}"/>
    <cellStyle name="Normal 4 2 4 2 6 3 2" xfId="14412" xr:uid="{F3ACC61E-016E-4610-AF36-CBB0DB77B4F0}"/>
    <cellStyle name="Normal 4 2 4 2 6 4" xfId="10194" xr:uid="{4B925462-72C7-4FFE-8313-6EA5CF855485}"/>
    <cellStyle name="Normal 4 2 4 2 7" xfId="2079" xr:uid="{00000000-0005-0000-0000-000076130000}"/>
    <cellStyle name="Normal 4 2 4 2 7 2" xfId="4308" xr:uid="{00000000-0005-0000-0000-000077130000}"/>
    <cellStyle name="Normal 4 2 4 2 7 2 2" xfId="8531" xr:uid="{00000000-0005-0000-0000-000078130000}"/>
    <cellStyle name="Normal 4 2 4 2 7 2 2 2" xfId="16970" xr:uid="{4531BECE-7DDC-4ACF-856B-9010A2992774}"/>
    <cellStyle name="Normal 4 2 4 2 7 2 3" xfId="12752" xr:uid="{669DD019-E954-4AA6-90E9-CE94D1A44DFE}"/>
    <cellStyle name="Normal 4 2 4 2 7 3" xfId="6386" xr:uid="{00000000-0005-0000-0000-000079130000}"/>
    <cellStyle name="Normal 4 2 4 2 7 3 2" xfId="14825" xr:uid="{7EC4EEAF-D9AC-4986-A67A-33757EA6582A}"/>
    <cellStyle name="Normal 4 2 4 2 7 4" xfId="10607" xr:uid="{8EF942F1-9BA6-4A65-A9BE-BE415679BFFD}"/>
    <cellStyle name="Normal 4 2 4 2 8" xfId="2515" xr:uid="{00000000-0005-0000-0000-00007A130000}"/>
    <cellStyle name="Normal 4 2 4 2 8 2" xfId="6799" xr:uid="{00000000-0005-0000-0000-00007B130000}"/>
    <cellStyle name="Normal 4 2 4 2 8 2 2" xfId="15238" xr:uid="{2C50D857-CD83-4BDE-9EF9-56A6BE4C61DF}"/>
    <cellStyle name="Normal 4 2 4 2 8 3" xfId="11020" xr:uid="{B926C824-4CF3-43AB-8998-561F3C5A6629}"/>
    <cellStyle name="Normal 4 2 4 2 9" xfId="4734" xr:uid="{00000000-0005-0000-0000-00007C130000}"/>
    <cellStyle name="Normal 4 2 4 2 9 2" xfId="13173" xr:uid="{E0CFB9A7-C87D-4EED-938F-372D88CD0EA4}"/>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15736" xr:uid="{45662728-2CF8-4303-8B3D-8897E6668CEE}"/>
    <cellStyle name="Normal 4 2 4 3 2 2 2 3" xfId="11518" xr:uid="{3351FEE4-5E2C-4D2A-BD9D-C14AC687D1DE}"/>
    <cellStyle name="Normal 4 2 4 3 2 2 3" xfId="5152" xr:uid="{00000000-0005-0000-0000-000082130000}"/>
    <cellStyle name="Normal 4 2 4 3 2 2 3 2" xfId="13591" xr:uid="{4DF5A700-3DFB-48F7-AAB8-6E5B3F613B29}"/>
    <cellStyle name="Normal 4 2 4 3 2 2 4" xfId="9373" xr:uid="{4C58138D-CB2F-4F47-8CB1-74852DAD72B9}"/>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2 2" xfId="16149" xr:uid="{907BE385-9042-4F4A-97C9-6B4DE8344E22}"/>
    <cellStyle name="Normal 4 2 4 3 2 3 2 3" xfId="11931" xr:uid="{DE6522F0-1BC5-45E8-882D-7F563211C31D}"/>
    <cellStyle name="Normal 4 2 4 3 2 3 3" xfId="5565" xr:uid="{00000000-0005-0000-0000-000086130000}"/>
    <cellStyle name="Normal 4 2 4 3 2 3 3 2" xfId="14004" xr:uid="{DCF1F48D-35B4-44D5-A017-11E6FA316B97}"/>
    <cellStyle name="Normal 4 2 4 3 2 3 4" xfId="9786" xr:uid="{90726252-4558-4417-AEE3-25860724FF1B}"/>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2 2 2" xfId="16562" xr:uid="{268DB9D9-7062-4B6F-9317-F02BBE22054A}"/>
    <cellStyle name="Normal 4 2 4 3 2 4 2 3" xfId="12344" xr:uid="{43AAB3DD-4332-47CA-BF2B-34906CC57F7F}"/>
    <cellStyle name="Normal 4 2 4 3 2 4 3" xfId="5978" xr:uid="{00000000-0005-0000-0000-00008A130000}"/>
    <cellStyle name="Normal 4 2 4 3 2 4 3 2" xfId="14417" xr:uid="{BC70719D-4432-4BD2-9FC5-4F6303BFF11E}"/>
    <cellStyle name="Normal 4 2 4 3 2 4 4" xfId="10199" xr:uid="{CC086E8C-87A1-4B5B-B126-84D9DAC01491}"/>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2 2 2" xfId="16975" xr:uid="{7F53D898-60E2-46F8-B03A-92FD78E8B521}"/>
    <cellStyle name="Normal 4 2 4 3 2 5 2 3" xfId="12757" xr:uid="{3370A697-1663-4014-8723-428142816224}"/>
    <cellStyle name="Normal 4 2 4 3 2 5 3" xfId="6391" xr:uid="{00000000-0005-0000-0000-00008E130000}"/>
    <cellStyle name="Normal 4 2 4 3 2 5 3 2" xfId="14830" xr:uid="{693F4726-B7AD-4D44-B885-BCE227389B1C}"/>
    <cellStyle name="Normal 4 2 4 3 2 5 4" xfId="10612" xr:uid="{2D1A800E-9B5E-4F81-8330-D0974C7E4248}"/>
    <cellStyle name="Normal 4 2 4 3 2 6" xfId="2520" xr:uid="{00000000-0005-0000-0000-00008F130000}"/>
    <cellStyle name="Normal 4 2 4 3 2 6 2" xfId="6804" xr:uid="{00000000-0005-0000-0000-000090130000}"/>
    <cellStyle name="Normal 4 2 4 3 2 6 2 2" xfId="15243" xr:uid="{7726F346-92AB-468C-9E3B-541283562A9C}"/>
    <cellStyle name="Normal 4 2 4 3 2 6 3" xfId="11025" xr:uid="{1999D6B0-32E6-4ABF-8CE0-78666AFA3C36}"/>
    <cellStyle name="Normal 4 2 4 3 2 7" xfId="4739" xr:uid="{00000000-0005-0000-0000-000091130000}"/>
    <cellStyle name="Normal 4 2 4 3 2 7 2" xfId="13178" xr:uid="{6409E292-B746-4B04-A735-CFEE61259E24}"/>
    <cellStyle name="Normal 4 2 4 3 2 8" xfId="8960" xr:uid="{5D81FE2E-F268-4E21-B0DE-614C95E5A606}"/>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15735" xr:uid="{8E619797-7984-4F23-AD1F-3CE00D327528}"/>
    <cellStyle name="Normal 4 2 4 3 3 2 3" xfId="11517" xr:uid="{7FECC383-E723-4011-83EB-DA076D06F5B2}"/>
    <cellStyle name="Normal 4 2 4 3 3 3" xfId="5151" xr:uid="{00000000-0005-0000-0000-000095130000}"/>
    <cellStyle name="Normal 4 2 4 3 3 3 2" xfId="13590" xr:uid="{05384897-A943-413E-B49B-FF24B20B8D12}"/>
    <cellStyle name="Normal 4 2 4 3 3 4" xfId="9372" xr:uid="{C9993EFB-EB9A-4E0C-B558-8D00809DC8EC}"/>
    <cellStyle name="Normal 4 2 4 3 4" xfId="1256" xr:uid="{00000000-0005-0000-0000-000096130000}"/>
    <cellStyle name="Normal 4 2 4 3 4 2" xfId="3486" xr:uid="{00000000-0005-0000-0000-000097130000}"/>
    <cellStyle name="Normal 4 2 4 3 4 2 2" xfId="7709" xr:uid="{00000000-0005-0000-0000-000098130000}"/>
    <cellStyle name="Normal 4 2 4 3 4 2 2 2" xfId="16148" xr:uid="{656BABF3-313A-4243-9D5C-FF197E7571DF}"/>
    <cellStyle name="Normal 4 2 4 3 4 2 3" xfId="11930" xr:uid="{4A84EF19-3258-4655-A16E-A02F750A1431}"/>
    <cellStyle name="Normal 4 2 4 3 4 3" xfId="5564" xr:uid="{00000000-0005-0000-0000-000099130000}"/>
    <cellStyle name="Normal 4 2 4 3 4 3 2" xfId="14003" xr:uid="{9AB6D210-1E91-454D-A96E-4CC8D46355CB}"/>
    <cellStyle name="Normal 4 2 4 3 4 4" xfId="9785" xr:uid="{91D66DE0-4A58-430E-863A-542FD9F81B63}"/>
    <cellStyle name="Normal 4 2 4 3 5" xfId="1669" xr:uid="{00000000-0005-0000-0000-00009A130000}"/>
    <cellStyle name="Normal 4 2 4 3 5 2" xfId="3899" xr:uid="{00000000-0005-0000-0000-00009B130000}"/>
    <cellStyle name="Normal 4 2 4 3 5 2 2" xfId="8122" xr:uid="{00000000-0005-0000-0000-00009C130000}"/>
    <cellStyle name="Normal 4 2 4 3 5 2 2 2" xfId="16561" xr:uid="{1BE08441-5049-41ED-8902-D1F465EA5DA4}"/>
    <cellStyle name="Normal 4 2 4 3 5 2 3" xfId="12343" xr:uid="{E81CB4BC-D771-4D40-AC09-7FA26F3219F6}"/>
    <cellStyle name="Normal 4 2 4 3 5 3" xfId="5977" xr:uid="{00000000-0005-0000-0000-00009D130000}"/>
    <cellStyle name="Normal 4 2 4 3 5 3 2" xfId="14416" xr:uid="{A0619C68-A252-4107-AA07-626BFE4D4BC7}"/>
    <cellStyle name="Normal 4 2 4 3 5 4" xfId="10198" xr:uid="{F58AA5CC-55C6-4AB9-969B-FF5115F86B94}"/>
    <cellStyle name="Normal 4 2 4 3 6" xfId="2083" xr:uid="{00000000-0005-0000-0000-00009E130000}"/>
    <cellStyle name="Normal 4 2 4 3 6 2" xfId="4312" xr:uid="{00000000-0005-0000-0000-00009F130000}"/>
    <cellStyle name="Normal 4 2 4 3 6 2 2" xfId="8535" xr:uid="{00000000-0005-0000-0000-0000A0130000}"/>
    <cellStyle name="Normal 4 2 4 3 6 2 2 2" xfId="16974" xr:uid="{2C1AAA72-B7F0-48BD-85B2-7F911F1DDD6C}"/>
    <cellStyle name="Normal 4 2 4 3 6 2 3" xfId="12756" xr:uid="{23CC4619-3965-4B90-986C-9EE83FAD3C88}"/>
    <cellStyle name="Normal 4 2 4 3 6 3" xfId="6390" xr:uid="{00000000-0005-0000-0000-0000A1130000}"/>
    <cellStyle name="Normal 4 2 4 3 6 3 2" xfId="14829" xr:uid="{3C7D4428-F9A3-4FCC-A44C-5D82E4923F70}"/>
    <cellStyle name="Normal 4 2 4 3 6 4" xfId="10611" xr:uid="{2DB3040A-E128-40F0-97E9-36314E859900}"/>
    <cellStyle name="Normal 4 2 4 3 7" xfId="2519" xr:uid="{00000000-0005-0000-0000-0000A2130000}"/>
    <cellStyle name="Normal 4 2 4 3 7 2" xfId="6803" xr:uid="{00000000-0005-0000-0000-0000A3130000}"/>
    <cellStyle name="Normal 4 2 4 3 7 2 2" xfId="15242" xr:uid="{D9CDD70C-4E60-4554-BFE6-0AB789645C6A}"/>
    <cellStyle name="Normal 4 2 4 3 7 3" xfId="11024" xr:uid="{D74645F0-276E-4882-BCBC-2A37F8CC3B2A}"/>
    <cellStyle name="Normal 4 2 4 3 8" xfId="4738" xr:uid="{00000000-0005-0000-0000-0000A4130000}"/>
    <cellStyle name="Normal 4 2 4 3 8 2" xfId="13177" xr:uid="{473371F0-C95E-42AD-9D6C-03D99B8F3886}"/>
    <cellStyle name="Normal 4 2 4 3 9" xfId="8959" xr:uid="{DF6599C0-6FD0-444D-95C8-4275F721B368}"/>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15737" xr:uid="{413B60E5-8D26-4477-B979-C73B8789F146}"/>
    <cellStyle name="Normal 4 2 4 4 2 2 3" xfId="11519" xr:uid="{2588D2C6-7906-46C5-B16B-58AC19366907}"/>
    <cellStyle name="Normal 4 2 4 4 2 3" xfId="5153" xr:uid="{00000000-0005-0000-0000-0000A9130000}"/>
    <cellStyle name="Normal 4 2 4 4 2 3 2" xfId="13592" xr:uid="{5114BB3C-5AFC-47D6-949C-C9CDD47C1526}"/>
    <cellStyle name="Normal 4 2 4 4 2 4" xfId="9374" xr:uid="{D6C67004-C2EE-405F-87CA-4EEEE7F524B9}"/>
    <cellStyle name="Normal 4 2 4 4 3" xfId="1258" xr:uid="{00000000-0005-0000-0000-0000AA130000}"/>
    <cellStyle name="Normal 4 2 4 4 3 2" xfId="3488" xr:uid="{00000000-0005-0000-0000-0000AB130000}"/>
    <cellStyle name="Normal 4 2 4 4 3 2 2" xfId="7711" xr:uid="{00000000-0005-0000-0000-0000AC130000}"/>
    <cellStyle name="Normal 4 2 4 4 3 2 2 2" xfId="16150" xr:uid="{EE768E2C-5F45-4A36-8BA2-0589805BA0A0}"/>
    <cellStyle name="Normal 4 2 4 4 3 2 3" xfId="11932" xr:uid="{82AD5930-0E8C-4E26-AFA9-E8A04ACB665D}"/>
    <cellStyle name="Normal 4 2 4 4 3 3" xfId="5566" xr:uid="{00000000-0005-0000-0000-0000AD130000}"/>
    <cellStyle name="Normal 4 2 4 4 3 3 2" xfId="14005" xr:uid="{9A56086E-7E8B-4525-9A5F-795F29A83745}"/>
    <cellStyle name="Normal 4 2 4 4 3 4" xfId="9787" xr:uid="{504AB678-ABA9-41F6-94D9-F1A0824306CF}"/>
    <cellStyle name="Normal 4 2 4 4 4" xfId="1671" xr:uid="{00000000-0005-0000-0000-0000AE130000}"/>
    <cellStyle name="Normal 4 2 4 4 4 2" xfId="3901" xr:uid="{00000000-0005-0000-0000-0000AF130000}"/>
    <cellStyle name="Normal 4 2 4 4 4 2 2" xfId="8124" xr:uid="{00000000-0005-0000-0000-0000B0130000}"/>
    <cellStyle name="Normal 4 2 4 4 4 2 2 2" xfId="16563" xr:uid="{CB0D712A-6348-4C59-8A26-F2E897283380}"/>
    <cellStyle name="Normal 4 2 4 4 4 2 3" xfId="12345" xr:uid="{FD7820C5-8657-4600-8C46-6AACCA314C72}"/>
    <cellStyle name="Normal 4 2 4 4 4 3" xfId="5979" xr:uid="{00000000-0005-0000-0000-0000B1130000}"/>
    <cellStyle name="Normal 4 2 4 4 4 3 2" xfId="14418" xr:uid="{5D56F04D-C23C-4761-A1A4-FBF34780C727}"/>
    <cellStyle name="Normal 4 2 4 4 4 4" xfId="10200" xr:uid="{4F9CC3E7-25E0-4675-81F0-7B05306A36D2}"/>
    <cellStyle name="Normal 4 2 4 4 5" xfId="2085" xr:uid="{00000000-0005-0000-0000-0000B2130000}"/>
    <cellStyle name="Normal 4 2 4 4 5 2" xfId="4314" xr:uid="{00000000-0005-0000-0000-0000B3130000}"/>
    <cellStyle name="Normal 4 2 4 4 5 2 2" xfId="8537" xr:uid="{00000000-0005-0000-0000-0000B4130000}"/>
    <cellStyle name="Normal 4 2 4 4 5 2 2 2" xfId="16976" xr:uid="{6353EDC7-DB74-4557-85A5-DA06E53EB143}"/>
    <cellStyle name="Normal 4 2 4 4 5 2 3" xfId="12758" xr:uid="{87103D82-E5FC-4215-97BE-8D9D29B95C0D}"/>
    <cellStyle name="Normal 4 2 4 4 5 3" xfId="6392" xr:uid="{00000000-0005-0000-0000-0000B5130000}"/>
    <cellStyle name="Normal 4 2 4 4 5 3 2" xfId="14831" xr:uid="{8316519C-8591-4A95-96DE-D041C830682B}"/>
    <cellStyle name="Normal 4 2 4 4 5 4" xfId="10613" xr:uid="{2716DDD2-2906-43F3-BBBC-FACB9698FE12}"/>
    <cellStyle name="Normal 4 2 4 4 6" xfId="2521" xr:uid="{00000000-0005-0000-0000-0000B6130000}"/>
    <cellStyle name="Normal 4 2 4 4 6 2" xfId="6805" xr:uid="{00000000-0005-0000-0000-0000B7130000}"/>
    <cellStyle name="Normal 4 2 4 4 6 2 2" xfId="15244" xr:uid="{732A8851-4F9D-4A4A-AD95-F317515D58BF}"/>
    <cellStyle name="Normal 4 2 4 4 6 3" xfId="11026" xr:uid="{BD9E077E-4A6D-49E6-8608-4B5102FA2CD9}"/>
    <cellStyle name="Normal 4 2 4 4 7" xfId="4740" xr:uid="{00000000-0005-0000-0000-0000B8130000}"/>
    <cellStyle name="Normal 4 2 4 4 7 2" xfId="13179" xr:uid="{5028A19F-B5A9-4468-A970-13B3DFF4EB30}"/>
    <cellStyle name="Normal 4 2 4 4 8" xfId="8961" xr:uid="{49BA43B5-AA69-4F69-A566-35B55E1652D6}"/>
    <cellStyle name="Normal 4 2 4 5" xfId="831" xr:uid="{00000000-0005-0000-0000-0000B9130000}"/>
    <cellStyle name="Normal 4 2 4 5 2" xfId="3068" xr:uid="{00000000-0005-0000-0000-0000BA130000}"/>
    <cellStyle name="Normal 4 2 4 5 2 2" xfId="7291" xr:uid="{00000000-0005-0000-0000-0000BB130000}"/>
    <cellStyle name="Normal 4 2 4 5 2 2 2" xfId="15730" xr:uid="{3197F014-9FF0-467E-A68C-2F57D6A2B7E4}"/>
    <cellStyle name="Normal 4 2 4 5 2 3" xfId="11512" xr:uid="{94B045CC-372A-4B15-9F5B-0A52B8F5C02D}"/>
    <cellStyle name="Normal 4 2 4 5 3" xfId="5146" xr:uid="{00000000-0005-0000-0000-0000BC130000}"/>
    <cellStyle name="Normal 4 2 4 5 3 2" xfId="13585" xr:uid="{24A0A550-FC0B-43AE-B3DC-37D676835FEF}"/>
    <cellStyle name="Normal 4 2 4 5 4" xfId="9367" xr:uid="{0B258FD9-F9A6-448F-ADD3-133DAE7A8305}"/>
    <cellStyle name="Normal 4 2 4 6" xfId="1251" xr:uid="{00000000-0005-0000-0000-0000BD130000}"/>
    <cellStyle name="Normal 4 2 4 6 2" xfId="3481" xr:uid="{00000000-0005-0000-0000-0000BE130000}"/>
    <cellStyle name="Normal 4 2 4 6 2 2" xfId="7704" xr:uid="{00000000-0005-0000-0000-0000BF130000}"/>
    <cellStyle name="Normal 4 2 4 6 2 2 2" xfId="16143" xr:uid="{0C4BA88D-E8F0-47F8-BE8E-EF7998710D6B}"/>
    <cellStyle name="Normal 4 2 4 6 2 3" xfId="11925" xr:uid="{849DEE2E-F2C1-4B63-BDA0-94C3CB3F2167}"/>
    <cellStyle name="Normal 4 2 4 6 3" xfId="5559" xr:uid="{00000000-0005-0000-0000-0000C0130000}"/>
    <cellStyle name="Normal 4 2 4 6 3 2" xfId="13998" xr:uid="{A0256D3C-BA16-4BB1-8717-4B0E4CC39F89}"/>
    <cellStyle name="Normal 4 2 4 6 4" xfId="9780" xr:uid="{4C39F377-7F4B-4CF9-9B00-2169574469FF}"/>
    <cellStyle name="Normal 4 2 4 7" xfId="1664" xr:uid="{00000000-0005-0000-0000-0000C1130000}"/>
    <cellStyle name="Normal 4 2 4 7 2" xfId="3894" xr:uid="{00000000-0005-0000-0000-0000C2130000}"/>
    <cellStyle name="Normal 4 2 4 7 2 2" xfId="8117" xr:uid="{00000000-0005-0000-0000-0000C3130000}"/>
    <cellStyle name="Normal 4 2 4 7 2 2 2" xfId="16556" xr:uid="{B97B10BD-E0DA-4B55-BB23-A3CF3A91C7CC}"/>
    <cellStyle name="Normal 4 2 4 7 2 3" xfId="12338" xr:uid="{00960D17-10A5-4C34-BB59-CC1FA5338A75}"/>
    <cellStyle name="Normal 4 2 4 7 3" xfId="5972" xr:uid="{00000000-0005-0000-0000-0000C4130000}"/>
    <cellStyle name="Normal 4 2 4 7 3 2" xfId="14411" xr:uid="{D89C8604-9116-469A-ACD0-588B10F700ED}"/>
    <cellStyle name="Normal 4 2 4 7 4" xfId="10193" xr:uid="{517C7AB3-3B76-4882-B785-DA70ED3FB5D6}"/>
    <cellStyle name="Normal 4 2 4 8" xfId="2078" xr:uid="{00000000-0005-0000-0000-0000C5130000}"/>
    <cellStyle name="Normal 4 2 4 8 2" xfId="4307" xr:uid="{00000000-0005-0000-0000-0000C6130000}"/>
    <cellStyle name="Normal 4 2 4 8 2 2" xfId="8530" xr:uid="{00000000-0005-0000-0000-0000C7130000}"/>
    <cellStyle name="Normal 4 2 4 8 2 2 2" xfId="16969" xr:uid="{427C1F62-6451-4E22-A431-A28E5FB95973}"/>
    <cellStyle name="Normal 4 2 4 8 2 3" xfId="12751" xr:uid="{B4B822B0-2189-43F8-960F-C85DF36A0271}"/>
    <cellStyle name="Normal 4 2 4 8 3" xfId="6385" xr:uid="{00000000-0005-0000-0000-0000C8130000}"/>
    <cellStyle name="Normal 4 2 4 8 3 2" xfId="14824" xr:uid="{784B691B-554D-4611-9DD8-826F994E8D66}"/>
    <cellStyle name="Normal 4 2 4 8 4" xfId="10606" xr:uid="{F674D2BA-BB44-465A-B38A-4351D748C9E5}"/>
    <cellStyle name="Normal 4 2 4 9" xfId="2514" xr:uid="{00000000-0005-0000-0000-0000C9130000}"/>
    <cellStyle name="Normal 4 2 4 9 2" xfId="6798" xr:uid="{00000000-0005-0000-0000-0000CA130000}"/>
    <cellStyle name="Normal 4 2 4 9 2 2" xfId="15237" xr:uid="{81147DCE-1EFD-49CE-A512-F6A4220B60DA}"/>
    <cellStyle name="Normal 4 2 4 9 3" xfId="11019" xr:uid="{0A50A238-1652-4E84-BD76-3EE6DCCF084B}"/>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15739" xr:uid="{66F348EA-5AED-4981-8797-FD9AFA8FCACA}"/>
    <cellStyle name="Normal 4 2 5 2 2 2 3" xfId="11521" xr:uid="{A7F09D46-E764-4234-984B-4EB5537355C1}"/>
    <cellStyle name="Normal 4 2 5 2 2 3" xfId="5155" xr:uid="{00000000-0005-0000-0000-0000D0130000}"/>
    <cellStyle name="Normal 4 2 5 2 2 3 2" xfId="13594" xr:uid="{6A26CDF1-30DD-4369-AF2A-947466AB0126}"/>
    <cellStyle name="Normal 4 2 5 2 2 4" xfId="9376" xr:uid="{897CE1FD-919B-4548-A609-E9AB1F28F47E}"/>
    <cellStyle name="Normal 4 2 5 2 3" xfId="1260" xr:uid="{00000000-0005-0000-0000-0000D1130000}"/>
    <cellStyle name="Normal 4 2 5 2 3 2" xfId="3490" xr:uid="{00000000-0005-0000-0000-0000D2130000}"/>
    <cellStyle name="Normal 4 2 5 2 3 2 2" xfId="7713" xr:uid="{00000000-0005-0000-0000-0000D3130000}"/>
    <cellStyle name="Normal 4 2 5 2 3 2 2 2" xfId="16152" xr:uid="{6C0E3F66-C1D1-4DDD-A51F-8D70DCD6E74C}"/>
    <cellStyle name="Normal 4 2 5 2 3 2 3" xfId="11934" xr:uid="{A3895399-0013-4322-BCE7-C3B6512DD04A}"/>
    <cellStyle name="Normal 4 2 5 2 3 3" xfId="5568" xr:uid="{00000000-0005-0000-0000-0000D4130000}"/>
    <cellStyle name="Normal 4 2 5 2 3 3 2" xfId="14007" xr:uid="{3E8D665D-0AB2-4881-96D8-82280D2CB723}"/>
    <cellStyle name="Normal 4 2 5 2 3 4" xfId="9789" xr:uid="{85AED1C2-4195-4D03-B126-A58A8DFA5649}"/>
    <cellStyle name="Normal 4 2 5 2 4" xfId="1673" xr:uid="{00000000-0005-0000-0000-0000D5130000}"/>
    <cellStyle name="Normal 4 2 5 2 4 2" xfId="3903" xr:uid="{00000000-0005-0000-0000-0000D6130000}"/>
    <cellStyle name="Normal 4 2 5 2 4 2 2" xfId="8126" xr:uid="{00000000-0005-0000-0000-0000D7130000}"/>
    <cellStyle name="Normal 4 2 5 2 4 2 2 2" xfId="16565" xr:uid="{5A78CA78-51B8-49D3-8904-FA390128AD37}"/>
    <cellStyle name="Normal 4 2 5 2 4 2 3" xfId="12347" xr:uid="{ACEDA36B-610E-44B6-8AE0-A3398D95CC05}"/>
    <cellStyle name="Normal 4 2 5 2 4 3" xfId="5981" xr:uid="{00000000-0005-0000-0000-0000D8130000}"/>
    <cellStyle name="Normal 4 2 5 2 4 3 2" xfId="14420" xr:uid="{0EFED08A-DDE0-49FF-B2AA-12301959D0B9}"/>
    <cellStyle name="Normal 4 2 5 2 4 4" xfId="10202" xr:uid="{607DBDE3-3156-49F2-B5D2-B280C24C62FC}"/>
    <cellStyle name="Normal 4 2 5 2 5" xfId="2087" xr:uid="{00000000-0005-0000-0000-0000D9130000}"/>
    <cellStyle name="Normal 4 2 5 2 5 2" xfId="4316" xr:uid="{00000000-0005-0000-0000-0000DA130000}"/>
    <cellStyle name="Normal 4 2 5 2 5 2 2" xfId="8539" xr:uid="{00000000-0005-0000-0000-0000DB130000}"/>
    <cellStyle name="Normal 4 2 5 2 5 2 2 2" xfId="16978" xr:uid="{BE0074BD-6060-41D6-A182-9F31FD19DF66}"/>
    <cellStyle name="Normal 4 2 5 2 5 2 3" xfId="12760" xr:uid="{BE70D8EB-E6B3-4920-84A1-5162F996B6E7}"/>
    <cellStyle name="Normal 4 2 5 2 5 3" xfId="6394" xr:uid="{00000000-0005-0000-0000-0000DC130000}"/>
    <cellStyle name="Normal 4 2 5 2 5 3 2" xfId="14833" xr:uid="{6EE8944A-1B19-46B8-9701-26E3E6CEE5FA}"/>
    <cellStyle name="Normal 4 2 5 2 5 4" xfId="10615" xr:uid="{73629E54-BB7D-4395-A1E1-5E3C1764F49D}"/>
    <cellStyle name="Normal 4 2 5 2 6" xfId="2523" xr:uid="{00000000-0005-0000-0000-0000DD130000}"/>
    <cellStyle name="Normal 4 2 5 2 6 2" xfId="6807" xr:uid="{00000000-0005-0000-0000-0000DE130000}"/>
    <cellStyle name="Normal 4 2 5 2 6 2 2" xfId="15246" xr:uid="{3F76DF4D-7084-4E9D-8ED7-058A7D4B77A4}"/>
    <cellStyle name="Normal 4 2 5 2 6 3" xfId="11028" xr:uid="{C576D8A2-15F2-4081-9521-04CA21ECE89F}"/>
    <cellStyle name="Normal 4 2 5 2 7" xfId="4742" xr:uid="{00000000-0005-0000-0000-0000DF130000}"/>
    <cellStyle name="Normal 4 2 5 2 7 2" xfId="13181" xr:uid="{DA88BF35-1EAB-484E-B057-88E6A7DA1FA1}"/>
    <cellStyle name="Normal 4 2 5 2 8" xfId="8963" xr:uid="{0CF52FA4-05EB-4B8B-92E8-CABDD146E39F}"/>
    <cellStyle name="Normal 4 2 5 3" xfId="839" xr:uid="{00000000-0005-0000-0000-0000E0130000}"/>
    <cellStyle name="Normal 4 2 5 3 2" xfId="3076" xr:uid="{00000000-0005-0000-0000-0000E1130000}"/>
    <cellStyle name="Normal 4 2 5 3 2 2" xfId="7299" xr:uid="{00000000-0005-0000-0000-0000E2130000}"/>
    <cellStyle name="Normal 4 2 5 3 2 2 2" xfId="15738" xr:uid="{B02108B7-07D0-40E2-A625-922C7D1B3892}"/>
    <cellStyle name="Normal 4 2 5 3 2 3" xfId="11520" xr:uid="{0EE8DAA0-9732-4D5C-92B4-45539DB61EFB}"/>
    <cellStyle name="Normal 4 2 5 3 3" xfId="5154" xr:uid="{00000000-0005-0000-0000-0000E3130000}"/>
    <cellStyle name="Normal 4 2 5 3 3 2" xfId="13593" xr:uid="{D979BFF6-FC69-4CE9-B1F6-5BAEFC72C4AE}"/>
    <cellStyle name="Normal 4 2 5 3 4" xfId="9375" xr:uid="{1287FEB4-FC62-4D74-BC38-5DFEE572DC22}"/>
    <cellStyle name="Normal 4 2 5 4" xfId="1259" xr:uid="{00000000-0005-0000-0000-0000E4130000}"/>
    <cellStyle name="Normal 4 2 5 4 2" xfId="3489" xr:uid="{00000000-0005-0000-0000-0000E5130000}"/>
    <cellStyle name="Normal 4 2 5 4 2 2" xfId="7712" xr:uid="{00000000-0005-0000-0000-0000E6130000}"/>
    <cellStyle name="Normal 4 2 5 4 2 2 2" xfId="16151" xr:uid="{D1AD8D0A-246F-44B0-81E4-6838706EDB3A}"/>
    <cellStyle name="Normal 4 2 5 4 2 3" xfId="11933" xr:uid="{F4FBC0C3-7C97-4F74-AEC4-2A0F14DF490D}"/>
    <cellStyle name="Normal 4 2 5 4 3" xfId="5567" xr:uid="{00000000-0005-0000-0000-0000E7130000}"/>
    <cellStyle name="Normal 4 2 5 4 3 2" xfId="14006" xr:uid="{63650FF4-3548-4B63-9175-B5712213E5F5}"/>
    <cellStyle name="Normal 4 2 5 4 4" xfId="9788" xr:uid="{76AA405A-C9D1-441C-8C59-4752E7AB4593}"/>
    <cellStyle name="Normal 4 2 5 5" xfId="1672" xr:uid="{00000000-0005-0000-0000-0000E8130000}"/>
    <cellStyle name="Normal 4 2 5 5 2" xfId="3902" xr:uid="{00000000-0005-0000-0000-0000E9130000}"/>
    <cellStyle name="Normal 4 2 5 5 2 2" xfId="8125" xr:uid="{00000000-0005-0000-0000-0000EA130000}"/>
    <cellStyle name="Normal 4 2 5 5 2 2 2" xfId="16564" xr:uid="{03B3D181-1945-4E54-AF81-E10FDEF23D2F}"/>
    <cellStyle name="Normal 4 2 5 5 2 3" xfId="12346" xr:uid="{C94DFFE1-7F08-4AC8-A565-EFCAF415CB70}"/>
    <cellStyle name="Normal 4 2 5 5 3" xfId="5980" xr:uid="{00000000-0005-0000-0000-0000EB130000}"/>
    <cellStyle name="Normal 4 2 5 5 3 2" xfId="14419" xr:uid="{F559FAFF-6BE4-4BE4-B37F-F2CA887BF4A5}"/>
    <cellStyle name="Normal 4 2 5 5 4" xfId="10201" xr:uid="{204BB5F7-6D9A-4B66-8AA7-591A18543FE1}"/>
    <cellStyle name="Normal 4 2 5 6" xfId="2086" xr:uid="{00000000-0005-0000-0000-0000EC130000}"/>
    <cellStyle name="Normal 4 2 5 6 2" xfId="4315" xr:uid="{00000000-0005-0000-0000-0000ED130000}"/>
    <cellStyle name="Normal 4 2 5 6 2 2" xfId="8538" xr:uid="{00000000-0005-0000-0000-0000EE130000}"/>
    <cellStyle name="Normal 4 2 5 6 2 2 2" xfId="16977" xr:uid="{812804AF-DF03-47E3-B2F7-AE27C4672AD8}"/>
    <cellStyle name="Normal 4 2 5 6 2 3" xfId="12759" xr:uid="{50CD1340-E1CA-450C-85E4-DEF73F2FB261}"/>
    <cellStyle name="Normal 4 2 5 6 3" xfId="6393" xr:uid="{00000000-0005-0000-0000-0000EF130000}"/>
    <cellStyle name="Normal 4 2 5 6 3 2" xfId="14832" xr:uid="{F0EE4398-DB91-4054-86D1-AD9AF92C857B}"/>
    <cellStyle name="Normal 4 2 5 6 4" xfId="10614" xr:uid="{A132CDE0-98F7-4C95-9402-BDD0888EC091}"/>
    <cellStyle name="Normal 4 2 5 7" xfId="2522" xr:uid="{00000000-0005-0000-0000-0000F0130000}"/>
    <cellStyle name="Normal 4 2 5 7 2" xfId="6806" xr:uid="{00000000-0005-0000-0000-0000F1130000}"/>
    <cellStyle name="Normal 4 2 5 7 2 2" xfId="15245" xr:uid="{EA1FD4C5-59BA-49BC-8C41-EAC1AB939DA9}"/>
    <cellStyle name="Normal 4 2 5 7 3" xfId="11027" xr:uid="{D3349339-E217-4D84-AA3F-D60D72D03F6D}"/>
    <cellStyle name="Normal 4 2 5 8" xfId="4741" xr:uid="{00000000-0005-0000-0000-0000F2130000}"/>
    <cellStyle name="Normal 4 2 5 8 2" xfId="13180" xr:uid="{CB680BF9-5409-4309-9869-F92C35F49541}"/>
    <cellStyle name="Normal 4 2 5 9" xfId="8962" xr:uid="{10881A96-7E0D-42FF-9C1E-932AEC28A63B}"/>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2 2 2" xfId="15740" xr:uid="{DB3D90EA-335B-4EF1-AFE9-8AE18D1DFB13}"/>
    <cellStyle name="Normal 4 2 6 2 2 3" xfId="11522" xr:uid="{B7E5649F-C70D-4659-B760-E36431CB0209}"/>
    <cellStyle name="Normal 4 2 6 2 3" xfId="5156" xr:uid="{00000000-0005-0000-0000-0000F7130000}"/>
    <cellStyle name="Normal 4 2 6 2 3 2" xfId="13595" xr:uid="{D761F21C-63D3-43CA-A4DF-191584397180}"/>
    <cellStyle name="Normal 4 2 6 2 4" xfId="9377" xr:uid="{53419BD8-33E4-478A-ABCD-7577CA743E4A}"/>
    <cellStyle name="Normal 4 2 6 3" xfId="1261" xr:uid="{00000000-0005-0000-0000-0000F8130000}"/>
    <cellStyle name="Normal 4 2 6 3 2" xfId="3491" xr:uid="{00000000-0005-0000-0000-0000F9130000}"/>
    <cellStyle name="Normal 4 2 6 3 2 2" xfId="7714" xr:uid="{00000000-0005-0000-0000-0000FA130000}"/>
    <cellStyle name="Normal 4 2 6 3 2 2 2" xfId="16153" xr:uid="{9D1AA9AF-D8E0-4BEF-B053-93DCF27AE239}"/>
    <cellStyle name="Normal 4 2 6 3 2 3" xfId="11935" xr:uid="{A7F253D9-0B63-4E0F-A1D2-05DD1BB44C72}"/>
    <cellStyle name="Normal 4 2 6 3 3" xfId="5569" xr:uid="{00000000-0005-0000-0000-0000FB130000}"/>
    <cellStyle name="Normal 4 2 6 3 3 2" xfId="14008" xr:uid="{08D255C6-8519-45DA-B4F0-B2CF8E6CCDB8}"/>
    <cellStyle name="Normal 4 2 6 3 4" xfId="9790" xr:uid="{385B018C-9AC1-4A4B-8E2C-6F9BFFD44600}"/>
    <cellStyle name="Normal 4 2 6 4" xfId="1674" xr:uid="{00000000-0005-0000-0000-0000FC130000}"/>
    <cellStyle name="Normal 4 2 6 4 2" xfId="3904" xr:uid="{00000000-0005-0000-0000-0000FD130000}"/>
    <cellStyle name="Normal 4 2 6 4 2 2" xfId="8127" xr:uid="{00000000-0005-0000-0000-0000FE130000}"/>
    <cellStyle name="Normal 4 2 6 4 2 2 2" xfId="16566" xr:uid="{BF65B0D4-BE72-4499-A991-67304D9B4A6D}"/>
    <cellStyle name="Normal 4 2 6 4 2 3" xfId="12348" xr:uid="{15FE4E78-FE32-4D84-9B8F-69A6B6BDDE48}"/>
    <cellStyle name="Normal 4 2 6 4 3" xfId="5982" xr:uid="{00000000-0005-0000-0000-0000FF130000}"/>
    <cellStyle name="Normal 4 2 6 4 3 2" xfId="14421" xr:uid="{415F6C05-8CBC-4301-9ABD-BD198D74A117}"/>
    <cellStyle name="Normal 4 2 6 4 4" xfId="10203" xr:uid="{9C0FA900-C326-4B6B-98FB-0F57BBD12E05}"/>
    <cellStyle name="Normal 4 2 6 5" xfId="2088" xr:uid="{00000000-0005-0000-0000-000000140000}"/>
    <cellStyle name="Normal 4 2 6 5 2" xfId="4317" xr:uid="{00000000-0005-0000-0000-000001140000}"/>
    <cellStyle name="Normal 4 2 6 5 2 2" xfId="8540" xr:uid="{00000000-0005-0000-0000-000002140000}"/>
    <cellStyle name="Normal 4 2 6 5 2 2 2" xfId="16979" xr:uid="{A3E59219-7AD3-48DF-AB60-3314421F4546}"/>
    <cellStyle name="Normal 4 2 6 5 2 3" xfId="12761" xr:uid="{F527BD7B-2C49-4AE0-8310-704E1FCEF556}"/>
    <cellStyle name="Normal 4 2 6 5 3" xfId="6395" xr:uid="{00000000-0005-0000-0000-000003140000}"/>
    <cellStyle name="Normal 4 2 6 5 3 2" xfId="14834" xr:uid="{CDE533CF-D5AF-419A-9A05-369FCEF8C112}"/>
    <cellStyle name="Normal 4 2 6 5 4" xfId="10616" xr:uid="{C1F7A3EF-A487-4457-8FD4-5F31BD97CE0F}"/>
    <cellStyle name="Normal 4 2 6 6" xfId="2524" xr:uid="{00000000-0005-0000-0000-000004140000}"/>
    <cellStyle name="Normal 4 2 6 6 2" xfId="6808" xr:uid="{00000000-0005-0000-0000-000005140000}"/>
    <cellStyle name="Normal 4 2 6 6 2 2" xfId="15247" xr:uid="{E9A74BC6-5BF3-4EFD-864A-6BFF21C28FCA}"/>
    <cellStyle name="Normal 4 2 6 6 3" xfId="11029" xr:uid="{E0E38AC9-2BD6-4E87-AFCD-97E39D024137}"/>
    <cellStyle name="Normal 4 2 6 7" xfId="4743" xr:uid="{00000000-0005-0000-0000-000006140000}"/>
    <cellStyle name="Normal 4 2 6 7 2" xfId="13182" xr:uid="{D70B7C74-10B2-45E6-B1BD-8999F275B328}"/>
    <cellStyle name="Normal 4 2 6 8" xfId="8964" xr:uid="{C1B9F041-49E4-4075-BFD7-2E4EACB106B7}"/>
    <cellStyle name="Normal 4 3" xfId="366" xr:uid="{00000000-0005-0000-0000-000007140000}"/>
    <cellStyle name="Normal 4 3 10" xfId="8965" xr:uid="{C811CE61-884D-4731-A1C0-7410B5F6600F}"/>
    <cellStyle name="Normal 4 3 2" xfId="367" xr:uid="{00000000-0005-0000-0000-000008140000}"/>
    <cellStyle name="Normal 4 3 2 2" xfId="368" xr:uid="{00000000-0005-0000-0000-000009140000}"/>
    <cellStyle name="Normal 4 3 2 2 2" xfId="369" xr:uid="{00000000-0005-0000-0000-00000A140000}"/>
    <cellStyle name="Normal 4 3 2 2 2 10" xfId="8966" xr:uid="{4AC18B18-7AF3-41FF-AB6F-CBDD1B20B18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15744" xr:uid="{9010FA8C-0461-4364-8B57-923C4A70F425}"/>
    <cellStyle name="Normal 4 3 2 2 2 2 2 2 2 3" xfId="11526" xr:uid="{B1676DD8-E431-42C0-ACA3-E78672766E0C}"/>
    <cellStyle name="Normal 4 3 2 2 2 2 2 2 3" xfId="5160" xr:uid="{00000000-0005-0000-0000-000010140000}"/>
    <cellStyle name="Normal 4 3 2 2 2 2 2 2 3 2" xfId="13599" xr:uid="{DD6382A8-CC64-47E1-9DFA-00DCFD5B18D3}"/>
    <cellStyle name="Normal 4 3 2 2 2 2 2 2 4" xfId="9381" xr:uid="{8C2EABF5-FF1C-4DC1-9EB0-24821D31CB97}"/>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2 2" xfId="16157" xr:uid="{D49CFD7A-E658-49D3-997D-B23D1E7152CB}"/>
    <cellStyle name="Normal 4 3 2 2 2 2 2 3 2 3" xfId="11939" xr:uid="{560F6CDD-6FA7-479A-8F79-14063DA07BC7}"/>
    <cellStyle name="Normal 4 3 2 2 2 2 2 3 3" xfId="5573" xr:uid="{00000000-0005-0000-0000-000014140000}"/>
    <cellStyle name="Normal 4 3 2 2 2 2 2 3 3 2" xfId="14012" xr:uid="{6E800846-AD6F-452F-B58E-FB27FDCA6DEF}"/>
    <cellStyle name="Normal 4 3 2 2 2 2 2 3 4" xfId="9794" xr:uid="{5CC215CE-9D5C-4D02-83FE-7DCF92DCC74F}"/>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2 2 2" xfId="16570" xr:uid="{C2890F63-BA05-42EB-AB5E-F46CEFC772AB}"/>
    <cellStyle name="Normal 4 3 2 2 2 2 2 4 2 3" xfId="12352" xr:uid="{F0E696EF-0605-46AE-9894-745F05D10AF1}"/>
    <cellStyle name="Normal 4 3 2 2 2 2 2 4 3" xfId="5986" xr:uid="{00000000-0005-0000-0000-000018140000}"/>
    <cellStyle name="Normal 4 3 2 2 2 2 2 4 3 2" xfId="14425" xr:uid="{17ACBA39-1040-49B5-82B1-FCFE4F420D18}"/>
    <cellStyle name="Normal 4 3 2 2 2 2 2 4 4" xfId="10207" xr:uid="{24023784-4EDA-43B5-8F31-FE4C2E8E5397}"/>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2 2 2" xfId="16983" xr:uid="{6FE57E45-1DCC-43BB-AFB7-C9BFAC438CCD}"/>
    <cellStyle name="Normal 4 3 2 2 2 2 2 5 2 3" xfId="12765" xr:uid="{1F1E8216-27B1-439C-9EF4-A4774C5E8025}"/>
    <cellStyle name="Normal 4 3 2 2 2 2 2 5 3" xfId="6399" xr:uid="{00000000-0005-0000-0000-00001C140000}"/>
    <cellStyle name="Normal 4 3 2 2 2 2 2 5 3 2" xfId="14838" xr:uid="{DAC37832-6579-4AB6-968C-56A5A3E5B875}"/>
    <cellStyle name="Normal 4 3 2 2 2 2 2 5 4" xfId="10620" xr:uid="{3034CAFB-DB5B-4652-B98D-2C6BE299499B}"/>
    <cellStyle name="Normal 4 3 2 2 2 2 2 6" xfId="2528" xr:uid="{00000000-0005-0000-0000-00001D140000}"/>
    <cellStyle name="Normal 4 3 2 2 2 2 2 6 2" xfId="6812" xr:uid="{00000000-0005-0000-0000-00001E140000}"/>
    <cellStyle name="Normal 4 3 2 2 2 2 2 6 2 2" xfId="15251" xr:uid="{E1E1D3A7-13A5-4BBD-8AB5-D043BA1279E8}"/>
    <cellStyle name="Normal 4 3 2 2 2 2 2 6 3" xfId="11033" xr:uid="{EBC98EDB-49DD-47E3-8605-A31264A96497}"/>
    <cellStyle name="Normal 4 3 2 2 2 2 2 7" xfId="4747" xr:uid="{00000000-0005-0000-0000-00001F140000}"/>
    <cellStyle name="Normal 4 3 2 2 2 2 2 7 2" xfId="13186" xr:uid="{A4EC4467-5D0C-43D5-8979-F7EAF04962D6}"/>
    <cellStyle name="Normal 4 3 2 2 2 2 2 8" xfId="8968" xr:uid="{E50048A8-AB6F-4AD3-AA14-ED6C69E39F92}"/>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15743" xr:uid="{21F45FBD-A107-4D24-B109-FA2BA8DE5ADE}"/>
    <cellStyle name="Normal 4 3 2 2 2 2 3 2 3" xfId="11525" xr:uid="{40CD3479-7475-47D6-A03B-2C5911FA330E}"/>
    <cellStyle name="Normal 4 3 2 2 2 2 3 3" xfId="5159" xr:uid="{00000000-0005-0000-0000-000023140000}"/>
    <cellStyle name="Normal 4 3 2 2 2 2 3 3 2" xfId="13598" xr:uid="{FCBA9CED-E0AA-4173-A8F2-76C0A78FC39C}"/>
    <cellStyle name="Normal 4 3 2 2 2 2 3 4" xfId="9380" xr:uid="{1A1EF047-D9B0-4DED-8CCA-027B34996661}"/>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2 2" xfId="16156" xr:uid="{44326673-959C-4F24-BAFB-8E6669DE23B4}"/>
    <cellStyle name="Normal 4 3 2 2 2 2 4 2 3" xfId="11938" xr:uid="{27338C2F-C66D-4C8B-A528-D1CA7B6B5193}"/>
    <cellStyle name="Normal 4 3 2 2 2 2 4 3" xfId="5572" xr:uid="{00000000-0005-0000-0000-000027140000}"/>
    <cellStyle name="Normal 4 3 2 2 2 2 4 3 2" xfId="14011" xr:uid="{ED19F9E2-A62F-4EF3-A2E0-8BD65026BF3E}"/>
    <cellStyle name="Normal 4 3 2 2 2 2 4 4" xfId="9793" xr:uid="{A5830496-FB32-4406-967D-1A613AA89DF2}"/>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2 2 2" xfId="16569" xr:uid="{03197A94-0A14-4F36-AA2A-6178048147B0}"/>
    <cellStyle name="Normal 4 3 2 2 2 2 5 2 3" xfId="12351" xr:uid="{BE313CB9-F5D3-4B67-84EE-EC5D2C23C349}"/>
    <cellStyle name="Normal 4 3 2 2 2 2 5 3" xfId="5985" xr:uid="{00000000-0005-0000-0000-00002B140000}"/>
    <cellStyle name="Normal 4 3 2 2 2 2 5 3 2" xfId="14424" xr:uid="{6A70169F-FC0A-4E81-A33A-378CF893C1A0}"/>
    <cellStyle name="Normal 4 3 2 2 2 2 5 4" xfId="10206" xr:uid="{D2EA3701-6B1D-44A9-8643-358A63E4D9B9}"/>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2 2 2" xfId="16982" xr:uid="{BE13B7AB-0A28-4D1D-837E-7C9D8EF142B1}"/>
    <cellStyle name="Normal 4 3 2 2 2 2 6 2 3" xfId="12764" xr:uid="{34E298C4-36B2-4EFA-8531-1F7C57946B3E}"/>
    <cellStyle name="Normal 4 3 2 2 2 2 6 3" xfId="6398" xr:uid="{00000000-0005-0000-0000-00002F140000}"/>
    <cellStyle name="Normal 4 3 2 2 2 2 6 3 2" xfId="14837" xr:uid="{8B30D76B-B405-44EA-B197-48B2AB4EC876}"/>
    <cellStyle name="Normal 4 3 2 2 2 2 6 4" xfId="10619" xr:uid="{EBF51F71-ADAE-4916-B000-9AAC39A649BF}"/>
    <cellStyle name="Normal 4 3 2 2 2 2 7" xfId="2527" xr:uid="{00000000-0005-0000-0000-000030140000}"/>
    <cellStyle name="Normal 4 3 2 2 2 2 7 2" xfId="6811" xr:uid="{00000000-0005-0000-0000-000031140000}"/>
    <cellStyle name="Normal 4 3 2 2 2 2 7 2 2" xfId="15250" xr:uid="{FE7E76AA-62E9-4203-963C-084EF8BD29DA}"/>
    <cellStyle name="Normal 4 3 2 2 2 2 7 3" xfId="11032" xr:uid="{DB3FFE7D-639F-4E24-8F10-CEF1C66AFA62}"/>
    <cellStyle name="Normal 4 3 2 2 2 2 8" xfId="4746" xr:uid="{00000000-0005-0000-0000-000032140000}"/>
    <cellStyle name="Normal 4 3 2 2 2 2 8 2" xfId="13185" xr:uid="{4B206F42-5979-4139-8695-FB9851C9F063}"/>
    <cellStyle name="Normal 4 3 2 2 2 2 9" xfId="8967" xr:uid="{BA42569A-3A09-4A17-9BF9-7C10094567BF}"/>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15745" xr:uid="{AB4D0BA2-CA61-4658-B995-B9A0B1281C45}"/>
    <cellStyle name="Normal 4 3 2 2 2 3 2 2 3" xfId="11527" xr:uid="{9FD05F61-8EAD-468C-9989-90462310411E}"/>
    <cellStyle name="Normal 4 3 2 2 2 3 2 3" xfId="5161" xr:uid="{00000000-0005-0000-0000-000037140000}"/>
    <cellStyle name="Normal 4 3 2 2 2 3 2 3 2" xfId="13600" xr:uid="{10378BA1-46B9-4959-BAEB-B147162B6A67}"/>
    <cellStyle name="Normal 4 3 2 2 2 3 2 4" xfId="9382" xr:uid="{F7A998E4-A176-419C-8E9D-DBD4BBFEE5C1}"/>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2 2" xfId="16158" xr:uid="{D7722C5F-BBF0-46E6-BC93-36B01807BFBE}"/>
    <cellStyle name="Normal 4 3 2 2 2 3 3 2 3" xfId="11940" xr:uid="{46202E3F-13E1-40EA-BDCC-32577779BE62}"/>
    <cellStyle name="Normal 4 3 2 2 2 3 3 3" xfId="5574" xr:uid="{00000000-0005-0000-0000-00003B140000}"/>
    <cellStyle name="Normal 4 3 2 2 2 3 3 3 2" xfId="14013" xr:uid="{F7FC9759-CE11-4A6B-87D1-7FFF687F52C5}"/>
    <cellStyle name="Normal 4 3 2 2 2 3 3 4" xfId="9795" xr:uid="{8CDCC166-3899-417E-8467-0774EE13E733}"/>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2 2 2" xfId="16571" xr:uid="{1E615068-C84E-4024-8A84-D1C6358D05CE}"/>
    <cellStyle name="Normal 4 3 2 2 2 3 4 2 3" xfId="12353" xr:uid="{7EFFE7B7-923F-4D23-8676-986C90C71FA9}"/>
    <cellStyle name="Normal 4 3 2 2 2 3 4 3" xfId="5987" xr:uid="{00000000-0005-0000-0000-00003F140000}"/>
    <cellStyle name="Normal 4 3 2 2 2 3 4 3 2" xfId="14426" xr:uid="{786CE037-9BC8-435D-B27A-1387EC883D91}"/>
    <cellStyle name="Normal 4 3 2 2 2 3 4 4" xfId="10208" xr:uid="{876051F9-18B4-42E9-9C1F-BCB960B84012}"/>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2 2 2" xfId="16984" xr:uid="{F0BF0953-7F69-4708-B136-032E2CEC7B21}"/>
    <cellStyle name="Normal 4 3 2 2 2 3 5 2 3" xfId="12766" xr:uid="{DA142ADE-7B57-4E48-8DF2-1A818C8884FF}"/>
    <cellStyle name="Normal 4 3 2 2 2 3 5 3" xfId="6400" xr:uid="{00000000-0005-0000-0000-000043140000}"/>
    <cellStyle name="Normal 4 3 2 2 2 3 5 3 2" xfId="14839" xr:uid="{196E0E8E-C84D-4D60-89E5-303290251210}"/>
    <cellStyle name="Normal 4 3 2 2 2 3 5 4" xfId="10621" xr:uid="{3E546B40-2F45-4E45-B53B-D87C096C6021}"/>
    <cellStyle name="Normal 4 3 2 2 2 3 6" xfId="2529" xr:uid="{00000000-0005-0000-0000-000044140000}"/>
    <cellStyle name="Normal 4 3 2 2 2 3 6 2" xfId="6813" xr:uid="{00000000-0005-0000-0000-000045140000}"/>
    <cellStyle name="Normal 4 3 2 2 2 3 6 2 2" xfId="15252" xr:uid="{0EB2ED98-3DBF-4AD2-937D-C4E6524A5E6C}"/>
    <cellStyle name="Normal 4 3 2 2 2 3 6 3" xfId="11034" xr:uid="{DCE84DB1-0C5B-4CDC-920C-167127AA429C}"/>
    <cellStyle name="Normal 4 3 2 2 2 3 7" xfId="4748" xr:uid="{00000000-0005-0000-0000-000046140000}"/>
    <cellStyle name="Normal 4 3 2 2 2 3 7 2" xfId="13187" xr:uid="{E14E5098-8163-4FF0-A72D-5B4BC578ADAD}"/>
    <cellStyle name="Normal 4 3 2 2 2 3 8" xfId="8969" xr:uid="{1DEA72C7-2880-4935-9C1B-9148A67389C8}"/>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15742" xr:uid="{CA576E56-D7C7-4BE8-A9D2-2A2E43DF25F6}"/>
    <cellStyle name="Normal 4 3 2 2 2 4 2 3" xfId="11524" xr:uid="{CF820DDB-68AA-4B17-BF48-DE8E28B9CFC5}"/>
    <cellStyle name="Normal 4 3 2 2 2 4 3" xfId="5158" xr:uid="{00000000-0005-0000-0000-00004A140000}"/>
    <cellStyle name="Normal 4 3 2 2 2 4 3 2" xfId="13597" xr:uid="{5D5A449E-3D49-49A3-B2F2-D30E33AF1C06}"/>
    <cellStyle name="Normal 4 3 2 2 2 4 4" xfId="9379" xr:uid="{BA71C519-7F85-49C0-8780-BFF263862FC7}"/>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2 2" xfId="16155" xr:uid="{4A918790-58E6-4AEB-8D78-61ED062A1F09}"/>
    <cellStyle name="Normal 4 3 2 2 2 5 2 3" xfId="11937" xr:uid="{6B427675-F4FD-4285-9A2C-A3507CF7E863}"/>
    <cellStyle name="Normal 4 3 2 2 2 5 3" xfId="5571" xr:uid="{00000000-0005-0000-0000-00004E140000}"/>
    <cellStyle name="Normal 4 3 2 2 2 5 3 2" xfId="14010" xr:uid="{06C0BC21-120F-4762-88D9-54679B432C2E}"/>
    <cellStyle name="Normal 4 3 2 2 2 5 4" xfId="9792" xr:uid="{D494314F-78B4-4B78-82A6-18E7E0B746AF}"/>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2 2 2" xfId="16568" xr:uid="{1EE5FA0A-32AA-4A98-A868-A25DF1E808DC}"/>
    <cellStyle name="Normal 4 3 2 2 2 6 2 3" xfId="12350" xr:uid="{E448F252-5716-46A6-8986-C34D68D4B7D7}"/>
    <cellStyle name="Normal 4 3 2 2 2 6 3" xfId="5984" xr:uid="{00000000-0005-0000-0000-000052140000}"/>
    <cellStyle name="Normal 4 3 2 2 2 6 3 2" xfId="14423" xr:uid="{C0DC7CF4-A7CF-444C-9C33-A93CD7F2C146}"/>
    <cellStyle name="Normal 4 3 2 2 2 6 4" xfId="10205" xr:uid="{FCC5D73F-CCD9-4D16-94AA-24200E555C62}"/>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2 2 2" xfId="16981" xr:uid="{FE584D06-FB47-4BF7-BF2B-2535D9B11216}"/>
    <cellStyle name="Normal 4 3 2 2 2 7 2 3" xfId="12763" xr:uid="{4AF4F349-E381-4B67-A422-2BC5F34D9F7D}"/>
    <cellStyle name="Normal 4 3 2 2 2 7 3" xfId="6397" xr:uid="{00000000-0005-0000-0000-000056140000}"/>
    <cellStyle name="Normal 4 3 2 2 2 7 3 2" xfId="14836" xr:uid="{A6EEF072-3115-4718-B58A-0AAA24281127}"/>
    <cellStyle name="Normal 4 3 2 2 2 7 4" xfId="10618" xr:uid="{25C53849-9585-4A90-B544-2BE2CEB0B00F}"/>
    <cellStyle name="Normal 4 3 2 2 2 8" xfId="2526" xr:uid="{00000000-0005-0000-0000-000057140000}"/>
    <cellStyle name="Normal 4 3 2 2 2 8 2" xfId="6810" xr:uid="{00000000-0005-0000-0000-000058140000}"/>
    <cellStyle name="Normal 4 3 2 2 2 8 2 2" xfId="15249" xr:uid="{3D384A8A-F0A7-4DE8-A449-F042EE4BED74}"/>
    <cellStyle name="Normal 4 3 2 2 2 8 3" xfId="11031" xr:uid="{659DE0CB-9822-4D1A-AE87-79E7E52D94C3}"/>
    <cellStyle name="Normal 4 3 2 2 2 9" xfId="4745" xr:uid="{00000000-0005-0000-0000-000059140000}"/>
    <cellStyle name="Normal 4 3 2 2 2 9 2" xfId="13184" xr:uid="{E3143847-D789-463C-89B1-0F44AFFA67DB}"/>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70" xr:uid="{35F2E010-F721-4D54-AF2C-17A7517DBC0F}"/>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15748" xr:uid="{344F2315-95EF-4763-97DC-5FAC5A7E8C5A}"/>
    <cellStyle name="Normal 4 3 3 2 2 2 2 3" xfId="11530" xr:uid="{6DE54C24-65D5-4898-8401-221609083C2A}"/>
    <cellStyle name="Normal 4 3 3 2 2 2 3" xfId="5164" xr:uid="{00000000-0005-0000-0000-000063140000}"/>
    <cellStyle name="Normal 4 3 3 2 2 2 3 2" xfId="13603" xr:uid="{93513ACF-4135-430E-9685-7431CF2780B0}"/>
    <cellStyle name="Normal 4 3 3 2 2 2 4" xfId="9385" xr:uid="{86597D98-6F23-4CAF-A796-52FB6F4B3AC1}"/>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2 2" xfId="16161" xr:uid="{9CE67C17-770B-4399-9B73-2955B74E14D9}"/>
    <cellStyle name="Normal 4 3 3 2 2 3 2 3" xfId="11943" xr:uid="{97F0E43A-0C8A-46FD-B6E9-4A0EAC8C05C3}"/>
    <cellStyle name="Normal 4 3 3 2 2 3 3" xfId="5577" xr:uid="{00000000-0005-0000-0000-000067140000}"/>
    <cellStyle name="Normal 4 3 3 2 2 3 3 2" xfId="14016" xr:uid="{373D9870-EEF9-4529-A9B2-F5D6313CAF1D}"/>
    <cellStyle name="Normal 4 3 3 2 2 3 4" xfId="9798" xr:uid="{0FB2E8B9-26B9-4AA2-95D5-4F1F186EB662}"/>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2 2 2" xfId="16574" xr:uid="{809BDE4E-DEC2-415D-97DF-31E3990C0FC8}"/>
    <cellStyle name="Normal 4 3 3 2 2 4 2 3" xfId="12356" xr:uid="{159F7855-102E-400D-908F-48B31B38A4E6}"/>
    <cellStyle name="Normal 4 3 3 2 2 4 3" xfId="5990" xr:uid="{00000000-0005-0000-0000-00006B140000}"/>
    <cellStyle name="Normal 4 3 3 2 2 4 3 2" xfId="14429" xr:uid="{A540300F-AE45-4B77-9684-9F9AC15B0317}"/>
    <cellStyle name="Normal 4 3 3 2 2 4 4" xfId="10211" xr:uid="{CA4C7BDD-1E8B-4D5E-901A-3CE247F4C42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2 2 2" xfId="16987" xr:uid="{BE43CAC8-C3A3-4BC3-80F1-950BA20B140E}"/>
    <cellStyle name="Normal 4 3 3 2 2 5 2 3" xfId="12769" xr:uid="{A300CBBB-AC4F-4CB7-BA48-74E86467668E}"/>
    <cellStyle name="Normal 4 3 3 2 2 5 3" xfId="6403" xr:uid="{00000000-0005-0000-0000-00006F140000}"/>
    <cellStyle name="Normal 4 3 3 2 2 5 3 2" xfId="14842" xr:uid="{6A6E31D2-7DB3-4563-B8EF-EEC3DA9AE430}"/>
    <cellStyle name="Normal 4 3 3 2 2 5 4" xfId="10624" xr:uid="{E8745380-C272-43B3-8319-6750185CAF7F}"/>
    <cellStyle name="Normal 4 3 3 2 2 6" xfId="2532" xr:uid="{00000000-0005-0000-0000-000070140000}"/>
    <cellStyle name="Normal 4 3 3 2 2 6 2" xfId="6816" xr:uid="{00000000-0005-0000-0000-000071140000}"/>
    <cellStyle name="Normal 4 3 3 2 2 6 2 2" xfId="15255" xr:uid="{95C6F23D-CB92-49A0-AA80-00561F5BC3DC}"/>
    <cellStyle name="Normal 4 3 3 2 2 6 3" xfId="11037" xr:uid="{8248620A-CD74-437B-860C-1EB94D4638F6}"/>
    <cellStyle name="Normal 4 3 3 2 2 7" xfId="4751" xr:uid="{00000000-0005-0000-0000-000072140000}"/>
    <cellStyle name="Normal 4 3 3 2 2 7 2" xfId="13190" xr:uid="{E774DACD-D310-4BF7-8440-9B80F54063B1}"/>
    <cellStyle name="Normal 4 3 3 2 2 8" xfId="8972" xr:uid="{3865368E-A8F1-4351-BD5C-049C13E1B9D2}"/>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15747" xr:uid="{C94C8760-EAF6-4628-9815-57845A8DA8A8}"/>
    <cellStyle name="Normal 4 3 3 2 3 2 3" xfId="11529" xr:uid="{13A25C17-1F96-4006-93D9-A1F03FF8BAC5}"/>
    <cellStyle name="Normal 4 3 3 2 3 3" xfId="5163" xr:uid="{00000000-0005-0000-0000-000076140000}"/>
    <cellStyle name="Normal 4 3 3 2 3 3 2" xfId="13602" xr:uid="{1D412B9B-03DD-4ED8-9D7B-58EC6B05A2E7}"/>
    <cellStyle name="Normal 4 3 3 2 3 4" xfId="9384" xr:uid="{6AA440ED-AE9C-4905-949C-F8C1D0D5561A}"/>
    <cellStyle name="Normal 4 3 3 2 4" xfId="1268" xr:uid="{00000000-0005-0000-0000-000077140000}"/>
    <cellStyle name="Normal 4 3 3 2 4 2" xfId="3498" xr:uid="{00000000-0005-0000-0000-000078140000}"/>
    <cellStyle name="Normal 4 3 3 2 4 2 2" xfId="7721" xr:uid="{00000000-0005-0000-0000-000079140000}"/>
    <cellStyle name="Normal 4 3 3 2 4 2 2 2" xfId="16160" xr:uid="{1FF72ACD-DD5F-4BA8-90D7-DD549A9DF3FD}"/>
    <cellStyle name="Normal 4 3 3 2 4 2 3" xfId="11942" xr:uid="{3D4CCA8B-341B-4FA0-8C95-62DD0FAF1AFF}"/>
    <cellStyle name="Normal 4 3 3 2 4 3" xfId="5576" xr:uid="{00000000-0005-0000-0000-00007A140000}"/>
    <cellStyle name="Normal 4 3 3 2 4 3 2" xfId="14015" xr:uid="{05A2E493-FE81-48A4-AA84-6DD77EDA2755}"/>
    <cellStyle name="Normal 4 3 3 2 4 4" xfId="9797" xr:uid="{7060ABAB-69E4-4F6D-8D41-3B084E45B5BB}"/>
    <cellStyle name="Normal 4 3 3 2 5" xfId="1681" xr:uid="{00000000-0005-0000-0000-00007B140000}"/>
    <cellStyle name="Normal 4 3 3 2 5 2" xfId="3911" xr:uid="{00000000-0005-0000-0000-00007C140000}"/>
    <cellStyle name="Normal 4 3 3 2 5 2 2" xfId="8134" xr:uid="{00000000-0005-0000-0000-00007D140000}"/>
    <cellStyle name="Normal 4 3 3 2 5 2 2 2" xfId="16573" xr:uid="{61E59B9D-1A80-4904-A00D-ADB2DEC3F18D}"/>
    <cellStyle name="Normal 4 3 3 2 5 2 3" xfId="12355" xr:uid="{8EED00C6-F96D-43F4-A456-0E6A18DFC26C}"/>
    <cellStyle name="Normal 4 3 3 2 5 3" xfId="5989" xr:uid="{00000000-0005-0000-0000-00007E140000}"/>
    <cellStyle name="Normal 4 3 3 2 5 3 2" xfId="14428" xr:uid="{364CC7AC-B934-4F54-83DE-0B584D6BC25D}"/>
    <cellStyle name="Normal 4 3 3 2 5 4" xfId="10210" xr:uid="{4192020D-5FA4-4BB4-8C13-8D93C602FEDB}"/>
    <cellStyle name="Normal 4 3 3 2 6" xfId="2095" xr:uid="{00000000-0005-0000-0000-00007F140000}"/>
    <cellStyle name="Normal 4 3 3 2 6 2" xfId="4324" xr:uid="{00000000-0005-0000-0000-000080140000}"/>
    <cellStyle name="Normal 4 3 3 2 6 2 2" xfId="8547" xr:uid="{00000000-0005-0000-0000-000081140000}"/>
    <cellStyle name="Normal 4 3 3 2 6 2 2 2" xfId="16986" xr:uid="{07F39371-458D-4322-85AD-1DB97A6814F7}"/>
    <cellStyle name="Normal 4 3 3 2 6 2 3" xfId="12768" xr:uid="{6B1DAE71-A7D5-4BD0-998D-C3E636B09CD3}"/>
    <cellStyle name="Normal 4 3 3 2 6 3" xfId="6402" xr:uid="{00000000-0005-0000-0000-000082140000}"/>
    <cellStyle name="Normal 4 3 3 2 6 3 2" xfId="14841" xr:uid="{EE1135AE-1713-4C27-A148-8A21A9A26758}"/>
    <cellStyle name="Normal 4 3 3 2 6 4" xfId="10623" xr:uid="{66ABD246-C67A-4FB8-BC00-A5B86B6D0615}"/>
    <cellStyle name="Normal 4 3 3 2 7" xfId="2531" xr:uid="{00000000-0005-0000-0000-000083140000}"/>
    <cellStyle name="Normal 4 3 3 2 7 2" xfId="6815" xr:uid="{00000000-0005-0000-0000-000084140000}"/>
    <cellStyle name="Normal 4 3 3 2 7 2 2" xfId="15254" xr:uid="{272F46EC-FE25-4519-9916-6A7BD723A0B2}"/>
    <cellStyle name="Normal 4 3 3 2 7 3" xfId="11036" xr:uid="{47DC982B-5A15-41E5-A0B2-25A4E27968E2}"/>
    <cellStyle name="Normal 4 3 3 2 8" xfId="4750" xr:uid="{00000000-0005-0000-0000-000085140000}"/>
    <cellStyle name="Normal 4 3 3 2 8 2" xfId="13189" xr:uid="{4889E7D3-81CA-44C1-8369-DDD148601B90}"/>
    <cellStyle name="Normal 4 3 3 2 9" xfId="8971" xr:uid="{87297F13-2D30-45E3-A953-0C493EFDC574}"/>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15749" xr:uid="{5BB8C9BF-D22A-4FA2-B418-79FF8446EBD9}"/>
    <cellStyle name="Normal 4 3 3 3 2 2 3" xfId="11531" xr:uid="{9756CC14-A867-44D1-A442-221D76CE53F2}"/>
    <cellStyle name="Normal 4 3 3 3 2 3" xfId="5165" xr:uid="{00000000-0005-0000-0000-00008A140000}"/>
    <cellStyle name="Normal 4 3 3 3 2 3 2" xfId="13604" xr:uid="{D5255C22-8D1E-467F-B348-2E5B4F21F89E}"/>
    <cellStyle name="Normal 4 3 3 3 2 4" xfId="9386" xr:uid="{9C057554-303B-4315-A919-C331D5DBE64E}"/>
    <cellStyle name="Normal 4 3 3 3 3" xfId="1270" xr:uid="{00000000-0005-0000-0000-00008B140000}"/>
    <cellStyle name="Normal 4 3 3 3 3 2" xfId="3500" xr:uid="{00000000-0005-0000-0000-00008C140000}"/>
    <cellStyle name="Normal 4 3 3 3 3 2 2" xfId="7723" xr:uid="{00000000-0005-0000-0000-00008D140000}"/>
    <cellStyle name="Normal 4 3 3 3 3 2 2 2" xfId="16162" xr:uid="{D8A7CC88-AD68-4AA8-9172-7B83F56B3432}"/>
    <cellStyle name="Normal 4 3 3 3 3 2 3" xfId="11944" xr:uid="{249C0BBB-01C8-41F4-AC94-C9055E319D5F}"/>
    <cellStyle name="Normal 4 3 3 3 3 3" xfId="5578" xr:uid="{00000000-0005-0000-0000-00008E140000}"/>
    <cellStyle name="Normal 4 3 3 3 3 3 2" xfId="14017" xr:uid="{44FA041F-7888-484E-BD58-5C1DA4EC625C}"/>
    <cellStyle name="Normal 4 3 3 3 3 4" xfId="9799" xr:uid="{1CF1A728-E0B4-4E59-BB93-60610914E0D0}"/>
    <cellStyle name="Normal 4 3 3 3 4" xfId="1683" xr:uid="{00000000-0005-0000-0000-00008F140000}"/>
    <cellStyle name="Normal 4 3 3 3 4 2" xfId="3913" xr:uid="{00000000-0005-0000-0000-000090140000}"/>
    <cellStyle name="Normal 4 3 3 3 4 2 2" xfId="8136" xr:uid="{00000000-0005-0000-0000-000091140000}"/>
    <cellStyle name="Normal 4 3 3 3 4 2 2 2" xfId="16575" xr:uid="{A7C11A72-B83E-45E2-B03B-DB60F913FF08}"/>
    <cellStyle name="Normal 4 3 3 3 4 2 3" xfId="12357" xr:uid="{BC1E3EE0-DF0A-43C4-A461-7019832A0E95}"/>
    <cellStyle name="Normal 4 3 3 3 4 3" xfId="5991" xr:uid="{00000000-0005-0000-0000-000092140000}"/>
    <cellStyle name="Normal 4 3 3 3 4 3 2" xfId="14430" xr:uid="{AA6C7E47-9E7D-4EDB-8ED7-25F15E253124}"/>
    <cellStyle name="Normal 4 3 3 3 4 4" xfId="10212" xr:uid="{DCCF4837-9F19-4B9C-89F4-7C5C43856266}"/>
    <cellStyle name="Normal 4 3 3 3 5" xfId="2097" xr:uid="{00000000-0005-0000-0000-000093140000}"/>
    <cellStyle name="Normal 4 3 3 3 5 2" xfId="4326" xr:uid="{00000000-0005-0000-0000-000094140000}"/>
    <cellStyle name="Normal 4 3 3 3 5 2 2" xfId="8549" xr:uid="{00000000-0005-0000-0000-000095140000}"/>
    <cellStyle name="Normal 4 3 3 3 5 2 2 2" xfId="16988" xr:uid="{B69422DB-E3B8-48C5-9995-DDBED2D87939}"/>
    <cellStyle name="Normal 4 3 3 3 5 2 3" xfId="12770" xr:uid="{E30022FC-7437-47AF-838A-619052630B0C}"/>
    <cellStyle name="Normal 4 3 3 3 5 3" xfId="6404" xr:uid="{00000000-0005-0000-0000-000096140000}"/>
    <cellStyle name="Normal 4 3 3 3 5 3 2" xfId="14843" xr:uid="{F19B228E-9F58-4855-B784-F9F5363FE4C6}"/>
    <cellStyle name="Normal 4 3 3 3 5 4" xfId="10625" xr:uid="{C1B0D46F-ADC1-434B-80F7-32EA48E955C6}"/>
    <cellStyle name="Normal 4 3 3 3 6" xfId="2533" xr:uid="{00000000-0005-0000-0000-000097140000}"/>
    <cellStyle name="Normal 4 3 3 3 6 2" xfId="6817" xr:uid="{00000000-0005-0000-0000-000098140000}"/>
    <cellStyle name="Normal 4 3 3 3 6 2 2" xfId="15256" xr:uid="{26A12BD4-5A71-4942-958E-91D646BFF558}"/>
    <cellStyle name="Normal 4 3 3 3 6 3" xfId="11038" xr:uid="{463A9E4F-D386-4D5C-9515-D1AF11753780}"/>
    <cellStyle name="Normal 4 3 3 3 7" xfId="4752" xr:uid="{00000000-0005-0000-0000-000099140000}"/>
    <cellStyle name="Normal 4 3 3 3 7 2" xfId="13191" xr:uid="{7F174B85-581F-4C08-A48D-D0893578BC21}"/>
    <cellStyle name="Normal 4 3 3 3 8" xfId="8973" xr:uid="{8FA18AEE-24B5-4238-AE65-7C3360BDC4C3}"/>
    <cellStyle name="Normal 4 3 3 4" xfId="849" xr:uid="{00000000-0005-0000-0000-00009A140000}"/>
    <cellStyle name="Normal 4 3 3 4 2" xfId="3084" xr:uid="{00000000-0005-0000-0000-00009B140000}"/>
    <cellStyle name="Normal 4 3 3 4 2 2" xfId="7307" xr:uid="{00000000-0005-0000-0000-00009C140000}"/>
    <cellStyle name="Normal 4 3 3 4 2 2 2" xfId="15746" xr:uid="{D54428EB-0AAA-42A8-B0EE-1ED7B4894179}"/>
    <cellStyle name="Normal 4 3 3 4 2 3" xfId="11528" xr:uid="{EA90CC81-975F-4534-BCBD-80C7C709E6FA}"/>
    <cellStyle name="Normal 4 3 3 4 3" xfId="5162" xr:uid="{00000000-0005-0000-0000-00009D140000}"/>
    <cellStyle name="Normal 4 3 3 4 3 2" xfId="13601" xr:uid="{50C55504-6804-4AC2-9BDC-4FEDB2117F7A}"/>
    <cellStyle name="Normal 4 3 3 4 4" xfId="9383" xr:uid="{9A9761C1-4453-4F3D-A65B-F7F26BE404F5}"/>
    <cellStyle name="Normal 4 3 3 5" xfId="1267" xr:uid="{00000000-0005-0000-0000-00009E140000}"/>
    <cellStyle name="Normal 4 3 3 5 2" xfId="3497" xr:uid="{00000000-0005-0000-0000-00009F140000}"/>
    <cellStyle name="Normal 4 3 3 5 2 2" xfId="7720" xr:uid="{00000000-0005-0000-0000-0000A0140000}"/>
    <cellStyle name="Normal 4 3 3 5 2 2 2" xfId="16159" xr:uid="{2D449C18-77CA-46C7-9B73-4B315B121E29}"/>
    <cellStyle name="Normal 4 3 3 5 2 3" xfId="11941" xr:uid="{C1300426-8197-4953-B529-4A5E46A55862}"/>
    <cellStyle name="Normal 4 3 3 5 3" xfId="5575" xr:uid="{00000000-0005-0000-0000-0000A1140000}"/>
    <cellStyle name="Normal 4 3 3 5 3 2" xfId="14014" xr:uid="{34556E4E-BED3-42BC-95FE-3877E58602E1}"/>
    <cellStyle name="Normal 4 3 3 5 4" xfId="9796" xr:uid="{F74554A8-25BC-4AC1-9CA2-348BFB05F2F9}"/>
    <cellStyle name="Normal 4 3 3 6" xfId="1680" xr:uid="{00000000-0005-0000-0000-0000A2140000}"/>
    <cellStyle name="Normal 4 3 3 6 2" xfId="3910" xr:uid="{00000000-0005-0000-0000-0000A3140000}"/>
    <cellStyle name="Normal 4 3 3 6 2 2" xfId="8133" xr:uid="{00000000-0005-0000-0000-0000A4140000}"/>
    <cellStyle name="Normal 4 3 3 6 2 2 2" xfId="16572" xr:uid="{6CC6A057-5340-40C6-87A8-17EDA7390D9D}"/>
    <cellStyle name="Normal 4 3 3 6 2 3" xfId="12354" xr:uid="{3F5EE19C-2F17-484E-AEFA-5AEEF494B2F1}"/>
    <cellStyle name="Normal 4 3 3 6 3" xfId="5988" xr:uid="{00000000-0005-0000-0000-0000A5140000}"/>
    <cellStyle name="Normal 4 3 3 6 3 2" xfId="14427" xr:uid="{73635E9B-7601-4BE2-A7E5-E22E935DB9F2}"/>
    <cellStyle name="Normal 4 3 3 6 4" xfId="10209" xr:uid="{84FB32E0-3DDD-4DDA-B710-CF4B4E44DBA8}"/>
    <cellStyle name="Normal 4 3 3 7" xfId="2094" xr:uid="{00000000-0005-0000-0000-0000A6140000}"/>
    <cellStyle name="Normal 4 3 3 7 2" xfId="4323" xr:uid="{00000000-0005-0000-0000-0000A7140000}"/>
    <cellStyle name="Normal 4 3 3 7 2 2" xfId="8546" xr:uid="{00000000-0005-0000-0000-0000A8140000}"/>
    <cellStyle name="Normal 4 3 3 7 2 2 2" xfId="16985" xr:uid="{7903053F-BBD0-4E11-8500-A3E56DD2F3E0}"/>
    <cellStyle name="Normal 4 3 3 7 2 3" xfId="12767" xr:uid="{51B53540-55F1-4FE9-AE82-3E5C7F22D8ED}"/>
    <cellStyle name="Normal 4 3 3 7 3" xfId="6401" xr:uid="{00000000-0005-0000-0000-0000A9140000}"/>
    <cellStyle name="Normal 4 3 3 7 3 2" xfId="14840" xr:uid="{B77D68D5-CBFE-4F0F-A2D4-86EA2B16B878}"/>
    <cellStyle name="Normal 4 3 3 7 4" xfId="10622" xr:uid="{2D74668B-7D86-43A5-98E4-FFAD06C03138}"/>
    <cellStyle name="Normal 4 3 3 8" xfId="2530" xr:uid="{00000000-0005-0000-0000-0000AA140000}"/>
    <cellStyle name="Normal 4 3 3 8 2" xfId="6814" xr:uid="{00000000-0005-0000-0000-0000AB140000}"/>
    <cellStyle name="Normal 4 3 3 8 2 2" xfId="15253" xr:uid="{D5179476-8144-442A-AD18-CEDA14035B9B}"/>
    <cellStyle name="Normal 4 3 3 8 3" xfId="11035" xr:uid="{2CF96CD1-C09D-412A-9966-CC4FBBF43480}"/>
    <cellStyle name="Normal 4 3 3 9" xfId="4749" xr:uid="{00000000-0005-0000-0000-0000AC140000}"/>
    <cellStyle name="Normal 4 3 3 9 2" xfId="13188" xr:uid="{ED8A8F9C-2D92-4F34-B33D-E029779C8739}"/>
    <cellStyle name="Normal 4 3 4" xfId="842" xr:uid="{00000000-0005-0000-0000-0000AD140000}"/>
    <cellStyle name="Normal 4 3 4 2" xfId="3079" xr:uid="{00000000-0005-0000-0000-0000AE140000}"/>
    <cellStyle name="Normal 4 3 4 2 2" xfId="7302" xr:uid="{00000000-0005-0000-0000-0000AF140000}"/>
    <cellStyle name="Normal 4 3 4 2 2 2" xfId="15741" xr:uid="{088EFDF4-8B74-4EEA-94B7-8DC6A0CFD326}"/>
    <cellStyle name="Normal 4 3 4 2 3" xfId="11523" xr:uid="{DB1D4EC6-4214-4AF8-9766-B29D07287C4A}"/>
    <cellStyle name="Normal 4 3 4 3" xfId="5157" xr:uid="{00000000-0005-0000-0000-0000B0140000}"/>
    <cellStyle name="Normal 4 3 4 3 2" xfId="13596" xr:uid="{79A10174-48FB-4075-8C3C-2243055482AB}"/>
    <cellStyle name="Normal 4 3 4 4" xfId="9378" xr:uid="{57543A8F-C1B4-49C9-A517-7C0F40D634BB}"/>
    <cellStyle name="Normal 4 3 5" xfId="1262" xr:uid="{00000000-0005-0000-0000-0000B1140000}"/>
    <cellStyle name="Normal 4 3 5 2" xfId="3492" xr:uid="{00000000-0005-0000-0000-0000B2140000}"/>
    <cellStyle name="Normal 4 3 5 2 2" xfId="7715" xr:uid="{00000000-0005-0000-0000-0000B3140000}"/>
    <cellStyle name="Normal 4 3 5 2 2 2" xfId="16154" xr:uid="{6338B915-DE0A-4823-B5C4-91E515B182E9}"/>
    <cellStyle name="Normal 4 3 5 2 3" xfId="11936" xr:uid="{F32F99C1-47E3-4388-BB17-0DA652E1CDE8}"/>
    <cellStyle name="Normal 4 3 5 3" xfId="5570" xr:uid="{00000000-0005-0000-0000-0000B4140000}"/>
    <cellStyle name="Normal 4 3 5 3 2" xfId="14009" xr:uid="{0A94C463-AE60-43E2-BE64-4BD731B549A1}"/>
    <cellStyle name="Normal 4 3 5 4" xfId="9791" xr:uid="{D8DA8B05-BB6A-4D13-A111-C8F70287DE44}"/>
    <cellStyle name="Normal 4 3 6" xfId="1675" xr:uid="{00000000-0005-0000-0000-0000B5140000}"/>
    <cellStyle name="Normal 4 3 6 2" xfId="3905" xr:uid="{00000000-0005-0000-0000-0000B6140000}"/>
    <cellStyle name="Normal 4 3 6 2 2" xfId="8128" xr:uid="{00000000-0005-0000-0000-0000B7140000}"/>
    <cellStyle name="Normal 4 3 6 2 2 2" xfId="16567" xr:uid="{97D4BED7-C831-4732-91D8-A536D9A3B1E1}"/>
    <cellStyle name="Normal 4 3 6 2 3" xfId="12349" xr:uid="{ADCCF9B2-8461-4815-AFE2-522C5F7BE695}"/>
    <cellStyle name="Normal 4 3 6 3" xfId="5983" xr:uid="{00000000-0005-0000-0000-0000B8140000}"/>
    <cellStyle name="Normal 4 3 6 3 2" xfId="14422" xr:uid="{9430EFBD-7A0D-4DF2-B7F5-93E872E244E5}"/>
    <cellStyle name="Normal 4 3 6 4" xfId="10204" xr:uid="{24B26746-B6A3-4E43-AB70-BF7D8DFEDE14}"/>
    <cellStyle name="Normal 4 3 7" xfId="2089" xr:uid="{00000000-0005-0000-0000-0000B9140000}"/>
    <cellStyle name="Normal 4 3 7 2" xfId="4318" xr:uid="{00000000-0005-0000-0000-0000BA140000}"/>
    <cellStyle name="Normal 4 3 7 2 2" xfId="8541" xr:uid="{00000000-0005-0000-0000-0000BB140000}"/>
    <cellStyle name="Normal 4 3 7 2 2 2" xfId="16980" xr:uid="{D78D05D4-F5EB-4775-8638-ED6CF9F6F93D}"/>
    <cellStyle name="Normal 4 3 7 2 3" xfId="12762" xr:uid="{B3EEBB89-DC69-45B1-9B5E-7753634A579E}"/>
    <cellStyle name="Normal 4 3 7 3" xfId="6396" xr:uid="{00000000-0005-0000-0000-0000BC140000}"/>
    <cellStyle name="Normal 4 3 7 3 2" xfId="14835" xr:uid="{AE271CF5-338D-4273-8EB2-FD9E8368807C}"/>
    <cellStyle name="Normal 4 3 7 4" xfId="10617" xr:uid="{99362AD8-DEAE-446A-B45B-57A1484F7248}"/>
    <cellStyle name="Normal 4 3 8" xfId="2525" xr:uid="{00000000-0005-0000-0000-0000BD140000}"/>
    <cellStyle name="Normal 4 3 8 2" xfId="6809" xr:uid="{00000000-0005-0000-0000-0000BE140000}"/>
    <cellStyle name="Normal 4 3 8 2 2" xfId="15248" xr:uid="{D7AA17B0-9710-4394-AFC6-FB5AFA22C43F}"/>
    <cellStyle name="Normal 4 3 8 3" xfId="11030" xr:uid="{729EAD38-36A7-4A1B-AFD2-5B8E8F85EB95}"/>
    <cellStyle name="Normal 4 3 9" xfId="4744" xr:uid="{00000000-0005-0000-0000-0000BF140000}"/>
    <cellStyle name="Normal 4 3 9 2" xfId="13183" xr:uid="{C300410C-7DBF-4BEF-AD6D-8E3E55DC0D4C}"/>
    <cellStyle name="Normal 4 4" xfId="378" xr:uid="{00000000-0005-0000-0000-0000C0140000}"/>
    <cellStyle name="Normal 4 4 10" xfId="2534" xr:uid="{00000000-0005-0000-0000-0000C1140000}"/>
    <cellStyle name="Normal 4 4 10 2" xfId="6818" xr:uid="{00000000-0005-0000-0000-0000C2140000}"/>
    <cellStyle name="Normal 4 4 10 2 2" xfId="15257" xr:uid="{3C4A053F-BC64-49A0-B17B-52A2C9339611}"/>
    <cellStyle name="Normal 4 4 10 3" xfId="11039" xr:uid="{2FD79C49-8021-4C6B-891C-1858AA32BAC7}"/>
    <cellStyle name="Normal 4 4 11" xfId="4753" xr:uid="{00000000-0005-0000-0000-0000C3140000}"/>
    <cellStyle name="Normal 4 4 11 2" xfId="13192" xr:uid="{8B20847C-69A5-47D3-914B-E2403E2F55D0}"/>
    <cellStyle name="Normal 4 4 12" xfId="8974" xr:uid="{2D53A5A2-D9AE-42BA-8649-D103B7E1C28B}"/>
    <cellStyle name="Normal 4 4 2" xfId="379" xr:uid="{00000000-0005-0000-0000-0000C4140000}"/>
    <cellStyle name="Normal 4 4 2 10" xfId="4754" xr:uid="{00000000-0005-0000-0000-0000C5140000}"/>
    <cellStyle name="Normal 4 4 2 10 2" xfId="13193" xr:uid="{4AAF4787-B508-4658-85D5-60D9AE2A8E33}"/>
    <cellStyle name="Normal 4 4 2 11" xfId="8975" xr:uid="{FF05E8B5-0B70-443B-9CC0-2573160C0752}"/>
    <cellStyle name="Normal 4 4 2 2" xfId="380" xr:uid="{00000000-0005-0000-0000-0000C6140000}"/>
    <cellStyle name="Normal 4 4 2 2 10" xfId="8976" xr:uid="{6744F2F7-C314-4553-B853-E92350C85242}"/>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15754" xr:uid="{A322AD60-E5E4-4E34-BCCA-C388D677843B}"/>
    <cellStyle name="Normal 4 4 2 2 2 2 2 2 3" xfId="11536" xr:uid="{8FFA2751-F7DC-4D0E-AB54-49D900C6CD22}"/>
    <cellStyle name="Normal 4 4 2 2 2 2 2 3" xfId="5170" xr:uid="{00000000-0005-0000-0000-0000CC140000}"/>
    <cellStyle name="Normal 4 4 2 2 2 2 2 3 2" xfId="13609" xr:uid="{A89E7FDC-BF7A-4D27-8D3E-82579EBAB251}"/>
    <cellStyle name="Normal 4 4 2 2 2 2 2 4" xfId="9391" xr:uid="{4986C99A-5412-4F4F-9166-3D352A6B577E}"/>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2 2" xfId="16167" xr:uid="{E09B97FB-E53C-4C64-A74E-363EEF735C19}"/>
    <cellStyle name="Normal 4 4 2 2 2 2 3 2 3" xfId="11949" xr:uid="{A1DD9E64-CB09-47E0-93D2-10DF6E3C07FC}"/>
    <cellStyle name="Normal 4 4 2 2 2 2 3 3" xfId="5583" xr:uid="{00000000-0005-0000-0000-0000D0140000}"/>
    <cellStyle name="Normal 4 4 2 2 2 2 3 3 2" xfId="14022" xr:uid="{BDD020FA-BC49-4BB8-A0B9-CEE3B0DF11EA}"/>
    <cellStyle name="Normal 4 4 2 2 2 2 3 4" xfId="9804" xr:uid="{4796D167-3551-4CBF-9230-E972AE5E3E6C}"/>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2 2 2" xfId="16580" xr:uid="{C28A5A5F-62AA-449D-AB21-E4314C73B33F}"/>
    <cellStyle name="Normal 4 4 2 2 2 2 4 2 3" xfId="12362" xr:uid="{FC698CB5-3385-4F3E-BA0B-FC28BACEF18A}"/>
    <cellStyle name="Normal 4 4 2 2 2 2 4 3" xfId="5996" xr:uid="{00000000-0005-0000-0000-0000D4140000}"/>
    <cellStyle name="Normal 4 4 2 2 2 2 4 3 2" xfId="14435" xr:uid="{55093F37-FC65-42B9-88A9-C7ED843E49BB}"/>
    <cellStyle name="Normal 4 4 2 2 2 2 4 4" xfId="10217" xr:uid="{8C3AD550-D5EA-4B2F-84BF-1CCAEA385581}"/>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2 2 2" xfId="16993" xr:uid="{BB9C3396-F7CA-4212-8449-78A57470D52C}"/>
    <cellStyle name="Normal 4 4 2 2 2 2 5 2 3" xfId="12775" xr:uid="{B16B6CE9-6380-4F27-AB88-D134BA3E6846}"/>
    <cellStyle name="Normal 4 4 2 2 2 2 5 3" xfId="6409" xr:uid="{00000000-0005-0000-0000-0000D8140000}"/>
    <cellStyle name="Normal 4 4 2 2 2 2 5 3 2" xfId="14848" xr:uid="{D27608D0-6A0E-49A1-9900-1739A4773C2E}"/>
    <cellStyle name="Normal 4 4 2 2 2 2 5 4" xfId="10630" xr:uid="{2F1748C5-E861-4354-B7BA-E635809145BB}"/>
    <cellStyle name="Normal 4 4 2 2 2 2 6" xfId="2538" xr:uid="{00000000-0005-0000-0000-0000D9140000}"/>
    <cellStyle name="Normal 4 4 2 2 2 2 6 2" xfId="6822" xr:uid="{00000000-0005-0000-0000-0000DA140000}"/>
    <cellStyle name="Normal 4 4 2 2 2 2 6 2 2" xfId="15261" xr:uid="{65880E14-0297-440B-A6AE-5E4AD354E415}"/>
    <cellStyle name="Normal 4 4 2 2 2 2 6 3" xfId="11043" xr:uid="{28E7A44A-5414-432F-B8C2-64E9603A7DEE}"/>
    <cellStyle name="Normal 4 4 2 2 2 2 7" xfId="4757" xr:uid="{00000000-0005-0000-0000-0000DB140000}"/>
    <cellStyle name="Normal 4 4 2 2 2 2 7 2" xfId="13196" xr:uid="{44DCE5C0-C1D8-41EE-9860-E8C05CCA3A09}"/>
    <cellStyle name="Normal 4 4 2 2 2 2 8" xfId="8978" xr:uid="{177E95A5-B585-4873-B1BB-73945BBAF8D2}"/>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15753" xr:uid="{37EA4409-B079-46A9-9902-3F524DB720E8}"/>
    <cellStyle name="Normal 4 4 2 2 2 3 2 3" xfId="11535" xr:uid="{6524B06D-E837-4B0C-BEFF-145B51656708}"/>
    <cellStyle name="Normal 4 4 2 2 2 3 3" xfId="5169" xr:uid="{00000000-0005-0000-0000-0000DF140000}"/>
    <cellStyle name="Normal 4 4 2 2 2 3 3 2" xfId="13608" xr:uid="{2E8A2813-D318-4A31-B6D2-A0E52BE770CD}"/>
    <cellStyle name="Normal 4 4 2 2 2 3 4" xfId="9390" xr:uid="{F4133D3E-E08E-4117-A26C-DDE5D488D995}"/>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2 2" xfId="16166" xr:uid="{984B7F38-FAE5-499D-9FFB-E8346AE6D643}"/>
    <cellStyle name="Normal 4 4 2 2 2 4 2 3" xfId="11948" xr:uid="{C574A099-1DFE-4519-8700-0C4536BA6EF9}"/>
    <cellStyle name="Normal 4 4 2 2 2 4 3" xfId="5582" xr:uid="{00000000-0005-0000-0000-0000E3140000}"/>
    <cellStyle name="Normal 4 4 2 2 2 4 3 2" xfId="14021" xr:uid="{980C3BD6-2571-47E2-9B98-3A0F549A6B74}"/>
    <cellStyle name="Normal 4 4 2 2 2 4 4" xfId="9803" xr:uid="{3ED66AAE-F378-455A-BA1F-A63CBCA9AF4B}"/>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2 2 2" xfId="16579" xr:uid="{B0FC0A47-F1CF-4A15-8732-90FC18D59227}"/>
    <cellStyle name="Normal 4 4 2 2 2 5 2 3" xfId="12361" xr:uid="{0BE18F66-6DA2-45A1-8752-A05403828431}"/>
    <cellStyle name="Normal 4 4 2 2 2 5 3" xfId="5995" xr:uid="{00000000-0005-0000-0000-0000E7140000}"/>
    <cellStyle name="Normal 4 4 2 2 2 5 3 2" xfId="14434" xr:uid="{ACBE829D-16E1-4776-9552-3935ABCA6B64}"/>
    <cellStyle name="Normal 4 4 2 2 2 5 4" xfId="10216" xr:uid="{B14EB00E-AF30-43EC-8AF1-B34385A58C3E}"/>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2 2 2" xfId="16992" xr:uid="{BCD62FA6-F655-47EB-BD49-1313ABC06C53}"/>
    <cellStyle name="Normal 4 4 2 2 2 6 2 3" xfId="12774" xr:uid="{C386FF7D-1317-42CD-BBA3-36A8AD42B94D}"/>
    <cellStyle name="Normal 4 4 2 2 2 6 3" xfId="6408" xr:uid="{00000000-0005-0000-0000-0000EB140000}"/>
    <cellStyle name="Normal 4 4 2 2 2 6 3 2" xfId="14847" xr:uid="{F321B9C5-8D19-4150-A277-40385706DFD9}"/>
    <cellStyle name="Normal 4 4 2 2 2 6 4" xfId="10629" xr:uid="{A9C6ED2F-FD7B-4657-AD33-AB9C5180EAB5}"/>
    <cellStyle name="Normal 4 4 2 2 2 7" xfId="2537" xr:uid="{00000000-0005-0000-0000-0000EC140000}"/>
    <cellStyle name="Normal 4 4 2 2 2 7 2" xfId="6821" xr:uid="{00000000-0005-0000-0000-0000ED140000}"/>
    <cellStyle name="Normal 4 4 2 2 2 7 2 2" xfId="15260" xr:uid="{E002834D-ED08-47F7-B961-BFC749917C41}"/>
    <cellStyle name="Normal 4 4 2 2 2 7 3" xfId="11042" xr:uid="{A4EEE882-6183-4C98-90FA-6AB85D4D6903}"/>
    <cellStyle name="Normal 4 4 2 2 2 8" xfId="4756" xr:uid="{00000000-0005-0000-0000-0000EE140000}"/>
    <cellStyle name="Normal 4 4 2 2 2 8 2" xfId="13195" xr:uid="{E6CEB726-62F7-43DF-A780-B24F71812C22}"/>
    <cellStyle name="Normal 4 4 2 2 2 9" xfId="8977" xr:uid="{71EF1A85-F7F4-4860-9D20-A84D59B9A77F}"/>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15755" xr:uid="{EE03FCEC-25E0-4312-A2D1-E8A5F512AA92}"/>
    <cellStyle name="Normal 4 4 2 2 3 2 2 3" xfId="11537" xr:uid="{FDA2457B-C202-4EB4-9BA1-36000B942684}"/>
    <cellStyle name="Normal 4 4 2 2 3 2 3" xfId="5171" xr:uid="{00000000-0005-0000-0000-0000F3140000}"/>
    <cellStyle name="Normal 4 4 2 2 3 2 3 2" xfId="13610" xr:uid="{8B652AB4-8001-4FF6-AC96-D7A542A3242E}"/>
    <cellStyle name="Normal 4 4 2 2 3 2 4" xfId="9392" xr:uid="{BE066DFB-C4A4-4A53-AD51-09933A6676DB}"/>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2 2" xfId="16168" xr:uid="{EFE68C21-B44E-4983-A56D-FB6C00F5DAB7}"/>
    <cellStyle name="Normal 4 4 2 2 3 3 2 3" xfId="11950" xr:uid="{75C98DA9-A00B-4C9C-8365-871FD465D607}"/>
    <cellStyle name="Normal 4 4 2 2 3 3 3" xfId="5584" xr:uid="{00000000-0005-0000-0000-0000F7140000}"/>
    <cellStyle name="Normal 4 4 2 2 3 3 3 2" xfId="14023" xr:uid="{2FA6EEC4-7F5A-44E9-92EB-714284EBE2AC}"/>
    <cellStyle name="Normal 4 4 2 2 3 3 4" xfId="9805" xr:uid="{9FB15CB3-AA82-4ECB-B698-1FD8DBF0B72D}"/>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2 2 2" xfId="16581" xr:uid="{86004AB3-E82B-442C-BEE9-133F91DA10F8}"/>
    <cellStyle name="Normal 4 4 2 2 3 4 2 3" xfId="12363" xr:uid="{FDBAF31B-70A2-4419-A50F-2EA205EBD899}"/>
    <cellStyle name="Normal 4 4 2 2 3 4 3" xfId="5997" xr:uid="{00000000-0005-0000-0000-0000FB140000}"/>
    <cellStyle name="Normal 4 4 2 2 3 4 3 2" xfId="14436" xr:uid="{3116999C-48CE-4B47-A1DD-F4F117018F56}"/>
    <cellStyle name="Normal 4 4 2 2 3 4 4" xfId="10218" xr:uid="{5B136569-B67E-4497-BC21-5D2822DDBD5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2 2 2" xfId="16994" xr:uid="{92ABEFD5-1971-4146-81F2-F66C94374575}"/>
    <cellStyle name="Normal 4 4 2 2 3 5 2 3" xfId="12776" xr:uid="{D4861E1E-A2AD-4A76-8544-1E35E19553E6}"/>
    <cellStyle name="Normal 4 4 2 2 3 5 3" xfId="6410" xr:uid="{00000000-0005-0000-0000-0000FF140000}"/>
    <cellStyle name="Normal 4 4 2 2 3 5 3 2" xfId="14849" xr:uid="{899E05D6-C2DB-4F21-864B-91A62A64319E}"/>
    <cellStyle name="Normal 4 4 2 2 3 5 4" xfId="10631" xr:uid="{C76154A7-9011-4A31-A4E8-F05F7BFAB369}"/>
    <cellStyle name="Normal 4 4 2 2 3 6" xfId="2539" xr:uid="{00000000-0005-0000-0000-000000150000}"/>
    <cellStyle name="Normal 4 4 2 2 3 6 2" xfId="6823" xr:uid="{00000000-0005-0000-0000-000001150000}"/>
    <cellStyle name="Normal 4 4 2 2 3 6 2 2" xfId="15262" xr:uid="{54F0C728-213D-4218-B4F4-F865DA379CDB}"/>
    <cellStyle name="Normal 4 4 2 2 3 6 3" xfId="11044" xr:uid="{87B99027-C81D-47C4-97CD-53866F845510}"/>
    <cellStyle name="Normal 4 4 2 2 3 7" xfId="4758" xr:uid="{00000000-0005-0000-0000-000002150000}"/>
    <cellStyle name="Normal 4 4 2 2 3 7 2" xfId="13197" xr:uid="{31770EF1-DA16-4E39-A5EA-436C2D0A90CD}"/>
    <cellStyle name="Normal 4 4 2 2 3 8" xfId="8979" xr:uid="{F9857BC8-3C45-4047-A9B7-BC6CA56EC394}"/>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15752" xr:uid="{0E3E8F8D-1C75-4D64-942A-510576599360}"/>
    <cellStyle name="Normal 4 4 2 2 4 2 3" xfId="11534" xr:uid="{3D0F1327-938A-4341-BD28-110AC2CFC304}"/>
    <cellStyle name="Normal 4 4 2 2 4 3" xfId="5168" xr:uid="{00000000-0005-0000-0000-000006150000}"/>
    <cellStyle name="Normal 4 4 2 2 4 3 2" xfId="13607" xr:uid="{5E51E3C0-3E44-4611-8CDE-F666CE8375AA}"/>
    <cellStyle name="Normal 4 4 2 2 4 4" xfId="9389" xr:uid="{237AFBAB-9000-4E94-97BB-23226D0F971A}"/>
    <cellStyle name="Normal 4 4 2 2 5" xfId="1273" xr:uid="{00000000-0005-0000-0000-000007150000}"/>
    <cellStyle name="Normal 4 4 2 2 5 2" xfId="3503" xr:uid="{00000000-0005-0000-0000-000008150000}"/>
    <cellStyle name="Normal 4 4 2 2 5 2 2" xfId="7726" xr:uid="{00000000-0005-0000-0000-000009150000}"/>
    <cellStyle name="Normal 4 4 2 2 5 2 2 2" xfId="16165" xr:uid="{489628E9-90F9-4311-8609-B8B4523F5B9E}"/>
    <cellStyle name="Normal 4 4 2 2 5 2 3" xfId="11947" xr:uid="{DEE70F9B-B085-45EA-B081-559D52E5B3F3}"/>
    <cellStyle name="Normal 4 4 2 2 5 3" xfId="5581" xr:uid="{00000000-0005-0000-0000-00000A150000}"/>
    <cellStyle name="Normal 4 4 2 2 5 3 2" xfId="14020" xr:uid="{ED8B51CE-17A3-4CE8-95A9-05FA2CA94D60}"/>
    <cellStyle name="Normal 4 4 2 2 5 4" xfId="9802" xr:uid="{77342FA0-0021-487F-865E-9E977C753015}"/>
    <cellStyle name="Normal 4 4 2 2 6" xfId="1686" xr:uid="{00000000-0005-0000-0000-00000B150000}"/>
    <cellStyle name="Normal 4 4 2 2 6 2" xfId="3916" xr:uid="{00000000-0005-0000-0000-00000C150000}"/>
    <cellStyle name="Normal 4 4 2 2 6 2 2" xfId="8139" xr:uid="{00000000-0005-0000-0000-00000D150000}"/>
    <cellStyle name="Normal 4 4 2 2 6 2 2 2" xfId="16578" xr:uid="{9A6CDAC7-AE0A-4E9F-B7CF-67BADA450484}"/>
    <cellStyle name="Normal 4 4 2 2 6 2 3" xfId="12360" xr:uid="{30BCA480-83A5-4AB0-9EC3-DFC564634E70}"/>
    <cellStyle name="Normal 4 4 2 2 6 3" xfId="5994" xr:uid="{00000000-0005-0000-0000-00000E150000}"/>
    <cellStyle name="Normal 4 4 2 2 6 3 2" xfId="14433" xr:uid="{B47DA7C1-3E13-4C52-94E2-93E33189342B}"/>
    <cellStyle name="Normal 4 4 2 2 6 4" xfId="10215" xr:uid="{456A49F2-23C6-43B0-900F-03910CA41E20}"/>
    <cellStyle name="Normal 4 4 2 2 7" xfId="2100" xr:uid="{00000000-0005-0000-0000-00000F150000}"/>
    <cellStyle name="Normal 4 4 2 2 7 2" xfId="4329" xr:uid="{00000000-0005-0000-0000-000010150000}"/>
    <cellStyle name="Normal 4 4 2 2 7 2 2" xfId="8552" xr:uid="{00000000-0005-0000-0000-000011150000}"/>
    <cellStyle name="Normal 4 4 2 2 7 2 2 2" xfId="16991" xr:uid="{0F0BAE32-B967-4F21-90F8-F22A5819F2F6}"/>
    <cellStyle name="Normal 4 4 2 2 7 2 3" xfId="12773" xr:uid="{221B780A-388A-4165-8A13-6BD79644BDF5}"/>
    <cellStyle name="Normal 4 4 2 2 7 3" xfId="6407" xr:uid="{00000000-0005-0000-0000-000012150000}"/>
    <cellStyle name="Normal 4 4 2 2 7 3 2" xfId="14846" xr:uid="{54CF0E98-4FA9-4DE1-B06B-1288446EF2D1}"/>
    <cellStyle name="Normal 4 4 2 2 7 4" xfId="10628" xr:uid="{E081333A-0C9C-4961-9944-F2B8D4403770}"/>
    <cellStyle name="Normal 4 4 2 2 8" xfId="2536" xr:uid="{00000000-0005-0000-0000-000013150000}"/>
    <cellStyle name="Normal 4 4 2 2 8 2" xfId="6820" xr:uid="{00000000-0005-0000-0000-000014150000}"/>
    <cellStyle name="Normal 4 4 2 2 8 2 2" xfId="15259" xr:uid="{74A9E08B-15AB-4CD6-8A12-13C08DA3A620}"/>
    <cellStyle name="Normal 4 4 2 2 8 3" xfId="11041" xr:uid="{A695D8E1-A1EC-464A-B335-CC5C6484EABA}"/>
    <cellStyle name="Normal 4 4 2 2 9" xfId="4755" xr:uid="{00000000-0005-0000-0000-000015150000}"/>
    <cellStyle name="Normal 4 4 2 2 9 2" xfId="13194" xr:uid="{0E51B2AC-711D-4A99-8708-397BCF16BF23}"/>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15757" xr:uid="{AA14E7B9-47F9-44C6-B99B-9865A62867C4}"/>
    <cellStyle name="Normal 4 4 2 3 2 2 2 3" xfId="11539" xr:uid="{7E72B35D-693D-46FD-B816-AC0C78B2A016}"/>
    <cellStyle name="Normal 4 4 2 3 2 2 3" xfId="5173" xr:uid="{00000000-0005-0000-0000-00001B150000}"/>
    <cellStyle name="Normal 4 4 2 3 2 2 3 2" xfId="13612" xr:uid="{998E793F-126D-42B0-A4B0-2BCBE5D69476}"/>
    <cellStyle name="Normal 4 4 2 3 2 2 4" xfId="9394" xr:uid="{A82A67C3-5782-476B-AC53-5E9AC285350C}"/>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2 2" xfId="16170" xr:uid="{DF364199-AB07-4B8E-B1F0-0B877708D164}"/>
    <cellStyle name="Normal 4 4 2 3 2 3 2 3" xfId="11952" xr:uid="{214B4D5B-02D8-4547-A302-9D87225EA9DF}"/>
    <cellStyle name="Normal 4 4 2 3 2 3 3" xfId="5586" xr:uid="{00000000-0005-0000-0000-00001F150000}"/>
    <cellStyle name="Normal 4 4 2 3 2 3 3 2" xfId="14025" xr:uid="{F0EEE5FC-2AEC-462B-8F32-975C62EC1A3B}"/>
    <cellStyle name="Normal 4 4 2 3 2 3 4" xfId="9807" xr:uid="{7ED3213D-2CCD-4D03-99C7-CA95B02B17F9}"/>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2 2 2" xfId="16583" xr:uid="{EB8D0E1E-04AD-4BC0-9C4C-874BDC84BBEF}"/>
    <cellStyle name="Normal 4 4 2 3 2 4 2 3" xfId="12365" xr:uid="{CF1A6B3C-A4BD-48BD-B432-EFB83681C282}"/>
    <cellStyle name="Normal 4 4 2 3 2 4 3" xfId="5999" xr:uid="{00000000-0005-0000-0000-000023150000}"/>
    <cellStyle name="Normal 4 4 2 3 2 4 3 2" xfId="14438" xr:uid="{982A2627-6912-4E66-B6C6-490A31CBEE38}"/>
    <cellStyle name="Normal 4 4 2 3 2 4 4" xfId="10220" xr:uid="{19023DE5-5E9E-4F3B-9F5C-BCF51F527FEA}"/>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2 2 2" xfId="16996" xr:uid="{F46EEF67-E91E-417D-86FE-B024F2813CF5}"/>
    <cellStyle name="Normal 4 4 2 3 2 5 2 3" xfId="12778" xr:uid="{99C1C0E1-9475-473F-8F52-6852651F8C0A}"/>
    <cellStyle name="Normal 4 4 2 3 2 5 3" xfId="6412" xr:uid="{00000000-0005-0000-0000-000027150000}"/>
    <cellStyle name="Normal 4 4 2 3 2 5 3 2" xfId="14851" xr:uid="{09C75F10-9A38-40AB-9B75-7CDB908E74B5}"/>
    <cellStyle name="Normal 4 4 2 3 2 5 4" xfId="10633" xr:uid="{532C1CE9-F63F-4645-A9DC-E927EEEA6EA9}"/>
    <cellStyle name="Normal 4 4 2 3 2 6" xfId="2541" xr:uid="{00000000-0005-0000-0000-000028150000}"/>
    <cellStyle name="Normal 4 4 2 3 2 6 2" xfId="6825" xr:uid="{00000000-0005-0000-0000-000029150000}"/>
    <cellStyle name="Normal 4 4 2 3 2 6 2 2" xfId="15264" xr:uid="{D80779E6-CB09-4432-908D-BA7F245766CA}"/>
    <cellStyle name="Normal 4 4 2 3 2 6 3" xfId="11046" xr:uid="{40E0C2AD-6CE4-4764-ADDD-24DB853786BD}"/>
    <cellStyle name="Normal 4 4 2 3 2 7" xfId="4760" xr:uid="{00000000-0005-0000-0000-00002A150000}"/>
    <cellStyle name="Normal 4 4 2 3 2 7 2" xfId="13199" xr:uid="{5CD8BEAA-A184-484D-A4F6-C77F5CDB849A}"/>
    <cellStyle name="Normal 4 4 2 3 2 8" xfId="8981" xr:uid="{8DDFEDE4-670A-48AC-A33F-911BF5AA0ADE}"/>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15756" xr:uid="{DFC504FE-8835-4499-9917-4A2318040EF7}"/>
    <cellStyle name="Normal 4 4 2 3 3 2 3" xfId="11538" xr:uid="{1E6B1FC9-7CDE-4E2F-A15F-BC47C2DF3963}"/>
    <cellStyle name="Normal 4 4 2 3 3 3" xfId="5172" xr:uid="{00000000-0005-0000-0000-00002E150000}"/>
    <cellStyle name="Normal 4 4 2 3 3 3 2" xfId="13611" xr:uid="{D6B71FF9-16B6-44B1-BF7B-D113DA0882DF}"/>
    <cellStyle name="Normal 4 4 2 3 3 4" xfId="9393" xr:uid="{1ACA8927-7821-4B71-A3FD-DBB66EF3DB35}"/>
    <cellStyle name="Normal 4 4 2 3 4" xfId="1277" xr:uid="{00000000-0005-0000-0000-00002F150000}"/>
    <cellStyle name="Normal 4 4 2 3 4 2" xfId="3507" xr:uid="{00000000-0005-0000-0000-000030150000}"/>
    <cellStyle name="Normal 4 4 2 3 4 2 2" xfId="7730" xr:uid="{00000000-0005-0000-0000-000031150000}"/>
    <cellStyle name="Normal 4 4 2 3 4 2 2 2" xfId="16169" xr:uid="{4DD93BB5-378D-4944-B652-0F6D1F42EA62}"/>
    <cellStyle name="Normal 4 4 2 3 4 2 3" xfId="11951" xr:uid="{45427618-5922-4871-8754-0DB31DFDD8AA}"/>
    <cellStyle name="Normal 4 4 2 3 4 3" xfId="5585" xr:uid="{00000000-0005-0000-0000-000032150000}"/>
    <cellStyle name="Normal 4 4 2 3 4 3 2" xfId="14024" xr:uid="{87878627-2CB2-4D32-9EE9-8F66DB3AD4ED}"/>
    <cellStyle name="Normal 4 4 2 3 4 4" xfId="9806" xr:uid="{BD22D913-17F6-491F-8762-7F83570C646A}"/>
    <cellStyle name="Normal 4 4 2 3 5" xfId="1690" xr:uid="{00000000-0005-0000-0000-000033150000}"/>
    <cellStyle name="Normal 4 4 2 3 5 2" xfId="3920" xr:uid="{00000000-0005-0000-0000-000034150000}"/>
    <cellStyle name="Normal 4 4 2 3 5 2 2" xfId="8143" xr:uid="{00000000-0005-0000-0000-000035150000}"/>
    <cellStyle name="Normal 4 4 2 3 5 2 2 2" xfId="16582" xr:uid="{A0A7670C-2FE9-4DC9-A98C-FEC93D58B0D0}"/>
    <cellStyle name="Normal 4 4 2 3 5 2 3" xfId="12364" xr:uid="{ECBFDEA2-F7C8-4569-9908-FA9B6D68EAF7}"/>
    <cellStyle name="Normal 4 4 2 3 5 3" xfId="5998" xr:uid="{00000000-0005-0000-0000-000036150000}"/>
    <cellStyle name="Normal 4 4 2 3 5 3 2" xfId="14437" xr:uid="{F9A9351A-4334-4880-8B44-860EFD523824}"/>
    <cellStyle name="Normal 4 4 2 3 5 4" xfId="10219" xr:uid="{8F7BF95E-17C7-41FC-B711-65CB8BE030A3}"/>
    <cellStyle name="Normal 4 4 2 3 6" xfId="2104" xr:uid="{00000000-0005-0000-0000-000037150000}"/>
    <cellStyle name="Normal 4 4 2 3 6 2" xfId="4333" xr:uid="{00000000-0005-0000-0000-000038150000}"/>
    <cellStyle name="Normal 4 4 2 3 6 2 2" xfId="8556" xr:uid="{00000000-0005-0000-0000-000039150000}"/>
    <cellStyle name="Normal 4 4 2 3 6 2 2 2" xfId="16995" xr:uid="{C9B18156-7383-4621-BAF9-375810C89011}"/>
    <cellStyle name="Normal 4 4 2 3 6 2 3" xfId="12777" xr:uid="{0B92B8C5-2139-4F2B-B62D-D068CA56891A}"/>
    <cellStyle name="Normal 4 4 2 3 6 3" xfId="6411" xr:uid="{00000000-0005-0000-0000-00003A150000}"/>
    <cellStyle name="Normal 4 4 2 3 6 3 2" xfId="14850" xr:uid="{F23C6E7A-59B5-4870-8BFF-B7F6453E0C22}"/>
    <cellStyle name="Normal 4 4 2 3 6 4" xfId="10632" xr:uid="{1DD9B2F0-250B-4BAC-9BA2-01924591DB63}"/>
    <cellStyle name="Normal 4 4 2 3 7" xfId="2540" xr:uid="{00000000-0005-0000-0000-00003B150000}"/>
    <cellStyle name="Normal 4 4 2 3 7 2" xfId="6824" xr:uid="{00000000-0005-0000-0000-00003C150000}"/>
    <cellStyle name="Normal 4 4 2 3 7 2 2" xfId="15263" xr:uid="{A6B14ED6-4917-4A74-892A-C4CA7DC05AB7}"/>
    <cellStyle name="Normal 4 4 2 3 7 3" xfId="11045" xr:uid="{75AB79E6-76BF-4129-BD66-6CAC89F8D06C}"/>
    <cellStyle name="Normal 4 4 2 3 8" xfId="4759" xr:uid="{00000000-0005-0000-0000-00003D150000}"/>
    <cellStyle name="Normal 4 4 2 3 8 2" xfId="13198" xr:uid="{1BA96F44-A5BB-4501-86DB-410C97DDEA16}"/>
    <cellStyle name="Normal 4 4 2 3 9" xfId="8980" xr:uid="{9199ED3A-E146-4EBE-8846-CD2A8AB6D7A9}"/>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15758" xr:uid="{E7321F6A-BBA6-4084-ACFB-8B3262EFCE18}"/>
    <cellStyle name="Normal 4 4 2 4 2 2 3" xfId="11540" xr:uid="{7CBBD811-F500-4198-95F2-660B81065518}"/>
    <cellStyle name="Normal 4 4 2 4 2 3" xfId="5174" xr:uid="{00000000-0005-0000-0000-000042150000}"/>
    <cellStyle name="Normal 4 4 2 4 2 3 2" xfId="13613" xr:uid="{C04262B4-3F14-4238-BC43-97B0614387A2}"/>
    <cellStyle name="Normal 4 4 2 4 2 4" xfId="9395" xr:uid="{D85F880D-2F8C-4A78-9487-1C94637E11B3}"/>
    <cellStyle name="Normal 4 4 2 4 3" xfId="1279" xr:uid="{00000000-0005-0000-0000-000043150000}"/>
    <cellStyle name="Normal 4 4 2 4 3 2" xfId="3509" xr:uid="{00000000-0005-0000-0000-000044150000}"/>
    <cellStyle name="Normal 4 4 2 4 3 2 2" xfId="7732" xr:uid="{00000000-0005-0000-0000-000045150000}"/>
    <cellStyle name="Normal 4 4 2 4 3 2 2 2" xfId="16171" xr:uid="{C9223901-DC65-4C45-829E-EDC88419716A}"/>
    <cellStyle name="Normal 4 4 2 4 3 2 3" xfId="11953" xr:uid="{771F84C9-D549-4DD4-AFD9-290B2374B094}"/>
    <cellStyle name="Normal 4 4 2 4 3 3" xfId="5587" xr:uid="{00000000-0005-0000-0000-000046150000}"/>
    <cellStyle name="Normal 4 4 2 4 3 3 2" xfId="14026" xr:uid="{609A1A9E-B1AD-4E43-A92B-27554A26194E}"/>
    <cellStyle name="Normal 4 4 2 4 3 4" xfId="9808" xr:uid="{97958D33-8F35-4AFF-AB92-8F16D686D989}"/>
    <cellStyle name="Normal 4 4 2 4 4" xfId="1692" xr:uid="{00000000-0005-0000-0000-000047150000}"/>
    <cellStyle name="Normal 4 4 2 4 4 2" xfId="3922" xr:uid="{00000000-0005-0000-0000-000048150000}"/>
    <cellStyle name="Normal 4 4 2 4 4 2 2" xfId="8145" xr:uid="{00000000-0005-0000-0000-000049150000}"/>
    <cellStyle name="Normal 4 4 2 4 4 2 2 2" xfId="16584" xr:uid="{B5304BA3-9833-4A58-8822-02924B036210}"/>
    <cellStyle name="Normal 4 4 2 4 4 2 3" xfId="12366" xr:uid="{F29F9B55-3F82-4446-88A4-533C900C039D}"/>
    <cellStyle name="Normal 4 4 2 4 4 3" xfId="6000" xr:uid="{00000000-0005-0000-0000-00004A150000}"/>
    <cellStyle name="Normal 4 4 2 4 4 3 2" xfId="14439" xr:uid="{8F500EC1-004A-45EF-9334-B45435B48254}"/>
    <cellStyle name="Normal 4 4 2 4 4 4" xfId="10221" xr:uid="{8447A195-FBBD-4998-BF65-30DD60D65022}"/>
    <cellStyle name="Normal 4 4 2 4 5" xfId="2106" xr:uid="{00000000-0005-0000-0000-00004B150000}"/>
    <cellStyle name="Normal 4 4 2 4 5 2" xfId="4335" xr:uid="{00000000-0005-0000-0000-00004C150000}"/>
    <cellStyle name="Normal 4 4 2 4 5 2 2" xfId="8558" xr:uid="{00000000-0005-0000-0000-00004D150000}"/>
    <cellStyle name="Normal 4 4 2 4 5 2 2 2" xfId="16997" xr:uid="{1CF53DF5-1830-4BA4-997A-18190856A8CA}"/>
    <cellStyle name="Normal 4 4 2 4 5 2 3" xfId="12779" xr:uid="{F4B0B871-E76E-4F1B-9080-E68B4CC0638E}"/>
    <cellStyle name="Normal 4 4 2 4 5 3" xfId="6413" xr:uid="{00000000-0005-0000-0000-00004E150000}"/>
    <cellStyle name="Normal 4 4 2 4 5 3 2" xfId="14852" xr:uid="{4CE1ED57-950F-4866-97E6-7D86DD4D265F}"/>
    <cellStyle name="Normal 4 4 2 4 5 4" xfId="10634" xr:uid="{544E6A7A-696A-44A4-B443-CCA689CA25C3}"/>
    <cellStyle name="Normal 4 4 2 4 6" xfId="2542" xr:uid="{00000000-0005-0000-0000-00004F150000}"/>
    <cellStyle name="Normal 4 4 2 4 6 2" xfId="6826" xr:uid="{00000000-0005-0000-0000-000050150000}"/>
    <cellStyle name="Normal 4 4 2 4 6 2 2" xfId="15265" xr:uid="{63CF864C-C56F-42EA-8DF3-10A9ACA7F21D}"/>
    <cellStyle name="Normal 4 4 2 4 6 3" xfId="11047" xr:uid="{FF46718D-C646-4084-BBBD-5229B65B6432}"/>
    <cellStyle name="Normal 4 4 2 4 7" xfId="4761" xr:uid="{00000000-0005-0000-0000-000051150000}"/>
    <cellStyle name="Normal 4 4 2 4 7 2" xfId="13200" xr:uid="{913144D6-D14F-4BDB-9F33-357A396C7271}"/>
    <cellStyle name="Normal 4 4 2 4 8" xfId="8982" xr:uid="{AA59F674-386D-41FE-A440-AF2DB57816FB}"/>
    <cellStyle name="Normal 4 4 2 5" xfId="854" xr:uid="{00000000-0005-0000-0000-000052150000}"/>
    <cellStyle name="Normal 4 4 2 5 2" xfId="3089" xr:uid="{00000000-0005-0000-0000-000053150000}"/>
    <cellStyle name="Normal 4 4 2 5 2 2" xfId="7312" xr:uid="{00000000-0005-0000-0000-000054150000}"/>
    <cellStyle name="Normal 4 4 2 5 2 2 2" xfId="15751" xr:uid="{ED7A65C0-9836-4432-858A-473FE9C7A00F}"/>
    <cellStyle name="Normal 4 4 2 5 2 3" xfId="11533" xr:uid="{D41B195E-6DD1-4468-B3E3-522FDBE92F40}"/>
    <cellStyle name="Normal 4 4 2 5 3" xfId="5167" xr:uid="{00000000-0005-0000-0000-000055150000}"/>
    <cellStyle name="Normal 4 4 2 5 3 2" xfId="13606" xr:uid="{07EEE7B0-37DF-4BEB-B17F-A8FBDAE0B37D}"/>
    <cellStyle name="Normal 4 4 2 5 4" xfId="9388" xr:uid="{C9A30081-39BF-4B1A-958B-E409703BC5B7}"/>
    <cellStyle name="Normal 4 4 2 6" xfId="1272" xr:uid="{00000000-0005-0000-0000-000056150000}"/>
    <cellStyle name="Normal 4 4 2 6 2" xfId="3502" xr:uid="{00000000-0005-0000-0000-000057150000}"/>
    <cellStyle name="Normal 4 4 2 6 2 2" xfId="7725" xr:uid="{00000000-0005-0000-0000-000058150000}"/>
    <cellStyle name="Normal 4 4 2 6 2 2 2" xfId="16164" xr:uid="{10589A7B-4604-40E2-9398-F119CF481112}"/>
    <cellStyle name="Normal 4 4 2 6 2 3" xfId="11946" xr:uid="{A8400333-D421-434D-9C5F-1B436528A2D9}"/>
    <cellStyle name="Normal 4 4 2 6 3" xfId="5580" xr:uid="{00000000-0005-0000-0000-000059150000}"/>
    <cellStyle name="Normal 4 4 2 6 3 2" xfId="14019" xr:uid="{4CE89C75-14EC-423F-82E2-59E1D4F254BE}"/>
    <cellStyle name="Normal 4 4 2 6 4" xfId="9801" xr:uid="{5BC61DEB-6D53-4FB3-B270-406B46ED8FBC}"/>
    <cellStyle name="Normal 4 4 2 7" xfId="1685" xr:uid="{00000000-0005-0000-0000-00005A150000}"/>
    <cellStyle name="Normal 4 4 2 7 2" xfId="3915" xr:uid="{00000000-0005-0000-0000-00005B150000}"/>
    <cellStyle name="Normal 4 4 2 7 2 2" xfId="8138" xr:uid="{00000000-0005-0000-0000-00005C150000}"/>
    <cellStyle name="Normal 4 4 2 7 2 2 2" xfId="16577" xr:uid="{020586C8-1E88-43E1-AD10-1923F726DA83}"/>
    <cellStyle name="Normal 4 4 2 7 2 3" xfId="12359" xr:uid="{01AC0458-D43C-44E1-A2F7-DEB5F3ACEE33}"/>
    <cellStyle name="Normal 4 4 2 7 3" xfId="5993" xr:uid="{00000000-0005-0000-0000-00005D150000}"/>
    <cellStyle name="Normal 4 4 2 7 3 2" xfId="14432" xr:uid="{06F7525E-9DFD-4B67-AC93-979E55ED718A}"/>
    <cellStyle name="Normal 4 4 2 7 4" xfId="10214" xr:uid="{3FDF9F04-FD3C-45BF-B59D-804911F5D5CD}"/>
    <cellStyle name="Normal 4 4 2 8" xfId="2099" xr:uid="{00000000-0005-0000-0000-00005E150000}"/>
    <cellStyle name="Normal 4 4 2 8 2" xfId="4328" xr:uid="{00000000-0005-0000-0000-00005F150000}"/>
    <cellStyle name="Normal 4 4 2 8 2 2" xfId="8551" xr:uid="{00000000-0005-0000-0000-000060150000}"/>
    <cellStyle name="Normal 4 4 2 8 2 2 2" xfId="16990" xr:uid="{C6CA8D19-3A4C-4379-859D-9A6FDFC87DA3}"/>
    <cellStyle name="Normal 4 4 2 8 2 3" xfId="12772" xr:uid="{07EABBF4-B919-4904-A2F4-52C905ED02D7}"/>
    <cellStyle name="Normal 4 4 2 8 3" xfId="6406" xr:uid="{00000000-0005-0000-0000-000061150000}"/>
    <cellStyle name="Normal 4 4 2 8 3 2" xfId="14845" xr:uid="{2C4C22C3-66A5-4CDD-8951-DD75558B7006}"/>
    <cellStyle name="Normal 4 4 2 8 4" xfId="10627" xr:uid="{070D5160-21BF-43EC-A46D-8EA4E2886CC2}"/>
    <cellStyle name="Normal 4 4 2 9" xfId="2535" xr:uid="{00000000-0005-0000-0000-000062150000}"/>
    <cellStyle name="Normal 4 4 2 9 2" xfId="6819" xr:uid="{00000000-0005-0000-0000-000063150000}"/>
    <cellStyle name="Normal 4 4 2 9 2 2" xfId="15258" xr:uid="{B2E73E55-4F91-412E-8D13-511D443F201E}"/>
    <cellStyle name="Normal 4 4 2 9 3" xfId="11040" xr:uid="{C9E90DDD-7A20-41CD-B111-E35B048D875B}"/>
    <cellStyle name="Normal 4 4 3" xfId="387" xr:uid="{00000000-0005-0000-0000-000064150000}"/>
    <cellStyle name="Normal 4 4 3 10" xfId="8983" xr:uid="{D135F68C-0878-491C-93C0-B03EA571EB0F}"/>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15761" xr:uid="{D49B342B-3BEB-485B-AD0E-6740CE4853A6}"/>
    <cellStyle name="Normal 4 4 3 2 2 2 2 3" xfId="11543" xr:uid="{C8742E5B-B01E-404C-A2EB-5314D3CAA0D7}"/>
    <cellStyle name="Normal 4 4 3 2 2 2 3" xfId="5177" xr:uid="{00000000-0005-0000-0000-00006A150000}"/>
    <cellStyle name="Normal 4 4 3 2 2 2 3 2" xfId="13616" xr:uid="{4C715B9F-D44C-41B6-B35F-6757C873136C}"/>
    <cellStyle name="Normal 4 4 3 2 2 2 4" xfId="9398" xr:uid="{F12A2A7E-C6DB-4B43-8BEE-B61DC5073DB6}"/>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2 2" xfId="16174" xr:uid="{756CA0B5-69EE-4079-A91A-312AD8322DE6}"/>
    <cellStyle name="Normal 4 4 3 2 2 3 2 3" xfId="11956" xr:uid="{D45B61AC-EDD1-4ECB-BD96-866C63771AE9}"/>
    <cellStyle name="Normal 4 4 3 2 2 3 3" xfId="5590" xr:uid="{00000000-0005-0000-0000-00006E150000}"/>
    <cellStyle name="Normal 4 4 3 2 2 3 3 2" xfId="14029" xr:uid="{038934B3-4B83-4F46-8FE9-71297DE658B7}"/>
    <cellStyle name="Normal 4 4 3 2 2 3 4" xfId="9811" xr:uid="{EA94A9C1-8B04-4624-881E-89A29931894E}"/>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2 2 2" xfId="16587" xr:uid="{CB8FC5CD-721C-4D86-AFC0-8A4EB278ACEB}"/>
    <cellStyle name="Normal 4 4 3 2 2 4 2 3" xfId="12369" xr:uid="{4A2BD1A9-C29C-446B-98D2-D57D6202B6B0}"/>
    <cellStyle name="Normal 4 4 3 2 2 4 3" xfId="6003" xr:uid="{00000000-0005-0000-0000-000072150000}"/>
    <cellStyle name="Normal 4 4 3 2 2 4 3 2" xfId="14442" xr:uid="{E951BF02-2C8A-4228-837B-91FF8AB66825}"/>
    <cellStyle name="Normal 4 4 3 2 2 4 4" xfId="10224" xr:uid="{2CEC9A04-71F5-46A3-AC1C-FD85F6672012}"/>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2 2 2" xfId="17000" xr:uid="{471D1E5D-F464-4E19-AA4B-267F96DC3DA5}"/>
    <cellStyle name="Normal 4 4 3 2 2 5 2 3" xfId="12782" xr:uid="{7972D3AA-E945-4991-8536-3307683786D0}"/>
    <cellStyle name="Normal 4 4 3 2 2 5 3" xfId="6416" xr:uid="{00000000-0005-0000-0000-000076150000}"/>
    <cellStyle name="Normal 4 4 3 2 2 5 3 2" xfId="14855" xr:uid="{B9067743-1F06-488E-8351-E8D312338AEC}"/>
    <cellStyle name="Normal 4 4 3 2 2 5 4" xfId="10637" xr:uid="{1825A403-9ACE-4787-8663-62C8ED0F17F9}"/>
    <cellStyle name="Normal 4 4 3 2 2 6" xfId="2545" xr:uid="{00000000-0005-0000-0000-000077150000}"/>
    <cellStyle name="Normal 4 4 3 2 2 6 2" xfId="6829" xr:uid="{00000000-0005-0000-0000-000078150000}"/>
    <cellStyle name="Normal 4 4 3 2 2 6 2 2" xfId="15268" xr:uid="{62397928-EE9C-4304-9C15-C3ACAA8466AB}"/>
    <cellStyle name="Normal 4 4 3 2 2 6 3" xfId="11050" xr:uid="{4665F93E-1FC6-4B95-B0C9-CBA34B222B35}"/>
    <cellStyle name="Normal 4 4 3 2 2 7" xfId="4764" xr:uid="{00000000-0005-0000-0000-000079150000}"/>
    <cellStyle name="Normal 4 4 3 2 2 7 2" xfId="13203" xr:uid="{7A786F85-2856-4740-840B-659225596D6E}"/>
    <cellStyle name="Normal 4 4 3 2 2 8" xfId="8985" xr:uid="{433F9A74-00AD-42BD-980F-21E662174C2A}"/>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15760" xr:uid="{5E04AFCA-6893-4490-BE6A-37A85417FE51}"/>
    <cellStyle name="Normal 4 4 3 2 3 2 3" xfId="11542" xr:uid="{55F165C0-DB0F-4518-8657-6828F3E29D42}"/>
    <cellStyle name="Normal 4 4 3 2 3 3" xfId="5176" xr:uid="{00000000-0005-0000-0000-00007D150000}"/>
    <cellStyle name="Normal 4 4 3 2 3 3 2" xfId="13615" xr:uid="{57378062-11F5-40F8-B228-E8076F0390C9}"/>
    <cellStyle name="Normal 4 4 3 2 3 4" xfId="9397" xr:uid="{FACA8931-5090-45E0-847E-27C2F2E1AFD3}"/>
    <cellStyle name="Normal 4 4 3 2 4" xfId="1281" xr:uid="{00000000-0005-0000-0000-00007E150000}"/>
    <cellStyle name="Normal 4 4 3 2 4 2" xfId="3511" xr:uid="{00000000-0005-0000-0000-00007F150000}"/>
    <cellStyle name="Normal 4 4 3 2 4 2 2" xfId="7734" xr:uid="{00000000-0005-0000-0000-000080150000}"/>
    <cellStyle name="Normal 4 4 3 2 4 2 2 2" xfId="16173" xr:uid="{CBE7203E-4F51-4E51-9741-9B5C213FC9A7}"/>
    <cellStyle name="Normal 4 4 3 2 4 2 3" xfId="11955" xr:uid="{AEB1FBF2-9CBC-457A-8172-AFD1B4536DC4}"/>
    <cellStyle name="Normal 4 4 3 2 4 3" xfId="5589" xr:uid="{00000000-0005-0000-0000-000081150000}"/>
    <cellStyle name="Normal 4 4 3 2 4 3 2" xfId="14028" xr:uid="{DDAA6487-7838-428E-9851-D865251461D6}"/>
    <cellStyle name="Normal 4 4 3 2 4 4" xfId="9810" xr:uid="{59C65422-6DD9-4C82-8167-DFD76BA6B94D}"/>
    <cellStyle name="Normal 4 4 3 2 5" xfId="1694" xr:uid="{00000000-0005-0000-0000-000082150000}"/>
    <cellStyle name="Normal 4 4 3 2 5 2" xfId="3924" xr:uid="{00000000-0005-0000-0000-000083150000}"/>
    <cellStyle name="Normal 4 4 3 2 5 2 2" xfId="8147" xr:uid="{00000000-0005-0000-0000-000084150000}"/>
    <cellStyle name="Normal 4 4 3 2 5 2 2 2" xfId="16586" xr:uid="{22C543ED-4154-4B97-9E4D-1D53F9B2FE9C}"/>
    <cellStyle name="Normal 4 4 3 2 5 2 3" xfId="12368" xr:uid="{BEC36F1B-B1A1-4D60-8C42-BDF2A9E72A39}"/>
    <cellStyle name="Normal 4 4 3 2 5 3" xfId="6002" xr:uid="{00000000-0005-0000-0000-000085150000}"/>
    <cellStyle name="Normal 4 4 3 2 5 3 2" xfId="14441" xr:uid="{977CEA65-3C4C-4F5E-8C3A-E42FD1E4F3B1}"/>
    <cellStyle name="Normal 4 4 3 2 5 4" xfId="10223" xr:uid="{2DAFCEA5-2844-4B5D-8567-073233C9780F}"/>
    <cellStyle name="Normal 4 4 3 2 6" xfId="2108" xr:uid="{00000000-0005-0000-0000-000086150000}"/>
    <cellStyle name="Normal 4 4 3 2 6 2" xfId="4337" xr:uid="{00000000-0005-0000-0000-000087150000}"/>
    <cellStyle name="Normal 4 4 3 2 6 2 2" xfId="8560" xr:uid="{00000000-0005-0000-0000-000088150000}"/>
    <cellStyle name="Normal 4 4 3 2 6 2 2 2" xfId="16999" xr:uid="{1C6D17E4-89F4-4E6C-8132-39FFDADFCC85}"/>
    <cellStyle name="Normal 4 4 3 2 6 2 3" xfId="12781" xr:uid="{41A8F941-447B-4517-81EC-6F881CA90A1C}"/>
    <cellStyle name="Normal 4 4 3 2 6 3" xfId="6415" xr:uid="{00000000-0005-0000-0000-000089150000}"/>
    <cellStyle name="Normal 4 4 3 2 6 3 2" xfId="14854" xr:uid="{EC55229E-D3D8-4F00-840B-A8CA0F50BB92}"/>
    <cellStyle name="Normal 4 4 3 2 6 4" xfId="10636" xr:uid="{83AF56B9-C3BD-48FD-9C5C-2595AD60B8BD}"/>
    <cellStyle name="Normal 4 4 3 2 7" xfId="2544" xr:uid="{00000000-0005-0000-0000-00008A150000}"/>
    <cellStyle name="Normal 4 4 3 2 7 2" xfId="6828" xr:uid="{00000000-0005-0000-0000-00008B150000}"/>
    <cellStyle name="Normal 4 4 3 2 7 2 2" xfId="15267" xr:uid="{D3EFE70F-3963-4701-9AF8-12A986B3A123}"/>
    <cellStyle name="Normal 4 4 3 2 7 3" xfId="11049" xr:uid="{975BA2CD-6B1C-42EE-B169-304857A2F1FD}"/>
    <cellStyle name="Normal 4 4 3 2 8" xfId="4763" xr:uid="{00000000-0005-0000-0000-00008C150000}"/>
    <cellStyle name="Normal 4 4 3 2 8 2" xfId="13202" xr:uid="{99066789-B5DC-49DE-B12A-4299156C042E}"/>
    <cellStyle name="Normal 4 4 3 2 9" xfId="8984" xr:uid="{FB3FE628-22C4-4531-9277-7ECADFFA0534}"/>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15762" xr:uid="{6C906120-9FD3-4AB1-9CA7-776CA292DF2B}"/>
    <cellStyle name="Normal 4 4 3 3 2 2 3" xfId="11544" xr:uid="{EE77AEDD-A7F9-483C-896E-9C712F21DDE8}"/>
    <cellStyle name="Normal 4 4 3 3 2 3" xfId="5178" xr:uid="{00000000-0005-0000-0000-000091150000}"/>
    <cellStyle name="Normal 4 4 3 3 2 3 2" xfId="13617" xr:uid="{A48957F6-7565-4028-98CB-561E5584E571}"/>
    <cellStyle name="Normal 4 4 3 3 2 4" xfId="9399" xr:uid="{BCB4F73D-F167-4BD3-BCF8-AAC0413A29F6}"/>
    <cellStyle name="Normal 4 4 3 3 3" xfId="1283" xr:uid="{00000000-0005-0000-0000-000092150000}"/>
    <cellStyle name="Normal 4 4 3 3 3 2" xfId="3513" xr:uid="{00000000-0005-0000-0000-000093150000}"/>
    <cellStyle name="Normal 4 4 3 3 3 2 2" xfId="7736" xr:uid="{00000000-0005-0000-0000-000094150000}"/>
    <cellStyle name="Normal 4 4 3 3 3 2 2 2" xfId="16175" xr:uid="{DDB5DEBC-CA2A-48E6-954F-3FEDF2005A36}"/>
    <cellStyle name="Normal 4 4 3 3 3 2 3" xfId="11957" xr:uid="{D8E8B2B6-CC90-4CE4-A5B6-461C8EE8DEDB}"/>
    <cellStyle name="Normal 4 4 3 3 3 3" xfId="5591" xr:uid="{00000000-0005-0000-0000-000095150000}"/>
    <cellStyle name="Normal 4 4 3 3 3 3 2" xfId="14030" xr:uid="{DF8CB043-A5B9-4359-8240-88C493941738}"/>
    <cellStyle name="Normal 4 4 3 3 3 4" xfId="9812" xr:uid="{4FCCEB4E-FB0B-48DB-BB80-2C9F89A8838C}"/>
    <cellStyle name="Normal 4 4 3 3 4" xfId="1696" xr:uid="{00000000-0005-0000-0000-000096150000}"/>
    <cellStyle name="Normal 4 4 3 3 4 2" xfId="3926" xr:uid="{00000000-0005-0000-0000-000097150000}"/>
    <cellStyle name="Normal 4 4 3 3 4 2 2" xfId="8149" xr:uid="{00000000-0005-0000-0000-000098150000}"/>
    <cellStyle name="Normal 4 4 3 3 4 2 2 2" xfId="16588" xr:uid="{9C8B3B53-1DA6-4B38-AD7F-16C68837E400}"/>
    <cellStyle name="Normal 4 4 3 3 4 2 3" xfId="12370" xr:uid="{F1D36604-A14B-4200-8E1B-FFAA2495D9E9}"/>
    <cellStyle name="Normal 4 4 3 3 4 3" xfId="6004" xr:uid="{00000000-0005-0000-0000-000099150000}"/>
    <cellStyle name="Normal 4 4 3 3 4 3 2" xfId="14443" xr:uid="{4D76F8E9-A0A5-4BD4-8D49-5A5F6B3172FA}"/>
    <cellStyle name="Normal 4 4 3 3 4 4" xfId="10225" xr:uid="{685AE1A9-5223-48E1-B550-A114DC0873AA}"/>
    <cellStyle name="Normal 4 4 3 3 5" xfId="2110" xr:uid="{00000000-0005-0000-0000-00009A150000}"/>
    <cellStyle name="Normal 4 4 3 3 5 2" xfId="4339" xr:uid="{00000000-0005-0000-0000-00009B150000}"/>
    <cellStyle name="Normal 4 4 3 3 5 2 2" xfId="8562" xr:uid="{00000000-0005-0000-0000-00009C150000}"/>
    <cellStyle name="Normal 4 4 3 3 5 2 2 2" xfId="17001" xr:uid="{5C8F4C60-8204-41D1-B371-258C43F2D903}"/>
    <cellStyle name="Normal 4 4 3 3 5 2 3" xfId="12783" xr:uid="{C664A32F-5AEF-4475-9890-BF0F2270F637}"/>
    <cellStyle name="Normal 4 4 3 3 5 3" xfId="6417" xr:uid="{00000000-0005-0000-0000-00009D150000}"/>
    <cellStyle name="Normal 4 4 3 3 5 3 2" xfId="14856" xr:uid="{346547D9-AFA5-43FC-8BBA-0711806D2DB0}"/>
    <cellStyle name="Normal 4 4 3 3 5 4" xfId="10638" xr:uid="{216D78AE-6664-4541-8867-0ACDA75B62D6}"/>
    <cellStyle name="Normal 4 4 3 3 6" xfId="2546" xr:uid="{00000000-0005-0000-0000-00009E150000}"/>
    <cellStyle name="Normal 4 4 3 3 6 2" xfId="6830" xr:uid="{00000000-0005-0000-0000-00009F150000}"/>
    <cellStyle name="Normal 4 4 3 3 6 2 2" xfId="15269" xr:uid="{227A9143-5C18-471D-9EA7-F5F0870AF2F0}"/>
    <cellStyle name="Normal 4 4 3 3 6 3" xfId="11051" xr:uid="{5F883890-3E0D-42D0-9AB1-6A5E617208D3}"/>
    <cellStyle name="Normal 4 4 3 3 7" xfId="4765" xr:uid="{00000000-0005-0000-0000-0000A0150000}"/>
    <cellStyle name="Normal 4 4 3 3 7 2" xfId="13204" xr:uid="{9F82E7AB-EF51-4A0F-B904-017F2553D253}"/>
    <cellStyle name="Normal 4 4 3 3 8" xfId="8986" xr:uid="{3FBADDEA-EB61-4C8F-A9F5-8904A4A08D30}"/>
    <cellStyle name="Normal 4 4 3 4" xfId="862" xr:uid="{00000000-0005-0000-0000-0000A1150000}"/>
    <cellStyle name="Normal 4 4 3 4 2" xfId="3097" xr:uid="{00000000-0005-0000-0000-0000A2150000}"/>
    <cellStyle name="Normal 4 4 3 4 2 2" xfId="7320" xr:uid="{00000000-0005-0000-0000-0000A3150000}"/>
    <cellStyle name="Normal 4 4 3 4 2 2 2" xfId="15759" xr:uid="{E749AE40-9853-4E8E-984D-0624906BD87D}"/>
    <cellStyle name="Normal 4 4 3 4 2 3" xfId="11541" xr:uid="{AE3F28A8-C1BB-4E0C-99C3-973ED79F8275}"/>
    <cellStyle name="Normal 4 4 3 4 3" xfId="5175" xr:uid="{00000000-0005-0000-0000-0000A4150000}"/>
    <cellStyle name="Normal 4 4 3 4 3 2" xfId="13614" xr:uid="{AFA519F0-5114-4A31-8F05-DF8C2471DCEF}"/>
    <cellStyle name="Normal 4 4 3 4 4" xfId="9396" xr:uid="{71B7D16E-23CE-4A92-8535-D485F20F9852}"/>
    <cellStyle name="Normal 4 4 3 5" xfId="1280" xr:uid="{00000000-0005-0000-0000-0000A5150000}"/>
    <cellStyle name="Normal 4 4 3 5 2" xfId="3510" xr:uid="{00000000-0005-0000-0000-0000A6150000}"/>
    <cellStyle name="Normal 4 4 3 5 2 2" xfId="7733" xr:uid="{00000000-0005-0000-0000-0000A7150000}"/>
    <cellStyle name="Normal 4 4 3 5 2 2 2" xfId="16172" xr:uid="{DB64466D-6EE2-4068-A587-B8BA494AC9DB}"/>
    <cellStyle name="Normal 4 4 3 5 2 3" xfId="11954" xr:uid="{0D34C0E3-2B06-4DCB-AAED-21C3F79AFBFF}"/>
    <cellStyle name="Normal 4 4 3 5 3" xfId="5588" xr:uid="{00000000-0005-0000-0000-0000A8150000}"/>
    <cellStyle name="Normal 4 4 3 5 3 2" xfId="14027" xr:uid="{C612BEE7-889A-4247-94D2-5985A39B3781}"/>
    <cellStyle name="Normal 4 4 3 5 4" xfId="9809" xr:uid="{3354E20F-5B25-46E2-98FF-FA86D9EC28F8}"/>
    <cellStyle name="Normal 4 4 3 6" xfId="1693" xr:uid="{00000000-0005-0000-0000-0000A9150000}"/>
    <cellStyle name="Normal 4 4 3 6 2" xfId="3923" xr:uid="{00000000-0005-0000-0000-0000AA150000}"/>
    <cellStyle name="Normal 4 4 3 6 2 2" xfId="8146" xr:uid="{00000000-0005-0000-0000-0000AB150000}"/>
    <cellStyle name="Normal 4 4 3 6 2 2 2" xfId="16585" xr:uid="{A94B7D32-EE4D-4B19-A10E-C21422D90962}"/>
    <cellStyle name="Normal 4 4 3 6 2 3" xfId="12367" xr:uid="{3A39624D-6A61-4E7C-BF91-89DD0DC2A6D1}"/>
    <cellStyle name="Normal 4 4 3 6 3" xfId="6001" xr:uid="{00000000-0005-0000-0000-0000AC150000}"/>
    <cellStyle name="Normal 4 4 3 6 3 2" xfId="14440" xr:uid="{54852BF0-2CEB-408E-85D4-D7F773EE4875}"/>
    <cellStyle name="Normal 4 4 3 6 4" xfId="10222" xr:uid="{FD0D3B91-FAC4-461F-B914-D82C10CF17C7}"/>
    <cellStyle name="Normal 4 4 3 7" xfId="2107" xr:uid="{00000000-0005-0000-0000-0000AD150000}"/>
    <cellStyle name="Normal 4 4 3 7 2" xfId="4336" xr:uid="{00000000-0005-0000-0000-0000AE150000}"/>
    <cellStyle name="Normal 4 4 3 7 2 2" xfId="8559" xr:uid="{00000000-0005-0000-0000-0000AF150000}"/>
    <cellStyle name="Normal 4 4 3 7 2 2 2" xfId="16998" xr:uid="{F282E019-4701-4C24-8B64-BD40DDC29390}"/>
    <cellStyle name="Normal 4 4 3 7 2 3" xfId="12780" xr:uid="{95BD54FA-A324-498E-8C28-DC6388EFBAB3}"/>
    <cellStyle name="Normal 4 4 3 7 3" xfId="6414" xr:uid="{00000000-0005-0000-0000-0000B0150000}"/>
    <cellStyle name="Normal 4 4 3 7 3 2" xfId="14853" xr:uid="{DD635173-F8F3-4EAA-BC4B-DD3661D7CF17}"/>
    <cellStyle name="Normal 4 4 3 7 4" xfId="10635" xr:uid="{0FADDB6D-A53A-4A31-8623-8347EA9EC3F4}"/>
    <cellStyle name="Normal 4 4 3 8" xfId="2543" xr:uid="{00000000-0005-0000-0000-0000B1150000}"/>
    <cellStyle name="Normal 4 4 3 8 2" xfId="6827" xr:uid="{00000000-0005-0000-0000-0000B2150000}"/>
    <cellStyle name="Normal 4 4 3 8 2 2" xfId="15266" xr:uid="{11FEAD82-DDA3-4BAB-8146-C6C46250C552}"/>
    <cellStyle name="Normal 4 4 3 8 3" xfId="11048" xr:uid="{BA32FEC3-70B6-48FA-BA8B-9FED0181B81A}"/>
    <cellStyle name="Normal 4 4 3 9" xfId="4762" xr:uid="{00000000-0005-0000-0000-0000B3150000}"/>
    <cellStyle name="Normal 4 4 3 9 2" xfId="13201" xr:uid="{165C77C0-2480-4C94-AFC0-9ABEABA15B13}"/>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15764" xr:uid="{8F66B57B-F79F-498A-BA80-ECE2C8DDFD80}"/>
    <cellStyle name="Normal 4 4 4 2 2 2 3" xfId="11546" xr:uid="{B59A05ED-38A5-4779-B2FE-F1BC72507AD6}"/>
    <cellStyle name="Normal 4 4 4 2 2 3" xfId="5180" xr:uid="{00000000-0005-0000-0000-0000B9150000}"/>
    <cellStyle name="Normal 4 4 4 2 2 3 2" xfId="13619" xr:uid="{9BF7B532-ED88-421F-8C7F-0761B3F7F7C0}"/>
    <cellStyle name="Normal 4 4 4 2 2 4" xfId="9401" xr:uid="{AA5023C6-7FEA-41D3-8D3C-9DFE53DE5D86}"/>
    <cellStyle name="Normal 4 4 4 2 3" xfId="1285" xr:uid="{00000000-0005-0000-0000-0000BA150000}"/>
    <cellStyle name="Normal 4 4 4 2 3 2" xfId="3515" xr:uid="{00000000-0005-0000-0000-0000BB150000}"/>
    <cellStyle name="Normal 4 4 4 2 3 2 2" xfId="7738" xr:uid="{00000000-0005-0000-0000-0000BC150000}"/>
    <cellStyle name="Normal 4 4 4 2 3 2 2 2" xfId="16177" xr:uid="{7F81ED8B-460D-41AF-B4DB-A0EF900DFB97}"/>
    <cellStyle name="Normal 4 4 4 2 3 2 3" xfId="11959" xr:uid="{57397B25-AF11-48C2-BCA6-2DE01ECFAF21}"/>
    <cellStyle name="Normal 4 4 4 2 3 3" xfId="5593" xr:uid="{00000000-0005-0000-0000-0000BD150000}"/>
    <cellStyle name="Normal 4 4 4 2 3 3 2" xfId="14032" xr:uid="{AD54C9EC-7142-427E-A913-FD2AA73EB89F}"/>
    <cellStyle name="Normal 4 4 4 2 3 4" xfId="9814" xr:uid="{4893C632-62B8-4AEE-AD2D-AEA4305F3E5C}"/>
    <cellStyle name="Normal 4 4 4 2 4" xfId="1698" xr:uid="{00000000-0005-0000-0000-0000BE150000}"/>
    <cellStyle name="Normal 4 4 4 2 4 2" xfId="3928" xr:uid="{00000000-0005-0000-0000-0000BF150000}"/>
    <cellStyle name="Normal 4 4 4 2 4 2 2" xfId="8151" xr:uid="{00000000-0005-0000-0000-0000C0150000}"/>
    <cellStyle name="Normal 4 4 4 2 4 2 2 2" xfId="16590" xr:uid="{3F8D64EA-2756-471B-B177-D918DCA2E198}"/>
    <cellStyle name="Normal 4 4 4 2 4 2 3" xfId="12372" xr:uid="{BC794C4D-3D0E-4B71-AD56-87F3E9AD555A}"/>
    <cellStyle name="Normal 4 4 4 2 4 3" xfId="6006" xr:uid="{00000000-0005-0000-0000-0000C1150000}"/>
    <cellStyle name="Normal 4 4 4 2 4 3 2" xfId="14445" xr:uid="{562F0CF1-D95E-4125-ADE0-7B4949A0032F}"/>
    <cellStyle name="Normal 4 4 4 2 4 4" xfId="10227" xr:uid="{B8B030CA-1316-42BA-99F2-DBA58F076D08}"/>
    <cellStyle name="Normal 4 4 4 2 5" xfId="2112" xr:uid="{00000000-0005-0000-0000-0000C2150000}"/>
    <cellStyle name="Normal 4 4 4 2 5 2" xfId="4341" xr:uid="{00000000-0005-0000-0000-0000C3150000}"/>
    <cellStyle name="Normal 4 4 4 2 5 2 2" xfId="8564" xr:uid="{00000000-0005-0000-0000-0000C4150000}"/>
    <cellStyle name="Normal 4 4 4 2 5 2 2 2" xfId="17003" xr:uid="{83EBDB52-2A76-4F03-AC7F-F155F19D3E11}"/>
    <cellStyle name="Normal 4 4 4 2 5 2 3" xfId="12785" xr:uid="{424D884A-AF3B-4E81-8D3A-69198FF31BA7}"/>
    <cellStyle name="Normal 4 4 4 2 5 3" xfId="6419" xr:uid="{00000000-0005-0000-0000-0000C5150000}"/>
    <cellStyle name="Normal 4 4 4 2 5 3 2" xfId="14858" xr:uid="{03F76714-3997-47FB-8DCA-A7DA6059EE6F}"/>
    <cellStyle name="Normal 4 4 4 2 5 4" xfId="10640" xr:uid="{C0C2BA6B-D3FA-45ED-BD50-A0CABB91FBFD}"/>
    <cellStyle name="Normal 4 4 4 2 6" xfId="2548" xr:uid="{00000000-0005-0000-0000-0000C6150000}"/>
    <cellStyle name="Normal 4 4 4 2 6 2" xfId="6832" xr:uid="{00000000-0005-0000-0000-0000C7150000}"/>
    <cellStyle name="Normal 4 4 4 2 6 2 2" xfId="15271" xr:uid="{EAC9B572-1287-4283-A2B5-FC70B04AF3A0}"/>
    <cellStyle name="Normal 4 4 4 2 6 3" xfId="11053" xr:uid="{A5AACA9A-3909-41A5-BD95-261E003359A1}"/>
    <cellStyle name="Normal 4 4 4 2 7" xfId="4767" xr:uid="{00000000-0005-0000-0000-0000C8150000}"/>
    <cellStyle name="Normal 4 4 4 2 7 2" xfId="13206" xr:uid="{9D9209BC-EB58-4C06-885E-272E42AA4835}"/>
    <cellStyle name="Normal 4 4 4 2 8" xfId="8988" xr:uid="{7C821B8E-C948-44A3-9018-EF809BA155AF}"/>
    <cellStyle name="Normal 4 4 4 3" xfId="866" xr:uid="{00000000-0005-0000-0000-0000C9150000}"/>
    <cellStyle name="Normal 4 4 4 3 2" xfId="3101" xr:uid="{00000000-0005-0000-0000-0000CA150000}"/>
    <cellStyle name="Normal 4 4 4 3 2 2" xfId="7324" xr:uid="{00000000-0005-0000-0000-0000CB150000}"/>
    <cellStyle name="Normal 4 4 4 3 2 2 2" xfId="15763" xr:uid="{8255F7C7-FAFE-4C42-8649-0CA776DD7FE6}"/>
    <cellStyle name="Normal 4 4 4 3 2 3" xfId="11545" xr:uid="{DC4411AC-77F6-43D9-BD12-236649527D04}"/>
    <cellStyle name="Normal 4 4 4 3 3" xfId="5179" xr:uid="{00000000-0005-0000-0000-0000CC150000}"/>
    <cellStyle name="Normal 4 4 4 3 3 2" xfId="13618" xr:uid="{1AB810E9-20E6-4AC5-9218-986E4F81CF4F}"/>
    <cellStyle name="Normal 4 4 4 3 4" xfId="9400" xr:uid="{40E0F2D6-E94B-4245-A7ED-56EB86DAA65C}"/>
    <cellStyle name="Normal 4 4 4 4" xfId="1284" xr:uid="{00000000-0005-0000-0000-0000CD150000}"/>
    <cellStyle name="Normal 4 4 4 4 2" xfId="3514" xr:uid="{00000000-0005-0000-0000-0000CE150000}"/>
    <cellStyle name="Normal 4 4 4 4 2 2" xfId="7737" xr:uid="{00000000-0005-0000-0000-0000CF150000}"/>
    <cellStyle name="Normal 4 4 4 4 2 2 2" xfId="16176" xr:uid="{DCFF5CF8-7575-4F6B-9D71-7106B46A3603}"/>
    <cellStyle name="Normal 4 4 4 4 2 3" xfId="11958" xr:uid="{7D44EEE5-1FC1-4A5B-A8C9-0C7BD6B1CF93}"/>
    <cellStyle name="Normal 4 4 4 4 3" xfId="5592" xr:uid="{00000000-0005-0000-0000-0000D0150000}"/>
    <cellStyle name="Normal 4 4 4 4 3 2" xfId="14031" xr:uid="{85350DF7-0141-459A-8A44-2D5E3A72F971}"/>
    <cellStyle name="Normal 4 4 4 4 4" xfId="9813" xr:uid="{640B2529-01E7-4713-8BCA-E051458CD2CB}"/>
    <cellStyle name="Normal 4 4 4 5" xfId="1697" xr:uid="{00000000-0005-0000-0000-0000D1150000}"/>
    <cellStyle name="Normal 4 4 4 5 2" xfId="3927" xr:uid="{00000000-0005-0000-0000-0000D2150000}"/>
    <cellStyle name="Normal 4 4 4 5 2 2" xfId="8150" xr:uid="{00000000-0005-0000-0000-0000D3150000}"/>
    <cellStyle name="Normal 4 4 4 5 2 2 2" xfId="16589" xr:uid="{4525D081-3EF5-4801-A0E5-70118BE58A43}"/>
    <cellStyle name="Normal 4 4 4 5 2 3" xfId="12371" xr:uid="{B759A4EA-98C3-4E2A-918C-F7D2A772CD54}"/>
    <cellStyle name="Normal 4 4 4 5 3" xfId="6005" xr:uid="{00000000-0005-0000-0000-0000D4150000}"/>
    <cellStyle name="Normal 4 4 4 5 3 2" xfId="14444" xr:uid="{577FB23E-D8CF-477A-839C-1A71DCCD9290}"/>
    <cellStyle name="Normal 4 4 4 5 4" xfId="10226" xr:uid="{E9A55222-75A0-473D-A971-0CC26A938869}"/>
    <cellStyle name="Normal 4 4 4 6" xfId="2111" xr:uid="{00000000-0005-0000-0000-0000D5150000}"/>
    <cellStyle name="Normal 4 4 4 6 2" xfId="4340" xr:uid="{00000000-0005-0000-0000-0000D6150000}"/>
    <cellStyle name="Normal 4 4 4 6 2 2" xfId="8563" xr:uid="{00000000-0005-0000-0000-0000D7150000}"/>
    <cellStyle name="Normal 4 4 4 6 2 2 2" xfId="17002" xr:uid="{CDCA6DA8-D254-4B1F-BA73-B4A5D343CF02}"/>
    <cellStyle name="Normal 4 4 4 6 2 3" xfId="12784" xr:uid="{3521E673-67A9-43EF-9E40-80C037BC2FB6}"/>
    <cellStyle name="Normal 4 4 4 6 3" xfId="6418" xr:uid="{00000000-0005-0000-0000-0000D8150000}"/>
    <cellStyle name="Normal 4 4 4 6 3 2" xfId="14857" xr:uid="{C1592061-A8A5-4E95-A44B-27240E3D5392}"/>
    <cellStyle name="Normal 4 4 4 6 4" xfId="10639" xr:uid="{D89E6CCC-F2FE-4C9D-94EA-40F3D48D74E0}"/>
    <cellStyle name="Normal 4 4 4 7" xfId="2547" xr:uid="{00000000-0005-0000-0000-0000D9150000}"/>
    <cellStyle name="Normal 4 4 4 7 2" xfId="6831" xr:uid="{00000000-0005-0000-0000-0000DA150000}"/>
    <cellStyle name="Normal 4 4 4 7 2 2" xfId="15270" xr:uid="{2DBE1358-E322-489F-8844-3D00A1DD413A}"/>
    <cellStyle name="Normal 4 4 4 7 3" xfId="11052" xr:uid="{4254160F-4B74-4998-961E-F6B8D7A6A1CF}"/>
    <cellStyle name="Normal 4 4 4 8" xfId="4766" xr:uid="{00000000-0005-0000-0000-0000DB150000}"/>
    <cellStyle name="Normal 4 4 4 8 2" xfId="13205" xr:uid="{E473A514-B66D-4635-914E-D0480231679A}"/>
    <cellStyle name="Normal 4 4 4 9" xfId="8987" xr:uid="{AE5D0D88-3117-4214-AA2E-0FB26A8ABA25}"/>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2 2 2" xfId="15765" xr:uid="{0B330A1E-E33C-4B93-B2F7-B90D2FD129C0}"/>
    <cellStyle name="Normal 4 4 5 2 2 3" xfId="11547" xr:uid="{F2530379-E42D-462A-990C-88923C7014E7}"/>
    <cellStyle name="Normal 4 4 5 2 3" xfId="5181" xr:uid="{00000000-0005-0000-0000-0000E0150000}"/>
    <cellStyle name="Normal 4 4 5 2 3 2" xfId="13620" xr:uid="{4C96FDD1-D196-4E29-A498-E140EF3AE860}"/>
    <cellStyle name="Normal 4 4 5 2 4" xfId="9402" xr:uid="{093CCA89-AF5C-4B48-90FC-74C7047D4B54}"/>
    <cellStyle name="Normal 4 4 5 3" xfId="1286" xr:uid="{00000000-0005-0000-0000-0000E1150000}"/>
    <cellStyle name="Normal 4 4 5 3 2" xfId="3516" xr:uid="{00000000-0005-0000-0000-0000E2150000}"/>
    <cellStyle name="Normal 4 4 5 3 2 2" xfId="7739" xr:uid="{00000000-0005-0000-0000-0000E3150000}"/>
    <cellStyle name="Normal 4 4 5 3 2 2 2" xfId="16178" xr:uid="{BC9BE481-4BD5-4249-80CB-C471BDF525CB}"/>
    <cellStyle name="Normal 4 4 5 3 2 3" xfId="11960" xr:uid="{86B79B63-7316-47D1-816F-28CA5FBC9910}"/>
    <cellStyle name="Normal 4 4 5 3 3" xfId="5594" xr:uid="{00000000-0005-0000-0000-0000E4150000}"/>
    <cellStyle name="Normal 4 4 5 3 3 2" xfId="14033" xr:uid="{2557FE63-8100-45D1-B874-B20253098D27}"/>
    <cellStyle name="Normal 4 4 5 3 4" xfId="9815" xr:uid="{0BE5F038-E0B8-4E9C-8C49-E49F678CC9CB}"/>
    <cellStyle name="Normal 4 4 5 4" xfId="1699" xr:uid="{00000000-0005-0000-0000-0000E5150000}"/>
    <cellStyle name="Normal 4 4 5 4 2" xfId="3929" xr:uid="{00000000-0005-0000-0000-0000E6150000}"/>
    <cellStyle name="Normal 4 4 5 4 2 2" xfId="8152" xr:uid="{00000000-0005-0000-0000-0000E7150000}"/>
    <cellStyle name="Normal 4 4 5 4 2 2 2" xfId="16591" xr:uid="{B50613C7-67AD-4123-9E96-7D6F9D296F5C}"/>
    <cellStyle name="Normal 4 4 5 4 2 3" xfId="12373" xr:uid="{C28B6D45-AD9B-42B5-957B-3DEBABCB6835}"/>
    <cellStyle name="Normal 4 4 5 4 3" xfId="6007" xr:uid="{00000000-0005-0000-0000-0000E8150000}"/>
    <cellStyle name="Normal 4 4 5 4 3 2" xfId="14446" xr:uid="{227B4EF0-8859-49E8-9C85-9C7449F39ED2}"/>
    <cellStyle name="Normal 4 4 5 4 4" xfId="10228" xr:uid="{FE8DE49B-88EC-452C-96DE-298A3095951C}"/>
    <cellStyle name="Normal 4 4 5 5" xfId="2113" xr:uid="{00000000-0005-0000-0000-0000E9150000}"/>
    <cellStyle name="Normal 4 4 5 5 2" xfId="4342" xr:uid="{00000000-0005-0000-0000-0000EA150000}"/>
    <cellStyle name="Normal 4 4 5 5 2 2" xfId="8565" xr:uid="{00000000-0005-0000-0000-0000EB150000}"/>
    <cellStyle name="Normal 4 4 5 5 2 2 2" xfId="17004" xr:uid="{DEF5A7C2-DD38-4279-A0BC-80CCD89DCF02}"/>
    <cellStyle name="Normal 4 4 5 5 2 3" xfId="12786" xr:uid="{E8E8D9A4-DD71-404D-B6CE-FD9B610BEDBC}"/>
    <cellStyle name="Normal 4 4 5 5 3" xfId="6420" xr:uid="{00000000-0005-0000-0000-0000EC150000}"/>
    <cellStyle name="Normal 4 4 5 5 3 2" xfId="14859" xr:uid="{0043D97B-CF98-4A7C-B66C-066D30066912}"/>
    <cellStyle name="Normal 4 4 5 5 4" xfId="10641" xr:uid="{FFEF0FAA-7204-456D-BCCE-B7F6AF0E2136}"/>
    <cellStyle name="Normal 4 4 5 6" xfId="2549" xr:uid="{00000000-0005-0000-0000-0000ED150000}"/>
    <cellStyle name="Normal 4 4 5 6 2" xfId="6833" xr:uid="{00000000-0005-0000-0000-0000EE150000}"/>
    <cellStyle name="Normal 4 4 5 6 2 2" xfId="15272" xr:uid="{25929D0D-016C-4DE3-BEC9-5B5317FF852B}"/>
    <cellStyle name="Normal 4 4 5 6 3" xfId="11054" xr:uid="{32CC1DB9-BE67-4978-897C-3CE47F0B9331}"/>
    <cellStyle name="Normal 4 4 5 7" xfId="4768" xr:uid="{00000000-0005-0000-0000-0000EF150000}"/>
    <cellStyle name="Normal 4 4 5 7 2" xfId="13207" xr:uid="{B9690856-6CAD-4CAC-AFED-48F4D26DBB54}"/>
    <cellStyle name="Normal 4 4 5 8" xfId="8989" xr:uid="{0E8B683F-AF0A-4C6A-98D8-FD8E11BD32A4}"/>
    <cellStyle name="Normal 4 4 6" xfId="853" xr:uid="{00000000-0005-0000-0000-0000F0150000}"/>
    <cellStyle name="Normal 4 4 6 2" xfId="3088" xr:uid="{00000000-0005-0000-0000-0000F1150000}"/>
    <cellStyle name="Normal 4 4 6 2 2" xfId="7311" xr:uid="{00000000-0005-0000-0000-0000F2150000}"/>
    <cellStyle name="Normal 4 4 6 2 2 2" xfId="15750" xr:uid="{1EEFDC69-AEEB-40D1-AAA4-658FD0DFCB6A}"/>
    <cellStyle name="Normal 4 4 6 2 3" xfId="11532" xr:uid="{5C578176-87E7-482D-96BA-5590E15E40E4}"/>
    <cellStyle name="Normal 4 4 6 3" xfId="5166" xr:uid="{00000000-0005-0000-0000-0000F3150000}"/>
    <cellStyle name="Normal 4 4 6 3 2" xfId="13605" xr:uid="{1D465D01-92BF-4F5B-AB3D-B6AF86CDBEFE}"/>
    <cellStyle name="Normal 4 4 6 4" xfId="9387" xr:uid="{09AB56E0-4234-4261-8543-14AF3C7D7D8D}"/>
    <cellStyle name="Normal 4 4 7" xfId="1271" xr:uid="{00000000-0005-0000-0000-0000F4150000}"/>
    <cellStyle name="Normal 4 4 7 2" xfId="3501" xr:uid="{00000000-0005-0000-0000-0000F5150000}"/>
    <cellStyle name="Normal 4 4 7 2 2" xfId="7724" xr:uid="{00000000-0005-0000-0000-0000F6150000}"/>
    <cellStyle name="Normal 4 4 7 2 2 2" xfId="16163" xr:uid="{2305E4C2-E6F2-48FE-9EE3-A0CE84881E43}"/>
    <cellStyle name="Normal 4 4 7 2 3" xfId="11945" xr:uid="{8AA2B05E-6D38-4398-8ED3-9692F7C81DA2}"/>
    <cellStyle name="Normal 4 4 7 3" xfId="5579" xr:uid="{00000000-0005-0000-0000-0000F7150000}"/>
    <cellStyle name="Normal 4 4 7 3 2" xfId="14018" xr:uid="{BE9B558C-D1CA-4267-8A98-92B6AB6E6511}"/>
    <cellStyle name="Normal 4 4 7 4" xfId="9800" xr:uid="{762E1F5F-888F-4A7E-AA80-B37DE5063668}"/>
    <cellStyle name="Normal 4 4 8" xfId="1684" xr:uid="{00000000-0005-0000-0000-0000F8150000}"/>
    <cellStyle name="Normal 4 4 8 2" xfId="3914" xr:uid="{00000000-0005-0000-0000-0000F9150000}"/>
    <cellStyle name="Normal 4 4 8 2 2" xfId="8137" xr:uid="{00000000-0005-0000-0000-0000FA150000}"/>
    <cellStyle name="Normal 4 4 8 2 2 2" xfId="16576" xr:uid="{73677816-64D4-459C-AD48-6A242E3C3B47}"/>
    <cellStyle name="Normal 4 4 8 2 3" xfId="12358" xr:uid="{94E245FA-6866-42EF-9561-7B12CD033AB5}"/>
    <cellStyle name="Normal 4 4 8 3" xfId="5992" xr:uid="{00000000-0005-0000-0000-0000FB150000}"/>
    <cellStyle name="Normal 4 4 8 3 2" xfId="14431" xr:uid="{40C90600-38FE-4329-B2E7-C954315BC3EC}"/>
    <cellStyle name="Normal 4 4 8 4" xfId="10213" xr:uid="{94D9001D-F36A-46BD-9433-FD1BDDB4D162}"/>
    <cellStyle name="Normal 4 4 9" xfId="2098" xr:uid="{00000000-0005-0000-0000-0000FC150000}"/>
    <cellStyle name="Normal 4 4 9 2" xfId="4327" xr:uid="{00000000-0005-0000-0000-0000FD150000}"/>
    <cellStyle name="Normal 4 4 9 2 2" xfId="8550" xr:uid="{00000000-0005-0000-0000-0000FE150000}"/>
    <cellStyle name="Normal 4 4 9 2 2 2" xfId="16989" xr:uid="{76B6BB3E-C36C-4A8D-9D7B-7F3771EE9A25}"/>
    <cellStyle name="Normal 4 4 9 2 3" xfId="12771" xr:uid="{01022B70-2CE5-441D-ADA6-7675DE609EF8}"/>
    <cellStyle name="Normal 4 4 9 3" xfId="6405" xr:uid="{00000000-0005-0000-0000-0000FF150000}"/>
    <cellStyle name="Normal 4 4 9 3 2" xfId="14844" xr:uid="{290F9DC3-1B2B-497F-B977-EE5BB10F6E9A}"/>
    <cellStyle name="Normal 4 4 9 4" xfId="10626" xr:uid="{5AC411D1-7410-4A38-976B-1D36CE437557}"/>
    <cellStyle name="Normal 4 5" xfId="394" xr:uid="{00000000-0005-0000-0000-000000160000}"/>
    <cellStyle name="Normal 4 6" xfId="395" xr:uid="{00000000-0005-0000-0000-000001160000}"/>
    <cellStyle name="Normal 4 6 10" xfId="4769" xr:uid="{00000000-0005-0000-0000-000002160000}"/>
    <cellStyle name="Normal 4 6 10 2" xfId="13208" xr:uid="{C569D450-03A6-43AC-85D3-4F1924FEE8A8}"/>
    <cellStyle name="Normal 4 6 11" xfId="8990" xr:uid="{801FC4EC-5E42-40C4-99EC-9AFCCE8D6C31}"/>
    <cellStyle name="Normal 4 6 2" xfId="396" xr:uid="{00000000-0005-0000-0000-000003160000}"/>
    <cellStyle name="Normal 4 6 2 10" xfId="8991" xr:uid="{373DE74C-EF04-43BD-8A48-DB3BAF0997D8}"/>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15769" xr:uid="{F11EBFC3-77A9-440A-8098-B56CCE4D3C3D}"/>
    <cellStyle name="Normal 4 6 2 2 2 2 2 3" xfId="11551" xr:uid="{CE58B0F9-5AFB-46D9-9050-7CA3870CA548}"/>
    <cellStyle name="Normal 4 6 2 2 2 2 3" xfId="5185" xr:uid="{00000000-0005-0000-0000-000009160000}"/>
    <cellStyle name="Normal 4 6 2 2 2 2 3 2" xfId="13624" xr:uid="{937C0A0C-137E-44C2-98AD-E77DB8B92C79}"/>
    <cellStyle name="Normal 4 6 2 2 2 2 4" xfId="9406" xr:uid="{56FFDF23-BD96-483D-83E3-27F1610A795A}"/>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2 2" xfId="16182" xr:uid="{B6C1BA68-21BB-4390-B941-8644E96A9ECA}"/>
    <cellStyle name="Normal 4 6 2 2 2 3 2 3" xfId="11964" xr:uid="{8AA84F00-8393-41B3-BE1E-F38D7DE088FD}"/>
    <cellStyle name="Normal 4 6 2 2 2 3 3" xfId="5598" xr:uid="{00000000-0005-0000-0000-00000D160000}"/>
    <cellStyle name="Normal 4 6 2 2 2 3 3 2" xfId="14037" xr:uid="{59C7568F-EA4D-4A83-BF25-14EEAE224AE6}"/>
    <cellStyle name="Normal 4 6 2 2 2 3 4" xfId="9819" xr:uid="{94AA2E9A-5CFD-47D3-ADED-75AE137F4FA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2 2 2" xfId="16595" xr:uid="{691CEB2E-54B9-4F7F-8BB1-5213F8B92A6F}"/>
    <cellStyle name="Normal 4 6 2 2 2 4 2 3" xfId="12377" xr:uid="{C9782BE1-B3B7-4A77-998C-2C1B91790E6B}"/>
    <cellStyle name="Normal 4 6 2 2 2 4 3" xfId="6011" xr:uid="{00000000-0005-0000-0000-000011160000}"/>
    <cellStyle name="Normal 4 6 2 2 2 4 3 2" xfId="14450" xr:uid="{ED2F5938-FEA0-4815-8C5F-9D8EC692EEBC}"/>
    <cellStyle name="Normal 4 6 2 2 2 4 4" xfId="10232" xr:uid="{E15D08D3-B585-435D-9C90-F2251B8E133F}"/>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2 2 2" xfId="17008" xr:uid="{DD19387C-197F-4243-AE2A-3EFFB51F6E2B}"/>
    <cellStyle name="Normal 4 6 2 2 2 5 2 3" xfId="12790" xr:uid="{9AA6FA11-6701-4245-A611-59E0337F6A49}"/>
    <cellStyle name="Normal 4 6 2 2 2 5 3" xfId="6424" xr:uid="{00000000-0005-0000-0000-000015160000}"/>
    <cellStyle name="Normal 4 6 2 2 2 5 3 2" xfId="14863" xr:uid="{B6BC88E0-AA81-47D4-BFA0-9C512015AD70}"/>
    <cellStyle name="Normal 4 6 2 2 2 5 4" xfId="10645" xr:uid="{BAD9A2CB-7B5A-4C4B-B3A4-C03600F83640}"/>
    <cellStyle name="Normal 4 6 2 2 2 6" xfId="2553" xr:uid="{00000000-0005-0000-0000-000016160000}"/>
    <cellStyle name="Normal 4 6 2 2 2 6 2" xfId="6837" xr:uid="{00000000-0005-0000-0000-000017160000}"/>
    <cellStyle name="Normal 4 6 2 2 2 6 2 2" xfId="15276" xr:uid="{AD358FF1-9951-4053-BD38-2E1B0464100D}"/>
    <cellStyle name="Normal 4 6 2 2 2 6 3" xfId="11058" xr:uid="{A7778126-24E7-4C08-858F-B677837242DC}"/>
    <cellStyle name="Normal 4 6 2 2 2 7" xfId="4772" xr:uid="{00000000-0005-0000-0000-000018160000}"/>
    <cellStyle name="Normal 4 6 2 2 2 7 2" xfId="13211" xr:uid="{CDE703A6-1A1E-4B80-B2F4-9C9715F5A36F}"/>
    <cellStyle name="Normal 4 6 2 2 2 8" xfId="8993" xr:uid="{91B8D32B-C82D-4CB6-96D0-DC0ADB3A2C34}"/>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15768" xr:uid="{E5133C2F-4FC5-44D4-B7FB-7532B28DACA0}"/>
    <cellStyle name="Normal 4 6 2 2 3 2 3" xfId="11550" xr:uid="{7387171E-DE09-4BAD-B1B7-5412594A0EE5}"/>
    <cellStyle name="Normal 4 6 2 2 3 3" xfId="5184" xr:uid="{00000000-0005-0000-0000-00001C160000}"/>
    <cellStyle name="Normal 4 6 2 2 3 3 2" xfId="13623" xr:uid="{B256C6F3-CAC9-4F85-ADC1-4B95A740A397}"/>
    <cellStyle name="Normal 4 6 2 2 3 4" xfId="9405" xr:uid="{1CA64872-06D7-4D2C-8343-BB72BCF558FE}"/>
    <cellStyle name="Normal 4 6 2 2 4" xfId="1289" xr:uid="{00000000-0005-0000-0000-00001D160000}"/>
    <cellStyle name="Normal 4 6 2 2 4 2" xfId="3519" xr:uid="{00000000-0005-0000-0000-00001E160000}"/>
    <cellStyle name="Normal 4 6 2 2 4 2 2" xfId="7742" xr:uid="{00000000-0005-0000-0000-00001F160000}"/>
    <cellStyle name="Normal 4 6 2 2 4 2 2 2" xfId="16181" xr:uid="{59E8F07F-3781-40E7-81D0-5BBBAB8C70F2}"/>
    <cellStyle name="Normal 4 6 2 2 4 2 3" xfId="11963" xr:uid="{E7B132A6-E949-494A-8DF0-7919FBAAE01C}"/>
    <cellStyle name="Normal 4 6 2 2 4 3" xfId="5597" xr:uid="{00000000-0005-0000-0000-000020160000}"/>
    <cellStyle name="Normal 4 6 2 2 4 3 2" xfId="14036" xr:uid="{60B3E647-33C7-4D42-8938-866734829123}"/>
    <cellStyle name="Normal 4 6 2 2 4 4" xfId="9818" xr:uid="{F9CDAA7D-F8B2-422C-842E-0CEA96D99801}"/>
    <cellStyle name="Normal 4 6 2 2 5" xfId="1702" xr:uid="{00000000-0005-0000-0000-000021160000}"/>
    <cellStyle name="Normal 4 6 2 2 5 2" xfId="3932" xr:uid="{00000000-0005-0000-0000-000022160000}"/>
    <cellStyle name="Normal 4 6 2 2 5 2 2" xfId="8155" xr:uid="{00000000-0005-0000-0000-000023160000}"/>
    <cellStyle name="Normal 4 6 2 2 5 2 2 2" xfId="16594" xr:uid="{FFA93F5F-9E3D-4DD8-9029-2A2E7ABA30BA}"/>
    <cellStyle name="Normal 4 6 2 2 5 2 3" xfId="12376" xr:uid="{838F243E-2AE2-4B4D-8ACD-1299D92F7901}"/>
    <cellStyle name="Normal 4 6 2 2 5 3" xfId="6010" xr:uid="{00000000-0005-0000-0000-000024160000}"/>
    <cellStyle name="Normal 4 6 2 2 5 3 2" xfId="14449" xr:uid="{AE30720A-B6A2-4D2F-8A2C-652A72775571}"/>
    <cellStyle name="Normal 4 6 2 2 5 4" xfId="10231" xr:uid="{BAD5C2D6-E2E9-4B31-94AC-1F49B914E420}"/>
    <cellStyle name="Normal 4 6 2 2 6" xfId="2116" xr:uid="{00000000-0005-0000-0000-000025160000}"/>
    <cellStyle name="Normal 4 6 2 2 6 2" xfId="4345" xr:uid="{00000000-0005-0000-0000-000026160000}"/>
    <cellStyle name="Normal 4 6 2 2 6 2 2" xfId="8568" xr:uid="{00000000-0005-0000-0000-000027160000}"/>
    <cellStyle name="Normal 4 6 2 2 6 2 2 2" xfId="17007" xr:uid="{5AC6B7C5-9850-48D3-98BB-2796DBE2F62F}"/>
    <cellStyle name="Normal 4 6 2 2 6 2 3" xfId="12789" xr:uid="{D8F6A576-6A07-4C02-8233-48B55944BA23}"/>
    <cellStyle name="Normal 4 6 2 2 6 3" xfId="6423" xr:uid="{00000000-0005-0000-0000-000028160000}"/>
    <cellStyle name="Normal 4 6 2 2 6 3 2" xfId="14862" xr:uid="{E4675CE7-AFF1-4324-B2F4-01DC6B940983}"/>
    <cellStyle name="Normal 4 6 2 2 6 4" xfId="10644" xr:uid="{69766E4B-F020-4AA7-AD24-9371E801A94B}"/>
    <cellStyle name="Normal 4 6 2 2 7" xfId="2552" xr:uid="{00000000-0005-0000-0000-000029160000}"/>
    <cellStyle name="Normal 4 6 2 2 7 2" xfId="6836" xr:uid="{00000000-0005-0000-0000-00002A160000}"/>
    <cellStyle name="Normal 4 6 2 2 7 2 2" xfId="15275" xr:uid="{210ED3A3-3B78-49C1-83E3-BB0920A626D2}"/>
    <cellStyle name="Normal 4 6 2 2 7 3" xfId="11057" xr:uid="{D2A1D34A-66AA-467E-A7CF-342D55033B63}"/>
    <cellStyle name="Normal 4 6 2 2 8" xfId="4771" xr:uid="{00000000-0005-0000-0000-00002B160000}"/>
    <cellStyle name="Normal 4 6 2 2 8 2" xfId="13210" xr:uid="{D5817DA8-925A-4F5D-AB20-F3E905D9D775}"/>
    <cellStyle name="Normal 4 6 2 2 9" xfId="8992" xr:uid="{2D83D916-F62F-4670-8965-AB6737974A42}"/>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15770" xr:uid="{A06B3700-5FCC-4CD4-98B5-1C410816F409}"/>
    <cellStyle name="Normal 4 6 2 3 2 2 3" xfId="11552" xr:uid="{7C152580-219C-4303-B5BB-D4A7496CA172}"/>
    <cellStyle name="Normal 4 6 2 3 2 3" xfId="5186" xr:uid="{00000000-0005-0000-0000-000030160000}"/>
    <cellStyle name="Normal 4 6 2 3 2 3 2" xfId="13625" xr:uid="{1657A7FC-93E4-40B9-B9F6-F65406DEE7A3}"/>
    <cellStyle name="Normal 4 6 2 3 2 4" xfId="9407" xr:uid="{D2F15726-F8E5-4989-9931-4BFBC7361A64}"/>
    <cellStyle name="Normal 4 6 2 3 3" xfId="1291" xr:uid="{00000000-0005-0000-0000-000031160000}"/>
    <cellStyle name="Normal 4 6 2 3 3 2" xfId="3521" xr:uid="{00000000-0005-0000-0000-000032160000}"/>
    <cellStyle name="Normal 4 6 2 3 3 2 2" xfId="7744" xr:uid="{00000000-0005-0000-0000-000033160000}"/>
    <cellStyle name="Normal 4 6 2 3 3 2 2 2" xfId="16183" xr:uid="{C88222B9-FB60-4E7A-A6FE-44AE6C5B7E9F}"/>
    <cellStyle name="Normal 4 6 2 3 3 2 3" xfId="11965" xr:uid="{0A26B6E9-7737-4830-B768-2820D0190710}"/>
    <cellStyle name="Normal 4 6 2 3 3 3" xfId="5599" xr:uid="{00000000-0005-0000-0000-000034160000}"/>
    <cellStyle name="Normal 4 6 2 3 3 3 2" xfId="14038" xr:uid="{7F51D71E-DBE4-4895-8141-D19A102BCB1D}"/>
    <cellStyle name="Normal 4 6 2 3 3 4" xfId="9820" xr:uid="{91A37203-5105-4411-B1C9-E3A8A460C500}"/>
    <cellStyle name="Normal 4 6 2 3 4" xfId="1704" xr:uid="{00000000-0005-0000-0000-000035160000}"/>
    <cellStyle name="Normal 4 6 2 3 4 2" xfId="3934" xr:uid="{00000000-0005-0000-0000-000036160000}"/>
    <cellStyle name="Normal 4 6 2 3 4 2 2" xfId="8157" xr:uid="{00000000-0005-0000-0000-000037160000}"/>
    <cellStyle name="Normal 4 6 2 3 4 2 2 2" xfId="16596" xr:uid="{D068E3FF-F752-45C3-BD85-5AC53FFFD50D}"/>
    <cellStyle name="Normal 4 6 2 3 4 2 3" xfId="12378" xr:uid="{4374EC27-DF2E-457C-BF92-EFD0C1DB29FE}"/>
    <cellStyle name="Normal 4 6 2 3 4 3" xfId="6012" xr:uid="{00000000-0005-0000-0000-000038160000}"/>
    <cellStyle name="Normal 4 6 2 3 4 3 2" xfId="14451" xr:uid="{4C930739-288B-49E2-91FE-33E63A8D9887}"/>
    <cellStyle name="Normal 4 6 2 3 4 4" xfId="10233" xr:uid="{16AB7441-DBB6-4880-8B18-8AC7F3048AA8}"/>
    <cellStyle name="Normal 4 6 2 3 5" xfId="2118" xr:uid="{00000000-0005-0000-0000-000039160000}"/>
    <cellStyle name="Normal 4 6 2 3 5 2" xfId="4347" xr:uid="{00000000-0005-0000-0000-00003A160000}"/>
    <cellStyle name="Normal 4 6 2 3 5 2 2" xfId="8570" xr:uid="{00000000-0005-0000-0000-00003B160000}"/>
    <cellStyle name="Normal 4 6 2 3 5 2 2 2" xfId="17009" xr:uid="{7562620C-1319-4279-A63E-1EBAAD7EAE68}"/>
    <cellStyle name="Normal 4 6 2 3 5 2 3" xfId="12791" xr:uid="{8124B9B6-B923-4239-B77B-73AFD8E42841}"/>
    <cellStyle name="Normal 4 6 2 3 5 3" xfId="6425" xr:uid="{00000000-0005-0000-0000-00003C160000}"/>
    <cellStyle name="Normal 4 6 2 3 5 3 2" xfId="14864" xr:uid="{5E64553B-37D5-4866-BA99-8BF415825160}"/>
    <cellStyle name="Normal 4 6 2 3 5 4" xfId="10646" xr:uid="{09D07601-BA55-42B6-A2E1-B516F680AA38}"/>
    <cellStyle name="Normal 4 6 2 3 6" xfId="2554" xr:uid="{00000000-0005-0000-0000-00003D160000}"/>
    <cellStyle name="Normal 4 6 2 3 6 2" xfId="6838" xr:uid="{00000000-0005-0000-0000-00003E160000}"/>
    <cellStyle name="Normal 4 6 2 3 6 2 2" xfId="15277" xr:uid="{CBFE3D0D-0935-4CC2-8D3A-2BCC8ACEC341}"/>
    <cellStyle name="Normal 4 6 2 3 6 3" xfId="11059" xr:uid="{D3F7237D-38D0-4165-840D-C293EE83C58D}"/>
    <cellStyle name="Normal 4 6 2 3 7" xfId="4773" xr:uid="{00000000-0005-0000-0000-00003F160000}"/>
    <cellStyle name="Normal 4 6 2 3 7 2" xfId="13212" xr:uid="{E4E2924A-C100-4D6E-BB48-A5C234833C41}"/>
    <cellStyle name="Normal 4 6 2 3 8" xfId="8994" xr:uid="{A3971735-2ACF-4C8B-99A5-F56F0594B0D8}"/>
    <cellStyle name="Normal 4 6 2 4" xfId="870" xr:uid="{00000000-0005-0000-0000-000040160000}"/>
    <cellStyle name="Normal 4 6 2 4 2" xfId="3105" xr:uid="{00000000-0005-0000-0000-000041160000}"/>
    <cellStyle name="Normal 4 6 2 4 2 2" xfId="7328" xr:uid="{00000000-0005-0000-0000-000042160000}"/>
    <cellStyle name="Normal 4 6 2 4 2 2 2" xfId="15767" xr:uid="{6B0735E2-7F0B-4A22-8D10-22CBA1454B04}"/>
    <cellStyle name="Normal 4 6 2 4 2 3" xfId="11549" xr:uid="{D8597CDB-623A-4D8C-9991-A88F8173D95F}"/>
    <cellStyle name="Normal 4 6 2 4 3" xfId="5183" xr:uid="{00000000-0005-0000-0000-000043160000}"/>
    <cellStyle name="Normal 4 6 2 4 3 2" xfId="13622" xr:uid="{89BE726A-C076-4D77-B999-291D25884701}"/>
    <cellStyle name="Normal 4 6 2 4 4" xfId="9404" xr:uid="{33055860-793D-4751-8C8A-DDF6CE190052}"/>
    <cellStyle name="Normal 4 6 2 5" xfId="1288" xr:uid="{00000000-0005-0000-0000-000044160000}"/>
    <cellStyle name="Normal 4 6 2 5 2" xfId="3518" xr:uid="{00000000-0005-0000-0000-000045160000}"/>
    <cellStyle name="Normal 4 6 2 5 2 2" xfId="7741" xr:uid="{00000000-0005-0000-0000-000046160000}"/>
    <cellStyle name="Normal 4 6 2 5 2 2 2" xfId="16180" xr:uid="{CA7635C5-D237-4F11-896C-4F970277266B}"/>
    <cellStyle name="Normal 4 6 2 5 2 3" xfId="11962" xr:uid="{183A26B1-4D73-43FD-922A-11C4B851D78E}"/>
    <cellStyle name="Normal 4 6 2 5 3" xfId="5596" xr:uid="{00000000-0005-0000-0000-000047160000}"/>
    <cellStyle name="Normal 4 6 2 5 3 2" xfId="14035" xr:uid="{CE319671-54D5-4E2E-9B64-F4F3BB7A5DC2}"/>
    <cellStyle name="Normal 4 6 2 5 4" xfId="9817" xr:uid="{5D05F878-A52A-449C-A706-086982B88774}"/>
    <cellStyle name="Normal 4 6 2 6" xfId="1701" xr:uid="{00000000-0005-0000-0000-000048160000}"/>
    <cellStyle name="Normal 4 6 2 6 2" xfId="3931" xr:uid="{00000000-0005-0000-0000-000049160000}"/>
    <cellStyle name="Normal 4 6 2 6 2 2" xfId="8154" xr:uid="{00000000-0005-0000-0000-00004A160000}"/>
    <cellStyle name="Normal 4 6 2 6 2 2 2" xfId="16593" xr:uid="{B538AEAE-3CF3-4645-96EF-36C3ED11CEAF}"/>
    <cellStyle name="Normal 4 6 2 6 2 3" xfId="12375" xr:uid="{CDD85C00-AC2F-40D4-90E0-80FE1D5F9CA2}"/>
    <cellStyle name="Normal 4 6 2 6 3" xfId="6009" xr:uid="{00000000-0005-0000-0000-00004B160000}"/>
    <cellStyle name="Normal 4 6 2 6 3 2" xfId="14448" xr:uid="{86747021-2EB5-4ABC-9926-393B038AE1E2}"/>
    <cellStyle name="Normal 4 6 2 6 4" xfId="10230" xr:uid="{EFCF75CC-80AB-495E-80CD-83E88FF67C4E}"/>
    <cellStyle name="Normal 4 6 2 7" xfId="2115" xr:uid="{00000000-0005-0000-0000-00004C160000}"/>
    <cellStyle name="Normal 4 6 2 7 2" xfId="4344" xr:uid="{00000000-0005-0000-0000-00004D160000}"/>
    <cellStyle name="Normal 4 6 2 7 2 2" xfId="8567" xr:uid="{00000000-0005-0000-0000-00004E160000}"/>
    <cellStyle name="Normal 4 6 2 7 2 2 2" xfId="17006" xr:uid="{963188CA-D580-46F6-AD63-3DB9202E9CBC}"/>
    <cellStyle name="Normal 4 6 2 7 2 3" xfId="12788" xr:uid="{8F585709-331D-48B1-B9C8-A426179714DD}"/>
    <cellStyle name="Normal 4 6 2 7 3" xfId="6422" xr:uid="{00000000-0005-0000-0000-00004F160000}"/>
    <cellStyle name="Normal 4 6 2 7 3 2" xfId="14861" xr:uid="{FC95382F-0F9E-4C6E-8B87-6AC4297D1DB0}"/>
    <cellStyle name="Normal 4 6 2 7 4" xfId="10643" xr:uid="{DF8B5754-8534-47D9-8E8D-494BC930B952}"/>
    <cellStyle name="Normal 4 6 2 8" xfId="2551" xr:uid="{00000000-0005-0000-0000-000050160000}"/>
    <cellStyle name="Normal 4 6 2 8 2" xfId="6835" xr:uid="{00000000-0005-0000-0000-000051160000}"/>
    <cellStyle name="Normal 4 6 2 8 2 2" xfId="15274" xr:uid="{83ABDEB1-8D3F-429E-986D-6241332C7009}"/>
    <cellStyle name="Normal 4 6 2 8 3" xfId="11056" xr:uid="{252EE150-1ACF-4F9F-B7B1-224258DDC219}"/>
    <cellStyle name="Normal 4 6 2 9" xfId="4770" xr:uid="{00000000-0005-0000-0000-000052160000}"/>
    <cellStyle name="Normal 4 6 2 9 2" xfId="13209" xr:uid="{FAAE790F-CEEE-4902-A6DA-C0F3A6F47CCC}"/>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15772" xr:uid="{61890024-9AB1-4158-B4E4-73834B5EE0CC}"/>
    <cellStyle name="Normal 4 6 3 2 2 2 3" xfId="11554" xr:uid="{CE042F88-D84C-4AF4-9B79-4554D7BE757C}"/>
    <cellStyle name="Normal 4 6 3 2 2 3" xfId="5188" xr:uid="{00000000-0005-0000-0000-000058160000}"/>
    <cellStyle name="Normal 4 6 3 2 2 3 2" xfId="13627" xr:uid="{8FD44EB8-59B1-4F65-AE61-8A943AECEF9C}"/>
    <cellStyle name="Normal 4 6 3 2 2 4" xfId="9409" xr:uid="{44EF6F96-000C-4652-85FE-848D05CC2C32}"/>
    <cellStyle name="Normal 4 6 3 2 3" xfId="1293" xr:uid="{00000000-0005-0000-0000-000059160000}"/>
    <cellStyle name="Normal 4 6 3 2 3 2" xfId="3523" xr:uid="{00000000-0005-0000-0000-00005A160000}"/>
    <cellStyle name="Normal 4 6 3 2 3 2 2" xfId="7746" xr:uid="{00000000-0005-0000-0000-00005B160000}"/>
    <cellStyle name="Normal 4 6 3 2 3 2 2 2" xfId="16185" xr:uid="{09852687-B805-425C-A1C8-373C8E1EE743}"/>
    <cellStyle name="Normal 4 6 3 2 3 2 3" xfId="11967" xr:uid="{273CA419-0B02-4CE0-8124-62F67D987265}"/>
    <cellStyle name="Normal 4 6 3 2 3 3" xfId="5601" xr:uid="{00000000-0005-0000-0000-00005C160000}"/>
    <cellStyle name="Normal 4 6 3 2 3 3 2" xfId="14040" xr:uid="{178A5102-BCAE-4A10-B9C0-3EA6E2E90E78}"/>
    <cellStyle name="Normal 4 6 3 2 3 4" xfId="9822" xr:uid="{AFFE091B-5BCF-472B-ACE8-C062EBEB43B0}"/>
    <cellStyle name="Normal 4 6 3 2 4" xfId="1706" xr:uid="{00000000-0005-0000-0000-00005D160000}"/>
    <cellStyle name="Normal 4 6 3 2 4 2" xfId="3936" xr:uid="{00000000-0005-0000-0000-00005E160000}"/>
    <cellStyle name="Normal 4 6 3 2 4 2 2" xfId="8159" xr:uid="{00000000-0005-0000-0000-00005F160000}"/>
    <cellStyle name="Normal 4 6 3 2 4 2 2 2" xfId="16598" xr:uid="{74B258E9-41EF-4B15-B311-FB94F25F97C2}"/>
    <cellStyle name="Normal 4 6 3 2 4 2 3" xfId="12380" xr:uid="{5BD5E5A6-066F-4122-961C-8B915735E381}"/>
    <cellStyle name="Normal 4 6 3 2 4 3" xfId="6014" xr:uid="{00000000-0005-0000-0000-000060160000}"/>
    <cellStyle name="Normal 4 6 3 2 4 3 2" xfId="14453" xr:uid="{DE936EFB-53DD-4280-9138-668F3707E840}"/>
    <cellStyle name="Normal 4 6 3 2 4 4" xfId="10235" xr:uid="{39B3C333-22B1-4A92-8558-C9A6F9CDA6B0}"/>
    <cellStyle name="Normal 4 6 3 2 5" xfId="2120" xr:uid="{00000000-0005-0000-0000-000061160000}"/>
    <cellStyle name="Normal 4 6 3 2 5 2" xfId="4349" xr:uid="{00000000-0005-0000-0000-000062160000}"/>
    <cellStyle name="Normal 4 6 3 2 5 2 2" xfId="8572" xr:uid="{00000000-0005-0000-0000-000063160000}"/>
    <cellStyle name="Normal 4 6 3 2 5 2 2 2" xfId="17011" xr:uid="{FEB86DC1-BD64-4F64-928D-38BBD44151A9}"/>
    <cellStyle name="Normal 4 6 3 2 5 2 3" xfId="12793" xr:uid="{8343C69A-476D-401B-86F2-971DC65D9ED9}"/>
    <cellStyle name="Normal 4 6 3 2 5 3" xfId="6427" xr:uid="{00000000-0005-0000-0000-000064160000}"/>
    <cellStyle name="Normal 4 6 3 2 5 3 2" xfId="14866" xr:uid="{BA2B8C3B-4812-4249-9BE6-206CF361B013}"/>
    <cellStyle name="Normal 4 6 3 2 5 4" xfId="10648" xr:uid="{6BA794FC-8914-4DD9-9549-E57B6A4C7A38}"/>
    <cellStyle name="Normal 4 6 3 2 6" xfId="2556" xr:uid="{00000000-0005-0000-0000-000065160000}"/>
    <cellStyle name="Normal 4 6 3 2 6 2" xfId="6840" xr:uid="{00000000-0005-0000-0000-000066160000}"/>
    <cellStyle name="Normal 4 6 3 2 6 2 2" xfId="15279" xr:uid="{367A9934-C804-4D7A-96E2-91D970697C01}"/>
    <cellStyle name="Normal 4 6 3 2 6 3" xfId="11061" xr:uid="{3D9D439A-B14C-49EE-B5B7-08CE9575AFF8}"/>
    <cellStyle name="Normal 4 6 3 2 7" xfId="4775" xr:uid="{00000000-0005-0000-0000-000067160000}"/>
    <cellStyle name="Normal 4 6 3 2 7 2" xfId="13214" xr:uid="{7510CD32-39E3-4F57-AA32-D0AE932A1F81}"/>
    <cellStyle name="Normal 4 6 3 2 8" xfId="8996" xr:uid="{1504FAAB-A351-47C0-8F29-6C601FDD329D}"/>
    <cellStyle name="Normal 4 6 3 3" xfId="874" xr:uid="{00000000-0005-0000-0000-000068160000}"/>
    <cellStyle name="Normal 4 6 3 3 2" xfId="3109" xr:uid="{00000000-0005-0000-0000-000069160000}"/>
    <cellStyle name="Normal 4 6 3 3 2 2" xfId="7332" xr:uid="{00000000-0005-0000-0000-00006A160000}"/>
    <cellStyle name="Normal 4 6 3 3 2 2 2" xfId="15771" xr:uid="{1E2AC1E0-8B73-4901-B445-030C6B3E5F22}"/>
    <cellStyle name="Normal 4 6 3 3 2 3" xfId="11553" xr:uid="{DADD6047-E034-409F-8A55-AB4EF413F97F}"/>
    <cellStyle name="Normal 4 6 3 3 3" xfId="5187" xr:uid="{00000000-0005-0000-0000-00006B160000}"/>
    <cellStyle name="Normal 4 6 3 3 3 2" xfId="13626" xr:uid="{4354E838-38B7-4270-97DF-1AD22A2F72D0}"/>
    <cellStyle name="Normal 4 6 3 3 4" xfId="9408" xr:uid="{E2531383-607F-40B3-9D7D-344B5F8822CC}"/>
    <cellStyle name="Normal 4 6 3 4" xfId="1292" xr:uid="{00000000-0005-0000-0000-00006C160000}"/>
    <cellStyle name="Normal 4 6 3 4 2" xfId="3522" xr:uid="{00000000-0005-0000-0000-00006D160000}"/>
    <cellStyle name="Normal 4 6 3 4 2 2" xfId="7745" xr:uid="{00000000-0005-0000-0000-00006E160000}"/>
    <cellStyle name="Normal 4 6 3 4 2 2 2" xfId="16184" xr:uid="{179B87A1-31AA-49B3-9939-3A4AE787ED74}"/>
    <cellStyle name="Normal 4 6 3 4 2 3" xfId="11966" xr:uid="{AC32F045-7B99-4FBC-8361-DFF40192E185}"/>
    <cellStyle name="Normal 4 6 3 4 3" xfId="5600" xr:uid="{00000000-0005-0000-0000-00006F160000}"/>
    <cellStyle name="Normal 4 6 3 4 3 2" xfId="14039" xr:uid="{D71F3FBA-B49C-4419-9A0B-33B78076CF2B}"/>
    <cellStyle name="Normal 4 6 3 4 4" xfId="9821" xr:uid="{B276A3DE-59DD-452B-9DAD-11E20D219028}"/>
    <cellStyle name="Normal 4 6 3 5" xfId="1705" xr:uid="{00000000-0005-0000-0000-000070160000}"/>
    <cellStyle name="Normal 4 6 3 5 2" xfId="3935" xr:uid="{00000000-0005-0000-0000-000071160000}"/>
    <cellStyle name="Normal 4 6 3 5 2 2" xfId="8158" xr:uid="{00000000-0005-0000-0000-000072160000}"/>
    <cellStyle name="Normal 4 6 3 5 2 2 2" xfId="16597" xr:uid="{E35BAFCE-7C07-41F9-93FF-492D7EB1B266}"/>
    <cellStyle name="Normal 4 6 3 5 2 3" xfId="12379" xr:uid="{B75E13E5-4106-474D-B915-4121992D797B}"/>
    <cellStyle name="Normal 4 6 3 5 3" xfId="6013" xr:uid="{00000000-0005-0000-0000-000073160000}"/>
    <cellStyle name="Normal 4 6 3 5 3 2" xfId="14452" xr:uid="{895FD355-28F8-4F7C-99E1-94C453C52A3D}"/>
    <cellStyle name="Normal 4 6 3 5 4" xfId="10234" xr:uid="{3B770336-EA07-41F3-96DA-74D642896798}"/>
    <cellStyle name="Normal 4 6 3 6" xfId="2119" xr:uid="{00000000-0005-0000-0000-000074160000}"/>
    <cellStyle name="Normal 4 6 3 6 2" xfId="4348" xr:uid="{00000000-0005-0000-0000-000075160000}"/>
    <cellStyle name="Normal 4 6 3 6 2 2" xfId="8571" xr:uid="{00000000-0005-0000-0000-000076160000}"/>
    <cellStyle name="Normal 4 6 3 6 2 2 2" xfId="17010" xr:uid="{DA1CE4D8-E154-41E6-8B60-17566AC5BE6C}"/>
    <cellStyle name="Normal 4 6 3 6 2 3" xfId="12792" xr:uid="{83A8E118-C698-4C3D-8E84-0B4884965391}"/>
    <cellStyle name="Normal 4 6 3 6 3" xfId="6426" xr:uid="{00000000-0005-0000-0000-000077160000}"/>
    <cellStyle name="Normal 4 6 3 6 3 2" xfId="14865" xr:uid="{18D18CFF-3531-46BF-B20A-6A57FB4D27E9}"/>
    <cellStyle name="Normal 4 6 3 6 4" xfId="10647" xr:uid="{A69CC772-7590-476B-8EA3-C4C33CBDEE03}"/>
    <cellStyle name="Normal 4 6 3 7" xfId="2555" xr:uid="{00000000-0005-0000-0000-000078160000}"/>
    <cellStyle name="Normal 4 6 3 7 2" xfId="6839" xr:uid="{00000000-0005-0000-0000-000079160000}"/>
    <cellStyle name="Normal 4 6 3 7 2 2" xfId="15278" xr:uid="{71B34AC2-575C-4B3D-84B8-DFF2EB5E6420}"/>
    <cellStyle name="Normal 4 6 3 7 3" xfId="11060" xr:uid="{CC2A497E-C353-4CD6-9297-FF4AF95D584F}"/>
    <cellStyle name="Normal 4 6 3 8" xfId="4774" xr:uid="{00000000-0005-0000-0000-00007A160000}"/>
    <cellStyle name="Normal 4 6 3 8 2" xfId="13213" xr:uid="{AAA84F31-59A2-443B-84F9-AFCDC29642D9}"/>
    <cellStyle name="Normal 4 6 3 9" xfId="8995" xr:uid="{F4AA27C5-5F65-4B1F-A008-37325B62196E}"/>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2 2 2" xfId="15773" xr:uid="{FD4524D1-055F-416C-87EE-7B273F3EAC91}"/>
    <cellStyle name="Normal 4 6 4 2 2 3" xfId="11555" xr:uid="{34DF8271-5B43-4A17-915A-97963E1EA8C3}"/>
    <cellStyle name="Normal 4 6 4 2 3" xfId="5189" xr:uid="{00000000-0005-0000-0000-00007F160000}"/>
    <cellStyle name="Normal 4 6 4 2 3 2" xfId="13628" xr:uid="{8E80D757-B52A-43DD-9467-7F1166AC4F00}"/>
    <cellStyle name="Normal 4 6 4 2 4" xfId="9410" xr:uid="{1015EFB4-6EF3-448F-B213-85BEE5CDA4A9}"/>
    <cellStyle name="Normal 4 6 4 3" xfId="1294" xr:uid="{00000000-0005-0000-0000-000080160000}"/>
    <cellStyle name="Normal 4 6 4 3 2" xfId="3524" xr:uid="{00000000-0005-0000-0000-000081160000}"/>
    <cellStyle name="Normal 4 6 4 3 2 2" xfId="7747" xr:uid="{00000000-0005-0000-0000-000082160000}"/>
    <cellStyle name="Normal 4 6 4 3 2 2 2" xfId="16186" xr:uid="{BFF5280C-77E2-419A-B3D3-0D6C6094C95D}"/>
    <cellStyle name="Normal 4 6 4 3 2 3" xfId="11968" xr:uid="{04ADC9CA-FE79-408D-9ED7-73BAC97E1BF7}"/>
    <cellStyle name="Normal 4 6 4 3 3" xfId="5602" xr:uid="{00000000-0005-0000-0000-000083160000}"/>
    <cellStyle name="Normal 4 6 4 3 3 2" xfId="14041" xr:uid="{137996DA-9A4C-4995-9AE7-51E571520E32}"/>
    <cellStyle name="Normal 4 6 4 3 4" xfId="9823" xr:uid="{A7282510-B9F1-41B4-A8E0-609127F8FC73}"/>
    <cellStyle name="Normal 4 6 4 4" xfId="1707" xr:uid="{00000000-0005-0000-0000-000084160000}"/>
    <cellStyle name="Normal 4 6 4 4 2" xfId="3937" xr:uid="{00000000-0005-0000-0000-000085160000}"/>
    <cellStyle name="Normal 4 6 4 4 2 2" xfId="8160" xr:uid="{00000000-0005-0000-0000-000086160000}"/>
    <cellStyle name="Normal 4 6 4 4 2 2 2" xfId="16599" xr:uid="{136E18DE-CF58-40ED-846D-637F0B3B3EE7}"/>
    <cellStyle name="Normal 4 6 4 4 2 3" xfId="12381" xr:uid="{F75DC160-8B53-4AEA-B4DB-6FF5AF0C5FB1}"/>
    <cellStyle name="Normal 4 6 4 4 3" xfId="6015" xr:uid="{00000000-0005-0000-0000-000087160000}"/>
    <cellStyle name="Normal 4 6 4 4 3 2" xfId="14454" xr:uid="{9E02EE99-60AE-4B5F-880E-AB4B7F36C696}"/>
    <cellStyle name="Normal 4 6 4 4 4" xfId="10236" xr:uid="{D6196DF2-742C-4972-82CA-925DFCF10A30}"/>
    <cellStyle name="Normal 4 6 4 5" xfId="2121" xr:uid="{00000000-0005-0000-0000-000088160000}"/>
    <cellStyle name="Normal 4 6 4 5 2" xfId="4350" xr:uid="{00000000-0005-0000-0000-000089160000}"/>
    <cellStyle name="Normal 4 6 4 5 2 2" xfId="8573" xr:uid="{00000000-0005-0000-0000-00008A160000}"/>
    <cellStyle name="Normal 4 6 4 5 2 2 2" xfId="17012" xr:uid="{841BF1EF-8FFD-4A0A-952A-BDB4601A1D28}"/>
    <cellStyle name="Normal 4 6 4 5 2 3" xfId="12794" xr:uid="{B47C974F-4164-458C-931B-54AE99C602C4}"/>
    <cellStyle name="Normal 4 6 4 5 3" xfId="6428" xr:uid="{00000000-0005-0000-0000-00008B160000}"/>
    <cellStyle name="Normal 4 6 4 5 3 2" xfId="14867" xr:uid="{6A808E1C-93B8-45F5-83A1-87D70E6C4F35}"/>
    <cellStyle name="Normal 4 6 4 5 4" xfId="10649" xr:uid="{18C7399E-EA89-4868-A5ED-F2A666A6B3E6}"/>
    <cellStyle name="Normal 4 6 4 6" xfId="2557" xr:uid="{00000000-0005-0000-0000-00008C160000}"/>
    <cellStyle name="Normal 4 6 4 6 2" xfId="6841" xr:uid="{00000000-0005-0000-0000-00008D160000}"/>
    <cellStyle name="Normal 4 6 4 6 2 2" xfId="15280" xr:uid="{13B1E305-5396-4AFD-80AA-478BAB01D13A}"/>
    <cellStyle name="Normal 4 6 4 6 3" xfId="11062" xr:uid="{F83EC9E0-F66C-464A-A08D-B00020A38BFC}"/>
    <cellStyle name="Normal 4 6 4 7" xfId="4776" xr:uid="{00000000-0005-0000-0000-00008E160000}"/>
    <cellStyle name="Normal 4 6 4 7 2" xfId="13215" xr:uid="{8051265C-1B63-4CF3-A6CC-AE82CADD4A07}"/>
    <cellStyle name="Normal 4 6 4 8" xfId="8997" xr:uid="{2E957FF7-06AB-457B-A08C-90E0BEC06921}"/>
    <cellStyle name="Normal 4 6 5" xfId="869" xr:uid="{00000000-0005-0000-0000-00008F160000}"/>
    <cellStyle name="Normal 4 6 5 2" xfId="3104" xr:uid="{00000000-0005-0000-0000-000090160000}"/>
    <cellStyle name="Normal 4 6 5 2 2" xfId="7327" xr:uid="{00000000-0005-0000-0000-000091160000}"/>
    <cellStyle name="Normal 4 6 5 2 2 2" xfId="15766" xr:uid="{F0503F42-CF97-419B-B8E5-653BDC7345E3}"/>
    <cellStyle name="Normal 4 6 5 2 3" xfId="11548" xr:uid="{918E9DDE-60CB-4E1F-A428-580D80791849}"/>
    <cellStyle name="Normal 4 6 5 3" xfId="5182" xr:uid="{00000000-0005-0000-0000-000092160000}"/>
    <cellStyle name="Normal 4 6 5 3 2" xfId="13621" xr:uid="{18195201-CA33-471E-817B-1C0BBACE50F3}"/>
    <cellStyle name="Normal 4 6 5 4" xfId="9403" xr:uid="{8AE19BBC-B686-4DE9-A9C8-AE7F0243D933}"/>
    <cellStyle name="Normal 4 6 6" xfId="1287" xr:uid="{00000000-0005-0000-0000-000093160000}"/>
    <cellStyle name="Normal 4 6 6 2" xfId="3517" xr:uid="{00000000-0005-0000-0000-000094160000}"/>
    <cellStyle name="Normal 4 6 6 2 2" xfId="7740" xr:uid="{00000000-0005-0000-0000-000095160000}"/>
    <cellStyle name="Normal 4 6 6 2 2 2" xfId="16179" xr:uid="{0C9076F7-6814-4AFE-B511-02F873F3D73A}"/>
    <cellStyle name="Normal 4 6 6 2 3" xfId="11961" xr:uid="{84618F6B-E17B-45D2-865B-02E5B1C7BC06}"/>
    <cellStyle name="Normal 4 6 6 3" xfId="5595" xr:uid="{00000000-0005-0000-0000-000096160000}"/>
    <cellStyle name="Normal 4 6 6 3 2" xfId="14034" xr:uid="{9DAB2D91-1E02-4AB8-B189-6C51B8DDC73B}"/>
    <cellStyle name="Normal 4 6 6 4" xfId="9816" xr:uid="{4C63FF56-2BB7-4986-B3F3-B85B3F2DD30D}"/>
    <cellStyle name="Normal 4 6 7" xfId="1700" xr:uid="{00000000-0005-0000-0000-000097160000}"/>
    <cellStyle name="Normal 4 6 7 2" xfId="3930" xr:uid="{00000000-0005-0000-0000-000098160000}"/>
    <cellStyle name="Normal 4 6 7 2 2" xfId="8153" xr:uid="{00000000-0005-0000-0000-000099160000}"/>
    <cellStyle name="Normal 4 6 7 2 2 2" xfId="16592" xr:uid="{623D26C6-7AF8-4368-BD6D-6E1E98BE8187}"/>
    <cellStyle name="Normal 4 6 7 2 3" xfId="12374" xr:uid="{959CD7CF-071D-4BB3-8E63-F623350AE2CE}"/>
    <cellStyle name="Normal 4 6 7 3" xfId="6008" xr:uid="{00000000-0005-0000-0000-00009A160000}"/>
    <cellStyle name="Normal 4 6 7 3 2" xfId="14447" xr:uid="{0CF2B92B-29C9-4DBF-AB51-865E7752A3D3}"/>
    <cellStyle name="Normal 4 6 7 4" xfId="10229" xr:uid="{8C9CF864-9E7A-41C4-B29C-80F14A253669}"/>
    <cellStyle name="Normal 4 6 8" xfId="2114" xr:uid="{00000000-0005-0000-0000-00009B160000}"/>
    <cellStyle name="Normal 4 6 8 2" xfId="4343" xr:uid="{00000000-0005-0000-0000-00009C160000}"/>
    <cellStyle name="Normal 4 6 8 2 2" xfId="8566" xr:uid="{00000000-0005-0000-0000-00009D160000}"/>
    <cellStyle name="Normal 4 6 8 2 2 2" xfId="17005" xr:uid="{92B4732D-DFBB-4016-AC00-7E3E7319A68D}"/>
    <cellStyle name="Normal 4 6 8 2 3" xfId="12787" xr:uid="{FAD60164-F889-48FD-97E6-8F76C1602F7F}"/>
    <cellStyle name="Normal 4 6 8 3" xfId="6421" xr:uid="{00000000-0005-0000-0000-00009E160000}"/>
    <cellStyle name="Normal 4 6 8 3 2" xfId="14860" xr:uid="{4CEDB7B3-DC6C-4431-A7BF-071253B7932B}"/>
    <cellStyle name="Normal 4 6 8 4" xfId="10642" xr:uid="{9C86D09A-532A-4097-8EF0-14D28D47D3DC}"/>
    <cellStyle name="Normal 4 6 9" xfId="2550" xr:uid="{00000000-0005-0000-0000-00009F160000}"/>
    <cellStyle name="Normal 4 6 9 2" xfId="6834" xr:uid="{00000000-0005-0000-0000-0000A0160000}"/>
    <cellStyle name="Normal 4 6 9 2 2" xfId="15273" xr:uid="{63BBC890-947C-4DF1-836A-BF9DA7F72C93}"/>
    <cellStyle name="Normal 4 6 9 3" xfId="11055" xr:uid="{865428D9-1F82-4ED5-9AD1-3BFCC294EE05}"/>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2 2 2" xfId="15775" xr:uid="{B7D2CB0F-CDDF-4F37-A0AD-B2E9C4C125A2}"/>
    <cellStyle name="Normal 4 7 2 2 2 3" xfId="11557" xr:uid="{55B3BCA0-6C8D-4623-ADA2-004E377F4AAB}"/>
    <cellStyle name="Normal 4 7 2 2 3" xfId="5191" xr:uid="{00000000-0005-0000-0000-0000A6160000}"/>
    <cellStyle name="Normal 4 7 2 2 3 2" xfId="13630" xr:uid="{47945762-9D80-4C4E-ACEB-DD489B3708D7}"/>
    <cellStyle name="Normal 4 7 2 2 4" xfId="9412" xr:uid="{417AB4EF-50A8-4B60-B6D9-E3067FD52D1D}"/>
    <cellStyle name="Normal 4 7 2 3" xfId="1296" xr:uid="{00000000-0005-0000-0000-0000A7160000}"/>
    <cellStyle name="Normal 4 7 2 3 2" xfId="3526" xr:uid="{00000000-0005-0000-0000-0000A8160000}"/>
    <cellStyle name="Normal 4 7 2 3 2 2" xfId="7749" xr:uid="{00000000-0005-0000-0000-0000A9160000}"/>
    <cellStyle name="Normal 4 7 2 3 2 2 2" xfId="16188" xr:uid="{4A684B86-175E-4B01-AAB2-3B5190A105EB}"/>
    <cellStyle name="Normal 4 7 2 3 2 3" xfId="11970" xr:uid="{2F8F7E8A-7172-4EB2-99EE-5053AB5D0E77}"/>
    <cellStyle name="Normal 4 7 2 3 3" xfId="5604" xr:uid="{00000000-0005-0000-0000-0000AA160000}"/>
    <cellStyle name="Normal 4 7 2 3 3 2" xfId="14043" xr:uid="{9F2E7983-9491-421B-BBE9-05F4FE6F8C4E}"/>
    <cellStyle name="Normal 4 7 2 3 4" xfId="9825" xr:uid="{BA18C03A-950E-4E52-98C7-5AB00B601BC9}"/>
    <cellStyle name="Normal 4 7 2 4" xfId="1709" xr:uid="{00000000-0005-0000-0000-0000AB160000}"/>
    <cellStyle name="Normal 4 7 2 4 2" xfId="3939" xr:uid="{00000000-0005-0000-0000-0000AC160000}"/>
    <cellStyle name="Normal 4 7 2 4 2 2" xfId="8162" xr:uid="{00000000-0005-0000-0000-0000AD160000}"/>
    <cellStyle name="Normal 4 7 2 4 2 2 2" xfId="16601" xr:uid="{8FAD3812-8CEB-4553-86B2-75CCAB2C4668}"/>
    <cellStyle name="Normal 4 7 2 4 2 3" xfId="12383" xr:uid="{8B636853-90F7-4635-A174-0890EC08161F}"/>
    <cellStyle name="Normal 4 7 2 4 3" xfId="6017" xr:uid="{00000000-0005-0000-0000-0000AE160000}"/>
    <cellStyle name="Normal 4 7 2 4 3 2" xfId="14456" xr:uid="{75159787-C903-429A-A58A-ED19254A8104}"/>
    <cellStyle name="Normal 4 7 2 4 4" xfId="10238" xr:uid="{6EB6B572-4509-4BDD-ACDE-69E648E061EB}"/>
    <cellStyle name="Normal 4 7 2 5" xfId="2123" xr:uid="{00000000-0005-0000-0000-0000AF160000}"/>
    <cellStyle name="Normal 4 7 2 5 2" xfId="4352" xr:uid="{00000000-0005-0000-0000-0000B0160000}"/>
    <cellStyle name="Normal 4 7 2 5 2 2" xfId="8575" xr:uid="{00000000-0005-0000-0000-0000B1160000}"/>
    <cellStyle name="Normal 4 7 2 5 2 2 2" xfId="17014" xr:uid="{13BDFD4C-6568-47DA-BB9D-343D93AB5EA6}"/>
    <cellStyle name="Normal 4 7 2 5 2 3" xfId="12796" xr:uid="{8911C252-62B7-49AA-82F2-6CDB74946486}"/>
    <cellStyle name="Normal 4 7 2 5 3" xfId="6430" xr:uid="{00000000-0005-0000-0000-0000B2160000}"/>
    <cellStyle name="Normal 4 7 2 5 3 2" xfId="14869" xr:uid="{C063B7D7-1129-4FAF-849B-7394483281D0}"/>
    <cellStyle name="Normal 4 7 2 5 4" xfId="10651" xr:uid="{81794D99-53EF-4827-9C29-A1103F835F69}"/>
    <cellStyle name="Normal 4 7 2 6" xfId="2559" xr:uid="{00000000-0005-0000-0000-0000B3160000}"/>
    <cellStyle name="Normal 4 7 2 6 2" xfId="6843" xr:uid="{00000000-0005-0000-0000-0000B4160000}"/>
    <cellStyle name="Normal 4 7 2 6 2 2" xfId="15282" xr:uid="{A459E360-4BFB-4684-B1E6-A616E154A8D9}"/>
    <cellStyle name="Normal 4 7 2 6 3" xfId="11064" xr:uid="{E9C8C9CA-7306-47F3-8FA4-B4F3A73D3DD8}"/>
    <cellStyle name="Normal 4 7 2 7" xfId="4778" xr:uid="{00000000-0005-0000-0000-0000B5160000}"/>
    <cellStyle name="Normal 4 7 2 7 2" xfId="13217" xr:uid="{00FA2A4E-2C82-4F41-B23C-D2DDB359D548}"/>
    <cellStyle name="Normal 4 7 2 8" xfId="8999" xr:uid="{EEC20773-8F30-451F-B3A7-AC2AB06E7146}"/>
    <cellStyle name="Normal 4 7 3" xfId="877" xr:uid="{00000000-0005-0000-0000-0000B6160000}"/>
    <cellStyle name="Normal 4 7 3 2" xfId="3112" xr:uid="{00000000-0005-0000-0000-0000B7160000}"/>
    <cellStyle name="Normal 4 7 3 2 2" xfId="7335" xr:uid="{00000000-0005-0000-0000-0000B8160000}"/>
    <cellStyle name="Normal 4 7 3 2 2 2" xfId="15774" xr:uid="{799B5C7C-F190-4BD2-A2BE-D3B7F86C371E}"/>
    <cellStyle name="Normal 4 7 3 2 3" xfId="11556" xr:uid="{E32B12E9-73D5-4FF3-B635-4D17EC3AD310}"/>
    <cellStyle name="Normal 4 7 3 3" xfId="5190" xr:uid="{00000000-0005-0000-0000-0000B9160000}"/>
    <cellStyle name="Normal 4 7 3 3 2" xfId="13629" xr:uid="{0D1EA98F-8531-4C46-BE13-25364C7F5AB5}"/>
    <cellStyle name="Normal 4 7 3 4" xfId="9411" xr:uid="{04085702-F940-4439-B785-19D7353FF3F4}"/>
    <cellStyle name="Normal 4 7 4" xfId="1295" xr:uid="{00000000-0005-0000-0000-0000BA160000}"/>
    <cellStyle name="Normal 4 7 4 2" xfId="3525" xr:uid="{00000000-0005-0000-0000-0000BB160000}"/>
    <cellStyle name="Normal 4 7 4 2 2" xfId="7748" xr:uid="{00000000-0005-0000-0000-0000BC160000}"/>
    <cellStyle name="Normal 4 7 4 2 2 2" xfId="16187" xr:uid="{C70AC353-6832-4A4E-B066-0CAAAF944F38}"/>
    <cellStyle name="Normal 4 7 4 2 3" xfId="11969" xr:uid="{A3F9FD66-4218-40E2-95BE-A2A0CEC6CA84}"/>
    <cellStyle name="Normal 4 7 4 3" xfId="5603" xr:uid="{00000000-0005-0000-0000-0000BD160000}"/>
    <cellStyle name="Normal 4 7 4 3 2" xfId="14042" xr:uid="{A4594EAF-BA0D-4967-AFEC-C92AFAD87807}"/>
    <cellStyle name="Normal 4 7 4 4" xfId="9824" xr:uid="{DBF8FE47-367F-4007-90BE-CA65E160D569}"/>
    <cellStyle name="Normal 4 7 5" xfId="1708" xr:uid="{00000000-0005-0000-0000-0000BE160000}"/>
    <cellStyle name="Normal 4 7 5 2" xfId="3938" xr:uid="{00000000-0005-0000-0000-0000BF160000}"/>
    <cellStyle name="Normal 4 7 5 2 2" xfId="8161" xr:uid="{00000000-0005-0000-0000-0000C0160000}"/>
    <cellStyle name="Normal 4 7 5 2 2 2" xfId="16600" xr:uid="{05098A7C-CD73-4DD1-9C10-1406747130AF}"/>
    <cellStyle name="Normal 4 7 5 2 3" xfId="12382" xr:uid="{47328A6D-3EEA-4A24-87A7-FD213848DEDC}"/>
    <cellStyle name="Normal 4 7 5 3" xfId="6016" xr:uid="{00000000-0005-0000-0000-0000C1160000}"/>
    <cellStyle name="Normal 4 7 5 3 2" xfId="14455" xr:uid="{6F2B8F58-863B-4B36-9DE9-8D239773B6E9}"/>
    <cellStyle name="Normal 4 7 5 4" xfId="10237" xr:uid="{1D34DBB0-5DF5-436B-B444-C739766C7E50}"/>
    <cellStyle name="Normal 4 7 6" xfId="2122" xr:uid="{00000000-0005-0000-0000-0000C2160000}"/>
    <cellStyle name="Normal 4 7 6 2" xfId="4351" xr:uid="{00000000-0005-0000-0000-0000C3160000}"/>
    <cellStyle name="Normal 4 7 6 2 2" xfId="8574" xr:uid="{00000000-0005-0000-0000-0000C4160000}"/>
    <cellStyle name="Normal 4 7 6 2 2 2" xfId="17013" xr:uid="{E165A730-6A9D-451C-A50A-E4B924F6AE92}"/>
    <cellStyle name="Normal 4 7 6 2 3" xfId="12795" xr:uid="{F7BFE25E-B9F6-492F-9C02-DCBEBDB9AE8B}"/>
    <cellStyle name="Normal 4 7 6 3" xfId="6429" xr:uid="{00000000-0005-0000-0000-0000C5160000}"/>
    <cellStyle name="Normal 4 7 6 3 2" xfId="14868" xr:uid="{894D351A-3401-4A4D-AADB-E2DC150B6D6E}"/>
    <cellStyle name="Normal 4 7 6 4" xfId="10650" xr:uid="{0133ECE9-94F7-4DBB-BBA3-FFD359F6D296}"/>
    <cellStyle name="Normal 4 7 7" xfId="2558" xr:uid="{00000000-0005-0000-0000-0000C6160000}"/>
    <cellStyle name="Normal 4 7 7 2" xfId="6842" xr:uid="{00000000-0005-0000-0000-0000C7160000}"/>
    <cellStyle name="Normal 4 7 7 2 2" xfId="15281" xr:uid="{771E9EB1-5F14-4DAB-89DE-7B18B9F8C5C7}"/>
    <cellStyle name="Normal 4 7 7 3" xfId="11063" xr:uid="{F00FCA6F-6B8D-454C-88AE-984C3907EB08}"/>
    <cellStyle name="Normal 4 7 8" xfId="4777" xr:uid="{00000000-0005-0000-0000-0000C8160000}"/>
    <cellStyle name="Normal 4 7 8 2" xfId="13216" xr:uid="{69535DC9-7B1E-44A8-B3B1-0436C3719506}"/>
    <cellStyle name="Normal 4 7 9" xfId="8998" xr:uid="{188B5582-B874-46EE-B3B0-0D1E29ED6CBA}"/>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2 2 2" xfId="15776" xr:uid="{44A6E795-0D14-406F-8A63-C9220A376FE2}"/>
    <cellStyle name="Normal 4 8 2 2 3" xfId="11558" xr:uid="{2E59BA3A-6461-42F6-A621-D4ED8CBDE1FC}"/>
    <cellStyle name="Normal 4 8 2 3" xfId="5192" xr:uid="{00000000-0005-0000-0000-0000CD160000}"/>
    <cellStyle name="Normal 4 8 2 3 2" xfId="13631" xr:uid="{9F144BD1-4490-4504-B4CC-A3A1F8A00FE0}"/>
    <cellStyle name="Normal 4 8 2 4" xfId="9413" xr:uid="{07C52131-44CE-4C5F-8B5B-812B23D48C36}"/>
    <cellStyle name="Normal 4 8 3" xfId="1297" xr:uid="{00000000-0005-0000-0000-0000CE160000}"/>
    <cellStyle name="Normal 4 8 3 2" xfId="3527" xr:uid="{00000000-0005-0000-0000-0000CF160000}"/>
    <cellStyle name="Normal 4 8 3 2 2" xfId="7750" xr:uid="{00000000-0005-0000-0000-0000D0160000}"/>
    <cellStyle name="Normal 4 8 3 2 2 2" xfId="16189" xr:uid="{213F7548-13A4-4EFD-BEF2-5AD24183DC8A}"/>
    <cellStyle name="Normal 4 8 3 2 3" xfId="11971" xr:uid="{01D27E77-F81A-4467-83BD-E69C1BAF3BDF}"/>
    <cellStyle name="Normal 4 8 3 3" xfId="5605" xr:uid="{00000000-0005-0000-0000-0000D1160000}"/>
    <cellStyle name="Normal 4 8 3 3 2" xfId="14044" xr:uid="{A6E35026-B944-423B-A6FD-6D955166A646}"/>
    <cellStyle name="Normal 4 8 3 4" xfId="9826" xr:uid="{768CFA38-6DE2-494C-A475-96143999F285}"/>
    <cellStyle name="Normal 4 8 4" xfId="1710" xr:uid="{00000000-0005-0000-0000-0000D2160000}"/>
    <cellStyle name="Normal 4 8 4 2" xfId="3940" xr:uid="{00000000-0005-0000-0000-0000D3160000}"/>
    <cellStyle name="Normal 4 8 4 2 2" xfId="8163" xr:uid="{00000000-0005-0000-0000-0000D4160000}"/>
    <cellStyle name="Normal 4 8 4 2 2 2" xfId="16602" xr:uid="{B9CFF94D-7ABF-41D8-A5C1-6C914EC6B854}"/>
    <cellStyle name="Normal 4 8 4 2 3" xfId="12384" xr:uid="{D9044F33-89DB-424E-8EE1-E27ECBC2BD6C}"/>
    <cellStyle name="Normal 4 8 4 3" xfId="6018" xr:uid="{00000000-0005-0000-0000-0000D5160000}"/>
    <cellStyle name="Normal 4 8 4 3 2" xfId="14457" xr:uid="{270FC6DC-B390-490A-9EAD-A2DAE23EA6EC}"/>
    <cellStyle name="Normal 4 8 4 4" xfId="10239" xr:uid="{8E09BA0A-818B-4330-AAC9-4F20448F0D2C}"/>
    <cellStyle name="Normal 4 8 5" xfId="2124" xr:uid="{00000000-0005-0000-0000-0000D6160000}"/>
    <cellStyle name="Normal 4 8 5 2" xfId="4353" xr:uid="{00000000-0005-0000-0000-0000D7160000}"/>
    <cellStyle name="Normal 4 8 5 2 2" xfId="8576" xr:uid="{00000000-0005-0000-0000-0000D8160000}"/>
    <cellStyle name="Normal 4 8 5 2 2 2" xfId="17015" xr:uid="{5F7E77FF-AE97-4A07-BD4F-B900D3635753}"/>
    <cellStyle name="Normal 4 8 5 2 3" xfId="12797" xr:uid="{71CE8A20-0806-4796-8F3E-04CD61817C72}"/>
    <cellStyle name="Normal 4 8 5 3" xfId="6431" xr:uid="{00000000-0005-0000-0000-0000D9160000}"/>
    <cellStyle name="Normal 4 8 5 3 2" xfId="14870" xr:uid="{6D8D1AAD-BC5E-41E3-9065-DA6A6EC204C6}"/>
    <cellStyle name="Normal 4 8 5 4" xfId="10652" xr:uid="{FDC48B88-F0CE-4A32-ABE7-A0D71EC47EFB}"/>
    <cellStyle name="Normal 4 8 6" xfId="2560" xr:uid="{00000000-0005-0000-0000-0000DA160000}"/>
    <cellStyle name="Normal 4 8 6 2" xfId="6844" xr:uid="{00000000-0005-0000-0000-0000DB160000}"/>
    <cellStyle name="Normal 4 8 6 2 2" xfId="15283" xr:uid="{8E92179F-3C7D-4B9E-B9F9-CEA661CECCE0}"/>
    <cellStyle name="Normal 4 8 6 3" xfId="11065" xr:uid="{B33AB4E2-3064-4D29-BE50-89560C9B0778}"/>
    <cellStyle name="Normal 4 8 7" xfId="4779" xr:uid="{00000000-0005-0000-0000-0000DC160000}"/>
    <cellStyle name="Normal 4 8 7 2" xfId="13218" xr:uid="{5509AD8F-097B-491F-B54E-81F2752C71CE}"/>
    <cellStyle name="Normal 4 8 8" xfId="9000" xr:uid="{981F358B-305D-422E-AE54-CD71F297504B}"/>
    <cellStyle name="Normal 4 9" xfId="4716" xr:uid="{00000000-0005-0000-0000-0000DD160000}"/>
    <cellStyle name="Normal 4 9 2" xfId="13155" xr:uid="{0905135C-0215-465F-936E-35E71B860CEB}"/>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2 2 2" xfId="16603" xr:uid="{56A5E90D-E06C-46BE-B730-959384384705}"/>
    <cellStyle name="Normal 5 10 2 3" xfId="12385" xr:uid="{FFE65834-4B46-4268-8A9F-D37C76D5A8DF}"/>
    <cellStyle name="Normal 5 10 3" xfId="6019" xr:uid="{00000000-0005-0000-0000-0000E2160000}"/>
    <cellStyle name="Normal 5 10 3 2" xfId="14458" xr:uid="{FF552C81-86B1-4EAA-A3E3-0A9DFA7777D5}"/>
    <cellStyle name="Normal 5 10 4" xfId="10240" xr:uid="{62CDDA37-026D-488A-A9DF-7231F4BC231B}"/>
    <cellStyle name="Normal 5 11" xfId="2125" xr:uid="{00000000-0005-0000-0000-0000E3160000}"/>
    <cellStyle name="Normal 5 11 2" xfId="4354" xr:uid="{00000000-0005-0000-0000-0000E4160000}"/>
    <cellStyle name="Normal 5 11 2 2" xfId="8577" xr:uid="{00000000-0005-0000-0000-0000E5160000}"/>
    <cellStyle name="Normal 5 11 2 2 2" xfId="17016" xr:uid="{CCD159CD-7184-42F4-8B24-9D35DA445727}"/>
    <cellStyle name="Normal 5 11 2 3" xfId="12798" xr:uid="{EAC73C20-2CB9-4C88-91F6-559E37CD4DE9}"/>
    <cellStyle name="Normal 5 11 3" xfId="6432" xr:uid="{00000000-0005-0000-0000-0000E6160000}"/>
    <cellStyle name="Normal 5 11 3 2" xfId="14871" xr:uid="{DD333825-9870-465B-AEF2-652E0C7995EE}"/>
    <cellStyle name="Normal 5 11 4" xfId="10653" xr:uid="{E3CB509F-6C67-4B9E-B7DE-1EC2A6190C31}"/>
    <cellStyle name="Normal 5 12" xfId="2561" xr:uid="{00000000-0005-0000-0000-0000E7160000}"/>
    <cellStyle name="Normal 5 12 2" xfId="6845" xr:uid="{00000000-0005-0000-0000-0000E8160000}"/>
    <cellStyle name="Normal 5 12 2 2" xfId="15284" xr:uid="{B0F8EF23-3236-42F6-8938-D77D242BD564}"/>
    <cellStyle name="Normal 5 12 3" xfId="11066" xr:uid="{3AAD77A2-327C-40C6-A2A1-9BB98987E746}"/>
    <cellStyle name="Normal 5 13" xfId="4780" xr:uid="{00000000-0005-0000-0000-0000E9160000}"/>
    <cellStyle name="Normal 5 13 2" xfId="13219" xr:uid="{80378EF4-F42F-4780-9825-6810C875026E}"/>
    <cellStyle name="Normal 5 14" xfId="9001" xr:uid="{4BB9FC2F-B133-40A0-8197-E694DE5DF27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2 2 2" xfId="17017" xr:uid="{A5B48FDC-AD72-4888-82CA-86FD5C837F64}"/>
    <cellStyle name="Normal 5 2 10 2 3" xfId="12799" xr:uid="{74977094-6D35-4FD7-9F52-E51190D8D19A}"/>
    <cellStyle name="Normal 5 2 10 3" xfId="6433" xr:uid="{00000000-0005-0000-0000-0000EE160000}"/>
    <cellStyle name="Normal 5 2 10 3 2" xfId="14872" xr:uid="{52BA4F7A-B835-4FE8-B231-EF91B48A1A36}"/>
    <cellStyle name="Normal 5 2 10 4" xfId="10654" xr:uid="{AD496799-6FAF-441B-8F85-D2B18A86A321}"/>
    <cellStyle name="Normal 5 2 11" xfId="2562" xr:uid="{00000000-0005-0000-0000-0000EF160000}"/>
    <cellStyle name="Normal 5 2 11 2" xfId="6846" xr:uid="{00000000-0005-0000-0000-0000F0160000}"/>
    <cellStyle name="Normal 5 2 11 2 2" xfId="15285" xr:uid="{CEF19C8E-86F3-43E8-B73F-703638CBF982}"/>
    <cellStyle name="Normal 5 2 11 3" xfId="11067" xr:uid="{4E062761-F258-4C87-9366-0C4647582416}"/>
    <cellStyle name="Normal 5 2 12" xfId="4781" xr:uid="{00000000-0005-0000-0000-0000F1160000}"/>
    <cellStyle name="Normal 5 2 12 2" xfId="13220" xr:uid="{412BABC8-2122-4851-8003-024FCFBADB89}"/>
    <cellStyle name="Normal 5 2 13" xfId="9002" xr:uid="{99EAD386-8144-4B9F-B885-BB3EA82B65EF}"/>
    <cellStyle name="Normal 5 2 2" xfId="408" xr:uid="{00000000-0005-0000-0000-0000F2160000}"/>
    <cellStyle name="Normal 5 2 2 10" xfId="2563" xr:uid="{00000000-0005-0000-0000-0000F3160000}"/>
    <cellStyle name="Normal 5 2 2 10 2" xfId="6847" xr:uid="{00000000-0005-0000-0000-0000F4160000}"/>
    <cellStyle name="Normal 5 2 2 10 2 2" xfId="15286" xr:uid="{75CA1E19-DC26-43B6-BB32-BE54B2882F2D}"/>
    <cellStyle name="Normal 5 2 2 10 3" xfId="11068" xr:uid="{1BF40534-DC07-46E3-98FC-43C9A3A5E61A}"/>
    <cellStyle name="Normal 5 2 2 11" xfId="4782" xr:uid="{00000000-0005-0000-0000-0000F5160000}"/>
    <cellStyle name="Normal 5 2 2 11 2" xfId="13221" xr:uid="{5EF5DC72-8012-41B2-8B33-FC6D712727A0}"/>
    <cellStyle name="Normal 5 2 2 12" xfId="9003" xr:uid="{DBE5D860-2673-4D31-8513-66BD16CA6194}"/>
    <cellStyle name="Normal 5 2 2 2" xfId="409" xr:uid="{00000000-0005-0000-0000-0000F6160000}"/>
    <cellStyle name="Normal 5 2 2 2 10" xfId="4783" xr:uid="{00000000-0005-0000-0000-0000F7160000}"/>
    <cellStyle name="Normal 5 2 2 2 10 2" xfId="13222" xr:uid="{B2129608-077E-4D11-AEAE-FF5F9DF9F463}"/>
    <cellStyle name="Normal 5 2 2 2 11" xfId="9004" xr:uid="{D0FBCA06-A33A-46FC-9718-6155738E0CCB}"/>
    <cellStyle name="Normal 5 2 2 2 2" xfId="410" xr:uid="{00000000-0005-0000-0000-0000F8160000}"/>
    <cellStyle name="Normal 5 2 2 2 2 10" xfId="9005" xr:uid="{AC271561-7019-4B3A-8065-AD09BF9494F9}"/>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15783" xr:uid="{734AD0AF-08C2-4055-AC32-C94B60F4F620}"/>
    <cellStyle name="Normal 5 2 2 2 2 2 2 2 2 3" xfId="11565" xr:uid="{730FD783-A32F-41AA-A120-423662F864B3}"/>
    <cellStyle name="Normal 5 2 2 2 2 2 2 2 3" xfId="5199" xr:uid="{00000000-0005-0000-0000-0000FE160000}"/>
    <cellStyle name="Normal 5 2 2 2 2 2 2 2 3 2" xfId="13638" xr:uid="{87002974-D2CA-49AF-B9BB-C1F878905585}"/>
    <cellStyle name="Normal 5 2 2 2 2 2 2 2 4" xfId="9420" xr:uid="{0D576632-9A85-4333-9084-04AC0B2092B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2 2" xfId="16196" xr:uid="{F43B8881-75B6-4F89-B9EE-8E83108C2A96}"/>
    <cellStyle name="Normal 5 2 2 2 2 2 2 3 2 3" xfId="11978" xr:uid="{57824921-4B13-4822-AFC6-4D7AE55E2CE6}"/>
    <cellStyle name="Normal 5 2 2 2 2 2 2 3 3" xfId="5612" xr:uid="{00000000-0005-0000-0000-000002170000}"/>
    <cellStyle name="Normal 5 2 2 2 2 2 2 3 3 2" xfId="14051" xr:uid="{292C424A-F17B-4566-BCA2-8DD4B8DC7F83}"/>
    <cellStyle name="Normal 5 2 2 2 2 2 2 3 4" xfId="9833" xr:uid="{A4223486-3D5C-44A5-B94C-1125C530614A}"/>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2 2 2" xfId="16609" xr:uid="{2AB22A06-56B6-4213-BB54-326ED8F9FE2B}"/>
    <cellStyle name="Normal 5 2 2 2 2 2 2 4 2 3" xfId="12391" xr:uid="{BFAF4FC0-1BB1-4BAD-8E87-858F2EA7B290}"/>
    <cellStyle name="Normal 5 2 2 2 2 2 2 4 3" xfId="6025" xr:uid="{00000000-0005-0000-0000-000006170000}"/>
    <cellStyle name="Normal 5 2 2 2 2 2 2 4 3 2" xfId="14464" xr:uid="{CA516710-C86A-4F80-8F44-2704A2ED38E0}"/>
    <cellStyle name="Normal 5 2 2 2 2 2 2 4 4" xfId="10246" xr:uid="{05FDB67B-0A36-462B-8D11-3EEB9BBD7B96}"/>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2 2 2" xfId="17022" xr:uid="{31091CEA-0204-45F6-A233-61473399134B}"/>
    <cellStyle name="Normal 5 2 2 2 2 2 2 5 2 3" xfId="12804" xr:uid="{4994E154-CB15-4086-87C0-F5206DBCBAAB}"/>
    <cellStyle name="Normal 5 2 2 2 2 2 2 5 3" xfId="6438" xr:uid="{00000000-0005-0000-0000-00000A170000}"/>
    <cellStyle name="Normal 5 2 2 2 2 2 2 5 3 2" xfId="14877" xr:uid="{B442E01C-6569-40F0-9AF5-3C432A0B6A8F}"/>
    <cellStyle name="Normal 5 2 2 2 2 2 2 5 4" xfId="10659" xr:uid="{C4872912-0E5F-48AF-A8A9-EDB20A9BE4C5}"/>
    <cellStyle name="Normal 5 2 2 2 2 2 2 6" xfId="2567" xr:uid="{00000000-0005-0000-0000-00000B170000}"/>
    <cellStyle name="Normal 5 2 2 2 2 2 2 6 2" xfId="6851" xr:uid="{00000000-0005-0000-0000-00000C170000}"/>
    <cellStyle name="Normal 5 2 2 2 2 2 2 6 2 2" xfId="15290" xr:uid="{6B76DBFA-E8F7-4295-BBE4-52E8A5ED05D1}"/>
    <cellStyle name="Normal 5 2 2 2 2 2 2 6 3" xfId="11072" xr:uid="{FB16C888-F6E7-4004-ADB4-E9CB5E8DFC2B}"/>
    <cellStyle name="Normal 5 2 2 2 2 2 2 7" xfId="4786" xr:uid="{00000000-0005-0000-0000-00000D170000}"/>
    <cellStyle name="Normal 5 2 2 2 2 2 2 7 2" xfId="13225" xr:uid="{471394CF-6F83-4B78-83CF-6BD8CDF6DCA2}"/>
    <cellStyle name="Normal 5 2 2 2 2 2 2 8" xfId="9007" xr:uid="{24D6818D-54AF-4165-AF85-F0AE7301D618}"/>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15782" xr:uid="{BE28508F-CAE7-4FEF-B286-B6BF8DDC9229}"/>
    <cellStyle name="Normal 5 2 2 2 2 2 3 2 3" xfId="11564" xr:uid="{8DF3DB2B-A51E-46E9-A311-425A3515B168}"/>
    <cellStyle name="Normal 5 2 2 2 2 2 3 3" xfId="5198" xr:uid="{00000000-0005-0000-0000-000011170000}"/>
    <cellStyle name="Normal 5 2 2 2 2 2 3 3 2" xfId="13637" xr:uid="{5231C40B-359D-421C-A7E2-05D654E1B78E}"/>
    <cellStyle name="Normal 5 2 2 2 2 2 3 4" xfId="9419" xr:uid="{670EAEF6-B508-44F3-8D91-59D9D8543B37}"/>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2 2" xfId="16195" xr:uid="{27AEA440-E8C5-450C-9019-EA90EEAFBA17}"/>
    <cellStyle name="Normal 5 2 2 2 2 2 4 2 3" xfId="11977" xr:uid="{310526B0-B9FA-4A8B-A6C0-3E2FE9003D54}"/>
    <cellStyle name="Normal 5 2 2 2 2 2 4 3" xfId="5611" xr:uid="{00000000-0005-0000-0000-000015170000}"/>
    <cellStyle name="Normal 5 2 2 2 2 2 4 3 2" xfId="14050" xr:uid="{07A2C52D-693B-427F-9CC3-8FA77283626A}"/>
    <cellStyle name="Normal 5 2 2 2 2 2 4 4" xfId="9832" xr:uid="{0E497C89-E87C-4A34-80DE-95E3682FA882}"/>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2 2 2" xfId="16608" xr:uid="{3D828585-855F-4DEC-BA3D-A3432A49EA95}"/>
    <cellStyle name="Normal 5 2 2 2 2 2 5 2 3" xfId="12390" xr:uid="{F7402935-8CD5-4C80-A84C-2A162F627C25}"/>
    <cellStyle name="Normal 5 2 2 2 2 2 5 3" xfId="6024" xr:uid="{00000000-0005-0000-0000-000019170000}"/>
    <cellStyle name="Normal 5 2 2 2 2 2 5 3 2" xfId="14463" xr:uid="{268FF08B-578F-4E05-B428-6937D346B4AF}"/>
    <cellStyle name="Normal 5 2 2 2 2 2 5 4" xfId="10245" xr:uid="{E911E745-5D99-48A1-9863-F1CEF1B87422}"/>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2 2 2" xfId="17021" xr:uid="{C07E4D66-66A8-4D5F-A047-A403F06AFB7D}"/>
    <cellStyle name="Normal 5 2 2 2 2 2 6 2 3" xfId="12803" xr:uid="{ADEBD5F0-174E-4B67-BEE1-53298C0CE4D2}"/>
    <cellStyle name="Normal 5 2 2 2 2 2 6 3" xfId="6437" xr:uid="{00000000-0005-0000-0000-00001D170000}"/>
    <cellStyle name="Normal 5 2 2 2 2 2 6 3 2" xfId="14876" xr:uid="{D5C16705-089C-4C88-8BC7-43C41DD03894}"/>
    <cellStyle name="Normal 5 2 2 2 2 2 6 4" xfId="10658" xr:uid="{EF0BFF52-FA25-443C-B5F7-A7168A732B58}"/>
    <cellStyle name="Normal 5 2 2 2 2 2 7" xfId="2566" xr:uid="{00000000-0005-0000-0000-00001E170000}"/>
    <cellStyle name="Normal 5 2 2 2 2 2 7 2" xfId="6850" xr:uid="{00000000-0005-0000-0000-00001F170000}"/>
    <cellStyle name="Normal 5 2 2 2 2 2 7 2 2" xfId="15289" xr:uid="{BC404214-FA0F-453D-A271-59B2376F925B}"/>
    <cellStyle name="Normal 5 2 2 2 2 2 7 3" xfId="11071" xr:uid="{E2298C08-1201-42D5-AC1B-0B6796F347E4}"/>
    <cellStyle name="Normal 5 2 2 2 2 2 8" xfId="4785" xr:uid="{00000000-0005-0000-0000-000020170000}"/>
    <cellStyle name="Normal 5 2 2 2 2 2 8 2" xfId="13224" xr:uid="{117AE525-F394-4949-8F77-3B9D818E10BD}"/>
    <cellStyle name="Normal 5 2 2 2 2 2 9" xfId="9006" xr:uid="{A09856AC-1F4D-4B0D-AA8C-ABD4150FC817}"/>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15784" xr:uid="{BA179E5D-168B-4885-9E06-421663A7819C}"/>
    <cellStyle name="Normal 5 2 2 2 2 3 2 2 3" xfId="11566" xr:uid="{4DCD42BE-BF9E-44C9-93EC-B576E45EA840}"/>
    <cellStyle name="Normal 5 2 2 2 2 3 2 3" xfId="5200" xr:uid="{00000000-0005-0000-0000-000025170000}"/>
    <cellStyle name="Normal 5 2 2 2 2 3 2 3 2" xfId="13639" xr:uid="{4BB92F5D-1B76-419C-AB64-36DC8E58B13A}"/>
    <cellStyle name="Normal 5 2 2 2 2 3 2 4" xfId="9421" xr:uid="{78D9411B-C4B0-4B1B-AFFB-4547E95E5564}"/>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2 2" xfId="16197" xr:uid="{9E61D313-C18D-4A53-A213-DBA69BB9E587}"/>
    <cellStyle name="Normal 5 2 2 2 2 3 3 2 3" xfId="11979" xr:uid="{2A8B274A-3760-4DE3-BC72-99B0946340F5}"/>
    <cellStyle name="Normal 5 2 2 2 2 3 3 3" xfId="5613" xr:uid="{00000000-0005-0000-0000-000029170000}"/>
    <cellStyle name="Normal 5 2 2 2 2 3 3 3 2" xfId="14052" xr:uid="{FC31618B-C7DE-43CF-B534-934F9F326E84}"/>
    <cellStyle name="Normal 5 2 2 2 2 3 3 4" xfId="9834" xr:uid="{7C91F666-F530-44DE-A8FF-37D7306CECEE}"/>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2 2 2" xfId="16610" xr:uid="{E603E201-0464-44B9-81CF-7820E45CC13B}"/>
    <cellStyle name="Normal 5 2 2 2 2 3 4 2 3" xfId="12392" xr:uid="{57357FC0-74F5-4F68-870D-6C7871FA789E}"/>
    <cellStyle name="Normal 5 2 2 2 2 3 4 3" xfId="6026" xr:uid="{00000000-0005-0000-0000-00002D170000}"/>
    <cellStyle name="Normal 5 2 2 2 2 3 4 3 2" xfId="14465" xr:uid="{B0EC31FE-4B40-48C0-82D8-D1D6E12DAA79}"/>
    <cellStyle name="Normal 5 2 2 2 2 3 4 4" xfId="10247" xr:uid="{096FBAD0-40C9-452F-87C9-545A83556085}"/>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2 2 2" xfId="17023" xr:uid="{FF01989C-B3D3-4938-8E1E-453427DCD38B}"/>
    <cellStyle name="Normal 5 2 2 2 2 3 5 2 3" xfId="12805" xr:uid="{81B7631B-0ED4-4344-B609-CA0C31435328}"/>
    <cellStyle name="Normal 5 2 2 2 2 3 5 3" xfId="6439" xr:uid="{00000000-0005-0000-0000-000031170000}"/>
    <cellStyle name="Normal 5 2 2 2 2 3 5 3 2" xfId="14878" xr:uid="{72E23728-EEEE-4CD8-8EF5-82183C3ADEA0}"/>
    <cellStyle name="Normal 5 2 2 2 2 3 5 4" xfId="10660" xr:uid="{05D23CB3-18F4-46B6-8EBC-92CBB558452E}"/>
    <cellStyle name="Normal 5 2 2 2 2 3 6" xfId="2568" xr:uid="{00000000-0005-0000-0000-000032170000}"/>
    <cellStyle name="Normal 5 2 2 2 2 3 6 2" xfId="6852" xr:uid="{00000000-0005-0000-0000-000033170000}"/>
    <cellStyle name="Normal 5 2 2 2 2 3 6 2 2" xfId="15291" xr:uid="{EE1E6378-8622-4D6A-A13B-6AF9756EEDCD}"/>
    <cellStyle name="Normal 5 2 2 2 2 3 6 3" xfId="11073" xr:uid="{DD13672E-03D9-4A44-BEDF-E697E09CB592}"/>
    <cellStyle name="Normal 5 2 2 2 2 3 7" xfId="4787" xr:uid="{00000000-0005-0000-0000-000034170000}"/>
    <cellStyle name="Normal 5 2 2 2 2 3 7 2" xfId="13226" xr:uid="{A104982A-13FB-4901-AF68-5C4F01D882F6}"/>
    <cellStyle name="Normal 5 2 2 2 2 3 8" xfId="9008" xr:uid="{1216CB7F-6F39-426F-AF8A-4365A22084EB}"/>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15781" xr:uid="{4F04E373-35D1-4A7E-B4CA-B454F4B5CCE6}"/>
    <cellStyle name="Normal 5 2 2 2 2 4 2 3" xfId="11563" xr:uid="{5950B22E-95B9-41EF-929A-B09B2266C116}"/>
    <cellStyle name="Normal 5 2 2 2 2 4 3" xfId="5197" xr:uid="{00000000-0005-0000-0000-000038170000}"/>
    <cellStyle name="Normal 5 2 2 2 2 4 3 2" xfId="13636" xr:uid="{7671BD0D-B178-4FD9-8FAA-BB18A7620192}"/>
    <cellStyle name="Normal 5 2 2 2 2 4 4" xfId="9418" xr:uid="{67CE8C70-3922-4552-AAA2-C71D69A7C235}"/>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2 2" xfId="16194" xr:uid="{D3EE98EF-FF96-455D-BFE4-BACD87EC4F40}"/>
    <cellStyle name="Normal 5 2 2 2 2 5 2 3" xfId="11976" xr:uid="{31E629A2-4448-4A75-83BC-671E55F91BE5}"/>
    <cellStyle name="Normal 5 2 2 2 2 5 3" xfId="5610" xr:uid="{00000000-0005-0000-0000-00003C170000}"/>
    <cellStyle name="Normal 5 2 2 2 2 5 3 2" xfId="14049" xr:uid="{9BD94711-F95E-4010-A485-D31DA04B7A3E}"/>
    <cellStyle name="Normal 5 2 2 2 2 5 4" xfId="9831" xr:uid="{4FF58257-875B-4193-8D41-D867BCCE5992}"/>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2 2 2" xfId="16607" xr:uid="{A23606C5-370A-47CA-A9CE-E4449E85D6A2}"/>
    <cellStyle name="Normal 5 2 2 2 2 6 2 3" xfId="12389" xr:uid="{B2E33A0F-4EA5-403F-8737-24EC344B855D}"/>
    <cellStyle name="Normal 5 2 2 2 2 6 3" xfId="6023" xr:uid="{00000000-0005-0000-0000-000040170000}"/>
    <cellStyle name="Normal 5 2 2 2 2 6 3 2" xfId="14462" xr:uid="{5005DDD4-FCBD-4818-9A5E-49798584A925}"/>
    <cellStyle name="Normal 5 2 2 2 2 6 4" xfId="10244" xr:uid="{9E46F327-53F5-4C22-8E24-AC5C160CFB07}"/>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2 2 2" xfId="17020" xr:uid="{CFD01550-0F22-464A-A24F-B5DEE0E1FC45}"/>
    <cellStyle name="Normal 5 2 2 2 2 7 2 3" xfId="12802" xr:uid="{61662728-A2A2-45DA-9429-FA4F30060CF8}"/>
    <cellStyle name="Normal 5 2 2 2 2 7 3" xfId="6436" xr:uid="{00000000-0005-0000-0000-000044170000}"/>
    <cellStyle name="Normal 5 2 2 2 2 7 3 2" xfId="14875" xr:uid="{B3078C9A-AEFB-4D06-923D-B7307EACAA2F}"/>
    <cellStyle name="Normal 5 2 2 2 2 7 4" xfId="10657" xr:uid="{04EAA95F-724D-4857-8550-D05E59F6E459}"/>
    <cellStyle name="Normal 5 2 2 2 2 8" xfId="2565" xr:uid="{00000000-0005-0000-0000-000045170000}"/>
    <cellStyle name="Normal 5 2 2 2 2 8 2" xfId="6849" xr:uid="{00000000-0005-0000-0000-000046170000}"/>
    <cellStyle name="Normal 5 2 2 2 2 8 2 2" xfId="15288" xr:uid="{63BAD522-7D4D-44F5-A707-6FE80E24BD04}"/>
    <cellStyle name="Normal 5 2 2 2 2 8 3" xfId="11070" xr:uid="{EBFC8AAB-041E-40BB-B87D-8E595026106B}"/>
    <cellStyle name="Normal 5 2 2 2 2 9" xfId="4784" xr:uid="{00000000-0005-0000-0000-000047170000}"/>
    <cellStyle name="Normal 5 2 2 2 2 9 2" xfId="13223" xr:uid="{F5D46DC6-5723-458F-9310-2CC9A31A5295}"/>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15786" xr:uid="{FBDBB521-C7C9-44EA-803C-092E6947105F}"/>
    <cellStyle name="Normal 5 2 2 2 3 2 2 2 3" xfId="11568" xr:uid="{8DE9D0C4-DAD3-462B-84DF-2A3D8F07E016}"/>
    <cellStyle name="Normal 5 2 2 2 3 2 2 3" xfId="5202" xr:uid="{00000000-0005-0000-0000-00004D170000}"/>
    <cellStyle name="Normal 5 2 2 2 3 2 2 3 2" xfId="13641" xr:uid="{8073DCD2-1802-492B-B1DA-2B673AF75B9E}"/>
    <cellStyle name="Normal 5 2 2 2 3 2 2 4" xfId="9423" xr:uid="{526F6769-1184-4FE5-9EBC-702E7BAD1854}"/>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2 2" xfId="16199" xr:uid="{9231527B-9411-412B-BFC2-A79F02457D0B}"/>
    <cellStyle name="Normal 5 2 2 2 3 2 3 2 3" xfId="11981" xr:uid="{64FAE8D4-CEA8-4552-9516-AC425B95323B}"/>
    <cellStyle name="Normal 5 2 2 2 3 2 3 3" xfId="5615" xr:uid="{00000000-0005-0000-0000-000051170000}"/>
    <cellStyle name="Normal 5 2 2 2 3 2 3 3 2" xfId="14054" xr:uid="{3FE048D1-02B8-4643-B5B6-5738481C3A12}"/>
    <cellStyle name="Normal 5 2 2 2 3 2 3 4" xfId="9836" xr:uid="{583D359A-18B8-488C-BBA9-699E3AAE513D}"/>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2 2 2" xfId="16612" xr:uid="{D670F1EC-1277-4EA6-9EEA-D53A52398C1E}"/>
    <cellStyle name="Normal 5 2 2 2 3 2 4 2 3" xfId="12394" xr:uid="{F6ECA076-9001-4F7D-8A8D-A1B82CFDD933}"/>
    <cellStyle name="Normal 5 2 2 2 3 2 4 3" xfId="6028" xr:uid="{00000000-0005-0000-0000-000055170000}"/>
    <cellStyle name="Normal 5 2 2 2 3 2 4 3 2" xfId="14467" xr:uid="{11FCA2D0-6E87-407F-ACEA-5EF5A2FDC0E6}"/>
    <cellStyle name="Normal 5 2 2 2 3 2 4 4" xfId="10249" xr:uid="{072C868F-E69E-41B7-930D-7AE78C312432}"/>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2 2 2" xfId="17025" xr:uid="{ADEDCF98-17A7-4383-A62E-83CA1A7CE166}"/>
    <cellStyle name="Normal 5 2 2 2 3 2 5 2 3" xfId="12807" xr:uid="{0B2CC167-6415-41B4-A645-1B40E2F4158B}"/>
    <cellStyle name="Normal 5 2 2 2 3 2 5 3" xfId="6441" xr:uid="{00000000-0005-0000-0000-000059170000}"/>
    <cellStyle name="Normal 5 2 2 2 3 2 5 3 2" xfId="14880" xr:uid="{A7232FA2-6D93-4BCC-A658-DC30A49E8A4A}"/>
    <cellStyle name="Normal 5 2 2 2 3 2 5 4" xfId="10662" xr:uid="{8AA1D792-D716-43C7-B7C8-A679C2FCB290}"/>
    <cellStyle name="Normal 5 2 2 2 3 2 6" xfId="2570" xr:uid="{00000000-0005-0000-0000-00005A170000}"/>
    <cellStyle name="Normal 5 2 2 2 3 2 6 2" xfId="6854" xr:uid="{00000000-0005-0000-0000-00005B170000}"/>
    <cellStyle name="Normal 5 2 2 2 3 2 6 2 2" xfId="15293" xr:uid="{AC6959E2-12D3-46D8-A5EF-750B7748248C}"/>
    <cellStyle name="Normal 5 2 2 2 3 2 6 3" xfId="11075" xr:uid="{0F220A3D-A999-4DB3-8AFB-ADF2CA17A9A4}"/>
    <cellStyle name="Normal 5 2 2 2 3 2 7" xfId="4789" xr:uid="{00000000-0005-0000-0000-00005C170000}"/>
    <cellStyle name="Normal 5 2 2 2 3 2 7 2" xfId="13228" xr:uid="{02F32006-EB68-4B63-86B8-27B6D7848087}"/>
    <cellStyle name="Normal 5 2 2 2 3 2 8" xfId="9010" xr:uid="{B1086EEF-5521-446A-AB8A-222FA62A820D}"/>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15785" xr:uid="{D1EE36D5-1668-46FE-BBC8-6FE0561D1E17}"/>
    <cellStyle name="Normal 5 2 2 2 3 3 2 3" xfId="11567" xr:uid="{3BF2B346-2D3A-46C1-B2A9-BE5FB5A90D98}"/>
    <cellStyle name="Normal 5 2 2 2 3 3 3" xfId="5201" xr:uid="{00000000-0005-0000-0000-000060170000}"/>
    <cellStyle name="Normal 5 2 2 2 3 3 3 2" xfId="13640" xr:uid="{85979458-D6C1-464E-B2AD-420DE1254B6F}"/>
    <cellStyle name="Normal 5 2 2 2 3 3 4" xfId="9422" xr:uid="{73C8945E-DA3C-4D30-9B33-5EBD632C83BA}"/>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2 2" xfId="16198" xr:uid="{58AEF77D-3D22-4FEF-92E7-18AC6750BB42}"/>
    <cellStyle name="Normal 5 2 2 2 3 4 2 3" xfId="11980" xr:uid="{DB506289-47C8-4CC0-A05B-01CC902B7D3C}"/>
    <cellStyle name="Normal 5 2 2 2 3 4 3" xfId="5614" xr:uid="{00000000-0005-0000-0000-000064170000}"/>
    <cellStyle name="Normal 5 2 2 2 3 4 3 2" xfId="14053" xr:uid="{0546EDBD-28AC-4A14-A21E-95FEB0C5B1B0}"/>
    <cellStyle name="Normal 5 2 2 2 3 4 4" xfId="9835" xr:uid="{4200275F-9C77-460E-865C-68C2FCFF8255}"/>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2 2 2" xfId="16611" xr:uid="{543E199D-D974-4A80-8311-E597BDE88B36}"/>
    <cellStyle name="Normal 5 2 2 2 3 5 2 3" xfId="12393" xr:uid="{AC9B6DE1-2716-45AE-B734-F21BD86D23E9}"/>
    <cellStyle name="Normal 5 2 2 2 3 5 3" xfId="6027" xr:uid="{00000000-0005-0000-0000-000068170000}"/>
    <cellStyle name="Normal 5 2 2 2 3 5 3 2" xfId="14466" xr:uid="{7F775DF4-F0D7-48C2-97CF-47DD7D14D592}"/>
    <cellStyle name="Normal 5 2 2 2 3 5 4" xfId="10248" xr:uid="{9832DE2F-BA7E-4060-AC0E-02BA416A95D5}"/>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2 2 2" xfId="17024" xr:uid="{BCAA06EE-5FAD-47BF-829B-A2B55EC669DE}"/>
    <cellStyle name="Normal 5 2 2 2 3 6 2 3" xfId="12806" xr:uid="{E8FFE750-15D3-4F8F-B675-4D35177F5040}"/>
    <cellStyle name="Normal 5 2 2 2 3 6 3" xfId="6440" xr:uid="{00000000-0005-0000-0000-00006C170000}"/>
    <cellStyle name="Normal 5 2 2 2 3 6 3 2" xfId="14879" xr:uid="{D309D8DB-7B62-45B7-B067-96B4BA68D676}"/>
    <cellStyle name="Normal 5 2 2 2 3 6 4" xfId="10661" xr:uid="{AFB86E8A-2A95-4EC5-B5E7-B64AFB448CD5}"/>
    <cellStyle name="Normal 5 2 2 2 3 7" xfId="2569" xr:uid="{00000000-0005-0000-0000-00006D170000}"/>
    <cellStyle name="Normal 5 2 2 2 3 7 2" xfId="6853" xr:uid="{00000000-0005-0000-0000-00006E170000}"/>
    <cellStyle name="Normal 5 2 2 2 3 7 2 2" xfId="15292" xr:uid="{0A43109A-1394-4CD0-8F33-C2FBEEBC4318}"/>
    <cellStyle name="Normal 5 2 2 2 3 7 3" xfId="11074" xr:uid="{715119C4-7011-4FB8-9412-AC332045ED13}"/>
    <cellStyle name="Normal 5 2 2 2 3 8" xfId="4788" xr:uid="{00000000-0005-0000-0000-00006F170000}"/>
    <cellStyle name="Normal 5 2 2 2 3 8 2" xfId="13227" xr:uid="{7F37A559-5BA5-4AF3-A7B7-FEB3961E94AA}"/>
    <cellStyle name="Normal 5 2 2 2 3 9" xfId="9009" xr:uid="{36792DDA-6005-4FD7-9ED6-B571FFDE0A5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15787" xr:uid="{7AAE0169-2ADF-41D5-B2F3-11B51165FFEB}"/>
    <cellStyle name="Normal 5 2 2 2 4 2 2 3" xfId="11569" xr:uid="{E23DD5D4-5D5E-4C3D-A6FB-1AC90C54D6C8}"/>
    <cellStyle name="Normal 5 2 2 2 4 2 3" xfId="5203" xr:uid="{00000000-0005-0000-0000-000074170000}"/>
    <cellStyle name="Normal 5 2 2 2 4 2 3 2" xfId="13642" xr:uid="{FCE4C629-38BC-4945-A9FD-25AE710FA966}"/>
    <cellStyle name="Normal 5 2 2 2 4 2 4" xfId="9424" xr:uid="{4902B7AA-4B1A-43C0-8BDC-FF1AA8D6243A}"/>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2 2" xfId="16200" xr:uid="{A5FC7916-18D2-41A7-88F8-68BAE22D7AC4}"/>
    <cellStyle name="Normal 5 2 2 2 4 3 2 3" xfId="11982" xr:uid="{504C2CCE-7927-4B5D-B658-C861570D8551}"/>
    <cellStyle name="Normal 5 2 2 2 4 3 3" xfId="5616" xr:uid="{00000000-0005-0000-0000-000078170000}"/>
    <cellStyle name="Normal 5 2 2 2 4 3 3 2" xfId="14055" xr:uid="{5F7946E8-736F-496F-ACC2-B74F1FB88B91}"/>
    <cellStyle name="Normal 5 2 2 2 4 3 4" xfId="9837" xr:uid="{3BBD328E-019A-4C28-89B8-C9EE5569E47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2 2 2" xfId="16613" xr:uid="{32CB39DB-40CE-4EF5-BBE1-FD792939C11C}"/>
    <cellStyle name="Normal 5 2 2 2 4 4 2 3" xfId="12395" xr:uid="{4CF478DE-C605-404D-9C52-CC8E9D678FC9}"/>
    <cellStyle name="Normal 5 2 2 2 4 4 3" xfId="6029" xr:uid="{00000000-0005-0000-0000-00007C170000}"/>
    <cellStyle name="Normal 5 2 2 2 4 4 3 2" xfId="14468" xr:uid="{D6E2DFB7-EC02-45FC-A1FA-A771E9F5C89D}"/>
    <cellStyle name="Normal 5 2 2 2 4 4 4" xfId="10250" xr:uid="{3D3DFA72-35E2-4843-9EF4-E69D40D11C3C}"/>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2 2 2" xfId="17026" xr:uid="{5A2CC6F6-BBAC-4784-A61C-9A757DE9A6FB}"/>
    <cellStyle name="Normal 5 2 2 2 4 5 2 3" xfId="12808" xr:uid="{03C73F3F-E766-48FA-A097-5BD31D01197E}"/>
    <cellStyle name="Normal 5 2 2 2 4 5 3" xfId="6442" xr:uid="{00000000-0005-0000-0000-000080170000}"/>
    <cellStyle name="Normal 5 2 2 2 4 5 3 2" xfId="14881" xr:uid="{424DD205-AEB0-41AD-A827-42BC3B4D6329}"/>
    <cellStyle name="Normal 5 2 2 2 4 5 4" xfId="10663" xr:uid="{AD56E247-F67C-458C-913E-97251D45C315}"/>
    <cellStyle name="Normal 5 2 2 2 4 6" xfId="2571" xr:uid="{00000000-0005-0000-0000-000081170000}"/>
    <cellStyle name="Normal 5 2 2 2 4 6 2" xfId="6855" xr:uid="{00000000-0005-0000-0000-000082170000}"/>
    <cellStyle name="Normal 5 2 2 2 4 6 2 2" xfId="15294" xr:uid="{D4A2C62B-3B5C-4399-B261-5452A16F9BBC}"/>
    <cellStyle name="Normal 5 2 2 2 4 6 3" xfId="11076" xr:uid="{BC7C2E2B-C22E-4AB7-B127-D664C06B4A2F}"/>
    <cellStyle name="Normal 5 2 2 2 4 7" xfId="4790" xr:uid="{00000000-0005-0000-0000-000083170000}"/>
    <cellStyle name="Normal 5 2 2 2 4 7 2" xfId="13229" xr:uid="{FC66222C-89C4-43C6-96B0-7FD55A4A3CBB}"/>
    <cellStyle name="Normal 5 2 2 2 4 8" xfId="9011" xr:uid="{8297D5CF-2B60-4D8B-98B6-F29D73B4DB4A}"/>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15780" xr:uid="{95826BD8-C2B8-4B36-A5CD-A0EE5C2DDB5E}"/>
    <cellStyle name="Normal 5 2 2 2 5 2 3" xfId="11562" xr:uid="{976B3458-A25B-4CC0-A7CB-93BD4B4DF19A}"/>
    <cellStyle name="Normal 5 2 2 2 5 3" xfId="5196" xr:uid="{00000000-0005-0000-0000-000087170000}"/>
    <cellStyle name="Normal 5 2 2 2 5 3 2" xfId="13635" xr:uid="{E2358138-710B-48C2-9C2C-C610459881D2}"/>
    <cellStyle name="Normal 5 2 2 2 5 4" xfId="9417" xr:uid="{D5463755-6574-4B58-833D-759655656E9C}"/>
    <cellStyle name="Normal 5 2 2 2 6" xfId="1301" xr:uid="{00000000-0005-0000-0000-000088170000}"/>
    <cellStyle name="Normal 5 2 2 2 6 2" xfId="3531" xr:uid="{00000000-0005-0000-0000-000089170000}"/>
    <cellStyle name="Normal 5 2 2 2 6 2 2" xfId="7754" xr:uid="{00000000-0005-0000-0000-00008A170000}"/>
    <cellStyle name="Normal 5 2 2 2 6 2 2 2" xfId="16193" xr:uid="{999B9583-DDC9-4DAC-8610-44BEC29A2206}"/>
    <cellStyle name="Normal 5 2 2 2 6 2 3" xfId="11975" xr:uid="{B833C6F5-862C-4ED7-BF9C-6F21FCB9ADBD}"/>
    <cellStyle name="Normal 5 2 2 2 6 3" xfId="5609" xr:uid="{00000000-0005-0000-0000-00008B170000}"/>
    <cellStyle name="Normal 5 2 2 2 6 3 2" xfId="14048" xr:uid="{5A8F9F1A-5149-4CD9-94AE-BEDFAB4B82D7}"/>
    <cellStyle name="Normal 5 2 2 2 6 4" xfId="9830" xr:uid="{1DE2A242-A0FF-4B95-8ABA-6EB34B79FF11}"/>
    <cellStyle name="Normal 5 2 2 2 7" xfId="1714" xr:uid="{00000000-0005-0000-0000-00008C170000}"/>
    <cellStyle name="Normal 5 2 2 2 7 2" xfId="3944" xr:uid="{00000000-0005-0000-0000-00008D170000}"/>
    <cellStyle name="Normal 5 2 2 2 7 2 2" xfId="8167" xr:uid="{00000000-0005-0000-0000-00008E170000}"/>
    <cellStyle name="Normal 5 2 2 2 7 2 2 2" xfId="16606" xr:uid="{4CC7B5A8-106C-43F7-8A16-C6DECFEA03D2}"/>
    <cellStyle name="Normal 5 2 2 2 7 2 3" xfId="12388" xr:uid="{19EFB068-3997-473E-8F44-A233CEF0788F}"/>
    <cellStyle name="Normal 5 2 2 2 7 3" xfId="6022" xr:uid="{00000000-0005-0000-0000-00008F170000}"/>
    <cellStyle name="Normal 5 2 2 2 7 3 2" xfId="14461" xr:uid="{193C852E-4F23-4139-BBA4-866F63515655}"/>
    <cellStyle name="Normal 5 2 2 2 7 4" xfId="10243" xr:uid="{5A19D291-9DC3-4592-A9CE-35AE3789ECFC}"/>
    <cellStyle name="Normal 5 2 2 2 8" xfId="2128" xr:uid="{00000000-0005-0000-0000-000090170000}"/>
    <cellStyle name="Normal 5 2 2 2 8 2" xfId="4357" xr:uid="{00000000-0005-0000-0000-000091170000}"/>
    <cellStyle name="Normal 5 2 2 2 8 2 2" xfId="8580" xr:uid="{00000000-0005-0000-0000-000092170000}"/>
    <cellStyle name="Normal 5 2 2 2 8 2 2 2" xfId="17019" xr:uid="{87F48B36-406F-454C-99F7-45EEEF69741F}"/>
    <cellStyle name="Normal 5 2 2 2 8 2 3" xfId="12801" xr:uid="{55F6DCF6-E5D7-41DD-9F42-11805474BD13}"/>
    <cellStyle name="Normal 5 2 2 2 8 3" xfId="6435" xr:uid="{00000000-0005-0000-0000-000093170000}"/>
    <cellStyle name="Normal 5 2 2 2 8 3 2" xfId="14874" xr:uid="{5FB78D28-97CC-4952-9810-69066E93FCA3}"/>
    <cellStyle name="Normal 5 2 2 2 8 4" xfId="10656" xr:uid="{60B9C1B9-FB73-4B58-BFBD-5204F0168BE2}"/>
    <cellStyle name="Normal 5 2 2 2 9" xfId="2564" xr:uid="{00000000-0005-0000-0000-000094170000}"/>
    <cellStyle name="Normal 5 2 2 2 9 2" xfId="6848" xr:uid="{00000000-0005-0000-0000-000095170000}"/>
    <cellStyle name="Normal 5 2 2 2 9 2 2" xfId="15287" xr:uid="{1080B895-ED2A-4052-98A2-7BAD60DFA80F}"/>
    <cellStyle name="Normal 5 2 2 2 9 3" xfId="11069" xr:uid="{00EC8340-4562-4EFC-8B7B-887549FF3AA4}"/>
    <cellStyle name="Normal 5 2 2 3" xfId="417" xr:uid="{00000000-0005-0000-0000-000096170000}"/>
    <cellStyle name="Normal 5 2 2 3 10" xfId="9012" xr:uid="{0C8B9898-758D-4EAB-8586-ED031C2DD2A8}"/>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15790" xr:uid="{84AFD577-1474-4461-9F56-71EE47AA803D}"/>
    <cellStyle name="Normal 5 2 2 3 2 2 2 2 3" xfId="11572" xr:uid="{47A55DB8-19AC-4B1F-AF8F-66623B175737}"/>
    <cellStyle name="Normal 5 2 2 3 2 2 2 3" xfId="5206" xr:uid="{00000000-0005-0000-0000-00009C170000}"/>
    <cellStyle name="Normal 5 2 2 3 2 2 2 3 2" xfId="13645" xr:uid="{C6B002B8-A9BB-4F18-BAE9-0B017378A69A}"/>
    <cellStyle name="Normal 5 2 2 3 2 2 2 4" xfId="9427" xr:uid="{E5720913-EA08-462B-A8BB-ABBE19B11378}"/>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2 2" xfId="16203" xr:uid="{2F69B186-31D3-4CA9-970B-EA4CB825646D}"/>
    <cellStyle name="Normal 5 2 2 3 2 2 3 2 3" xfId="11985" xr:uid="{C3DCB45B-AF16-483B-96F7-D9087E2617A5}"/>
    <cellStyle name="Normal 5 2 2 3 2 2 3 3" xfId="5619" xr:uid="{00000000-0005-0000-0000-0000A0170000}"/>
    <cellStyle name="Normal 5 2 2 3 2 2 3 3 2" xfId="14058" xr:uid="{9C8C9802-84FF-40D7-BA97-FDB7D0A165AC}"/>
    <cellStyle name="Normal 5 2 2 3 2 2 3 4" xfId="9840" xr:uid="{101EDD2B-3D0E-459E-9843-0C4B82D40AA3}"/>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2 2 2" xfId="16616" xr:uid="{0076EE30-F342-49CC-AB62-7F4B4D605642}"/>
    <cellStyle name="Normal 5 2 2 3 2 2 4 2 3" xfId="12398" xr:uid="{832EB756-0035-46A1-8A6B-0C3FD2138B65}"/>
    <cellStyle name="Normal 5 2 2 3 2 2 4 3" xfId="6032" xr:uid="{00000000-0005-0000-0000-0000A4170000}"/>
    <cellStyle name="Normal 5 2 2 3 2 2 4 3 2" xfId="14471" xr:uid="{92BBB03F-F5F7-4419-9715-9E787E661DB4}"/>
    <cellStyle name="Normal 5 2 2 3 2 2 4 4" xfId="10253" xr:uid="{DA773656-3308-40AF-B2C0-E1B77230B12E}"/>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2 2 2" xfId="17029" xr:uid="{0A92E69A-5552-493E-80AF-2F1B3AC11BCF}"/>
    <cellStyle name="Normal 5 2 2 3 2 2 5 2 3" xfId="12811" xr:uid="{96836E8A-3456-48FD-995F-34B9EA0857E9}"/>
    <cellStyle name="Normal 5 2 2 3 2 2 5 3" xfId="6445" xr:uid="{00000000-0005-0000-0000-0000A8170000}"/>
    <cellStyle name="Normal 5 2 2 3 2 2 5 3 2" xfId="14884" xr:uid="{88C46919-3259-4AD0-8B5A-B0D995D30BFF}"/>
    <cellStyle name="Normal 5 2 2 3 2 2 5 4" xfId="10666" xr:uid="{F2CE2583-E78B-4F0F-A037-A9D4302DA638}"/>
    <cellStyle name="Normal 5 2 2 3 2 2 6" xfId="2574" xr:uid="{00000000-0005-0000-0000-0000A9170000}"/>
    <cellStyle name="Normal 5 2 2 3 2 2 6 2" xfId="6858" xr:uid="{00000000-0005-0000-0000-0000AA170000}"/>
    <cellStyle name="Normal 5 2 2 3 2 2 6 2 2" xfId="15297" xr:uid="{2E574D03-F004-4E13-8F07-A6939D490C69}"/>
    <cellStyle name="Normal 5 2 2 3 2 2 6 3" xfId="11079" xr:uid="{59300CB4-A018-4A0A-87A5-4B9C286F9D73}"/>
    <cellStyle name="Normal 5 2 2 3 2 2 7" xfId="4793" xr:uid="{00000000-0005-0000-0000-0000AB170000}"/>
    <cellStyle name="Normal 5 2 2 3 2 2 7 2" xfId="13232" xr:uid="{1D101564-0080-4AA6-9199-98B24ECCA4D8}"/>
    <cellStyle name="Normal 5 2 2 3 2 2 8" xfId="9014" xr:uid="{B517D772-8751-4A25-A195-5EE75FF1CB47}"/>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15789" xr:uid="{6EAD7883-A383-4734-9E01-0CAE307D501B}"/>
    <cellStyle name="Normal 5 2 2 3 2 3 2 3" xfId="11571" xr:uid="{B116367F-FEE6-405D-B1F5-3D378286B617}"/>
    <cellStyle name="Normal 5 2 2 3 2 3 3" xfId="5205" xr:uid="{00000000-0005-0000-0000-0000AF170000}"/>
    <cellStyle name="Normal 5 2 2 3 2 3 3 2" xfId="13644" xr:uid="{900B276D-44B0-4538-9FB5-55653C06501B}"/>
    <cellStyle name="Normal 5 2 2 3 2 3 4" xfId="9426" xr:uid="{13A1FACD-60BE-4108-80E9-00CE4341785C}"/>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2 2" xfId="16202" xr:uid="{C7AB2544-7634-4E10-8F56-4B343976101E}"/>
    <cellStyle name="Normal 5 2 2 3 2 4 2 3" xfId="11984" xr:uid="{2485C127-BEC7-4AF3-8F58-6BCF880F09B7}"/>
    <cellStyle name="Normal 5 2 2 3 2 4 3" xfId="5618" xr:uid="{00000000-0005-0000-0000-0000B3170000}"/>
    <cellStyle name="Normal 5 2 2 3 2 4 3 2" xfId="14057" xr:uid="{CD01A5EA-082F-4AE1-A99C-0C8ED4EF68E5}"/>
    <cellStyle name="Normal 5 2 2 3 2 4 4" xfId="9839" xr:uid="{FAF81D94-5666-4920-9C1D-E1E3CE740072}"/>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2 2 2" xfId="16615" xr:uid="{EE3EAA52-C466-4E9B-9CCF-92F8CCAE45E7}"/>
    <cellStyle name="Normal 5 2 2 3 2 5 2 3" xfId="12397" xr:uid="{32499715-026A-4E0C-BC47-33F8B43897EF}"/>
    <cellStyle name="Normal 5 2 2 3 2 5 3" xfId="6031" xr:uid="{00000000-0005-0000-0000-0000B7170000}"/>
    <cellStyle name="Normal 5 2 2 3 2 5 3 2" xfId="14470" xr:uid="{C0A87B68-768A-43F1-8243-4E540F8595C2}"/>
    <cellStyle name="Normal 5 2 2 3 2 5 4" xfId="10252" xr:uid="{563A9D12-FBF8-4B08-BC8D-EDEE572190DF}"/>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2 2 2" xfId="17028" xr:uid="{FECB60EA-DF71-46E3-9C7C-A360DEC6E825}"/>
    <cellStyle name="Normal 5 2 2 3 2 6 2 3" xfId="12810" xr:uid="{B9286FE6-0D98-4B6A-AA12-F100DE99A9A0}"/>
    <cellStyle name="Normal 5 2 2 3 2 6 3" xfId="6444" xr:uid="{00000000-0005-0000-0000-0000BB170000}"/>
    <cellStyle name="Normal 5 2 2 3 2 6 3 2" xfId="14883" xr:uid="{D1BE5E7E-A9DE-4F07-AE57-7408D9B22407}"/>
    <cellStyle name="Normal 5 2 2 3 2 6 4" xfId="10665" xr:uid="{A5EBC897-9887-4615-9F39-602568A1174E}"/>
    <cellStyle name="Normal 5 2 2 3 2 7" xfId="2573" xr:uid="{00000000-0005-0000-0000-0000BC170000}"/>
    <cellStyle name="Normal 5 2 2 3 2 7 2" xfId="6857" xr:uid="{00000000-0005-0000-0000-0000BD170000}"/>
    <cellStyle name="Normal 5 2 2 3 2 7 2 2" xfId="15296" xr:uid="{0AF3690C-6E76-4329-993E-9A9F516E3D9D}"/>
    <cellStyle name="Normal 5 2 2 3 2 7 3" xfId="11078" xr:uid="{A99650B8-7E5D-447E-B39E-C42A7AB2AFA9}"/>
    <cellStyle name="Normal 5 2 2 3 2 8" xfId="4792" xr:uid="{00000000-0005-0000-0000-0000BE170000}"/>
    <cellStyle name="Normal 5 2 2 3 2 8 2" xfId="13231" xr:uid="{67F9CD8C-A5C4-4812-B8AD-9DB88ED4AE5F}"/>
    <cellStyle name="Normal 5 2 2 3 2 9" xfId="9013" xr:uid="{B7BF4D1D-7C4C-4000-BDEB-16A82292E351}"/>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15791" xr:uid="{E5498B6C-C770-4C3F-99E9-FF98A65E4DA7}"/>
    <cellStyle name="Normal 5 2 2 3 3 2 2 3" xfId="11573" xr:uid="{8AF830D9-EFBF-4C63-854F-B15A4D301C49}"/>
    <cellStyle name="Normal 5 2 2 3 3 2 3" xfId="5207" xr:uid="{00000000-0005-0000-0000-0000C3170000}"/>
    <cellStyle name="Normal 5 2 2 3 3 2 3 2" xfId="13646" xr:uid="{51CA4052-5371-44D9-8CDB-4BFE7E9A44B7}"/>
    <cellStyle name="Normal 5 2 2 3 3 2 4" xfId="9428" xr:uid="{B35C6799-5D2F-4210-AECD-0EAA4758F941}"/>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2 2" xfId="16204" xr:uid="{3F17C35A-6EA6-4876-B0B5-74A5924D13F9}"/>
    <cellStyle name="Normal 5 2 2 3 3 3 2 3" xfId="11986" xr:uid="{4159E1E0-2711-4B6D-823B-ED83C01FC777}"/>
    <cellStyle name="Normal 5 2 2 3 3 3 3" xfId="5620" xr:uid="{00000000-0005-0000-0000-0000C7170000}"/>
    <cellStyle name="Normal 5 2 2 3 3 3 3 2" xfId="14059" xr:uid="{2B7827D7-60B8-494A-A7DE-FC94BB57EFE7}"/>
    <cellStyle name="Normal 5 2 2 3 3 3 4" xfId="9841" xr:uid="{F7041829-9A88-4386-B931-149C77135F22}"/>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2 2 2" xfId="16617" xr:uid="{10C8509D-DCFB-4271-9D01-4B76F1AB7AF8}"/>
    <cellStyle name="Normal 5 2 2 3 3 4 2 3" xfId="12399" xr:uid="{C7C0BB25-9C70-4893-8262-492C88CF0BFB}"/>
    <cellStyle name="Normal 5 2 2 3 3 4 3" xfId="6033" xr:uid="{00000000-0005-0000-0000-0000CB170000}"/>
    <cellStyle name="Normal 5 2 2 3 3 4 3 2" xfId="14472" xr:uid="{145F0E87-9444-4D56-8F3C-EF41D59D6B7F}"/>
    <cellStyle name="Normal 5 2 2 3 3 4 4" xfId="10254" xr:uid="{87B7DFB6-CAD9-4902-A6AA-3D1BF343A6D3}"/>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2 2 2" xfId="17030" xr:uid="{D13E902E-C2D9-464C-A41C-892FC80D0193}"/>
    <cellStyle name="Normal 5 2 2 3 3 5 2 3" xfId="12812" xr:uid="{17F51C99-1762-4531-848A-96B4A8A76B17}"/>
    <cellStyle name="Normal 5 2 2 3 3 5 3" xfId="6446" xr:uid="{00000000-0005-0000-0000-0000CF170000}"/>
    <cellStyle name="Normal 5 2 2 3 3 5 3 2" xfId="14885" xr:uid="{CA0453C1-8AB9-4165-AB75-D29A9F48B866}"/>
    <cellStyle name="Normal 5 2 2 3 3 5 4" xfId="10667" xr:uid="{56578879-BC75-4B8D-A118-92B9E510292A}"/>
    <cellStyle name="Normal 5 2 2 3 3 6" xfId="2575" xr:uid="{00000000-0005-0000-0000-0000D0170000}"/>
    <cellStyle name="Normal 5 2 2 3 3 6 2" xfId="6859" xr:uid="{00000000-0005-0000-0000-0000D1170000}"/>
    <cellStyle name="Normal 5 2 2 3 3 6 2 2" xfId="15298" xr:uid="{DD11B4F9-7846-4395-A33B-F6DEAD486B40}"/>
    <cellStyle name="Normal 5 2 2 3 3 6 3" xfId="11080" xr:uid="{B94D838D-C1FF-4B28-B4A0-35D68F673F1C}"/>
    <cellStyle name="Normal 5 2 2 3 3 7" xfId="4794" xr:uid="{00000000-0005-0000-0000-0000D2170000}"/>
    <cellStyle name="Normal 5 2 2 3 3 7 2" xfId="13233" xr:uid="{30D8E7DF-A564-4CD4-AFAF-8AD501024114}"/>
    <cellStyle name="Normal 5 2 2 3 3 8" xfId="9015" xr:uid="{D3E65222-CE74-4A7C-B524-8057769C6D8D}"/>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15788" xr:uid="{81F6A57C-2A02-4C1C-85B2-1B64FCED4150}"/>
    <cellStyle name="Normal 5 2 2 3 4 2 3" xfId="11570" xr:uid="{C5775C1F-7654-47C1-AAC4-BA892BC5B083}"/>
    <cellStyle name="Normal 5 2 2 3 4 3" xfId="5204" xr:uid="{00000000-0005-0000-0000-0000D6170000}"/>
    <cellStyle name="Normal 5 2 2 3 4 3 2" xfId="13643" xr:uid="{19A9BB1B-310D-45FB-A762-FCEC9DDE860B}"/>
    <cellStyle name="Normal 5 2 2 3 4 4" xfId="9425" xr:uid="{8D585445-29F6-445C-91F7-2873E329E67C}"/>
    <cellStyle name="Normal 5 2 2 3 5" xfId="1309" xr:uid="{00000000-0005-0000-0000-0000D7170000}"/>
    <cellStyle name="Normal 5 2 2 3 5 2" xfId="3539" xr:uid="{00000000-0005-0000-0000-0000D8170000}"/>
    <cellStyle name="Normal 5 2 2 3 5 2 2" xfId="7762" xr:uid="{00000000-0005-0000-0000-0000D9170000}"/>
    <cellStyle name="Normal 5 2 2 3 5 2 2 2" xfId="16201" xr:uid="{600A7560-F035-4573-BCFF-7431ABF86574}"/>
    <cellStyle name="Normal 5 2 2 3 5 2 3" xfId="11983" xr:uid="{FE5FD6E5-1D61-42FC-8114-BF2D05C0D8B1}"/>
    <cellStyle name="Normal 5 2 2 3 5 3" xfId="5617" xr:uid="{00000000-0005-0000-0000-0000DA170000}"/>
    <cellStyle name="Normal 5 2 2 3 5 3 2" xfId="14056" xr:uid="{70CE30FA-054A-47B9-9469-1F8C211A719D}"/>
    <cellStyle name="Normal 5 2 2 3 5 4" xfId="9838" xr:uid="{7123DB52-3BCF-47C7-9504-1FD903F28AB1}"/>
    <cellStyle name="Normal 5 2 2 3 6" xfId="1722" xr:uid="{00000000-0005-0000-0000-0000DB170000}"/>
    <cellStyle name="Normal 5 2 2 3 6 2" xfId="3952" xr:uid="{00000000-0005-0000-0000-0000DC170000}"/>
    <cellStyle name="Normal 5 2 2 3 6 2 2" xfId="8175" xr:uid="{00000000-0005-0000-0000-0000DD170000}"/>
    <cellStyle name="Normal 5 2 2 3 6 2 2 2" xfId="16614" xr:uid="{BE33A050-5BB3-4066-853D-BE88CE871AEF}"/>
    <cellStyle name="Normal 5 2 2 3 6 2 3" xfId="12396" xr:uid="{F6E3FE3C-B6EF-4231-BF1E-559EDEF02B9A}"/>
    <cellStyle name="Normal 5 2 2 3 6 3" xfId="6030" xr:uid="{00000000-0005-0000-0000-0000DE170000}"/>
    <cellStyle name="Normal 5 2 2 3 6 3 2" xfId="14469" xr:uid="{FCF4F0FA-1254-4CBB-9BFD-C8EFFB9A5FA6}"/>
    <cellStyle name="Normal 5 2 2 3 6 4" xfId="10251" xr:uid="{34E0A6B1-C03C-4091-A9B7-1E07DC0DFD4F}"/>
    <cellStyle name="Normal 5 2 2 3 7" xfId="2136" xr:uid="{00000000-0005-0000-0000-0000DF170000}"/>
    <cellStyle name="Normal 5 2 2 3 7 2" xfId="4365" xr:uid="{00000000-0005-0000-0000-0000E0170000}"/>
    <cellStyle name="Normal 5 2 2 3 7 2 2" xfId="8588" xr:uid="{00000000-0005-0000-0000-0000E1170000}"/>
    <cellStyle name="Normal 5 2 2 3 7 2 2 2" xfId="17027" xr:uid="{6BBA24B5-B9BE-4C02-A2E5-1CD89BDACCA4}"/>
    <cellStyle name="Normal 5 2 2 3 7 2 3" xfId="12809" xr:uid="{8875C17E-A546-4F03-B453-CFF7B7AB7845}"/>
    <cellStyle name="Normal 5 2 2 3 7 3" xfId="6443" xr:uid="{00000000-0005-0000-0000-0000E2170000}"/>
    <cellStyle name="Normal 5 2 2 3 7 3 2" xfId="14882" xr:uid="{3A374BF5-6E1F-4A67-BCB7-3BD6FFC789F3}"/>
    <cellStyle name="Normal 5 2 2 3 7 4" xfId="10664" xr:uid="{B82FF1B8-2BB7-4989-9CDB-C611307CA252}"/>
    <cellStyle name="Normal 5 2 2 3 8" xfId="2572" xr:uid="{00000000-0005-0000-0000-0000E3170000}"/>
    <cellStyle name="Normal 5 2 2 3 8 2" xfId="6856" xr:uid="{00000000-0005-0000-0000-0000E4170000}"/>
    <cellStyle name="Normal 5 2 2 3 8 2 2" xfId="15295" xr:uid="{50FBD34F-34C0-4508-89DD-D6D198CDBDB5}"/>
    <cellStyle name="Normal 5 2 2 3 8 3" xfId="11077" xr:uid="{E9E8EA68-E3BC-41FC-A622-6DBCEF0340BF}"/>
    <cellStyle name="Normal 5 2 2 3 9" xfId="4791" xr:uid="{00000000-0005-0000-0000-0000E5170000}"/>
    <cellStyle name="Normal 5 2 2 3 9 2" xfId="13230" xr:uid="{965E1FD1-028D-4104-A33D-EC53975A680C}"/>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15793" xr:uid="{29A866A0-6FC9-4ED2-B06F-AFB4E88C2ADB}"/>
    <cellStyle name="Normal 5 2 2 4 2 2 2 3" xfId="11575" xr:uid="{C8DBFA8E-8013-48E9-A129-97C5A37646AB}"/>
    <cellStyle name="Normal 5 2 2 4 2 2 3" xfId="5209" xr:uid="{00000000-0005-0000-0000-0000EB170000}"/>
    <cellStyle name="Normal 5 2 2 4 2 2 3 2" xfId="13648" xr:uid="{CF5374E5-3BF9-4339-BCC3-53A1366BE63B}"/>
    <cellStyle name="Normal 5 2 2 4 2 2 4" xfId="9430" xr:uid="{A3A8159E-0F31-40C2-9C6A-ABFA3FF81958}"/>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2 2" xfId="16206" xr:uid="{3928A1B4-8C77-41AF-B52B-732A072DBDEA}"/>
    <cellStyle name="Normal 5 2 2 4 2 3 2 3" xfId="11988" xr:uid="{ABB9B391-15E3-431D-9109-5A3DA1DEA1F7}"/>
    <cellStyle name="Normal 5 2 2 4 2 3 3" xfId="5622" xr:uid="{00000000-0005-0000-0000-0000EF170000}"/>
    <cellStyle name="Normal 5 2 2 4 2 3 3 2" xfId="14061" xr:uid="{D8123395-729A-43B1-BD37-6944C81DED05}"/>
    <cellStyle name="Normal 5 2 2 4 2 3 4" xfId="9843" xr:uid="{1B1A43BA-E0DA-471A-9A99-FD83B2003C93}"/>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2 2 2" xfId="16619" xr:uid="{35FEAF43-7D61-4E8D-9753-DADC092C2104}"/>
    <cellStyle name="Normal 5 2 2 4 2 4 2 3" xfId="12401" xr:uid="{7E531329-4B90-4AD3-BE0B-453D38CBBDAF}"/>
    <cellStyle name="Normal 5 2 2 4 2 4 3" xfId="6035" xr:uid="{00000000-0005-0000-0000-0000F3170000}"/>
    <cellStyle name="Normal 5 2 2 4 2 4 3 2" xfId="14474" xr:uid="{9EA0E110-0697-44B5-8B9A-D84B0F219596}"/>
    <cellStyle name="Normal 5 2 2 4 2 4 4" xfId="10256" xr:uid="{C2EF7C08-D755-487B-8EB0-47FE79091FDD}"/>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2 2 2" xfId="17032" xr:uid="{8686BB50-2907-429E-9C9C-8BA26F724B8B}"/>
    <cellStyle name="Normal 5 2 2 4 2 5 2 3" xfId="12814" xr:uid="{3D215606-69DB-479E-8C02-F17FB5BA94C3}"/>
    <cellStyle name="Normal 5 2 2 4 2 5 3" xfId="6448" xr:uid="{00000000-0005-0000-0000-0000F7170000}"/>
    <cellStyle name="Normal 5 2 2 4 2 5 3 2" xfId="14887" xr:uid="{153777E3-8A54-49F2-B06A-560BD8ECD6A5}"/>
    <cellStyle name="Normal 5 2 2 4 2 5 4" xfId="10669" xr:uid="{0C1E6C82-489D-49A5-BE22-119C3C2B71D9}"/>
    <cellStyle name="Normal 5 2 2 4 2 6" xfId="2577" xr:uid="{00000000-0005-0000-0000-0000F8170000}"/>
    <cellStyle name="Normal 5 2 2 4 2 6 2" xfId="6861" xr:uid="{00000000-0005-0000-0000-0000F9170000}"/>
    <cellStyle name="Normal 5 2 2 4 2 6 2 2" xfId="15300" xr:uid="{88A36E8C-9B54-44DC-88C3-693DB79C9433}"/>
    <cellStyle name="Normal 5 2 2 4 2 6 3" xfId="11082" xr:uid="{719D1B77-2CC7-427C-88D3-82540C075FB1}"/>
    <cellStyle name="Normal 5 2 2 4 2 7" xfId="4796" xr:uid="{00000000-0005-0000-0000-0000FA170000}"/>
    <cellStyle name="Normal 5 2 2 4 2 7 2" xfId="13235" xr:uid="{CE2E1CCC-ECE9-4C9A-94F2-928D147CDC1D}"/>
    <cellStyle name="Normal 5 2 2 4 2 8" xfId="9017" xr:uid="{C0BB2550-0782-45B9-B2CC-9D8664B184EA}"/>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15792" xr:uid="{FA53F4D8-70AC-41EB-A52C-29D235E18C93}"/>
    <cellStyle name="Normal 5 2 2 4 3 2 3" xfId="11574" xr:uid="{B5C97EB8-7728-4071-A4EE-F74F2321F6E3}"/>
    <cellStyle name="Normal 5 2 2 4 3 3" xfId="5208" xr:uid="{00000000-0005-0000-0000-0000FE170000}"/>
    <cellStyle name="Normal 5 2 2 4 3 3 2" xfId="13647" xr:uid="{262DF6A3-EB6C-4F73-8AD6-3B63C8C211EA}"/>
    <cellStyle name="Normal 5 2 2 4 3 4" xfId="9429" xr:uid="{0D0EA0E3-4608-4159-9340-D59988CC6C3E}"/>
    <cellStyle name="Normal 5 2 2 4 4" xfId="1313" xr:uid="{00000000-0005-0000-0000-0000FF170000}"/>
    <cellStyle name="Normal 5 2 2 4 4 2" xfId="3543" xr:uid="{00000000-0005-0000-0000-000000180000}"/>
    <cellStyle name="Normal 5 2 2 4 4 2 2" xfId="7766" xr:uid="{00000000-0005-0000-0000-000001180000}"/>
    <cellStyle name="Normal 5 2 2 4 4 2 2 2" xfId="16205" xr:uid="{6AD7A4E6-C180-4F54-BB59-9A7D8D6860FA}"/>
    <cellStyle name="Normal 5 2 2 4 4 2 3" xfId="11987" xr:uid="{72FD763C-70BA-4F37-92A9-92467CED4742}"/>
    <cellStyle name="Normal 5 2 2 4 4 3" xfId="5621" xr:uid="{00000000-0005-0000-0000-000002180000}"/>
    <cellStyle name="Normal 5 2 2 4 4 3 2" xfId="14060" xr:uid="{CA90FFF9-4CD3-4DC7-9E85-0295037A591D}"/>
    <cellStyle name="Normal 5 2 2 4 4 4" xfId="9842" xr:uid="{6B71571A-4D8A-4882-8E31-D08E2108F258}"/>
    <cellStyle name="Normal 5 2 2 4 5" xfId="1726" xr:uid="{00000000-0005-0000-0000-000003180000}"/>
    <cellStyle name="Normal 5 2 2 4 5 2" xfId="3956" xr:uid="{00000000-0005-0000-0000-000004180000}"/>
    <cellStyle name="Normal 5 2 2 4 5 2 2" xfId="8179" xr:uid="{00000000-0005-0000-0000-000005180000}"/>
    <cellStyle name="Normal 5 2 2 4 5 2 2 2" xfId="16618" xr:uid="{93E25C87-2C31-48E3-A292-BCDE0E93AA1B}"/>
    <cellStyle name="Normal 5 2 2 4 5 2 3" xfId="12400" xr:uid="{C19619BD-276C-417A-977A-680669C1CCD8}"/>
    <cellStyle name="Normal 5 2 2 4 5 3" xfId="6034" xr:uid="{00000000-0005-0000-0000-000006180000}"/>
    <cellStyle name="Normal 5 2 2 4 5 3 2" xfId="14473" xr:uid="{E204A9CB-2DE1-4B80-9F6C-555DD45330B9}"/>
    <cellStyle name="Normal 5 2 2 4 5 4" xfId="10255" xr:uid="{BC466C72-7651-4922-93C8-5EA7548ED592}"/>
    <cellStyle name="Normal 5 2 2 4 6" xfId="2140" xr:uid="{00000000-0005-0000-0000-000007180000}"/>
    <cellStyle name="Normal 5 2 2 4 6 2" xfId="4369" xr:uid="{00000000-0005-0000-0000-000008180000}"/>
    <cellStyle name="Normal 5 2 2 4 6 2 2" xfId="8592" xr:uid="{00000000-0005-0000-0000-000009180000}"/>
    <cellStyle name="Normal 5 2 2 4 6 2 2 2" xfId="17031" xr:uid="{B1C7F5EF-F301-40A8-9B52-D3E56AF86F2D}"/>
    <cellStyle name="Normal 5 2 2 4 6 2 3" xfId="12813" xr:uid="{AD5E75CB-E6D3-4D7E-AEDB-7D64633029B5}"/>
    <cellStyle name="Normal 5 2 2 4 6 3" xfId="6447" xr:uid="{00000000-0005-0000-0000-00000A180000}"/>
    <cellStyle name="Normal 5 2 2 4 6 3 2" xfId="14886" xr:uid="{A099D5FA-CAB0-460E-8307-7C7B3C00D720}"/>
    <cellStyle name="Normal 5 2 2 4 6 4" xfId="10668" xr:uid="{DB07C639-5CF9-4478-8935-5947F0DC6C34}"/>
    <cellStyle name="Normal 5 2 2 4 7" xfId="2576" xr:uid="{00000000-0005-0000-0000-00000B180000}"/>
    <cellStyle name="Normal 5 2 2 4 7 2" xfId="6860" xr:uid="{00000000-0005-0000-0000-00000C180000}"/>
    <cellStyle name="Normal 5 2 2 4 7 2 2" xfId="15299" xr:uid="{F800E677-C3B7-4010-98C5-97F5C13927C1}"/>
    <cellStyle name="Normal 5 2 2 4 7 3" xfId="11081" xr:uid="{4ED8CD51-20A7-4B42-A8E3-4930A42F08E0}"/>
    <cellStyle name="Normal 5 2 2 4 8" xfId="4795" xr:uid="{00000000-0005-0000-0000-00000D180000}"/>
    <cellStyle name="Normal 5 2 2 4 8 2" xfId="13234" xr:uid="{D889E221-A740-4FB8-9DBF-15EC7D182DCE}"/>
    <cellStyle name="Normal 5 2 2 4 9" xfId="9016" xr:uid="{37547A67-BF31-4FE9-BBF7-3595B831B508}"/>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15794" xr:uid="{0B49A939-03FF-4F40-B4C7-E09DDAC15B33}"/>
    <cellStyle name="Normal 5 2 2 5 2 2 3" xfId="11576" xr:uid="{47E234EC-B02D-4CD0-89C5-8DE3CA9563EC}"/>
    <cellStyle name="Normal 5 2 2 5 2 3" xfId="5210" xr:uid="{00000000-0005-0000-0000-000012180000}"/>
    <cellStyle name="Normal 5 2 2 5 2 3 2" xfId="13649" xr:uid="{1652F66C-E1C5-4ECD-92DD-531A3C1DD8F5}"/>
    <cellStyle name="Normal 5 2 2 5 2 4" xfId="9431" xr:uid="{FA723D1A-5408-4B57-9E59-DD1AED662202}"/>
    <cellStyle name="Normal 5 2 2 5 3" xfId="1315" xr:uid="{00000000-0005-0000-0000-000013180000}"/>
    <cellStyle name="Normal 5 2 2 5 3 2" xfId="3545" xr:uid="{00000000-0005-0000-0000-000014180000}"/>
    <cellStyle name="Normal 5 2 2 5 3 2 2" xfId="7768" xr:uid="{00000000-0005-0000-0000-000015180000}"/>
    <cellStyle name="Normal 5 2 2 5 3 2 2 2" xfId="16207" xr:uid="{D11AEB56-4F78-4927-AB66-1B8A1A641852}"/>
    <cellStyle name="Normal 5 2 2 5 3 2 3" xfId="11989" xr:uid="{6F3E4D21-D31B-4662-BC0E-2D37B52150C4}"/>
    <cellStyle name="Normal 5 2 2 5 3 3" xfId="5623" xr:uid="{00000000-0005-0000-0000-000016180000}"/>
    <cellStyle name="Normal 5 2 2 5 3 3 2" xfId="14062" xr:uid="{E767580E-3301-45B8-939A-B8DCB08F54D3}"/>
    <cellStyle name="Normal 5 2 2 5 3 4" xfId="9844" xr:uid="{94F00B5F-CBB0-4F14-9AA0-416FC519F990}"/>
    <cellStyle name="Normal 5 2 2 5 4" xfId="1728" xr:uid="{00000000-0005-0000-0000-000017180000}"/>
    <cellStyle name="Normal 5 2 2 5 4 2" xfId="3958" xr:uid="{00000000-0005-0000-0000-000018180000}"/>
    <cellStyle name="Normal 5 2 2 5 4 2 2" xfId="8181" xr:uid="{00000000-0005-0000-0000-000019180000}"/>
    <cellStyle name="Normal 5 2 2 5 4 2 2 2" xfId="16620" xr:uid="{6C4BFEDA-A107-4D4D-B4B4-758DCD4F80A8}"/>
    <cellStyle name="Normal 5 2 2 5 4 2 3" xfId="12402" xr:uid="{0C381655-3715-4487-96A4-DA5C81EC0432}"/>
    <cellStyle name="Normal 5 2 2 5 4 3" xfId="6036" xr:uid="{00000000-0005-0000-0000-00001A180000}"/>
    <cellStyle name="Normal 5 2 2 5 4 3 2" xfId="14475" xr:uid="{CE7D2C2E-412C-4FE6-8E7D-2D38A50A9706}"/>
    <cellStyle name="Normal 5 2 2 5 4 4" xfId="10257" xr:uid="{AAAA20AA-B18C-4DE3-8CEC-1CB4A29CF56D}"/>
    <cellStyle name="Normal 5 2 2 5 5" xfId="2142" xr:uid="{00000000-0005-0000-0000-00001B180000}"/>
    <cellStyle name="Normal 5 2 2 5 5 2" xfId="4371" xr:uid="{00000000-0005-0000-0000-00001C180000}"/>
    <cellStyle name="Normal 5 2 2 5 5 2 2" xfId="8594" xr:uid="{00000000-0005-0000-0000-00001D180000}"/>
    <cellStyle name="Normal 5 2 2 5 5 2 2 2" xfId="17033" xr:uid="{FAF0B83F-F222-4FB0-9DB3-EA19E051136B}"/>
    <cellStyle name="Normal 5 2 2 5 5 2 3" xfId="12815" xr:uid="{CE0040B6-B27B-4A28-9093-9A404080AA14}"/>
    <cellStyle name="Normal 5 2 2 5 5 3" xfId="6449" xr:uid="{00000000-0005-0000-0000-00001E180000}"/>
    <cellStyle name="Normal 5 2 2 5 5 3 2" xfId="14888" xr:uid="{7B5E0024-2832-4D38-B03D-83664D2C7992}"/>
    <cellStyle name="Normal 5 2 2 5 5 4" xfId="10670" xr:uid="{31E04518-9B4D-44F0-B433-80F89F889B67}"/>
    <cellStyle name="Normal 5 2 2 5 6" xfId="2578" xr:uid="{00000000-0005-0000-0000-00001F180000}"/>
    <cellStyle name="Normal 5 2 2 5 6 2" xfId="6862" xr:uid="{00000000-0005-0000-0000-000020180000}"/>
    <cellStyle name="Normal 5 2 2 5 6 2 2" xfId="15301" xr:uid="{032C59B0-5844-4EE3-8960-820BEA1A5FFE}"/>
    <cellStyle name="Normal 5 2 2 5 6 3" xfId="11083" xr:uid="{89601D06-DE87-46FF-B70A-20055A96123A}"/>
    <cellStyle name="Normal 5 2 2 5 7" xfId="4797" xr:uid="{00000000-0005-0000-0000-000021180000}"/>
    <cellStyle name="Normal 5 2 2 5 7 2" xfId="13236" xr:uid="{1A26BFBC-FA97-42B2-A41B-C5B29C8B065A}"/>
    <cellStyle name="Normal 5 2 2 5 8" xfId="9018" xr:uid="{5C816BC5-6746-4A1D-8EFE-5B30A3B68B76}"/>
    <cellStyle name="Normal 5 2 2 6" xfId="882" xr:uid="{00000000-0005-0000-0000-000022180000}"/>
    <cellStyle name="Normal 5 2 2 6 2" xfId="3117" xr:uid="{00000000-0005-0000-0000-000023180000}"/>
    <cellStyle name="Normal 5 2 2 6 2 2" xfId="7340" xr:uid="{00000000-0005-0000-0000-000024180000}"/>
    <cellStyle name="Normal 5 2 2 6 2 2 2" xfId="15779" xr:uid="{9EBA30ED-05F8-4291-8FB5-1952DED6C6E0}"/>
    <cellStyle name="Normal 5 2 2 6 2 3" xfId="11561" xr:uid="{28380EEF-DC50-4B5C-9FA4-1D99226681CD}"/>
    <cellStyle name="Normal 5 2 2 6 3" xfId="5195" xr:uid="{00000000-0005-0000-0000-000025180000}"/>
    <cellStyle name="Normal 5 2 2 6 3 2" xfId="13634" xr:uid="{3A3FF2AB-FE5A-49E9-B487-9BE2A9E4F1F2}"/>
    <cellStyle name="Normal 5 2 2 6 4" xfId="9416" xr:uid="{DFAD52C5-AEEE-4075-905F-17F9ABE923AD}"/>
    <cellStyle name="Normal 5 2 2 7" xfId="1300" xr:uid="{00000000-0005-0000-0000-000026180000}"/>
    <cellStyle name="Normal 5 2 2 7 2" xfId="3530" xr:uid="{00000000-0005-0000-0000-000027180000}"/>
    <cellStyle name="Normal 5 2 2 7 2 2" xfId="7753" xr:uid="{00000000-0005-0000-0000-000028180000}"/>
    <cellStyle name="Normal 5 2 2 7 2 2 2" xfId="16192" xr:uid="{1FBF1F06-A0B8-42D7-9D8F-29DACCCECD90}"/>
    <cellStyle name="Normal 5 2 2 7 2 3" xfId="11974" xr:uid="{C1DF4EB7-527D-4066-80AB-C3A9B7FAA2EF}"/>
    <cellStyle name="Normal 5 2 2 7 3" xfId="5608" xr:uid="{00000000-0005-0000-0000-000029180000}"/>
    <cellStyle name="Normal 5 2 2 7 3 2" xfId="14047" xr:uid="{92E23C5F-0CBD-4980-A360-155443545FE1}"/>
    <cellStyle name="Normal 5 2 2 7 4" xfId="9829" xr:uid="{BD5F0FCA-FF12-404B-B313-B37BA0A011CD}"/>
    <cellStyle name="Normal 5 2 2 8" xfId="1713" xr:uid="{00000000-0005-0000-0000-00002A180000}"/>
    <cellStyle name="Normal 5 2 2 8 2" xfId="3943" xr:uid="{00000000-0005-0000-0000-00002B180000}"/>
    <cellStyle name="Normal 5 2 2 8 2 2" xfId="8166" xr:uid="{00000000-0005-0000-0000-00002C180000}"/>
    <cellStyle name="Normal 5 2 2 8 2 2 2" xfId="16605" xr:uid="{AD01957C-F184-4859-83E5-2CF99A9778E7}"/>
    <cellStyle name="Normal 5 2 2 8 2 3" xfId="12387" xr:uid="{8978DC5D-B6C3-42D4-ACC9-FCD591C00BE5}"/>
    <cellStyle name="Normal 5 2 2 8 3" xfId="6021" xr:uid="{00000000-0005-0000-0000-00002D180000}"/>
    <cellStyle name="Normal 5 2 2 8 3 2" xfId="14460" xr:uid="{B4E723E1-E7A8-46C7-8FEB-24B5FBA9EEE3}"/>
    <cellStyle name="Normal 5 2 2 8 4" xfId="10242" xr:uid="{C89F87CE-D9D0-4B9E-95BA-B1B152732816}"/>
    <cellStyle name="Normal 5 2 2 9" xfId="2127" xr:uid="{00000000-0005-0000-0000-00002E180000}"/>
    <cellStyle name="Normal 5 2 2 9 2" xfId="4356" xr:uid="{00000000-0005-0000-0000-00002F180000}"/>
    <cellStyle name="Normal 5 2 2 9 2 2" xfId="8579" xr:uid="{00000000-0005-0000-0000-000030180000}"/>
    <cellStyle name="Normal 5 2 2 9 2 2 2" xfId="17018" xr:uid="{38269954-58DA-402E-9F33-7F17A2B38EC5}"/>
    <cellStyle name="Normal 5 2 2 9 2 3" xfId="12800" xr:uid="{AAB295B5-0DAA-4D91-9068-6B24C34C93D5}"/>
    <cellStyle name="Normal 5 2 2 9 3" xfId="6434" xr:uid="{00000000-0005-0000-0000-000031180000}"/>
    <cellStyle name="Normal 5 2 2 9 3 2" xfId="14873" xr:uid="{ABFD218A-FDD2-4CB9-B7D9-BC3ABC280C8C}"/>
    <cellStyle name="Normal 5 2 2 9 4" xfId="10655" xr:uid="{85ECFD82-5CC2-4144-8430-E2303E076E7A}"/>
    <cellStyle name="Normal 5 2 3" xfId="424" xr:uid="{00000000-0005-0000-0000-000032180000}"/>
    <cellStyle name="Normal 5 2 3 10" xfId="4798" xr:uid="{00000000-0005-0000-0000-000033180000}"/>
    <cellStyle name="Normal 5 2 3 10 2" xfId="13237" xr:uid="{F14FB71D-B4F5-4373-BAA7-DFF859B84EF5}"/>
    <cellStyle name="Normal 5 2 3 11" xfId="9019" xr:uid="{098525BF-F6E5-4113-A0AD-3484D3923C82}"/>
    <cellStyle name="Normal 5 2 3 2" xfId="425" xr:uid="{00000000-0005-0000-0000-000034180000}"/>
    <cellStyle name="Normal 5 2 3 2 10" xfId="9020" xr:uid="{B88C38A0-D6F9-4C0F-8374-7ECE0A9BF68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15798" xr:uid="{4A54BEE2-ECEF-42F5-9944-FCD02402CD71}"/>
    <cellStyle name="Normal 5 2 3 2 2 2 2 2 3" xfId="11580" xr:uid="{02C9FEEC-B6D0-47CF-96E0-41CE7079D759}"/>
    <cellStyle name="Normal 5 2 3 2 2 2 2 3" xfId="5214" xr:uid="{00000000-0005-0000-0000-00003A180000}"/>
    <cellStyle name="Normal 5 2 3 2 2 2 2 3 2" xfId="13653" xr:uid="{479E7ED2-038E-4093-81EA-186AFF081D0C}"/>
    <cellStyle name="Normal 5 2 3 2 2 2 2 4" xfId="9435" xr:uid="{0BEFAA0C-6455-4F0F-A41A-C043862413C1}"/>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2 2" xfId="16211" xr:uid="{753F6788-CEF4-44D6-82EA-D1A606CCBE37}"/>
    <cellStyle name="Normal 5 2 3 2 2 2 3 2 3" xfId="11993" xr:uid="{D5C6C370-C877-4294-8FE0-878D8EE880FA}"/>
    <cellStyle name="Normal 5 2 3 2 2 2 3 3" xfId="5627" xr:uid="{00000000-0005-0000-0000-00003E180000}"/>
    <cellStyle name="Normal 5 2 3 2 2 2 3 3 2" xfId="14066" xr:uid="{9D8724FB-BF70-4349-AEB7-C073DC64ACD3}"/>
    <cellStyle name="Normal 5 2 3 2 2 2 3 4" xfId="9848" xr:uid="{3958E63A-4177-4C3A-BC66-F81470E6F1EF}"/>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2 2 2" xfId="16624" xr:uid="{67D8D76F-58DE-4425-A45A-B8363DB6C817}"/>
    <cellStyle name="Normal 5 2 3 2 2 2 4 2 3" xfId="12406" xr:uid="{478DD351-CCBA-4448-9E5C-F2AC90CB6680}"/>
    <cellStyle name="Normal 5 2 3 2 2 2 4 3" xfId="6040" xr:uid="{00000000-0005-0000-0000-000042180000}"/>
    <cellStyle name="Normal 5 2 3 2 2 2 4 3 2" xfId="14479" xr:uid="{939F9411-D057-4E9F-9091-07B32EA88E24}"/>
    <cellStyle name="Normal 5 2 3 2 2 2 4 4" xfId="10261" xr:uid="{C8E533B8-374D-4FC5-B007-0E7740401DDE}"/>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2 2 2" xfId="17037" xr:uid="{DA7D3C2B-CF55-4116-ABA3-535D1A17CC2F}"/>
    <cellStyle name="Normal 5 2 3 2 2 2 5 2 3" xfId="12819" xr:uid="{AA432872-B2E4-4041-8ABD-AD1242F3386C}"/>
    <cellStyle name="Normal 5 2 3 2 2 2 5 3" xfId="6453" xr:uid="{00000000-0005-0000-0000-000046180000}"/>
    <cellStyle name="Normal 5 2 3 2 2 2 5 3 2" xfId="14892" xr:uid="{379B8C53-DD68-4045-9B59-86ADC5050290}"/>
    <cellStyle name="Normal 5 2 3 2 2 2 5 4" xfId="10674" xr:uid="{5E9D9D16-BB08-44A8-A7F4-B33AD1581DB7}"/>
    <cellStyle name="Normal 5 2 3 2 2 2 6" xfId="2582" xr:uid="{00000000-0005-0000-0000-000047180000}"/>
    <cellStyle name="Normal 5 2 3 2 2 2 6 2" xfId="6866" xr:uid="{00000000-0005-0000-0000-000048180000}"/>
    <cellStyle name="Normal 5 2 3 2 2 2 6 2 2" xfId="15305" xr:uid="{39732D70-8956-4D24-AF6E-DD36ED4BE11E}"/>
    <cellStyle name="Normal 5 2 3 2 2 2 6 3" xfId="11087" xr:uid="{F0E7563A-4E87-408D-AA66-D7E7B39BFC05}"/>
    <cellStyle name="Normal 5 2 3 2 2 2 7" xfId="4801" xr:uid="{00000000-0005-0000-0000-000049180000}"/>
    <cellStyle name="Normal 5 2 3 2 2 2 7 2" xfId="13240" xr:uid="{799845D2-17C5-4B0A-83D4-95FC44E3A795}"/>
    <cellStyle name="Normal 5 2 3 2 2 2 8" xfId="9022" xr:uid="{FFFDB31C-FEF4-47CE-9590-63CBB55DBD51}"/>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15797" xr:uid="{E503B4C8-E76D-465D-88A9-6B44D4390BEF}"/>
    <cellStyle name="Normal 5 2 3 2 2 3 2 3" xfId="11579" xr:uid="{404279C8-81C1-411D-B918-72E5E0986BB3}"/>
    <cellStyle name="Normal 5 2 3 2 2 3 3" xfId="5213" xr:uid="{00000000-0005-0000-0000-00004D180000}"/>
    <cellStyle name="Normal 5 2 3 2 2 3 3 2" xfId="13652" xr:uid="{8B9F2E16-AC48-4467-9436-A0B7AD65158A}"/>
    <cellStyle name="Normal 5 2 3 2 2 3 4" xfId="9434" xr:uid="{EA559BF1-565E-4DB9-895D-0AD97EFBD958}"/>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2 2" xfId="16210" xr:uid="{26AB7798-E6D6-4045-BB67-4EBBB35CC82C}"/>
    <cellStyle name="Normal 5 2 3 2 2 4 2 3" xfId="11992" xr:uid="{85B39222-6304-48D1-814E-455A4F86BC6C}"/>
    <cellStyle name="Normal 5 2 3 2 2 4 3" xfId="5626" xr:uid="{00000000-0005-0000-0000-000051180000}"/>
    <cellStyle name="Normal 5 2 3 2 2 4 3 2" xfId="14065" xr:uid="{FEBBB1C9-030B-4FBC-BEB8-6E5E11A5AB2A}"/>
    <cellStyle name="Normal 5 2 3 2 2 4 4" xfId="9847" xr:uid="{8524BE52-3212-459A-B4F7-5B44C17FB5CC}"/>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2 2 2" xfId="16623" xr:uid="{96512B2E-E880-4044-87EB-6C48C22B3CF1}"/>
    <cellStyle name="Normal 5 2 3 2 2 5 2 3" xfId="12405" xr:uid="{D20D20F8-DFCE-49BA-AF49-0A5B5B6387B5}"/>
    <cellStyle name="Normal 5 2 3 2 2 5 3" xfId="6039" xr:uid="{00000000-0005-0000-0000-000055180000}"/>
    <cellStyle name="Normal 5 2 3 2 2 5 3 2" xfId="14478" xr:uid="{05D14349-B78F-46C1-9DB7-55884EDF9286}"/>
    <cellStyle name="Normal 5 2 3 2 2 5 4" xfId="10260" xr:uid="{CC287DEA-08A0-47E5-9F8F-D130E9A052AA}"/>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2 2 2" xfId="17036" xr:uid="{D12BE589-162F-436F-B658-464D1D6206A7}"/>
    <cellStyle name="Normal 5 2 3 2 2 6 2 3" xfId="12818" xr:uid="{FC746D1D-45E4-4170-A9EF-5FDAF4E82D10}"/>
    <cellStyle name="Normal 5 2 3 2 2 6 3" xfId="6452" xr:uid="{00000000-0005-0000-0000-000059180000}"/>
    <cellStyle name="Normal 5 2 3 2 2 6 3 2" xfId="14891" xr:uid="{7167DFA5-E8AA-4F3E-93DF-B0626F230D15}"/>
    <cellStyle name="Normal 5 2 3 2 2 6 4" xfId="10673" xr:uid="{2834747A-3929-48CD-A802-4BC799285823}"/>
    <cellStyle name="Normal 5 2 3 2 2 7" xfId="2581" xr:uid="{00000000-0005-0000-0000-00005A180000}"/>
    <cellStyle name="Normal 5 2 3 2 2 7 2" xfId="6865" xr:uid="{00000000-0005-0000-0000-00005B180000}"/>
    <cellStyle name="Normal 5 2 3 2 2 7 2 2" xfId="15304" xr:uid="{65737C11-4210-47FD-975C-CE22C11DE467}"/>
    <cellStyle name="Normal 5 2 3 2 2 7 3" xfId="11086" xr:uid="{0B664B0F-6A33-406A-92BF-F13B11FA1709}"/>
    <cellStyle name="Normal 5 2 3 2 2 8" xfId="4800" xr:uid="{00000000-0005-0000-0000-00005C180000}"/>
    <cellStyle name="Normal 5 2 3 2 2 8 2" xfId="13239" xr:uid="{7ABC58AB-CCE5-47F0-8B81-2FE337B85FF6}"/>
    <cellStyle name="Normal 5 2 3 2 2 9" xfId="9021" xr:uid="{8B28520F-190F-4A65-90FF-7A33605BE64F}"/>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15799" xr:uid="{56BE4D3C-D128-4A50-8697-E39318A8A0B2}"/>
    <cellStyle name="Normal 5 2 3 2 3 2 2 3" xfId="11581" xr:uid="{B5CFE0B3-4A09-49D0-B6BB-DF1B3D755B2E}"/>
    <cellStyle name="Normal 5 2 3 2 3 2 3" xfId="5215" xr:uid="{00000000-0005-0000-0000-000061180000}"/>
    <cellStyle name="Normal 5 2 3 2 3 2 3 2" xfId="13654" xr:uid="{D5C17051-E11B-4E4D-9376-E254F1C8D5AE}"/>
    <cellStyle name="Normal 5 2 3 2 3 2 4" xfId="9436" xr:uid="{5A9971ED-81F6-4D6F-9CEB-D30432D5E535}"/>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2 2" xfId="16212" xr:uid="{67694030-13B1-4908-8256-A03FA2CACAC3}"/>
    <cellStyle name="Normal 5 2 3 2 3 3 2 3" xfId="11994" xr:uid="{42EE425F-07C0-4B8C-952B-2581FFF59E47}"/>
    <cellStyle name="Normal 5 2 3 2 3 3 3" xfId="5628" xr:uid="{00000000-0005-0000-0000-000065180000}"/>
    <cellStyle name="Normal 5 2 3 2 3 3 3 2" xfId="14067" xr:uid="{C690C9E4-FD67-41DB-B2D0-B4508815DEFD}"/>
    <cellStyle name="Normal 5 2 3 2 3 3 4" xfId="9849" xr:uid="{C76AD9D3-1D33-45EF-977B-93F6E8E9AD2B}"/>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2 2 2" xfId="16625" xr:uid="{AC893FEE-18C4-47B4-A119-D4D32E374B18}"/>
    <cellStyle name="Normal 5 2 3 2 3 4 2 3" xfId="12407" xr:uid="{41889985-4CA8-4165-83C9-CFD90431FA2E}"/>
    <cellStyle name="Normal 5 2 3 2 3 4 3" xfId="6041" xr:uid="{00000000-0005-0000-0000-000069180000}"/>
    <cellStyle name="Normal 5 2 3 2 3 4 3 2" xfId="14480" xr:uid="{DB28D21A-63F8-429A-BB94-3B82FEB73484}"/>
    <cellStyle name="Normal 5 2 3 2 3 4 4" xfId="10262" xr:uid="{C61735FB-CDFA-48B7-894C-40CD178A4454}"/>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2 2 2" xfId="17038" xr:uid="{6243857A-BE67-4555-B986-07797F395895}"/>
    <cellStyle name="Normal 5 2 3 2 3 5 2 3" xfId="12820" xr:uid="{E8D820FE-6D10-4786-A466-A2B5B3B03F0E}"/>
    <cellStyle name="Normal 5 2 3 2 3 5 3" xfId="6454" xr:uid="{00000000-0005-0000-0000-00006D180000}"/>
    <cellStyle name="Normal 5 2 3 2 3 5 3 2" xfId="14893" xr:uid="{A98BD573-D963-4226-AE02-A021A84E2DAD}"/>
    <cellStyle name="Normal 5 2 3 2 3 5 4" xfId="10675" xr:uid="{286FB773-A1DC-4853-9D05-1B17C430C9B1}"/>
    <cellStyle name="Normal 5 2 3 2 3 6" xfId="2583" xr:uid="{00000000-0005-0000-0000-00006E180000}"/>
    <cellStyle name="Normal 5 2 3 2 3 6 2" xfId="6867" xr:uid="{00000000-0005-0000-0000-00006F180000}"/>
    <cellStyle name="Normal 5 2 3 2 3 6 2 2" xfId="15306" xr:uid="{F68583B5-5665-4CF2-868B-E14BEBD0D0A4}"/>
    <cellStyle name="Normal 5 2 3 2 3 6 3" xfId="11088" xr:uid="{FC5423B9-7265-4376-8B86-775640064906}"/>
    <cellStyle name="Normal 5 2 3 2 3 7" xfId="4802" xr:uid="{00000000-0005-0000-0000-000070180000}"/>
    <cellStyle name="Normal 5 2 3 2 3 7 2" xfId="13241" xr:uid="{889AB1AD-B1A8-4C05-A4D3-DB8F2C2CB28C}"/>
    <cellStyle name="Normal 5 2 3 2 3 8" xfId="9023" xr:uid="{470459A3-6821-42E6-86CE-F43784F97D54}"/>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15796" xr:uid="{947309ED-A7FA-4B18-85D2-2C56534EE609}"/>
    <cellStyle name="Normal 5 2 3 2 4 2 3" xfId="11578" xr:uid="{E6CC23CA-8701-486E-8AA9-8B1157A0E163}"/>
    <cellStyle name="Normal 5 2 3 2 4 3" xfId="5212" xr:uid="{00000000-0005-0000-0000-000074180000}"/>
    <cellStyle name="Normal 5 2 3 2 4 3 2" xfId="13651" xr:uid="{C50DA361-6E17-438C-879D-17651A33B0B0}"/>
    <cellStyle name="Normal 5 2 3 2 4 4" xfId="9433" xr:uid="{93CAF159-13B1-48E9-A0B9-88B27F3C0931}"/>
    <cellStyle name="Normal 5 2 3 2 5" xfId="1317" xr:uid="{00000000-0005-0000-0000-000075180000}"/>
    <cellStyle name="Normal 5 2 3 2 5 2" xfId="3547" xr:uid="{00000000-0005-0000-0000-000076180000}"/>
    <cellStyle name="Normal 5 2 3 2 5 2 2" xfId="7770" xr:uid="{00000000-0005-0000-0000-000077180000}"/>
    <cellStyle name="Normal 5 2 3 2 5 2 2 2" xfId="16209" xr:uid="{F8D009B6-ED03-4466-BEDB-36F810E4C553}"/>
    <cellStyle name="Normal 5 2 3 2 5 2 3" xfId="11991" xr:uid="{0C61C301-6D5D-4764-B299-5CAD2D8617D6}"/>
    <cellStyle name="Normal 5 2 3 2 5 3" xfId="5625" xr:uid="{00000000-0005-0000-0000-000078180000}"/>
    <cellStyle name="Normal 5 2 3 2 5 3 2" xfId="14064" xr:uid="{83FCD16B-8514-499B-A9CE-27FC6AD44DEA}"/>
    <cellStyle name="Normal 5 2 3 2 5 4" xfId="9846" xr:uid="{99C17B3A-B85D-4DC3-97DA-E69F1C3996B5}"/>
    <cellStyle name="Normal 5 2 3 2 6" xfId="1730" xr:uid="{00000000-0005-0000-0000-000079180000}"/>
    <cellStyle name="Normal 5 2 3 2 6 2" xfId="3960" xr:uid="{00000000-0005-0000-0000-00007A180000}"/>
    <cellStyle name="Normal 5 2 3 2 6 2 2" xfId="8183" xr:uid="{00000000-0005-0000-0000-00007B180000}"/>
    <cellStyle name="Normal 5 2 3 2 6 2 2 2" xfId="16622" xr:uid="{E5787B6D-9797-4522-B783-B885F795EE0B}"/>
    <cellStyle name="Normal 5 2 3 2 6 2 3" xfId="12404" xr:uid="{02997F3A-F619-43A6-A9EE-ED3EB0CAA694}"/>
    <cellStyle name="Normal 5 2 3 2 6 3" xfId="6038" xr:uid="{00000000-0005-0000-0000-00007C180000}"/>
    <cellStyle name="Normal 5 2 3 2 6 3 2" xfId="14477" xr:uid="{FBDEC927-10E5-4053-9CCD-D3AA3FE12F19}"/>
    <cellStyle name="Normal 5 2 3 2 6 4" xfId="10259" xr:uid="{4EB541D7-2042-477E-BD9D-37CC50D0F73A}"/>
    <cellStyle name="Normal 5 2 3 2 7" xfId="2144" xr:uid="{00000000-0005-0000-0000-00007D180000}"/>
    <cellStyle name="Normal 5 2 3 2 7 2" xfId="4373" xr:uid="{00000000-0005-0000-0000-00007E180000}"/>
    <cellStyle name="Normal 5 2 3 2 7 2 2" xfId="8596" xr:uid="{00000000-0005-0000-0000-00007F180000}"/>
    <cellStyle name="Normal 5 2 3 2 7 2 2 2" xfId="17035" xr:uid="{97D64A7C-952E-4096-ABE6-7A36AC941F1A}"/>
    <cellStyle name="Normal 5 2 3 2 7 2 3" xfId="12817" xr:uid="{B2A3C4DC-4FCC-4EF3-B012-7BAABF9D8141}"/>
    <cellStyle name="Normal 5 2 3 2 7 3" xfId="6451" xr:uid="{00000000-0005-0000-0000-000080180000}"/>
    <cellStyle name="Normal 5 2 3 2 7 3 2" xfId="14890" xr:uid="{E61368F7-0EA3-42DC-AAB0-A9646A90591B}"/>
    <cellStyle name="Normal 5 2 3 2 7 4" xfId="10672" xr:uid="{FCFEB68D-E82F-47B3-AC45-2052A0EB1D16}"/>
    <cellStyle name="Normal 5 2 3 2 8" xfId="2580" xr:uid="{00000000-0005-0000-0000-000081180000}"/>
    <cellStyle name="Normal 5 2 3 2 8 2" xfId="6864" xr:uid="{00000000-0005-0000-0000-000082180000}"/>
    <cellStyle name="Normal 5 2 3 2 8 2 2" xfId="15303" xr:uid="{38256379-6834-47F4-A251-46092801B027}"/>
    <cellStyle name="Normal 5 2 3 2 8 3" xfId="11085" xr:uid="{24D2FFBC-993F-425B-9E85-56E92B61BE7A}"/>
    <cellStyle name="Normal 5 2 3 2 9" xfId="4799" xr:uid="{00000000-0005-0000-0000-000083180000}"/>
    <cellStyle name="Normal 5 2 3 2 9 2" xfId="13238" xr:uid="{56554238-4589-4A90-97FD-59F681AFC992}"/>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15801" xr:uid="{3505AA2D-ADC2-4CBB-8DD1-9825CAB3223A}"/>
    <cellStyle name="Normal 5 2 3 3 2 2 2 3" xfId="11583" xr:uid="{D248D45F-E2CE-4F68-8F19-F03A601095D6}"/>
    <cellStyle name="Normal 5 2 3 3 2 2 3" xfId="5217" xr:uid="{00000000-0005-0000-0000-000089180000}"/>
    <cellStyle name="Normal 5 2 3 3 2 2 3 2" xfId="13656" xr:uid="{BFD19E8B-9FCC-44FA-98BE-2920F3607F6C}"/>
    <cellStyle name="Normal 5 2 3 3 2 2 4" xfId="9438" xr:uid="{FEF53A2D-D32A-41FE-9E03-A3DB2BBA0A79}"/>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2 2" xfId="16214" xr:uid="{CAD747EB-376A-4210-BEF2-885771435C49}"/>
    <cellStyle name="Normal 5 2 3 3 2 3 2 3" xfId="11996" xr:uid="{EA8CA1F0-C032-422B-A5E3-19E178908F43}"/>
    <cellStyle name="Normal 5 2 3 3 2 3 3" xfId="5630" xr:uid="{00000000-0005-0000-0000-00008D180000}"/>
    <cellStyle name="Normal 5 2 3 3 2 3 3 2" xfId="14069" xr:uid="{4A009A2A-8127-4E40-B1C1-A58A0AC2418A}"/>
    <cellStyle name="Normal 5 2 3 3 2 3 4" xfId="9851" xr:uid="{0554F6C1-CA9B-4561-A284-6A57D942E0DD}"/>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2 2 2" xfId="16627" xr:uid="{09F97399-BFA5-4967-8AF8-3C6B04443CA1}"/>
    <cellStyle name="Normal 5 2 3 3 2 4 2 3" xfId="12409" xr:uid="{665CEED4-F0F8-4617-83E5-BA0CE32D0E81}"/>
    <cellStyle name="Normal 5 2 3 3 2 4 3" xfId="6043" xr:uid="{00000000-0005-0000-0000-000091180000}"/>
    <cellStyle name="Normal 5 2 3 3 2 4 3 2" xfId="14482" xr:uid="{EFCBE5B5-DFD7-4DFD-80A4-5EBD1B683763}"/>
    <cellStyle name="Normal 5 2 3 3 2 4 4" xfId="10264" xr:uid="{96E29E98-86C1-4E60-AB49-C04D677CCC2F}"/>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2 2 2" xfId="17040" xr:uid="{7E0DD394-26F6-4380-B20B-62BC8CA0F3D5}"/>
    <cellStyle name="Normal 5 2 3 3 2 5 2 3" xfId="12822" xr:uid="{982449BC-3B23-470F-A014-196836FCE129}"/>
    <cellStyle name="Normal 5 2 3 3 2 5 3" xfId="6456" xr:uid="{00000000-0005-0000-0000-000095180000}"/>
    <cellStyle name="Normal 5 2 3 3 2 5 3 2" xfId="14895" xr:uid="{22D8F239-E488-461A-8617-2D005D2B27CE}"/>
    <cellStyle name="Normal 5 2 3 3 2 5 4" xfId="10677" xr:uid="{5EC3FF61-8338-46B1-98C3-DC0F1D4FD28C}"/>
    <cellStyle name="Normal 5 2 3 3 2 6" xfId="2585" xr:uid="{00000000-0005-0000-0000-000096180000}"/>
    <cellStyle name="Normal 5 2 3 3 2 6 2" xfId="6869" xr:uid="{00000000-0005-0000-0000-000097180000}"/>
    <cellStyle name="Normal 5 2 3 3 2 6 2 2" xfId="15308" xr:uid="{4A173067-A7F3-481E-A8ED-06575849E1C1}"/>
    <cellStyle name="Normal 5 2 3 3 2 6 3" xfId="11090" xr:uid="{0C7C67FE-40E8-4A0F-A019-6646DA8BB98C}"/>
    <cellStyle name="Normal 5 2 3 3 2 7" xfId="4804" xr:uid="{00000000-0005-0000-0000-000098180000}"/>
    <cellStyle name="Normal 5 2 3 3 2 7 2" xfId="13243" xr:uid="{7C824975-0E47-4BE6-9155-4FCE4DA624C1}"/>
    <cellStyle name="Normal 5 2 3 3 2 8" xfId="9025" xr:uid="{6BD4B569-43B2-4A7D-9C58-F32F97EE55CA}"/>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15800" xr:uid="{A9C4FBFB-0B8C-48EC-BE3D-8C2A1F7DEE5F}"/>
    <cellStyle name="Normal 5 2 3 3 3 2 3" xfId="11582" xr:uid="{CAB24C5A-60C7-403E-B1FB-9CE45FFBE9B4}"/>
    <cellStyle name="Normal 5 2 3 3 3 3" xfId="5216" xr:uid="{00000000-0005-0000-0000-00009C180000}"/>
    <cellStyle name="Normal 5 2 3 3 3 3 2" xfId="13655" xr:uid="{613766DA-6E13-465A-9BB6-E08B28921796}"/>
    <cellStyle name="Normal 5 2 3 3 3 4" xfId="9437" xr:uid="{F00B1356-5160-44B2-809D-2FDDE3177E36}"/>
    <cellStyle name="Normal 5 2 3 3 4" xfId="1321" xr:uid="{00000000-0005-0000-0000-00009D180000}"/>
    <cellStyle name="Normal 5 2 3 3 4 2" xfId="3551" xr:uid="{00000000-0005-0000-0000-00009E180000}"/>
    <cellStyle name="Normal 5 2 3 3 4 2 2" xfId="7774" xr:uid="{00000000-0005-0000-0000-00009F180000}"/>
    <cellStyle name="Normal 5 2 3 3 4 2 2 2" xfId="16213" xr:uid="{3050417C-C0D3-4047-A52F-14509DD9DBD7}"/>
    <cellStyle name="Normal 5 2 3 3 4 2 3" xfId="11995" xr:uid="{47185395-798D-49E6-A516-70E114E336D4}"/>
    <cellStyle name="Normal 5 2 3 3 4 3" xfId="5629" xr:uid="{00000000-0005-0000-0000-0000A0180000}"/>
    <cellStyle name="Normal 5 2 3 3 4 3 2" xfId="14068" xr:uid="{59F0AB81-B55B-4FF0-BCDC-3D563FA3B971}"/>
    <cellStyle name="Normal 5 2 3 3 4 4" xfId="9850" xr:uid="{E6499B61-E555-4DEC-B848-4B7332298B73}"/>
    <cellStyle name="Normal 5 2 3 3 5" xfId="1734" xr:uid="{00000000-0005-0000-0000-0000A1180000}"/>
    <cellStyle name="Normal 5 2 3 3 5 2" xfId="3964" xr:uid="{00000000-0005-0000-0000-0000A2180000}"/>
    <cellStyle name="Normal 5 2 3 3 5 2 2" xfId="8187" xr:uid="{00000000-0005-0000-0000-0000A3180000}"/>
    <cellStyle name="Normal 5 2 3 3 5 2 2 2" xfId="16626" xr:uid="{50EDBDF1-379E-45F1-B1D6-1616D4ACC237}"/>
    <cellStyle name="Normal 5 2 3 3 5 2 3" xfId="12408" xr:uid="{FD57EA02-0143-4CCD-9EE5-7B3FFF28D932}"/>
    <cellStyle name="Normal 5 2 3 3 5 3" xfId="6042" xr:uid="{00000000-0005-0000-0000-0000A4180000}"/>
    <cellStyle name="Normal 5 2 3 3 5 3 2" xfId="14481" xr:uid="{9CABFCFB-1C5F-4D76-90D7-DE1B68C8D556}"/>
    <cellStyle name="Normal 5 2 3 3 5 4" xfId="10263" xr:uid="{02F2C63F-3DCD-45F0-AE4A-E98AE90181BB}"/>
    <cellStyle name="Normal 5 2 3 3 6" xfId="2148" xr:uid="{00000000-0005-0000-0000-0000A5180000}"/>
    <cellStyle name="Normal 5 2 3 3 6 2" xfId="4377" xr:uid="{00000000-0005-0000-0000-0000A6180000}"/>
    <cellStyle name="Normal 5 2 3 3 6 2 2" xfId="8600" xr:uid="{00000000-0005-0000-0000-0000A7180000}"/>
    <cellStyle name="Normal 5 2 3 3 6 2 2 2" xfId="17039" xr:uid="{32B8AABA-96E0-4F3A-9CA9-EE9C4E8A579D}"/>
    <cellStyle name="Normal 5 2 3 3 6 2 3" xfId="12821" xr:uid="{9BA78059-F3D4-4D92-BA1C-EC3B57AE9C4A}"/>
    <cellStyle name="Normal 5 2 3 3 6 3" xfId="6455" xr:uid="{00000000-0005-0000-0000-0000A8180000}"/>
    <cellStyle name="Normal 5 2 3 3 6 3 2" xfId="14894" xr:uid="{0876BF02-5998-40F7-8B49-90C5A8BCD67C}"/>
    <cellStyle name="Normal 5 2 3 3 6 4" xfId="10676" xr:uid="{358DC68F-3052-47E7-86C5-577F0E4CA7B4}"/>
    <cellStyle name="Normal 5 2 3 3 7" xfId="2584" xr:uid="{00000000-0005-0000-0000-0000A9180000}"/>
    <cellStyle name="Normal 5 2 3 3 7 2" xfId="6868" xr:uid="{00000000-0005-0000-0000-0000AA180000}"/>
    <cellStyle name="Normal 5 2 3 3 7 2 2" xfId="15307" xr:uid="{35A03C75-8EC3-47CD-9849-B20B60EE6067}"/>
    <cellStyle name="Normal 5 2 3 3 7 3" xfId="11089" xr:uid="{5ECA0DB7-D9A7-4CD7-8273-8150B3AADF5E}"/>
    <cellStyle name="Normal 5 2 3 3 8" xfId="4803" xr:uid="{00000000-0005-0000-0000-0000AB180000}"/>
    <cellStyle name="Normal 5 2 3 3 8 2" xfId="13242" xr:uid="{8D5BE543-6B89-4BED-9D56-58EF06CC95DA}"/>
    <cellStyle name="Normal 5 2 3 3 9" xfId="9024" xr:uid="{E0189829-6BFA-40BF-B42D-9A6C12C841AB}"/>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15802" xr:uid="{07177AD5-CBEF-4EA0-99C5-B274D87D5BCF}"/>
    <cellStyle name="Normal 5 2 3 4 2 2 3" xfId="11584" xr:uid="{A74E352B-F810-4199-97D4-0DA79907FE67}"/>
    <cellStyle name="Normal 5 2 3 4 2 3" xfId="5218" xr:uid="{00000000-0005-0000-0000-0000B0180000}"/>
    <cellStyle name="Normal 5 2 3 4 2 3 2" xfId="13657" xr:uid="{8F1053CC-ED6A-4B38-A8F4-9ABD7E783D31}"/>
    <cellStyle name="Normal 5 2 3 4 2 4" xfId="9439" xr:uid="{2FDB64F6-FB52-473E-8203-AF0DBE94F505}"/>
    <cellStyle name="Normal 5 2 3 4 3" xfId="1323" xr:uid="{00000000-0005-0000-0000-0000B1180000}"/>
    <cellStyle name="Normal 5 2 3 4 3 2" xfId="3553" xr:uid="{00000000-0005-0000-0000-0000B2180000}"/>
    <cellStyle name="Normal 5 2 3 4 3 2 2" xfId="7776" xr:uid="{00000000-0005-0000-0000-0000B3180000}"/>
    <cellStyle name="Normal 5 2 3 4 3 2 2 2" xfId="16215" xr:uid="{3D3F2105-2DDB-4F58-85AC-9447B603BA8F}"/>
    <cellStyle name="Normal 5 2 3 4 3 2 3" xfId="11997" xr:uid="{4B529112-FF5E-4EE8-8FE0-0C74AA3C39C9}"/>
    <cellStyle name="Normal 5 2 3 4 3 3" xfId="5631" xr:uid="{00000000-0005-0000-0000-0000B4180000}"/>
    <cellStyle name="Normal 5 2 3 4 3 3 2" xfId="14070" xr:uid="{456E7CDB-6A66-496D-82CA-23D45EF0425C}"/>
    <cellStyle name="Normal 5 2 3 4 3 4" xfId="9852" xr:uid="{2ADCCE8C-1936-4494-B6CA-327E08818BCD}"/>
    <cellStyle name="Normal 5 2 3 4 4" xfId="1736" xr:uid="{00000000-0005-0000-0000-0000B5180000}"/>
    <cellStyle name="Normal 5 2 3 4 4 2" xfId="3966" xr:uid="{00000000-0005-0000-0000-0000B6180000}"/>
    <cellStyle name="Normal 5 2 3 4 4 2 2" xfId="8189" xr:uid="{00000000-0005-0000-0000-0000B7180000}"/>
    <cellStyle name="Normal 5 2 3 4 4 2 2 2" xfId="16628" xr:uid="{E99010D1-D0BE-4494-8370-9A9B4720B794}"/>
    <cellStyle name="Normal 5 2 3 4 4 2 3" xfId="12410" xr:uid="{8FEA030E-609B-4697-B3D2-8F893143C315}"/>
    <cellStyle name="Normal 5 2 3 4 4 3" xfId="6044" xr:uid="{00000000-0005-0000-0000-0000B8180000}"/>
    <cellStyle name="Normal 5 2 3 4 4 3 2" xfId="14483" xr:uid="{EB79364B-DE62-491E-9182-2B3DA63B8332}"/>
    <cellStyle name="Normal 5 2 3 4 4 4" xfId="10265" xr:uid="{42F18934-B15B-4653-AD3A-8EDEDE8F0724}"/>
    <cellStyle name="Normal 5 2 3 4 5" xfId="2150" xr:uid="{00000000-0005-0000-0000-0000B9180000}"/>
    <cellStyle name="Normal 5 2 3 4 5 2" xfId="4379" xr:uid="{00000000-0005-0000-0000-0000BA180000}"/>
    <cellStyle name="Normal 5 2 3 4 5 2 2" xfId="8602" xr:uid="{00000000-0005-0000-0000-0000BB180000}"/>
    <cellStyle name="Normal 5 2 3 4 5 2 2 2" xfId="17041" xr:uid="{0914F0B6-266C-430D-98F3-3337202029E0}"/>
    <cellStyle name="Normal 5 2 3 4 5 2 3" xfId="12823" xr:uid="{04A0EE34-40C1-4903-945C-8C325F2D95E0}"/>
    <cellStyle name="Normal 5 2 3 4 5 3" xfId="6457" xr:uid="{00000000-0005-0000-0000-0000BC180000}"/>
    <cellStyle name="Normal 5 2 3 4 5 3 2" xfId="14896" xr:uid="{99DF0C59-BD03-46BF-BF94-06E12E42FA26}"/>
    <cellStyle name="Normal 5 2 3 4 5 4" xfId="10678" xr:uid="{E4BE5951-EAB1-4837-A91D-2F344C004AD9}"/>
    <cellStyle name="Normal 5 2 3 4 6" xfId="2586" xr:uid="{00000000-0005-0000-0000-0000BD180000}"/>
    <cellStyle name="Normal 5 2 3 4 6 2" xfId="6870" xr:uid="{00000000-0005-0000-0000-0000BE180000}"/>
    <cellStyle name="Normal 5 2 3 4 6 2 2" xfId="15309" xr:uid="{AB47CFE3-4478-4381-9085-D0D18E52772E}"/>
    <cellStyle name="Normal 5 2 3 4 6 3" xfId="11091" xr:uid="{8D8E1E64-E776-4B57-96B7-E545A74732CC}"/>
    <cellStyle name="Normal 5 2 3 4 7" xfId="4805" xr:uid="{00000000-0005-0000-0000-0000BF180000}"/>
    <cellStyle name="Normal 5 2 3 4 7 2" xfId="13244" xr:uid="{4EADA863-A3DC-4489-8200-4BF2C7AE4787}"/>
    <cellStyle name="Normal 5 2 3 4 8" xfId="9026" xr:uid="{6122211D-5620-4937-AC42-BF21859CDD59}"/>
    <cellStyle name="Normal 5 2 3 5" xfId="898" xr:uid="{00000000-0005-0000-0000-0000C0180000}"/>
    <cellStyle name="Normal 5 2 3 5 2" xfId="3133" xr:uid="{00000000-0005-0000-0000-0000C1180000}"/>
    <cellStyle name="Normal 5 2 3 5 2 2" xfId="7356" xr:uid="{00000000-0005-0000-0000-0000C2180000}"/>
    <cellStyle name="Normal 5 2 3 5 2 2 2" xfId="15795" xr:uid="{87862E95-1608-4997-BD47-CAC6D7D22626}"/>
    <cellStyle name="Normal 5 2 3 5 2 3" xfId="11577" xr:uid="{1D9FFC65-AC96-43FC-A741-2C2BE9A06B9B}"/>
    <cellStyle name="Normal 5 2 3 5 3" xfId="5211" xr:uid="{00000000-0005-0000-0000-0000C3180000}"/>
    <cellStyle name="Normal 5 2 3 5 3 2" xfId="13650" xr:uid="{310DF2BF-2401-435E-85BA-37030F402060}"/>
    <cellStyle name="Normal 5 2 3 5 4" xfId="9432" xr:uid="{10CEFE4D-471B-4338-9798-0DFDC572A778}"/>
    <cellStyle name="Normal 5 2 3 6" xfId="1316" xr:uid="{00000000-0005-0000-0000-0000C4180000}"/>
    <cellStyle name="Normal 5 2 3 6 2" xfId="3546" xr:uid="{00000000-0005-0000-0000-0000C5180000}"/>
    <cellStyle name="Normal 5 2 3 6 2 2" xfId="7769" xr:uid="{00000000-0005-0000-0000-0000C6180000}"/>
    <cellStyle name="Normal 5 2 3 6 2 2 2" xfId="16208" xr:uid="{E0153CD3-9952-4718-BE06-A21C4694D274}"/>
    <cellStyle name="Normal 5 2 3 6 2 3" xfId="11990" xr:uid="{F72231D5-CF96-4FDC-A765-32C89CBA76E3}"/>
    <cellStyle name="Normal 5 2 3 6 3" xfId="5624" xr:uid="{00000000-0005-0000-0000-0000C7180000}"/>
    <cellStyle name="Normal 5 2 3 6 3 2" xfId="14063" xr:uid="{5D171F22-4FAE-44E6-B1B6-83708EE6CB59}"/>
    <cellStyle name="Normal 5 2 3 6 4" xfId="9845" xr:uid="{E20FCD18-3BE0-4FE2-A179-327C309F3ED6}"/>
    <cellStyle name="Normal 5 2 3 7" xfId="1729" xr:uid="{00000000-0005-0000-0000-0000C8180000}"/>
    <cellStyle name="Normal 5 2 3 7 2" xfId="3959" xr:uid="{00000000-0005-0000-0000-0000C9180000}"/>
    <cellStyle name="Normal 5 2 3 7 2 2" xfId="8182" xr:uid="{00000000-0005-0000-0000-0000CA180000}"/>
    <cellStyle name="Normal 5 2 3 7 2 2 2" xfId="16621" xr:uid="{A4CD1B25-197A-4032-9EF9-DB5519E5E5A9}"/>
    <cellStyle name="Normal 5 2 3 7 2 3" xfId="12403" xr:uid="{201BCA40-6CE0-45AB-889F-2C32BD8F3BEA}"/>
    <cellStyle name="Normal 5 2 3 7 3" xfId="6037" xr:uid="{00000000-0005-0000-0000-0000CB180000}"/>
    <cellStyle name="Normal 5 2 3 7 3 2" xfId="14476" xr:uid="{65599883-B568-4DD0-9B65-492DA63BD4F6}"/>
    <cellStyle name="Normal 5 2 3 7 4" xfId="10258" xr:uid="{296873B7-F495-4D03-AA6E-8208E159793C}"/>
    <cellStyle name="Normal 5 2 3 8" xfId="2143" xr:uid="{00000000-0005-0000-0000-0000CC180000}"/>
    <cellStyle name="Normal 5 2 3 8 2" xfId="4372" xr:uid="{00000000-0005-0000-0000-0000CD180000}"/>
    <cellStyle name="Normal 5 2 3 8 2 2" xfId="8595" xr:uid="{00000000-0005-0000-0000-0000CE180000}"/>
    <cellStyle name="Normal 5 2 3 8 2 2 2" xfId="17034" xr:uid="{3B61C0C1-2CA2-4DBC-8D03-416A24E4F9DC}"/>
    <cellStyle name="Normal 5 2 3 8 2 3" xfId="12816" xr:uid="{AA7DE99C-FFA5-4992-8142-0BCD7A4B2E91}"/>
    <cellStyle name="Normal 5 2 3 8 3" xfId="6450" xr:uid="{00000000-0005-0000-0000-0000CF180000}"/>
    <cellStyle name="Normal 5 2 3 8 3 2" xfId="14889" xr:uid="{9998D215-8727-4A87-999E-F723B9D17408}"/>
    <cellStyle name="Normal 5 2 3 8 4" xfId="10671" xr:uid="{9C936B7F-63B7-48DC-82FA-2E7166DF343E}"/>
    <cellStyle name="Normal 5 2 3 9" xfId="2579" xr:uid="{00000000-0005-0000-0000-0000D0180000}"/>
    <cellStyle name="Normal 5 2 3 9 2" xfId="6863" xr:uid="{00000000-0005-0000-0000-0000D1180000}"/>
    <cellStyle name="Normal 5 2 3 9 2 2" xfId="15302" xr:uid="{2920B0C7-2F02-4B4A-B3CB-550F95C4335D}"/>
    <cellStyle name="Normal 5 2 3 9 3" xfId="11084" xr:uid="{F5A53B62-1B8C-41B9-A114-004E92B099DB}"/>
    <cellStyle name="Normal 5 2 4" xfId="432" xr:uid="{00000000-0005-0000-0000-0000D2180000}"/>
    <cellStyle name="Normal 5 2 4 10" xfId="9027" xr:uid="{B7E8792C-AA32-44D6-828C-1EBF710D33E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15805" xr:uid="{52FC8EB3-A681-4FD0-AFCB-25F769FBB8CC}"/>
    <cellStyle name="Normal 5 2 4 2 2 2 2 3" xfId="11587" xr:uid="{734D9312-F65F-4890-BCDF-BFD75049208C}"/>
    <cellStyle name="Normal 5 2 4 2 2 2 3" xfId="5221" xr:uid="{00000000-0005-0000-0000-0000D8180000}"/>
    <cellStyle name="Normal 5 2 4 2 2 2 3 2" xfId="13660" xr:uid="{BB190A12-2333-492D-B7C1-344A16E6759B}"/>
    <cellStyle name="Normal 5 2 4 2 2 2 4" xfId="9442" xr:uid="{AE11D9BB-BFDB-446D-B55C-6B65B655865C}"/>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2 2" xfId="16218" xr:uid="{88001CB9-492A-4C6E-A6C7-9FBAB3A1C2BC}"/>
    <cellStyle name="Normal 5 2 4 2 2 3 2 3" xfId="12000" xr:uid="{8E182A53-CDD9-47A9-9948-4757DBAA301D}"/>
    <cellStyle name="Normal 5 2 4 2 2 3 3" xfId="5634" xr:uid="{00000000-0005-0000-0000-0000DC180000}"/>
    <cellStyle name="Normal 5 2 4 2 2 3 3 2" xfId="14073" xr:uid="{2A10A735-20D4-47B4-A42D-B30139A3D415}"/>
    <cellStyle name="Normal 5 2 4 2 2 3 4" xfId="9855" xr:uid="{72ED86D3-6B9C-4B56-95B1-8E00B81B1B3D}"/>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2 2 2" xfId="16631" xr:uid="{6CFCE5A2-41AA-4CC3-B50C-BEBD1C7068BF}"/>
    <cellStyle name="Normal 5 2 4 2 2 4 2 3" xfId="12413" xr:uid="{FCD288BB-550C-40E1-8DAB-0DB599989A7B}"/>
    <cellStyle name="Normal 5 2 4 2 2 4 3" xfId="6047" xr:uid="{00000000-0005-0000-0000-0000E0180000}"/>
    <cellStyle name="Normal 5 2 4 2 2 4 3 2" xfId="14486" xr:uid="{A9197DBC-97CE-4F37-81D2-0919C89ADC51}"/>
    <cellStyle name="Normal 5 2 4 2 2 4 4" xfId="10268" xr:uid="{DE3832B5-9395-4A4B-A07D-038775170A14}"/>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2 2 2" xfId="17044" xr:uid="{0BAAE5D2-E6DF-44F2-BF30-288B00675431}"/>
    <cellStyle name="Normal 5 2 4 2 2 5 2 3" xfId="12826" xr:uid="{A553D0BD-AB46-418B-B55D-4093DA6E740E}"/>
    <cellStyle name="Normal 5 2 4 2 2 5 3" xfId="6460" xr:uid="{00000000-0005-0000-0000-0000E4180000}"/>
    <cellStyle name="Normal 5 2 4 2 2 5 3 2" xfId="14899" xr:uid="{05504F97-4CDC-4763-8572-A1DE47646812}"/>
    <cellStyle name="Normal 5 2 4 2 2 5 4" xfId="10681" xr:uid="{45F248CD-FE35-4FF2-8F45-F8A79A25298B}"/>
    <cellStyle name="Normal 5 2 4 2 2 6" xfId="2589" xr:uid="{00000000-0005-0000-0000-0000E5180000}"/>
    <cellStyle name="Normal 5 2 4 2 2 6 2" xfId="6873" xr:uid="{00000000-0005-0000-0000-0000E6180000}"/>
    <cellStyle name="Normal 5 2 4 2 2 6 2 2" xfId="15312" xr:uid="{FD20520C-BC22-4D76-B9BD-31F7459139E0}"/>
    <cellStyle name="Normal 5 2 4 2 2 6 3" xfId="11094" xr:uid="{D2F27B3E-99B3-4E45-8618-63E6C7EF5B99}"/>
    <cellStyle name="Normal 5 2 4 2 2 7" xfId="4808" xr:uid="{00000000-0005-0000-0000-0000E7180000}"/>
    <cellStyle name="Normal 5 2 4 2 2 7 2" xfId="13247" xr:uid="{5D78F265-14E9-488F-82AC-ACA70F96AE41}"/>
    <cellStyle name="Normal 5 2 4 2 2 8" xfId="9029" xr:uid="{A88D47F2-3447-45F2-8D48-39FD9E8A4903}"/>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15804" xr:uid="{EC5D29D5-A29E-417C-98E7-B7C079819F5D}"/>
    <cellStyle name="Normal 5 2 4 2 3 2 3" xfId="11586" xr:uid="{FE9FF052-9734-4EE8-92F9-F6C13F9A2475}"/>
    <cellStyle name="Normal 5 2 4 2 3 3" xfId="5220" xr:uid="{00000000-0005-0000-0000-0000EB180000}"/>
    <cellStyle name="Normal 5 2 4 2 3 3 2" xfId="13659" xr:uid="{2BAF2121-77EC-4C06-893E-91829D06C4CE}"/>
    <cellStyle name="Normal 5 2 4 2 3 4" xfId="9441" xr:uid="{7FAE6EE0-371A-4816-AFD0-164209449587}"/>
    <cellStyle name="Normal 5 2 4 2 4" xfId="1325" xr:uid="{00000000-0005-0000-0000-0000EC180000}"/>
    <cellStyle name="Normal 5 2 4 2 4 2" xfId="3555" xr:uid="{00000000-0005-0000-0000-0000ED180000}"/>
    <cellStyle name="Normal 5 2 4 2 4 2 2" xfId="7778" xr:uid="{00000000-0005-0000-0000-0000EE180000}"/>
    <cellStyle name="Normal 5 2 4 2 4 2 2 2" xfId="16217" xr:uid="{667CBFDB-C3AD-4FA1-B178-455F885D7682}"/>
    <cellStyle name="Normal 5 2 4 2 4 2 3" xfId="11999" xr:uid="{9590726D-1194-438E-8BF3-115AF311A3D6}"/>
    <cellStyle name="Normal 5 2 4 2 4 3" xfId="5633" xr:uid="{00000000-0005-0000-0000-0000EF180000}"/>
    <cellStyle name="Normal 5 2 4 2 4 3 2" xfId="14072" xr:uid="{C9092BED-FFB5-49E7-BD7F-01C95FA07CCA}"/>
    <cellStyle name="Normal 5 2 4 2 4 4" xfId="9854" xr:uid="{706B4197-F4BB-40F8-AF28-4A1FFB4170A7}"/>
    <cellStyle name="Normal 5 2 4 2 5" xfId="1738" xr:uid="{00000000-0005-0000-0000-0000F0180000}"/>
    <cellStyle name="Normal 5 2 4 2 5 2" xfId="3968" xr:uid="{00000000-0005-0000-0000-0000F1180000}"/>
    <cellStyle name="Normal 5 2 4 2 5 2 2" xfId="8191" xr:uid="{00000000-0005-0000-0000-0000F2180000}"/>
    <cellStyle name="Normal 5 2 4 2 5 2 2 2" xfId="16630" xr:uid="{922A32C3-C7CC-4D0F-9169-F08B4FBE978D}"/>
    <cellStyle name="Normal 5 2 4 2 5 2 3" xfId="12412" xr:uid="{53036AFD-B427-4B7B-BB2E-FAAB64FECBA8}"/>
    <cellStyle name="Normal 5 2 4 2 5 3" xfId="6046" xr:uid="{00000000-0005-0000-0000-0000F3180000}"/>
    <cellStyle name="Normal 5 2 4 2 5 3 2" xfId="14485" xr:uid="{7B21C3E3-F84F-4930-A451-88F9C56A746A}"/>
    <cellStyle name="Normal 5 2 4 2 5 4" xfId="10267" xr:uid="{61FC3BA1-7121-4ABF-947E-FF843EF40572}"/>
    <cellStyle name="Normal 5 2 4 2 6" xfId="2152" xr:uid="{00000000-0005-0000-0000-0000F4180000}"/>
    <cellStyle name="Normal 5 2 4 2 6 2" xfId="4381" xr:uid="{00000000-0005-0000-0000-0000F5180000}"/>
    <cellStyle name="Normal 5 2 4 2 6 2 2" xfId="8604" xr:uid="{00000000-0005-0000-0000-0000F6180000}"/>
    <cellStyle name="Normal 5 2 4 2 6 2 2 2" xfId="17043" xr:uid="{02FE1BAF-C240-4CD7-A4C4-EACDC41CDCD5}"/>
    <cellStyle name="Normal 5 2 4 2 6 2 3" xfId="12825" xr:uid="{D2E77E7E-CD35-4DC8-B8C8-D0B3552E2985}"/>
    <cellStyle name="Normal 5 2 4 2 6 3" xfId="6459" xr:uid="{00000000-0005-0000-0000-0000F7180000}"/>
    <cellStyle name="Normal 5 2 4 2 6 3 2" xfId="14898" xr:uid="{37FF1656-4560-4D51-A6A1-C4CAB32118B7}"/>
    <cellStyle name="Normal 5 2 4 2 6 4" xfId="10680" xr:uid="{4AEB0ACB-B246-4917-A5C6-AF893D46BC8D}"/>
    <cellStyle name="Normal 5 2 4 2 7" xfId="2588" xr:uid="{00000000-0005-0000-0000-0000F8180000}"/>
    <cellStyle name="Normal 5 2 4 2 7 2" xfId="6872" xr:uid="{00000000-0005-0000-0000-0000F9180000}"/>
    <cellStyle name="Normal 5 2 4 2 7 2 2" xfId="15311" xr:uid="{55528F8A-0A4B-4151-95DB-5790435ED5C2}"/>
    <cellStyle name="Normal 5 2 4 2 7 3" xfId="11093" xr:uid="{DFBF1B36-90D7-4D79-AC38-089CEF5787D6}"/>
    <cellStyle name="Normal 5 2 4 2 8" xfId="4807" xr:uid="{00000000-0005-0000-0000-0000FA180000}"/>
    <cellStyle name="Normal 5 2 4 2 8 2" xfId="13246" xr:uid="{0A2AFCA7-325E-417E-BDAA-6E83CA32C8FA}"/>
    <cellStyle name="Normal 5 2 4 2 9" xfId="9028" xr:uid="{20C4CF4F-CACA-4042-8BFB-C586C89E99C5}"/>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15806" xr:uid="{44783B12-23B6-43FB-98D4-F274E5448E00}"/>
    <cellStyle name="Normal 5 2 4 3 2 2 3" xfId="11588" xr:uid="{FEA09928-EA5D-4033-B53E-E9765E958D08}"/>
    <cellStyle name="Normal 5 2 4 3 2 3" xfId="5222" xr:uid="{00000000-0005-0000-0000-0000FF180000}"/>
    <cellStyle name="Normal 5 2 4 3 2 3 2" xfId="13661" xr:uid="{20F9CCEA-4EBA-4F42-9C05-004C28A2A93C}"/>
    <cellStyle name="Normal 5 2 4 3 2 4" xfId="9443" xr:uid="{3F8847F1-7DFD-4D62-8C76-AB5FE0D83FC7}"/>
    <cellStyle name="Normal 5 2 4 3 3" xfId="1327" xr:uid="{00000000-0005-0000-0000-000000190000}"/>
    <cellStyle name="Normal 5 2 4 3 3 2" xfId="3557" xr:uid="{00000000-0005-0000-0000-000001190000}"/>
    <cellStyle name="Normal 5 2 4 3 3 2 2" xfId="7780" xr:uid="{00000000-0005-0000-0000-000002190000}"/>
    <cellStyle name="Normal 5 2 4 3 3 2 2 2" xfId="16219" xr:uid="{1B901EA3-84D6-4424-BB6B-35075F2CD6DB}"/>
    <cellStyle name="Normal 5 2 4 3 3 2 3" xfId="12001" xr:uid="{641889A8-4354-4C63-A760-55C5F61EDEAB}"/>
    <cellStyle name="Normal 5 2 4 3 3 3" xfId="5635" xr:uid="{00000000-0005-0000-0000-000003190000}"/>
    <cellStyle name="Normal 5 2 4 3 3 3 2" xfId="14074" xr:uid="{4A890876-6A15-4D89-AB9B-0E36F48C6F38}"/>
    <cellStyle name="Normal 5 2 4 3 3 4" xfId="9856" xr:uid="{B94355B4-2E6A-44F6-9C62-503264FA7F92}"/>
    <cellStyle name="Normal 5 2 4 3 4" xfId="1740" xr:uid="{00000000-0005-0000-0000-000004190000}"/>
    <cellStyle name="Normal 5 2 4 3 4 2" xfId="3970" xr:uid="{00000000-0005-0000-0000-000005190000}"/>
    <cellStyle name="Normal 5 2 4 3 4 2 2" xfId="8193" xr:uid="{00000000-0005-0000-0000-000006190000}"/>
    <cellStyle name="Normal 5 2 4 3 4 2 2 2" xfId="16632" xr:uid="{DEDC2CED-44FA-4090-B01F-8A4E866A869D}"/>
    <cellStyle name="Normal 5 2 4 3 4 2 3" xfId="12414" xr:uid="{2C23A19A-61F2-43DD-8A18-4A63D57B02B6}"/>
    <cellStyle name="Normal 5 2 4 3 4 3" xfId="6048" xr:uid="{00000000-0005-0000-0000-000007190000}"/>
    <cellStyle name="Normal 5 2 4 3 4 3 2" xfId="14487" xr:uid="{75BED723-407B-4F95-AA3D-3A6B1772A1B0}"/>
    <cellStyle name="Normal 5 2 4 3 4 4" xfId="10269" xr:uid="{C12FB33E-4BF6-4A9A-93CB-FB692D06C202}"/>
    <cellStyle name="Normal 5 2 4 3 5" xfId="2154" xr:uid="{00000000-0005-0000-0000-000008190000}"/>
    <cellStyle name="Normal 5 2 4 3 5 2" xfId="4383" xr:uid="{00000000-0005-0000-0000-000009190000}"/>
    <cellStyle name="Normal 5 2 4 3 5 2 2" xfId="8606" xr:uid="{00000000-0005-0000-0000-00000A190000}"/>
    <cellStyle name="Normal 5 2 4 3 5 2 2 2" xfId="17045" xr:uid="{3BA2C76A-58EF-4AAA-A7A5-E6458B07799E}"/>
    <cellStyle name="Normal 5 2 4 3 5 2 3" xfId="12827" xr:uid="{5CCE4353-ADE7-426B-B36E-38BD1FDBB656}"/>
    <cellStyle name="Normal 5 2 4 3 5 3" xfId="6461" xr:uid="{00000000-0005-0000-0000-00000B190000}"/>
    <cellStyle name="Normal 5 2 4 3 5 3 2" xfId="14900" xr:uid="{329BDBB9-9E69-471A-A6BE-BC12879F4441}"/>
    <cellStyle name="Normal 5 2 4 3 5 4" xfId="10682" xr:uid="{4C537D27-B189-49AA-896D-EBA8159E22C1}"/>
    <cellStyle name="Normal 5 2 4 3 6" xfId="2590" xr:uid="{00000000-0005-0000-0000-00000C190000}"/>
    <cellStyle name="Normal 5 2 4 3 6 2" xfId="6874" xr:uid="{00000000-0005-0000-0000-00000D190000}"/>
    <cellStyle name="Normal 5 2 4 3 6 2 2" xfId="15313" xr:uid="{049ED363-159D-4268-9175-AD3B5F0D963F}"/>
    <cellStyle name="Normal 5 2 4 3 6 3" xfId="11095" xr:uid="{887B67EB-1468-4950-AEBE-A3705EB280FF}"/>
    <cellStyle name="Normal 5 2 4 3 7" xfId="4809" xr:uid="{00000000-0005-0000-0000-00000E190000}"/>
    <cellStyle name="Normal 5 2 4 3 7 2" xfId="13248" xr:uid="{B4DF11B0-B491-4C94-8B0D-E425601B1E63}"/>
    <cellStyle name="Normal 5 2 4 3 8" xfId="9030" xr:uid="{63CB44F8-BD43-443E-AB7D-396B06AA71FD}"/>
    <cellStyle name="Normal 5 2 4 4" xfId="906" xr:uid="{00000000-0005-0000-0000-00000F190000}"/>
    <cellStyle name="Normal 5 2 4 4 2" xfId="3141" xr:uid="{00000000-0005-0000-0000-000010190000}"/>
    <cellStyle name="Normal 5 2 4 4 2 2" xfId="7364" xr:uid="{00000000-0005-0000-0000-000011190000}"/>
    <cellStyle name="Normal 5 2 4 4 2 2 2" xfId="15803" xr:uid="{F4082713-7514-4349-A573-6632DFD04A4D}"/>
    <cellStyle name="Normal 5 2 4 4 2 3" xfId="11585" xr:uid="{696391DD-4712-4C15-BC89-8B55E35130F8}"/>
    <cellStyle name="Normal 5 2 4 4 3" xfId="5219" xr:uid="{00000000-0005-0000-0000-000012190000}"/>
    <cellStyle name="Normal 5 2 4 4 3 2" xfId="13658" xr:uid="{0C39A7B8-49F2-4565-B51B-F60AECBCDC38}"/>
    <cellStyle name="Normal 5 2 4 4 4" xfId="9440" xr:uid="{55742F80-F059-47E8-9A9D-38F0C23CC98B}"/>
    <cellStyle name="Normal 5 2 4 5" xfId="1324" xr:uid="{00000000-0005-0000-0000-000013190000}"/>
    <cellStyle name="Normal 5 2 4 5 2" xfId="3554" xr:uid="{00000000-0005-0000-0000-000014190000}"/>
    <cellStyle name="Normal 5 2 4 5 2 2" xfId="7777" xr:uid="{00000000-0005-0000-0000-000015190000}"/>
    <cellStyle name="Normal 5 2 4 5 2 2 2" xfId="16216" xr:uid="{FA23B410-44BB-4289-AB8B-4EAEAD0E882A}"/>
    <cellStyle name="Normal 5 2 4 5 2 3" xfId="11998" xr:uid="{CD373DF3-813D-48CB-B8F1-82A7E0235D44}"/>
    <cellStyle name="Normal 5 2 4 5 3" xfId="5632" xr:uid="{00000000-0005-0000-0000-000016190000}"/>
    <cellStyle name="Normal 5 2 4 5 3 2" xfId="14071" xr:uid="{2E9C81C0-245C-4E22-B5F9-318E8DA67429}"/>
    <cellStyle name="Normal 5 2 4 5 4" xfId="9853" xr:uid="{220EE37E-B7BA-4ABE-9047-264F510AF8DF}"/>
    <cellStyle name="Normal 5 2 4 6" xfId="1737" xr:uid="{00000000-0005-0000-0000-000017190000}"/>
    <cellStyle name="Normal 5 2 4 6 2" xfId="3967" xr:uid="{00000000-0005-0000-0000-000018190000}"/>
    <cellStyle name="Normal 5 2 4 6 2 2" xfId="8190" xr:uid="{00000000-0005-0000-0000-000019190000}"/>
    <cellStyle name="Normal 5 2 4 6 2 2 2" xfId="16629" xr:uid="{9706A863-0321-461B-9113-401E46DA7129}"/>
    <cellStyle name="Normal 5 2 4 6 2 3" xfId="12411" xr:uid="{DE355484-E43C-45C5-9A7B-2CD99BFE4116}"/>
    <cellStyle name="Normal 5 2 4 6 3" xfId="6045" xr:uid="{00000000-0005-0000-0000-00001A190000}"/>
    <cellStyle name="Normal 5 2 4 6 3 2" xfId="14484" xr:uid="{9D33FA71-C35B-4993-9415-46819E87FE93}"/>
    <cellStyle name="Normal 5 2 4 6 4" xfId="10266" xr:uid="{976CD844-4BC4-4091-90F5-7E2A83CE7135}"/>
    <cellStyle name="Normal 5 2 4 7" xfId="2151" xr:uid="{00000000-0005-0000-0000-00001B190000}"/>
    <cellStyle name="Normal 5 2 4 7 2" xfId="4380" xr:uid="{00000000-0005-0000-0000-00001C190000}"/>
    <cellStyle name="Normal 5 2 4 7 2 2" xfId="8603" xr:uid="{00000000-0005-0000-0000-00001D190000}"/>
    <cellStyle name="Normal 5 2 4 7 2 2 2" xfId="17042" xr:uid="{037A46DF-609A-4F6C-BF72-393C64D665BE}"/>
    <cellStyle name="Normal 5 2 4 7 2 3" xfId="12824" xr:uid="{EFC21066-00F5-421F-8F60-652882234B74}"/>
    <cellStyle name="Normal 5 2 4 7 3" xfId="6458" xr:uid="{00000000-0005-0000-0000-00001E190000}"/>
    <cellStyle name="Normal 5 2 4 7 3 2" xfId="14897" xr:uid="{FF29657E-67D7-45BB-B9BA-AC887300E7AE}"/>
    <cellStyle name="Normal 5 2 4 7 4" xfId="10679" xr:uid="{14A2CBDE-4EA9-4D10-89A9-0006BB325F12}"/>
    <cellStyle name="Normal 5 2 4 8" xfId="2587" xr:uid="{00000000-0005-0000-0000-00001F190000}"/>
    <cellStyle name="Normal 5 2 4 8 2" xfId="6871" xr:uid="{00000000-0005-0000-0000-000020190000}"/>
    <cellStyle name="Normal 5 2 4 8 2 2" xfId="15310" xr:uid="{DA03AAE9-8FFA-480C-B680-C0FB7D1DD2A0}"/>
    <cellStyle name="Normal 5 2 4 8 3" xfId="11092" xr:uid="{BDD25AE5-A64E-4EC0-B84B-9EBB4F2A0B4B}"/>
    <cellStyle name="Normal 5 2 4 9" xfId="4806" xr:uid="{00000000-0005-0000-0000-000021190000}"/>
    <cellStyle name="Normal 5 2 4 9 2" xfId="13245" xr:uid="{A701C36F-2B02-4A63-8E50-505F751626B2}"/>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15808" xr:uid="{F76B6DAF-A47C-41D6-8203-544407211543}"/>
    <cellStyle name="Normal 5 2 5 2 2 2 3" xfId="11590" xr:uid="{48006ECC-81DD-47FE-B14D-A7A2F0CE1C9B}"/>
    <cellStyle name="Normal 5 2 5 2 2 3" xfId="5224" xr:uid="{00000000-0005-0000-0000-000027190000}"/>
    <cellStyle name="Normal 5 2 5 2 2 3 2" xfId="13663" xr:uid="{89C0D9BD-1991-47AB-BC2E-20C1B827259C}"/>
    <cellStyle name="Normal 5 2 5 2 2 4" xfId="9445" xr:uid="{0E23954B-2623-4919-AECE-9F5E9F65DD08}"/>
    <cellStyle name="Normal 5 2 5 2 3" xfId="1329" xr:uid="{00000000-0005-0000-0000-000028190000}"/>
    <cellStyle name="Normal 5 2 5 2 3 2" xfId="3559" xr:uid="{00000000-0005-0000-0000-000029190000}"/>
    <cellStyle name="Normal 5 2 5 2 3 2 2" xfId="7782" xr:uid="{00000000-0005-0000-0000-00002A190000}"/>
    <cellStyle name="Normal 5 2 5 2 3 2 2 2" xfId="16221" xr:uid="{996E2831-E0C1-498D-B547-1848A41A9E45}"/>
    <cellStyle name="Normal 5 2 5 2 3 2 3" xfId="12003" xr:uid="{2DFAA109-5987-444A-BF0A-AB506AA9DA23}"/>
    <cellStyle name="Normal 5 2 5 2 3 3" xfId="5637" xr:uid="{00000000-0005-0000-0000-00002B190000}"/>
    <cellStyle name="Normal 5 2 5 2 3 3 2" xfId="14076" xr:uid="{E0B1C18E-0076-4D38-B868-D62B6FC88829}"/>
    <cellStyle name="Normal 5 2 5 2 3 4" xfId="9858" xr:uid="{956B0A41-2435-44D0-AAD0-B5E3A646F6B8}"/>
    <cellStyle name="Normal 5 2 5 2 4" xfId="1742" xr:uid="{00000000-0005-0000-0000-00002C190000}"/>
    <cellStyle name="Normal 5 2 5 2 4 2" xfId="3972" xr:uid="{00000000-0005-0000-0000-00002D190000}"/>
    <cellStyle name="Normal 5 2 5 2 4 2 2" xfId="8195" xr:uid="{00000000-0005-0000-0000-00002E190000}"/>
    <cellStyle name="Normal 5 2 5 2 4 2 2 2" xfId="16634" xr:uid="{AE749DEE-9A10-4EEE-9A19-A8AC221348AC}"/>
    <cellStyle name="Normal 5 2 5 2 4 2 3" xfId="12416" xr:uid="{D1AFB85D-83A7-4E41-A3F4-C37321151A4D}"/>
    <cellStyle name="Normal 5 2 5 2 4 3" xfId="6050" xr:uid="{00000000-0005-0000-0000-00002F190000}"/>
    <cellStyle name="Normal 5 2 5 2 4 3 2" xfId="14489" xr:uid="{4111A9FC-EDAF-4AF6-AE89-4B919838586D}"/>
    <cellStyle name="Normal 5 2 5 2 4 4" xfId="10271" xr:uid="{CD9FB3F0-9ABC-407E-9C3D-848972B5FC98}"/>
    <cellStyle name="Normal 5 2 5 2 5" xfId="2156" xr:uid="{00000000-0005-0000-0000-000030190000}"/>
    <cellStyle name="Normal 5 2 5 2 5 2" xfId="4385" xr:uid="{00000000-0005-0000-0000-000031190000}"/>
    <cellStyle name="Normal 5 2 5 2 5 2 2" xfId="8608" xr:uid="{00000000-0005-0000-0000-000032190000}"/>
    <cellStyle name="Normal 5 2 5 2 5 2 2 2" xfId="17047" xr:uid="{7053F86A-8266-4B0F-A98B-A3A57B176658}"/>
    <cellStyle name="Normal 5 2 5 2 5 2 3" xfId="12829" xr:uid="{33B953E2-845B-40B5-8D50-7DBF4DCAE0BA}"/>
    <cellStyle name="Normal 5 2 5 2 5 3" xfId="6463" xr:uid="{00000000-0005-0000-0000-000033190000}"/>
    <cellStyle name="Normal 5 2 5 2 5 3 2" xfId="14902" xr:uid="{5E1BD538-8191-48C0-ADD2-96E49DE34486}"/>
    <cellStyle name="Normal 5 2 5 2 5 4" xfId="10684" xr:uid="{3C29C210-7298-4761-BDE7-797673E7E2BF}"/>
    <cellStyle name="Normal 5 2 5 2 6" xfId="2592" xr:uid="{00000000-0005-0000-0000-000034190000}"/>
    <cellStyle name="Normal 5 2 5 2 6 2" xfId="6876" xr:uid="{00000000-0005-0000-0000-000035190000}"/>
    <cellStyle name="Normal 5 2 5 2 6 2 2" xfId="15315" xr:uid="{9D2CEF27-DC1D-4106-88F5-BE625A3A4D44}"/>
    <cellStyle name="Normal 5 2 5 2 6 3" xfId="11097" xr:uid="{565444AE-7F71-44C4-8B9D-0A63911BF075}"/>
    <cellStyle name="Normal 5 2 5 2 7" xfId="4811" xr:uid="{00000000-0005-0000-0000-000036190000}"/>
    <cellStyle name="Normal 5 2 5 2 7 2" xfId="13250" xr:uid="{AD823A3C-41B2-4FED-A486-1D87A18E2EB8}"/>
    <cellStyle name="Normal 5 2 5 2 8" xfId="9032" xr:uid="{3037F1B7-6E42-4E41-8516-E29774354EFF}"/>
    <cellStyle name="Normal 5 2 5 3" xfId="910" xr:uid="{00000000-0005-0000-0000-000037190000}"/>
    <cellStyle name="Normal 5 2 5 3 2" xfId="3145" xr:uid="{00000000-0005-0000-0000-000038190000}"/>
    <cellStyle name="Normal 5 2 5 3 2 2" xfId="7368" xr:uid="{00000000-0005-0000-0000-000039190000}"/>
    <cellStyle name="Normal 5 2 5 3 2 2 2" xfId="15807" xr:uid="{BC931BC3-645E-4752-A1F4-F5470DD9FBF9}"/>
    <cellStyle name="Normal 5 2 5 3 2 3" xfId="11589" xr:uid="{22D68300-610A-483C-8FC2-FE2C2E45E814}"/>
    <cellStyle name="Normal 5 2 5 3 3" xfId="5223" xr:uid="{00000000-0005-0000-0000-00003A190000}"/>
    <cellStyle name="Normal 5 2 5 3 3 2" xfId="13662" xr:uid="{6B1EE473-1484-46A6-884C-669AFE00F468}"/>
    <cellStyle name="Normal 5 2 5 3 4" xfId="9444" xr:uid="{4AFAB77D-8C33-49CD-A9EE-952498C5E78B}"/>
    <cellStyle name="Normal 5 2 5 4" xfId="1328" xr:uid="{00000000-0005-0000-0000-00003B190000}"/>
    <cellStyle name="Normal 5 2 5 4 2" xfId="3558" xr:uid="{00000000-0005-0000-0000-00003C190000}"/>
    <cellStyle name="Normal 5 2 5 4 2 2" xfId="7781" xr:uid="{00000000-0005-0000-0000-00003D190000}"/>
    <cellStyle name="Normal 5 2 5 4 2 2 2" xfId="16220" xr:uid="{08836E9A-E838-426E-BB9B-A086AA97ED2E}"/>
    <cellStyle name="Normal 5 2 5 4 2 3" xfId="12002" xr:uid="{62B709AB-3B7A-4A0B-B86F-9CFF926AC3AC}"/>
    <cellStyle name="Normal 5 2 5 4 3" xfId="5636" xr:uid="{00000000-0005-0000-0000-00003E190000}"/>
    <cellStyle name="Normal 5 2 5 4 3 2" xfId="14075" xr:uid="{B316C652-D615-4ECC-90F8-A46102C34222}"/>
    <cellStyle name="Normal 5 2 5 4 4" xfId="9857" xr:uid="{83F5E116-D55C-4B0C-85FA-CEFCC66AAB17}"/>
    <cellStyle name="Normal 5 2 5 5" xfId="1741" xr:uid="{00000000-0005-0000-0000-00003F190000}"/>
    <cellStyle name="Normal 5 2 5 5 2" xfId="3971" xr:uid="{00000000-0005-0000-0000-000040190000}"/>
    <cellStyle name="Normal 5 2 5 5 2 2" xfId="8194" xr:uid="{00000000-0005-0000-0000-000041190000}"/>
    <cellStyle name="Normal 5 2 5 5 2 2 2" xfId="16633" xr:uid="{5848B72A-A5DA-42CA-99E3-50D2A983CF78}"/>
    <cellStyle name="Normal 5 2 5 5 2 3" xfId="12415" xr:uid="{10775D8D-521C-4FDA-8BD0-5507819DB6BB}"/>
    <cellStyle name="Normal 5 2 5 5 3" xfId="6049" xr:uid="{00000000-0005-0000-0000-000042190000}"/>
    <cellStyle name="Normal 5 2 5 5 3 2" xfId="14488" xr:uid="{C01105A7-D4E1-4386-BCA6-19CD0CBF759C}"/>
    <cellStyle name="Normal 5 2 5 5 4" xfId="10270" xr:uid="{762C5480-B6DA-47DA-9DC9-9EDB699F0A32}"/>
    <cellStyle name="Normal 5 2 5 6" xfId="2155" xr:uid="{00000000-0005-0000-0000-000043190000}"/>
    <cellStyle name="Normal 5 2 5 6 2" xfId="4384" xr:uid="{00000000-0005-0000-0000-000044190000}"/>
    <cellStyle name="Normal 5 2 5 6 2 2" xfId="8607" xr:uid="{00000000-0005-0000-0000-000045190000}"/>
    <cellStyle name="Normal 5 2 5 6 2 2 2" xfId="17046" xr:uid="{114CC783-1CBB-4105-B9CA-7FF204FAA018}"/>
    <cellStyle name="Normal 5 2 5 6 2 3" xfId="12828" xr:uid="{D18ECA0E-C8E6-4624-9CDB-01A8C2BC6F07}"/>
    <cellStyle name="Normal 5 2 5 6 3" xfId="6462" xr:uid="{00000000-0005-0000-0000-000046190000}"/>
    <cellStyle name="Normal 5 2 5 6 3 2" xfId="14901" xr:uid="{49619688-BFD1-411C-A8E3-72034DD8FAB3}"/>
    <cellStyle name="Normal 5 2 5 6 4" xfId="10683" xr:uid="{4099E9A3-5B39-4F13-977A-69F015967666}"/>
    <cellStyle name="Normal 5 2 5 7" xfId="2591" xr:uid="{00000000-0005-0000-0000-000047190000}"/>
    <cellStyle name="Normal 5 2 5 7 2" xfId="6875" xr:uid="{00000000-0005-0000-0000-000048190000}"/>
    <cellStyle name="Normal 5 2 5 7 2 2" xfId="15314" xr:uid="{5D3DBD62-B89C-4499-872B-EC30215C4D64}"/>
    <cellStyle name="Normal 5 2 5 7 3" xfId="11096" xr:uid="{F0E50EA7-DD11-460C-8CBE-5CDB54B14447}"/>
    <cellStyle name="Normal 5 2 5 8" xfId="4810" xr:uid="{00000000-0005-0000-0000-000049190000}"/>
    <cellStyle name="Normal 5 2 5 8 2" xfId="13249" xr:uid="{6181A224-998C-4961-A0B1-3BD5A29466BC}"/>
    <cellStyle name="Normal 5 2 5 9" xfId="9031" xr:uid="{A9C7EC28-FA3B-4AAD-9C29-57A38357DCC4}"/>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2 2 2" xfId="15809" xr:uid="{C6FC4C04-26B7-4843-9D92-820FB51A4790}"/>
    <cellStyle name="Normal 5 2 6 2 2 3" xfId="11591" xr:uid="{E886D28B-35E9-472C-8EB4-8C26DCFFAAD8}"/>
    <cellStyle name="Normal 5 2 6 2 3" xfId="5225" xr:uid="{00000000-0005-0000-0000-00004E190000}"/>
    <cellStyle name="Normal 5 2 6 2 3 2" xfId="13664" xr:uid="{C6C08596-3E4F-4840-B2F3-35266ED68A43}"/>
    <cellStyle name="Normal 5 2 6 2 4" xfId="9446" xr:uid="{8005C1C0-03A6-44B8-A408-2DC125E21D70}"/>
    <cellStyle name="Normal 5 2 6 3" xfId="1330" xr:uid="{00000000-0005-0000-0000-00004F190000}"/>
    <cellStyle name="Normal 5 2 6 3 2" xfId="3560" xr:uid="{00000000-0005-0000-0000-000050190000}"/>
    <cellStyle name="Normal 5 2 6 3 2 2" xfId="7783" xr:uid="{00000000-0005-0000-0000-000051190000}"/>
    <cellStyle name="Normal 5 2 6 3 2 2 2" xfId="16222" xr:uid="{F946F953-C3A4-4010-B7D4-974C45B6CAEE}"/>
    <cellStyle name="Normal 5 2 6 3 2 3" xfId="12004" xr:uid="{E0BFABB5-905F-4C2E-AB96-7126081E8B0A}"/>
    <cellStyle name="Normal 5 2 6 3 3" xfId="5638" xr:uid="{00000000-0005-0000-0000-000052190000}"/>
    <cellStyle name="Normal 5 2 6 3 3 2" xfId="14077" xr:uid="{B98655AB-2DB9-44B9-8F9B-BB99215461B6}"/>
    <cellStyle name="Normal 5 2 6 3 4" xfId="9859" xr:uid="{42C1A398-AEEF-47BC-8150-4A1F601BCC48}"/>
    <cellStyle name="Normal 5 2 6 4" xfId="1743" xr:uid="{00000000-0005-0000-0000-000053190000}"/>
    <cellStyle name="Normal 5 2 6 4 2" xfId="3973" xr:uid="{00000000-0005-0000-0000-000054190000}"/>
    <cellStyle name="Normal 5 2 6 4 2 2" xfId="8196" xr:uid="{00000000-0005-0000-0000-000055190000}"/>
    <cellStyle name="Normal 5 2 6 4 2 2 2" xfId="16635" xr:uid="{D42AC82C-F49F-4E64-82D1-7281E89EBE6F}"/>
    <cellStyle name="Normal 5 2 6 4 2 3" xfId="12417" xr:uid="{87AC0729-8F8A-43D8-8948-84C30F218472}"/>
    <cellStyle name="Normal 5 2 6 4 3" xfId="6051" xr:uid="{00000000-0005-0000-0000-000056190000}"/>
    <cellStyle name="Normal 5 2 6 4 3 2" xfId="14490" xr:uid="{849745FC-D3A0-48F8-BF53-14D8803E6760}"/>
    <cellStyle name="Normal 5 2 6 4 4" xfId="10272" xr:uid="{1B8D7F0E-3C34-4AF4-9C23-8F3DB146D5E6}"/>
    <cellStyle name="Normal 5 2 6 5" xfId="2157" xr:uid="{00000000-0005-0000-0000-000057190000}"/>
    <cellStyle name="Normal 5 2 6 5 2" xfId="4386" xr:uid="{00000000-0005-0000-0000-000058190000}"/>
    <cellStyle name="Normal 5 2 6 5 2 2" xfId="8609" xr:uid="{00000000-0005-0000-0000-000059190000}"/>
    <cellStyle name="Normal 5 2 6 5 2 2 2" xfId="17048" xr:uid="{31FC2CAA-CF83-4CE2-B98F-C2E945D9B91D}"/>
    <cellStyle name="Normal 5 2 6 5 2 3" xfId="12830" xr:uid="{BC188DF4-19E9-4970-B550-4B7D5100FE2B}"/>
    <cellStyle name="Normal 5 2 6 5 3" xfId="6464" xr:uid="{00000000-0005-0000-0000-00005A190000}"/>
    <cellStyle name="Normal 5 2 6 5 3 2" xfId="14903" xr:uid="{7803F635-A0ED-4447-8E01-748460CBCFB5}"/>
    <cellStyle name="Normal 5 2 6 5 4" xfId="10685" xr:uid="{9B0D02DA-D98F-45C3-8B8A-F07AB2E8281F}"/>
    <cellStyle name="Normal 5 2 6 6" xfId="2593" xr:uid="{00000000-0005-0000-0000-00005B190000}"/>
    <cellStyle name="Normal 5 2 6 6 2" xfId="6877" xr:uid="{00000000-0005-0000-0000-00005C190000}"/>
    <cellStyle name="Normal 5 2 6 6 2 2" xfId="15316" xr:uid="{44AD3D09-CC49-403E-AECA-A0D7D3756D9D}"/>
    <cellStyle name="Normal 5 2 6 6 3" xfId="11098" xr:uid="{D7D90F98-4A1F-4994-8611-9A8E6A886D36}"/>
    <cellStyle name="Normal 5 2 6 7" xfId="4812" xr:uid="{00000000-0005-0000-0000-00005D190000}"/>
    <cellStyle name="Normal 5 2 6 7 2" xfId="13251" xr:uid="{12D5FF8D-EDE0-46C6-9501-5B3032869035}"/>
    <cellStyle name="Normal 5 2 6 8" xfId="9033" xr:uid="{E027F2F8-D653-4A3E-B7EB-0DFC74E6F12E}"/>
    <cellStyle name="Normal 5 2 7" xfId="881" xr:uid="{00000000-0005-0000-0000-00005E190000}"/>
    <cellStyle name="Normal 5 2 7 2" xfId="3116" xr:uid="{00000000-0005-0000-0000-00005F190000}"/>
    <cellStyle name="Normal 5 2 7 2 2" xfId="7339" xr:uid="{00000000-0005-0000-0000-000060190000}"/>
    <cellStyle name="Normal 5 2 7 2 2 2" xfId="15778" xr:uid="{0B3BAEE6-D4B0-4073-B74A-C282584D4A7B}"/>
    <cellStyle name="Normal 5 2 7 2 3" xfId="11560" xr:uid="{306F6898-4890-4D29-8CA1-5BAA66CA8A04}"/>
    <cellStyle name="Normal 5 2 7 3" xfId="5194" xr:uid="{00000000-0005-0000-0000-000061190000}"/>
    <cellStyle name="Normal 5 2 7 3 2" xfId="13633" xr:uid="{05FA6ABD-CF9C-47A0-B61C-F653A58017FF}"/>
    <cellStyle name="Normal 5 2 7 4" xfId="9415" xr:uid="{9D4B8E1B-F4B7-4058-89FC-46E6A118DEFA}"/>
    <cellStyle name="Normal 5 2 8" xfId="1299" xr:uid="{00000000-0005-0000-0000-000062190000}"/>
    <cellStyle name="Normal 5 2 8 2" xfId="3529" xr:uid="{00000000-0005-0000-0000-000063190000}"/>
    <cellStyle name="Normal 5 2 8 2 2" xfId="7752" xr:uid="{00000000-0005-0000-0000-000064190000}"/>
    <cellStyle name="Normal 5 2 8 2 2 2" xfId="16191" xr:uid="{9DAD7297-FE9B-45FF-A165-34BDB2490ABD}"/>
    <cellStyle name="Normal 5 2 8 2 3" xfId="11973" xr:uid="{83DC717D-9872-460D-A19A-78270E2C7C1B}"/>
    <cellStyle name="Normal 5 2 8 3" xfId="5607" xr:uid="{00000000-0005-0000-0000-000065190000}"/>
    <cellStyle name="Normal 5 2 8 3 2" xfId="14046" xr:uid="{BC4BEE91-AEC0-43BC-96EA-2C29C9EB4885}"/>
    <cellStyle name="Normal 5 2 8 4" xfId="9828" xr:uid="{E37399A6-8EF0-44AE-B1F5-B7BED2E8626D}"/>
    <cellStyle name="Normal 5 2 9" xfId="1712" xr:uid="{00000000-0005-0000-0000-000066190000}"/>
    <cellStyle name="Normal 5 2 9 2" xfId="3942" xr:uid="{00000000-0005-0000-0000-000067190000}"/>
    <cellStyle name="Normal 5 2 9 2 2" xfId="8165" xr:uid="{00000000-0005-0000-0000-000068190000}"/>
    <cellStyle name="Normal 5 2 9 2 2 2" xfId="16604" xr:uid="{6E494863-595D-40B9-BB38-22AF4458F5CA}"/>
    <cellStyle name="Normal 5 2 9 2 3" xfId="12386" xr:uid="{F7379E8A-ADDE-408E-B176-8293F6F311C8}"/>
    <cellStyle name="Normal 5 2 9 3" xfId="6020" xr:uid="{00000000-0005-0000-0000-000069190000}"/>
    <cellStyle name="Normal 5 2 9 3 2" xfId="14459" xr:uid="{6C7CAB5E-A393-4DAE-ACF8-2121710E5272}"/>
    <cellStyle name="Normal 5 2 9 4" xfId="10241" xr:uid="{2B3B7DF5-296C-43E6-82F2-2C911FE6947D}"/>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2 2 2" xfId="17049" xr:uid="{00F08BA2-87FF-413D-A638-4FB837480856}"/>
    <cellStyle name="Normal 5 3 10 2 3" xfId="12831" xr:uid="{4F6EA0F5-798D-4612-A7F2-1905AE7A3571}"/>
    <cellStyle name="Normal 5 3 10 3" xfId="6465" xr:uid="{00000000-0005-0000-0000-00006E190000}"/>
    <cellStyle name="Normal 5 3 10 3 2" xfId="14904" xr:uid="{C940EAFD-B212-45FE-BA32-C3746A6C1116}"/>
    <cellStyle name="Normal 5 3 10 4" xfId="10686" xr:uid="{A627D7BC-13EA-4D4E-852C-57798345AB7F}"/>
    <cellStyle name="Normal 5 3 11" xfId="2594" xr:uid="{00000000-0005-0000-0000-00006F190000}"/>
    <cellStyle name="Normal 5 3 11 2" xfId="6878" xr:uid="{00000000-0005-0000-0000-000070190000}"/>
    <cellStyle name="Normal 5 3 11 2 2" xfId="15317" xr:uid="{53C01EAC-D34F-41D6-A2A6-681D03CD8DAF}"/>
    <cellStyle name="Normal 5 3 11 3" xfId="11099" xr:uid="{65A5DAF4-5D3A-4EAD-806E-75BF7ADA236C}"/>
    <cellStyle name="Normal 5 3 12" xfId="4813" xr:uid="{00000000-0005-0000-0000-000071190000}"/>
    <cellStyle name="Normal 5 3 12 2" xfId="13252" xr:uid="{CB787A80-04E1-412C-B0E7-604148B4F49B}"/>
    <cellStyle name="Normal 5 3 13" xfId="9034" xr:uid="{67759384-84A5-4451-B460-2F73788F48B7}"/>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0 2" xfId="13253" xr:uid="{73F5C92F-C0FF-4E77-9B66-79AE918CC719}"/>
    <cellStyle name="Normal 5 3 3 11" xfId="9035" xr:uid="{BEEB840D-AD74-4867-84B7-0809501BF877}"/>
    <cellStyle name="Normal 5 3 3 2" xfId="442" xr:uid="{00000000-0005-0000-0000-000076190000}"/>
    <cellStyle name="Normal 5 3 3 2 10" xfId="9036" xr:uid="{1E891167-B482-43E7-B715-733E7F5F1EEA}"/>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15814" xr:uid="{6DA6BAF4-B775-48FD-9105-F377B8E764A7}"/>
    <cellStyle name="Normal 5 3 3 2 2 2 2 2 3" xfId="11596" xr:uid="{0C90BF7B-0E82-4CD6-B80D-45AD5785C2CD}"/>
    <cellStyle name="Normal 5 3 3 2 2 2 2 3" xfId="5230" xr:uid="{00000000-0005-0000-0000-00007C190000}"/>
    <cellStyle name="Normal 5 3 3 2 2 2 2 3 2" xfId="13669" xr:uid="{AB9E90B5-88CC-4F34-8589-7C592C7B269C}"/>
    <cellStyle name="Normal 5 3 3 2 2 2 2 4" xfId="9451" xr:uid="{D5402744-0DBC-48CF-A802-4493CE93C35C}"/>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2 2" xfId="16227" xr:uid="{CF6CBD0A-C6B6-44A0-A790-A0D99CBD8163}"/>
    <cellStyle name="Normal 5 3 3 2 2 2 3 2 3" xfId="12009" xr:uid="{BC8AAA36-D12C-4349-89E3-C38DB80B63ED}"/>
    <cellStyle name="Normal 5 3 3 2 2 2 3 3" xfId="5643" xr:uid="{00000000-0005-0000-0000-000080190000}"/>
    <cellStyle name="Normal 5 3 3 2 2 2 3 3 2" xfId="14082" xr:uid="{6AEBF30D-550F-4EC7-9A22-82371537144F}"/>
    <cellStyle name="Normal 5 3 3 2 2 2 3 4" xfId="9864" xr:uid="{C090B535-A79A-4295-BE3C-08F2A09D4CCA}"/>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2 2 2" xfId="16640" xr:uid="{5A5085AE-B916-46BD-B4CD-CCC56C04F473}"/>
    <cellStyle name="Normal 5 3 3 2 2 2 4 2 3" xfId="12422" xr:uid="{14075A8F-2F29-4898-BC52-DD219BDD1FF5}"/>
    <cellStyle name="Normal 5 3 3 2 2 2 4 3" xfId="6056" xr:uid="{00000000-0005-0000-0000-000084190000}"/>
    <cellStyle name="Normal 5 3 3 2 2 2 4 3 2" xfId="14495" xr:uid="{A6C79569-BC00-4126-832A-1B3AC67286E0}"/>
    <cellStyle name="Normal 5 3 3 2 2 2 4 4" xfId="10277" xr:uid="{B38356AA-8988-47FA-B0E1-E3FAFEA10E2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2 2 2" xfId="17053" xr:uid="{B539F43B-629B-4A9C-AF18-D9D972D5BE19}"/>
    <cellStyle name="Normal 5 3 3 2 2 2 5 2 3" xfId="12835" xr:uid="{8D23BA67-2BD3-4691-A749-4413859AB8D2}"/>
    <cellStyle name="Normal 5 3 3 2 2 2 5 3" xfId="6469" xr:uid="{00000000-0005-0000-0000-000088190000}"/>
    <cellStyle name="Normal 5 3 3 2 2 2 5 3 2" xfId="14908" xr:uid="{B04B58EB-C0E3-43BC-9903-FE9DA0B4CA41}"/>
    <cellStyle name="Normal 5 3 3 2 2 2 5 4" xfId="10690" xr:uid="{A3668FC8-0039-40D1-B731-71C8EAADF28D}"/>
    <cellStyle name="Normal 5 3 3 2 2 2 6" xfId="2598" xr:uid="{00000000-0005-0000-0000-000089190000}"/>
    <cellStyle name="Normal 5 3 3 2 2 2 6 2" xfId="6882" xr:uid="{00000000-0005-0000-0000-00008A190000}"/>
    <cellStyle name="Normal 5 3 3 2 2 2 6 2 2" xfId="15321" xr:uid="{0FC23E48-56FF-42BB-BD2F-6EA490C06BCC}"/>
    <cellStyle name="Normal 5 3 3 2 2 2 6 3" xfId="11103" xr:uid="{0CE3DE70-DFED-4A93-9593-1EBAE332C1EA}"/>
    <cellStyle name="Normal 5 3 3 2 2 2 7" xfId="4817" xr:uid="{00000000-0005-0000-0000-00008B190000}"/>
    <cellStyle name="Normal 5 3 3 2 2 2 7 2" xfId="13256" xr:uid="{DE33B3A6-F2EB-4A52-9B1C-708B2DD6DC3C}"/>
    <cellStyle name="Normal 5 3 3 2 2 2 8" xfId="9038" xr:uid="{370FD946-7A95-473E-B764-FE5AACE608B6}"/>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15813" xr:uid="{6169F756-A365-4605-B1EB-F1F98E06453A}"/>
    <cellStyle name="Normal 5 3 3 2 2 3 2 3" xfId="11595" xr:uid="{C7F2CCA9-FAD3-46B5-9548-7E74AC754C99}"/>
    <cellStyle name="Normal 5 3 3 2 2 3 3" xfId="5229" xr:uid="{00000000-0005-0000-0000-00008F190000}"/>
    <cellStyle name="Normal 5 3 3 2 2 3 3 2" xfId="13668" xr:uid="{EE1B660C-8EF1-4176-BF0D-1F7ECC888DE0}"/>
    <cellStyle name="Normal 5 3 3 2 2 3 4" xfId="9450" xr:uid="{5358159A-DFC9-49E8-A828-87741F648757}"/>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2 2" xfId="16226" xr:uid="{F65A6D86-03DD-441B-9A55-B0C86E697839}"/>
    <cellStyle name="Normal 5 3 3 2 2 4 2 3" xfId="12008" xr:uid="{316E7606-8ADE-41E8-A316-8D80D423F7C4}"/>
    <cellStyle name="Normal 5 3 3 2 2 4 3" xfId="5642" xr:uid="{00000000-0005-0000-0000-000093190000}"/>
    <cellStyle name="Normal 5 3 3 2 2 4 3 2" xfId="14081" xr:uid="{890C9E21-3927-4548-BD95-7280B7CADAB8}"/>
    <cellStyle name="Normal 5 3 3 2 2 4 4" xfId="9863" xr:uid="{17777343-4016-4C68-AAB8-9098CB912B28}"/>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2 2 2" xfId="16639" xr:uid="{9E6656FE-3EF9-45FE-8C1A-9ECCFDB784B8}"/>
    <cellStyle name="Normal 5 3 3 2 2 5 2 3" xfId="12421" xr:uid="{E9BBD917-304F-47BF-A1E2-22E2780B244A}"/>
    <cellStyle name="Normal 5 3 3 2 2 5 3" xfId="6055" xr:uid="{00000000-0005-0000-0000-000097190000}"/>
    <cellStyle name="Normal 5 3 3 2 2 5 3 2" xfId="14494" xr:uid="{D6E23A22-BD53-4B8F-85FF-6D9DAC550A96}"/>
    <cellStyle name="Normal 5 3 3 2 2 5 4" xfId="10276" xr:uid="{C2570AB0-6B50-4026-A14A-42B8662520F7}"/>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2 2 2" xfId="17052" xr:uid="{D79FDDB7-6551-4B37-B754-41740029AAF2}"/>
    <cellStyle name="Normal 5 3 3 2 2 6 2 3" xfId="12834" xr:uid="{D833E4F8-E796-481D-86F4-4DE6F8676724}"/>
    <cellStyle name="Normal 5 3 3 2 2 6 3" xfId="6468" xr:uid="{00000000-0005-0000-0000-00009B190000}"/>
    <cellStyle name="Normal 5 3 3 2 2 6 3 2" xfId="14907" xr:uid="{EE74187F-0829-4471-BFCA-A4B668E2D2A9}"/>
    <cellStyle name="Normal 5 3 3 2 2 6 4" xfId="10689" xr:uid="{6B02729B-00B9-475C-8078-4579D97F7FE3}"/>
    <cellStyle name="Normal 5 3 3 2 2 7" xfId="2597" xr:uid="{00000000-0005-0000-0000-00009C190000}"/>
    <cellStyle name="Normal 5 3 3 2 2 7 2" xfId="6881" xr:uid="{00000000-0005-0000-0000-00009D190000}"/>
    <cellStyle name="Normal 5 3 3 2 2 7 2 2" xfId="15320" xr:uid="{9E19E09F-4A86-4AE1-9244-32FBBCB925FB}"/>
    <cellStyle name="Normal 5 3 3 2 2 7 3" xfId="11102" xr:uid="{BE30AC5E-F286-4A2C-8417-A4509AB98AF5}"/>
    <cellStyle name="Normal 5 3 3 2 2 8" xfId="4816" xr:uid="{00000000-0005-0000-0000-00009E190000}"/>
    <cellStyle name="Normal 5 3 3 2 2 8 2" xfId="13255" xr:uid="{6CAC8FDD-3931-4F28-B2D9-D06C2CF22A49}"/>
    <cellStyle name="Normal 5 3 3 2 2 9" xfId="9037" xr:uid="{FFE57AE9-4862-47C7-BE90-51973051DB56}"/>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15815" xr:uid="{AD78EC99-4C1A-4C70-AD44-101AFACBDE95}"/>
    <cellStyle name="Normal 5 3 3 2 3 2 2 3" xfId="11597" xr:uid="{DF2F0811-EC2A-4EB2-8D3C-00A08F162438}"/>
    <cellStyle name="Normal 5 3 3 2 3 2 3" xfId="5231" xr:uid="{00000000-0005-0000-0000-0000A3190000}"/>
    <cellStyle name="Normal 5 3 3 2 3 2 3 2" xfId="13670" xr:uid="{F9F20835-F5D1-4D5F-95D4-3C1B08832C9E}"/>
    <cellStyle name="Normal 5 3 3 2 3 2 4" xfId="9452" xr:uid="{ADEA3E69-7D63-4FFE-A16D-5BB9CACFA427}"/>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2 2" xfId="16228" xr:uid="{D2BA6501-858F-4F16-890F-435ECA044385}"/>
    <cellStyle name="Normal 5 3 3 2 3 3 2 3" xfId="12010" xr:uid="{FAF674C7-4608-4A2F-8B3B-71D954F35D67}"/>
    <cellStyle name="Normal 5 3 3 2 3 3 3" xfId="5644" xr:uid="{00000000-0005-0000-0000-0000A7190000}"/>
    <cellStyle name="Normal 5 3 3 2 3 3 3 2" xfId="14083" xr:uid="{6BB18343-A0F6-4E00-B247-920077355D54}"/>
    <cellStyle name="Normal 5 3 3 2 3 3 4" xfId="9865" xr:uid="{DAD3887D-10E5-422B-B75B-86C0E138A9BD}"/>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2 2 2" xfId="16641" xr:uid="{042D2BCF-E537-4645-97B3-9537483FECFB}"/>
    <cellStyle name="Normal 5 3 3 2 3 4 2 3" xfId="12423" xr:uid="{D9F51DA7-431E-4A86-AFC8-E5551036DAFC}"/>
    <cellStyle name="Normal 5 3 3 2 3 4 3" xfId="6057" xr:uid="{00000000-0005-0000-0000-0000AB190000}"/>
    <cellStyle name="Normal 5 3 3 2 3 4 3 2" xfId="14496" xr:uid="{08ADFB97-3808-4995-AAFE-AEB6A8C0EBA5}"/>
    <cellStyle name="Normal 5 3 3 2 3 4 4" xfId="10278" xr:uid="{5C2965D3-452B-47CA-A09C-2CC62F4C52BC}"/>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2 2 2" xfId="17054" xr:uid="{B8F860C0-925B-48AE-B7A0-FE256D7106E7}"/>
    <cellStyle name="Normal 5 3 3 2 3 5 2 3" xfId="12836" xr:uid="{F3768ED4-2FC8-48D0-9395-BDDA11978B44}"/>
    <cellStyle name="Normal 5 3 3 2 3 5 3" xfId="6470" xr:uid="{00000000-0005-0000-0000-0000AF190000}"/>
    <cellStyle name="Normal 5 3 3 2 3 5 3 2" xfId="14909" xr:uid="{BC219E88-FA92-44DC-AF02-916E207756C1}"/>
    <cellStyle name="Normal 5 3 3 2 3 5 4" xfId="10691" xr:uid="{244ECC34-A34B-481F-9916-F0360431DD5A}"/>
    <cellStyle name="Normal 5 3 3 2 3 6" xfId="2599" xr:uid="{00000000-0005-0000-0000-0000B0190000}"/>
    <cellStyle name="Normal 5 3 3 2 3 6 2" xfId="6883" xr:uid="{00000000-0005-0000-0000-0000B1190000}"/>
    <cellStyle name="Normal 5 3 3 2 3 6 2 2" xfId="15322" xr:uid="{BCF7E229-4E53-473A-8EB9-A251B910C4DD}"/>
    <cellStyle name="Normal 5 3 3 2 3 6 3" xfId="11104" xr:uid="{BEE666B0-7675-4920-98D2-B3AB40133205}"/>
    <cellStyle name="Normal 5 3 3 2 3 7" xfId="4818" xr:uid="{00000000-0005-0000-0000-0000B2190000}"/>
    <cellStyle name="Normal 5 3 3 2 3 7 2" xfId="13257" xr:uid="{0BF1B361-A870-412E-B3CE-5D9893B6CDD3}"/>
    <cellStyle name="Normal 5 3 3 2 3 8" xfId="9039" xr:uid="{C9CEC649-EB89-4F86-A85A-4933D3AA1048}"/>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15812" xr:uid="{1DE24E84-C0E9-4A9C-BCCE-3DDF7F3F71E9}"/>
    <cellStyle name="Normal 5 3 3 2 4 2 3" xfId="11594" xr:uid="{5135D124-2EB2-4EDB-B59C-43E6C8EA4687}"/>
    <cellStyle name="Normal 5 3 3 2 4 3" xfId="5228" xr:uid="{00000000-0005-0000-0000-0000B6190000}"/>
    <cellStyle name="Normal 5 3 3 2 4 3 2" xfId="13667" xr:uid="{FED7CCDF-9686-4C2D-8DC4-DA9FDC693ECA}"/>
    <cellStyle name="Normal 5 3 3 2 4 4" xfId="9449" xr:uid="{B339BB86-7A39-4737-BF9A-E84002E88090}"/>
    <cellStyle name="Normal 5 3 3 2 5" xfId="1333" xr:uid="{00000000-0005-0000-0000-0000B7190000}"/>
    <cellStyle name="Normal 5 3 3 2 5 2" xfId="3563" xr:uid="{00000000-0005-0000-0000-0000B8190000}"/>
    <cellStyle name="Normal 5 3 3 2 5 2 2" xfId="7786" xr:uid="{00000000-0005-0000-0000-0000B9190000}"/>
    <cellStyle name="Normal 5 3 3 2 5 2 2 2" xfId="16225" xr:uid="{F5959561-9C1C-47E9-A5A4-70BAF42CFA71}"/>
    <cellStyle name="Normal 5 3 3 2 5 2 3" xfId="12007" xr:uid="{818CE4B0-CDB5-4A41-A915-6FFBE9464935}"/>
    <cellStyle name="Normal 5 3 3 2 5 3" xfId="5641" xr:uid="{00000000-0005-0000-0000-0000BA190000}"/>
    <cellStyle name="Normal 5 3 3 2 5 3 2" xfId="14080" xr:uid="{619EDBB2-72C1-4133-BDDD-816C2D73B4CC}"/>
    <cellStyle name="Normal 5 3 3 2 5 4" xfId="9862" xr:uid="{0622D877-D9C7-48B2-B478-4E62BF001636}"/>
    <cellStyle name="Normal 5 3 3 2 6" xfId="1746" xr:uid="{00000000-0005-0000-0000-0000BB190000}"/>
    <cellStyle name="Normal 5 3 3 2 6 2" xfId="3976" xr:uid="{00000000-0005-0000-0000-0000BC190000}"/>
    <cellStyle name="Normal 5 3 3 2 6 2 2" xfId="8199" xr:uid="{00000000-0005-0000-0000-0000BD190000}"/>
    <cellStyle name="Normal 5 3 3 2 6 2 2 2" xfId="16638" xr:uid="{74B4C4B6-CE50-44F1-BBD9-7C0E9EFFFAC0}"/>
    <cellStyle name="Normal 5 3 3 2 6 2 3" xfId="12420" xr:uid="{2AE3492E-145C-43A0-81EF-C95077171232}"/>
    <cellStyle name="Normal 5 3 3 2 6 3" xfId="6054" xr:uid="{00000000-0005-0000-0000-0000BE190000}"/>
    <cellStyle name="Normal 5 3 3 2 6 3 2" xfId="14493" xr:uid="{E230C098-13B2-4E0C-A94D-E566BEDCB81A}"/>
    <cellStyle name="Normal 5 3 3 2 6 4" xfId="10275" xr:uid="{35F5EF0B-E398-4551-931F-47FF11A83154}"/>
    <cellStyle name="Normal 5 3 3 2 7" xfId="2160" xr:uid="{00000000-0005-0000-0000-0000BF190000}"/>
    <cellStyle name="Normal 5 3 3 2 7 2" xfId="4389" xr:uid="{00000000-0005-0000-0000-0000C0190000}"/>
    <cellStyle name="Normal 5 3 3 2 7 2 2" xfId="8612" xr:uid="{00000000-0005-0000-0000-0000C1190000}"/>
    <cellStyle name="Normal 5 3 3 2 7 2 2 2" xfId="17051" xr:uid="{7BD44A35-13FD-4096-91B4-0333FDC088E1}"/>
    <cellStyle name="Normal 5 3 3 2 7 2 3" xfId="12833" xr:uid="{CCCC7B84-3685-4B04-93E2-7C4508CBBACA}"/>
    <cellStyle name="Normal 5 3 3 2 7 3" xfId="6467" xr:uid="{00000000-0005-0000-0000-0000C2190000}"/>
    <cellStyle name="Normal 5 3 3 2 7 3 2" xfId="14906" xr:uid="{C667F922-E46A-443F-86AD-E9963FB61188}"/>
    <cellStyle name="Normal 5 3 3 2 7 4" xfId="10688" xr:uid="{AA361183-7704-47C2-9C5E-F0990601A84E}"/>
    <cellStyle name="Normal 5 3 3 2 8" xfId="2596" xr:uid="{00000000-0005-0000-0000-0000C3190000}"/>
    <cellStyle name="Normal 5 3 3 2 8 2" xfId="6880" xr:uid="{00000000-0005-0000-0000-0000C4190000}"/>
    <cellStyle name="Normal 5 3 3 2 8 2 2" xfId="15319" xr:uid="{4FD8A341-D9B3-425D-8163-4AFBBD4A7194}"/>
    <cellStyle name="Normal 5 3 3 2 8 3" xfId="11101" xr:uid="{380423FE-FB3B-48F2-9820-6AFA403EA8EE}"/>
    <cellStyle name="Normal 5 3 3 2 9" xfId="4815" xr:uid="{00000000-0005-0000-0000-0000C5190000}"/>
    <cellStyle name="Normal 5 3 3 2 9 2" xfId="13254" xr:uid="{0BC5FF8C-B202-4CD0-B79F-82AA2CC43064}"/>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15817" xr:uid="{B59B9E76-9F73-456E-BD43-EB147EFF4D27}"/>
    <cellStyle name="Normal 5 3 3 3 2 2 2 3" xfId="11599" xr:uid="{7C0A9F58-27D9-4FA1-9E3D-BF0294AE4F0C}"/>
    <cellStyle name="Normal 5 3 3 3 2 2 3" xfId="5233" xr:uid="{00000000-0005-0000-0000-0000CB190000}"/>
    <cellStyle name="Normal 5 3 3 3 2 2 3 2" xfId="13672" xr:uid="{568545C5-9F2A-4ECB-AD62-A0F131F981E5}"/>
    <cellStyle name="Normal 5 3 3 3 2 2 4" xfId="9454" xr:uid="{0B0C8279-B783-4CD0-AF47-C103E6AEC91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2 2" xfId="16230" xr:uid="{BA0F7146-85CF-4BF8-BF94-7286015D8815}"/>
    <cellStyle name="Normal 5 3 3 3 2 3 2 3" xfId="12012" xr:uid="{DB5C26FB-5A78-42DD-B52C-981F8BF0F68B}"/>
    <cellStyle name="Normal 5 3 3 3 2 3 3" xfId="5646" xr:uid="{00000000-0005-0000-0000-0000CF190000}"/>
    <cellStyle name="Normal 5 3 3 3 2 3 3 2" xfId="14085" xr:uid="{F1B67BE2-46E3-455F-8D49-25ED1D4FAE61}"/>
    <cellStyle name="Normal 5 3 3 3 2 3 4" xfId="9867" xr:uid="{3289FFCF-2691-4A48-9646-740AA2B01EDA}"/>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2 2 2" xfId="16643" xr:uid="{92B4B803-A11D-4DF9-9DB8-76A35D732EAF}"/>
    <cellStyle name="Normal 5 3 3 3 2 4 2 3" xfId="12425" xr:uid="{2AFD380C-B40E-47C0-B711-FA1FAE231CB0}"/>
    <cellStyle name="Normal 5 3 3 3 2 4 3" xfId="6059" xr:uid="{00000000-0005-0000-0000-0000D3190000}"/>
    <cellStyle name="Normal 5 3 3 3 2 4 3 2" xfId="14498" xr:uid="{30E40E54-B29F-4FAD-B66B-9B0BB62AD908}"/>
    <cellStyle name="Normal 5 3 3 3 2 4 4" xfId="10280" xr:uid="{3FAD388A-786F-4FBF-ABBE-82D3202CA42D}"/>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2 2 2" xfId="17056" xr:uid="{40C5EC8D-7902-45DB-8276-4789B5EAA15C}"/>
    <cellStyle name="Normal 5 3 3 3 2 5 2 3" xfId="12838" xr:uid="{80EB0D63-BA14-41DF-B9E8-45C862762A9F}"/>
    <cellStyle name="Normal 5 3 3 3 2 5 3" xfId="6472" xr:uid="{00000000-0005-0000-0000-0000D7190000}"/>
    <cellStyle name="Normal 5 3 3 3 2 5 3 2" xfId="14911" xr:uid="{B6AE3549-1F10-4DA6-8812-23F30BCC872E}"/>
    <cellStyle name="Normal 5 3 3 3 2 5 4" xfId="10693" xr:uid="{7AD6D65C-34BF-46D2-A653-286F260D5743}"/>
    <cellStyle name="Normal 5 3 3 3 2 6" xfId="2601" xr:uid="{00000000-0005-0000-0000-0000D8190000}"/>
    <cellStyle name="Normal 5 3 3 3 2 6 2" xfId="6885" xr:uid="{00000000-0005-0000-0000-0000D9190000}"/>
    <cellStyle name="Normal 5 3 3 3 2 6 2 2" xfId="15324" xr:uid="{50B5E1C0-369F-4C96-84A4-E8D82EDBD60A}"/>
    <cellStyle name="Normal 5 3 3 3 2 6 3" xfId="11106" xr:uid="{FBD9E0F1-8EBD-4F6A-A6D4-C995908E3F51}"/>
    <cellStyle name="Normal 5 3 3 3 2 7" xfId="4820" xr:uid="{00000000-0005-0000-0000-0000DA190000}"/>
    <cellStyle name="Normal 5 3 3 3 2 7 2" xfId="13259" xr:uid="{741554B2-EB2C-4DB0-A2CE-AC2882AEC4E7}"/>
    <cellStyle name="Normal 5 3 3 3 2 8" xfId="9041" xr:uid="{0724C6FF-2912-4B68-853C-37246F8A5221}"/>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15816" xr:uid="{AE6CE91A-AC85-466A-81EF-AEE2197DFAAC}"/>
    <cellStyle name="Normal 5 3 3 3 3 2 3" xfId="11598" xr:uid="{F8C455B1-1CCF-4FD9-A7E5-C63AD78B7410}"/>
    <cellStyle name="Normal 5 3 3 3 3 3" xfId="5232" xr:uid="{00000000-0005-0000-0000-0000DE190000}"/>
    <cellStyle name="Normal 5 3 3 3 3 3 2" xfId="13671" xr:uid="{A3DAA134-4E39-4169-BFA1-21A637C1D729}"/>
    <cellStyle name="Normal 5 3 3 3 3 4" xfId="9453" xr:uid="{3AC47C54-75BE-41DD-A342-BCF26833A0E3}"/>
    <cellStyle name="Normal 5 3 3 3 4" xfId="1337" xr:uid="{00000000-0005-0000-0000-0000DF190000}"/>
    <cellStyle name="Normal 5 3 3 3 4 2" xfId="3567" xr:uid="{00000000-0005-0000-0000-0000E0190000}"/>
    <cellStyle name="Normal 5 3 3 3 4 2 2" xfId="7790" xr:uid="{00000000-0005-0000-0000-0000E1190000}"/>
    <cellStyle name="Normal 5 3 3 3 4 2 2 2" xfId="16229" xr:uid="{C0569E71-B0E1-4BAD-9DA0-3EBA8B2CD212}"/>
    <cellStyle name="Normal 5 3 3 3 4 2 3" xfId="12011" xr:uid="{A244A28A-7B7B-4057-A807-A05FC74B6EDE}"/>
    <cellStyle name="Normal 5 3 3 3 4 3" xfId="5645" xr:uid="{00000000-0005-0000-0000-0000E2190000}"/>
    <cellStyle name="Normal 5 3 3 3 4 3 2" xfId="14084" xr:uid="{1B79433A-252A-4960-8954-D4E7D8395C6D}"/>
    <cellStyle name="Normal 5 3 3 3 4 4" xfId="9866" xr:uid="{7AF93F50-3746-46B8-99A0-7274A52222F9}"/>
    <cellStyle name="Normal 5 3 3 3 5" xfId="1750" xr:uid="{00000000-0005-0000-0000-0000E3190000}"/>
    <cellStyle name="Normal 5 3 3 3 5 2" xfId="3980" xr:uid="{00000000-0005-0000-0000-0000E4190000}"/>
    <cellStyle name="Normal 5 3 3 3 5 2 2" xfId="8203" xr:uid="{00000000-0005-0000-0000-0000E5190000}"/>
    <cellStyle name="Normal 5 3 3 3 5 2 2 2" xfId="16642" xr:uid="{78DED1CF-9A3C-447D-BC9C-D4FCCC247B39}"/>
    <cellStyle name="Normal 5 3 3 3 5 2 3" xfId="12424" xr:uid="{B71F9AEA-25AC-46A4-82FF-B79322514ABF}"/>
    <cellStyle name="Normal 5 3 3 3 5 3" xfId="6058" xr:uid="{00000000-0005-0000-0000-0000E6190000}"/>
    <cellStyle name="Normal 5 3 3 3 5 3 2" xfId="14497" xr:uid="{0063610C-1C78-4E0A-BBDB-9421E6954F37}"/>
    <cellStyle name="Normal 5 3 3 3 5 4" xfId="10279" xr:uid="{E049AD52-31A5-44B0-9425-743DDB6AA11F}"/>
    <cellStyle name="Normal 5 3 3 3 6" xfId="2164" xr:uid="{00000000-0005-0000-0000-0000E7190000}"/>
    <cellStyle name="Normal 5 3 3 3 6 2" xfId="4393" xr:uid="{00000000-0005-0000-0000-0000E8190000}"/>
    <cellStyle name="Normal 5 3 3 3 6 2 2" xfId="8616" xr:uid="{00000000-0005-0000-0000-0000E9190000}"/>
    <cellStyle name="Normal 5 3 3 3 6 2 2 2" xfId="17055" xr:uid="{E7AE4E48-5467-4ED0-9D2F-283155595077}"/>
    <cellStyle name="Normal 5 3 3 3 6 2 3" xfId="12837" xr:uid="{1D29CD46-FCAF-4E9E-A484-71B8A331D532}"/>
    <cellStyle name="Normal 5 3 3 3 6 3" xfId="6471" xr:uid="{00000000-0005-0000-0000-0000EA190000}"/>
    <cellStyle name="Normal 5 3 3 3 6 3 2" xfId="14910" xr:uid="{0F967108-3737-4235-A4B8-D91DE63B4489}"/>
    <cellStyle name="Normal 5 3 3 3 6 4" xfId="10692" xr:uid="{B2546C40-82AB-42EA-9584-96FF03FE2D0B}"/>
    <cellStyle name="Normal 5 3 3 3 7" xfId="2600" xr:uid="{00000000-0005-0000-0000-0000EB190000}"/>
    <cellStyle name="Normal 5 3 3 3 7 2" xfId="6884" xr:uid="{00000000-0005-0000-0000-0000EC190000}"/>
    <cellStyle name="Normal 5 3 3 3 7 2 2" xfId="15323" xr:uid="{A4445F2C-7F4D-4CD4-83D6-42F5E928C6C6}"/>
    <cellStyle name="Normal 5 3 3 3 7 3" xfId="11105" xr:uid="{1BDBA99D-FAE0-49C2-A0CF-960453DC068D}"/>
    <cellStyle name="Normal 5 3 3 3 8" xfId="4819" xr:uid="{00000000-0005-0000-0000-0000ED190000}"/>
    <cellStyle name="Normal 5 3 3 3 8 2" xfId="13258" xr:uid="{7ACF7FD7-5CAF-42B6-A230-D93DA07B2AB8}"/>
    <cellStyle name="Normal 5 3 3 3 9" xfId="9040" xr:uid="{4E3C8CD5-A705-4610-B837-E0956F34B2F1}"/>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15818" xr:uid="{D560E0B7-3136-43F5-8999-4D3CF288F2A9}"/>
    <cellStyle name="Normal 5 3 3 4 2 2 3" xfId="11600" xr:uid="{DEF8B63D-9225-403F-96FE-BF7506068270}"/>
    <cellStyle name="Normal 5 3 3 4 2 3" xfId="5234" xr:uid="{00000000-0005-0000-0000-0000F2190000}"/>
    <cellStyle name="Normal 5 3 3 4 2 3 2" xfId="13673" xr:uid="{62DDC4DF-CB8E-48ED-9ACA-BFFABF81A783}"/>
    <cellStyle name="Normal 5 3 3 4 2 4" xfId="9455" xr:uid="{8E641CFD-09D0-4803-B12F-F3C4EEA30713}"/>
    <cellStyle name="Normal 5 3 3 4 3" xfId="1339" xr:uid="{00000000-0005-0000-0000-0000F3190000}"/>
    <cellStyle name="Normal 5 3 3 4 3 2" xfId="3569" xr:uid="{00000000-0005-0000-0000-0000F4190000}"/>
    <cellStyle name="Normal 5 3 3 4 3 2 2" xfId="7792" xr:uid="{00000000-0005-0000-0000-0000F5190000}"/>
    <cellStyle name="Normal 5 3 3 4 3 2 2 2" xfId="16231" xr:uid="{44543C04-BDF9-464A-A95E-EC2E49067C14}"/>
    <cellStyle name="Normal 5 3 3 4 3 2 3" xfId="12013" xr:uid="{B2ECF5F6-9A9E-46AA-8012-20ED7280E50B}"/>
    <cellStyle name="Normal 5 3 3 4 3 3" xfId="5647" xr:uid="{00000000-0005-0000-0000-0000F6190000}"/>
    <cellStyle name="Normal 5 3 3 4 3 3 2" xfId="14086" xr:uid="{75545EBE-ECBE-41D5-8451-EDC5DF0CAD53}"/>
    <cellStyle name="Normal 5 3 3 4 3 4" xfId="9868" xr:uid="{6258714D-F406-453F-8640-74D7BA2BDCB9}"/>
    <cellStyle name="Normal 5 3 3 4 4" xfId="1752" xr:uid="{00000000-0005-0000-0000-0000F7190000}"/>
    <cellStyle name="Normal 5 3 3 4 4 2" xfId="3982" xr:uid="{00000000-0005-0000-0000-0000F8190000}"/>
    <cellStyle name="Normal 5 3 3 4 4 2 2" xfId="8205" xr:uid="{00000000-0005-0000-0000-0000F9190000}"/>
    <cellStyle name="Normal 5 3 3 4 4 2 2 2" xfId="16644" xr:uid="{B5624E75-8E92-4684-B906-13D8C5168BA4}"/>
    <cellStyle name="Normal 5 3 3 4 4 2 3" xfId="12426" xr:uid="{538970CB-956A-4500-9F3C-7D74C0299D7B}"/>
    <cellStyle name="Normal 5 3 3 4 4 3" xfId="6060" xr:uid="{00000000-0005-0000-0000-0000FA190000}"/>
    <cellStyle name="Normal 5 3 3 4 4 3 2" xfId="14499" xr:uid="{7B3D4655-8E1A-4DD6-8A47-ACC25DB6B3E7}"/>
    <cellStyle name="Normal 5 3 3 4 4 4" xfId="10281" xr:uid="{0FC60A60-14C1-4D52-9767-4EAA23282DBC}"/>
    <cellStyle name="Normal 5 3 3 4 5" xfId="2166" xr:uid="{00000000-0005-0000-0000-0000FB190000}"/>
    <cellStyle name="Normal 5 3 3 4 5 2" xfId="4395" xr:uid="{00000000-0005-0000-0000-0000FC190000}"/>
    <cellStyle name="Normal 5 3 3 4 5 2 2" xfId="8618" xr:uid="{00000000-0005-0000-0000-0000FD190000}"/>
    <cellStyle name="Normal 5 3 3 4 5 2 2 2" xfId="17057" xr:uid="{4C3D6F02-67EE-4868-8484-B5592FCCF992}"/>
    <cellStyle name="Normal 5 3 3 4 5 2 3" xfId="12839" xr:uid="{D6AF4234-A43D-47A2-A7FD-26FDF5F3B240}"/>
    <cellStyle name="Normal 5 3 3 4 5 3" xfId="6473" xr:uid="{00000000-0005-0000-0000-0000FE190000}"/>
    <cellStyle name="Normal 5 3 3 4 5 3 2" xfId="14912" xr:uid="{9C300ED2-A060-493B-9FDC-A4F0E5ED6993}"/>
    <cellStyle name="Normal 5 3 3 4 5 4" xfId="10694" xr:uid="{DC28CF6B-C54B-461B-B649-119A381F8C7E}"/>
    <cellStyle name="Normal 5 3 3 4 6" xfId="2602" xr:uid="{00000000-0005-0000-0000-0000FF190000}"/>
    <cellStyle name="Normal 5 3 3 4 6 2" xfId="6886" xr:uid="{00000000-0005-0000-0000-0000001A0000}"/>
    <cellStyle name="Normal 5 3 3 4 6 2 2" xfId="15325" xr:uid="{7019C5ED-57F9-4033-9192-945000D615EC}"/>
    <cellStyle name="Normal 5 3 3 4 6 3" xfId="11107" xr:uid="{B37CD1EB-AC47-47D1-9A05-96013AD21CF5}"/>
    <cellStyle name="Normal 5 3 3 4 7" xfId="4821" xr:uid="{00000000-0005-0000-0000-0000011A0000}"/>
    <cellStyle name="Normal 5 3 3 4 7 2" xfId="13260" xr:uid="{7DAAE23D-C76C-4B45-BB6C-4D90B091F783}"/>
    <cellStyle name="Normal 5 3 3 4 8" xfId="9042" xr:uid="{A9DC51A9-9F48-4DFE-BDEB-886D32F16EBC}"/>
    <cellStyle name="Normal 5 3 3 5" xfId="915" xr:uid="{00000000-0005-0000-0000-0000021A0000}"/>
    <cellStyle name="Normal 5 3 3 5 2" xfId="3149" xr:uid="{00000000-0005-0000-0000-0000031A0000}"/>
    <cellStyle name="Normal 5 3 3 5 2 2" xfId="7372" xr:uid="{00000000-0005-0000-0000-0000041A0000}"/>
    <cellStyle name="Normal 5 3 3 5 2 2 2" xfId="15811" xr:uid="{AD80A839-E036-411F-8A04-7EEB85C1DFB5}"/>
    <cellStyle name="Normal 5 3 3 5 2 3" xfId="11593" xr:uid="{ABDD5826-1BF0-4EEB-8A7A-A52FE0A4CB9F}"/>
    <cellStyle name="Normal 5 3 3 5 3" xfId="5227" xr:uid="{00000000-0005-0000-0000-0000051A0000}"/>
    <cellStyle name="Normal 5 3 3 5 3 2" xfId="13666" xr:uid="{35527DCA-F84B-4A7E-81A2-CE60C3866D73}"/>
    <cellStyle name="Normal 5 3 3 5 4" xfId="9448" xr:uid="{05CEE50A-1D36-4044-A275-04597AA392EA}"/>
    <cellStyle name="Normal 5 3 3 6" xfId="1332" xr:uid="{00000000-0005-0000-0000-0000061A0000}"/>
    <cellStyle name="Normal 5 3 3 6 2" xfId="3562" xr:uid="{00000000-0005-0000-0000-0000071A0000}"/>
    <cellStyle name="Normal 5 3 3 6 2 2" xfId="7785" xr:uid="{00000000-0005-0000-0000-0000081A0000}"/>
    <cellStyle name="Normal 5 3 3 6 2 2 2" xfId="16224" xr:uid="{45B5CFCB-DB1A-4E39-83AE-A7177F9103D2}"/>
    <cellStyle name="Normal 5 3 3 6 2 3" xfId="12006" xr:uid="{1808A841-4332-4390-87A0-E5081173B3CD}"/>
    <cellStyle name="Normal 5 3 3 6 3" xfId="5640" xr:uid="{00000000-0005-0000-0000-0000091A0000}"/>
    <cellStyle name="Normal 5 3 3 6 3 2" xfId="14079" xr:uid="{E38060BF-ECFB-4CED-8394-38C80168D738}"/>
    <cellStyle name="Normal 5 3 3 6 4" xfId="9861" xr:uid="{DC88A6E6-CA3C-4A51-957B-F3A0353BC549}"/>
    <cellStyle name="Normal 5 3 3 7" xfId="1745" xr:uid="{00000000-0005-0000-0000-00000A1A0000}"/>
    <cellStyle name="Normal 5 3 3 7 2" xfId="3975" xr:uid="{00000000-0005-0000-0000-00000B1A0000}"/>
    <cellStyle name="Normal 5 3 3 7 2 2" xfId="8198" xr:uid="{00000000-0005-0000-0000-00000C1A0000}"/>
    <cellStyle name="Normal 5 3 3 7 2 2 2" xfId="16637" xr:uid="{2671F107-5552-4951-880D-B107A6748A5B}"/>
    <cellStyle name="Normal 5 3 3 7 2 3" xfId="12419" xr:uid="{7F1E19C9-8AEB-4141-81EB-3EACF0B91F47}"/>
    <cellStyle name="Normal 5 3 3 7 3" xfId="6053" xr:uid="{00000000-0005-0000-0000-00000D1A0000}"/>
    <cellStyle name="Normal 5 3 3 7 3 2" xfId="14492" xr:uid="{6D3391C9-95C2-48CE-B6F9-18A84AA05A20}"/>
    <cellStyle name="Normal 5 3 3 7 4" xfId="10274" xr:uid="{09C9D6BA-3102-4AA0-B458-7350748B74BC}"/>
    <cellStyle name="Normal 5 3 3 8" xfId="2159" xr:uid="{00000000-0005-0000-0000-00000E1A0000}"/>
    <cellStyle name="Normal 5 3 3 8 2" xfId="4388" xr:uid="{00000000-0005-0000-0000-00000F1A0000}"/>
    <cellStyle name="Normal 5 3 3 8 2 2" xfId="8611" xr:uid="{00000000-0005-0000-0000-0000101A0000}"/>
    <cellStyle name="Normal 5 3 3 8 2 2 2" xfId="17050" xr:uid="{C6333C57-62F3-487E-A815-407377AE92D8}"/>
    <cellStyle name="Normal 5 3 3 8 2 3" xfId="12832" xr:uid="{09B9464B-5110-4E7A-ACD1-0D35A81BA4E8}"/>
    <cellStyle name="Normal 5 3 3 8 3" xfId="6466" xr:uid="{00000000-0005-0000-0000-0000111A0000}"/>
    <cellStyle name="Normal 5 3 3 8 3 2" xfId="14905" xr:uid="{8E12F5DD-77B1-4EA2-9235-A33E336FB452}"/>
    <cellStyle name="Normal 5 3 3 8 4" xfId="10687" xr:uid="{A702888C-B6D3-4474-904D-C6850956B4FC}"/>
    <cellStyle name="Normal 5 3 3 9" xfId="2595" xr:uid="{00000000-0005-0000-0000-0000121A0000}"/>
    <cellStyle name="Normal 5 3 3 9 2" xfId="6879" xr:uid="{00000000-0005-0000-0000-0000131A0000}"/>
    <cellStyle name="Normal 5 3 3 9 2 2" xfId="15318" xr:uid="{39EB020B-593D-4961-8062-0E5CE2C53AEF}"/>
    <cellStyle name="Normal 5 3 3 9 3" xfId="11100" xr:uid="{DB0FB2AF-5BDD-4949-90FB-E29649CD550F}"/>
    <cellStyle name="Normal 5 3 4" xfId="449" xr:uid="{00000000-0005-0000-0000-0000141A0000}"/>
    <cellStyle name="Normal 5 3 4 10" xfId="9043" xr:uid="{50C5BD9F-3AC3-4158-BDF4-CDE6DB4E327A}"/>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15821" xr:uid="{B2285F83-E838-4702-A9DF-C8565B5A2A2C}"/>
    <cellStyle name="Normal 5 3 4 2 2 2 2 3" xfId="11603" xr:uid="{8E342E1C-9EF2-46F5-A49C-03B24D62E70A}"/>
    <cellStyle name="Normal 5 3 4 2 2 2 3" xfId="5237" xr:uid="{00000000-0005-0000-0000-00001A1A0000}"/>
    <cellStyle name="Normal 5 3 4 2 2 2 3 2" xfId="13676" xr:uid="{7A3525A7-6AA1-4BCA-B2CB-F6969492E15F}"/>
    <cellStyle name="Normal 5 3 4 2 2 2 4" xfId="9458" xr:uid="{DF7B06DB-AC5C-49AF-A073-EF42900B01AC}"/>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2 2" xfId="16234" xr:uid="{1173F70A-8590-47B3-A126-846F7972B1B0}"/>
    <cellStyle name="Normal 5 3 4 2 2 3 2 3" xfId="12016" xr:uid="{9D1F7FD4-CB07-4CF3-BAE8-DD97A52ECC07}"/>
    <cellStyle name="Normal 5 3 4 2 2 3 3" xfId="5650" xr:uid="{00000000-0005-0000-0000-00001E1A0000}"/>
    <cellStyle name="Normal 5 3 4 2 2 3 3 2" xfId="14089" xr:uid="{B0600877-8CA7-42C1-A486-0BDA84B77F0A}"/>
    <cellStyle name="Normal 5 3 4 2 2 3 4" xfId="9871" xr:uid="{9E66A039-2986-46A9-82B7-9A3380CA3EA1}"/>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2 2 2" xfId="16647" xr:uid="{DB7CF8B6-93AA-46ED-888D-C741310FAFFF}"/>
    <cellStyle name="Normal 5 3 4 2 2 4 2 3" xfId="12429" xr:uid="{DDCB0155-45D6-4DBB-82DD-BC3D5A61B70C}"/>
    <cellStyle name="Normal 5 3 4 2 2 4 3" xfId="6063" xr:uid="{00000000-0005-0000-0000-0000221A0000}"/>
    <cellStyle name="Normal 5 3 4 2 2 4 3 2" xfId="14502" xr:uid="{6F86B3BC-B503-45D0-B502-41C584E4363A}"/>
    <cellStyle name="Normal 5 3 4 2 2 4 4" xfId="10284" xr:uid="{75A75208-D4F5-454E-B413-4BF35E0410DB}"/>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2 2 2" xfId="17060" xr:uid="{27593048-0EE3-48F9-AD14-E659215E92F0}"/>
    <cellStyle name="Normal 5 3 4 2 2 5 2 3" xfId="12842" xr:uid="{3C8B85B0-4D1A-4B9E-B04B-F9DA1CCD079E}"/>
    <cellStyle name="Normal 5 3 4 2 2 5 3" xfId="6476" xr:uid="{00000000-0005-0000-0000-0000261A0000}"/>
    <cellStyle name="Normal 5 3 4 2 2 5 3 2" xfId="14915" xr:uid="{E329BAA9-A0D6-4CCC-9E0B-B11651DAFA7B}"/>
    <cellStyle name="Normal 5 3 4 2 2 5 4" xfId="10697" xr:uid="{92BAD6D8-B36A-4F8D-A619-FFC361E45067}"/>
    <cellStyle name="Normal 5 3 4 2 2 6" xfId="2605" xr:uid="{00000000-0005-0000-0000-0000271A0000}"/>
    <cellStyle name="Normal 5 3 4 2 2 6 2" xfId="6889" xr:uid="{00000000-0005-0000-0000-0000281A0000}"/>
    <cellStyle name="Normal 5 3 4 2 2 6 2 2" xfId="15328" xr:uid="{60CA0F3E-D326-452B-84CB-A874DB5AC7C5}"/>
    <cellStyle name="Normal 5 3 4 2 2 6 3" xfId="11110" xr:uid="{DBF1D52A-6855-44EC-9596-CDB44D98A559}"/>
    <cellStyle name="Normal 5 3 4 2 2 7" xfId="4824" xr:uid="{00000000-0005-0000-0000-0000291A0000}"/>
    <cellStyle name="Normal 5 3 4 2 2 7 2" xfId="13263" xr:uid="{38E4ED04-AD4C-40B3-BCC1-A0EA782AC066}"/>
    <cellStyle name="Normal 5 3 4 2 2 8" xfId="9045" xr:uid="{0023A89E-7D86-4CD2-B8E0-727E2FEDF777}"/>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15820" xr:uid="{F4F9036D-0610-449B-9372-E88BBF77BE87}"/>
    <cellStyle name="Normal 5 3 4 2 3 2 3" xfId="11602" xr:uid="{7D83A5FB-607A-4323-8DF8-102671914D39}"/>
    <cellStyle name="Normal 5 3 4 2 3 3" xfId="5236" xr:uid="{00000000-0005-0000-0000-00002D1A0000}"/>
    <cellStyle name="Normal 5 3 4 2 3 3 2" xfId="13675" xr:uid="{B41CAB83-D860-41C0-B4F4-6C006A8FBB62}"/>
    <cellStyle name="Normal 5 3 4 2 3 4" xfId="9457" xr:uid="{C339C98A-D551-4480-B0C2-87DB1AA0BAB1}"/>
    <cellStyle name="Normal 5 3 4 2 4" xfId="1341" xr:uid="{00000000-0005-0000-0000-00002E1A0000}"/>
    <cellStyle name="Normal 5 3 4 2 4 2" xfId="3571" xr:uid="{00000000-0005-0000-0000-00002F1A0000}"/>
    <cellStyle name="Normal 5 3 4 2 4 2 2" xfId="7794" xr:uid="{00000000-0005-0000-0000-0000301A0000}"/>
    <cellStyle name="Normal 5 3 4 2 4 2 2 2" xfId="16233" xr:uid="{26DC7AE8-A1C1-4E93-A08D-D85C0C9759C1}"/>
    <cellStyle name="Normal 5 3 4 2 4 2 3" xfId="12015" xr:uid="{4CC4C42C-BC77-4171-A529-5E01531BD2D4}"/>
    <cellStyle name="Normal 5 3 4 2 4 3" xfId="5649" xr:uid="{00000000-0005-0000-0000-0000311A0000}"/>
    <cellStyle name="Normal 5 3 4 2 4 3 2" xfId="14088" xr:uid="{0C5376EA-C8C1-4B37-BB1F-3F7F39F54339}"/>
    <cellStyle name="Normal 5 3 4 2 4 4" xfId="9870" xr:uid="{645F3435-B196-448C-A101-8E7290174C4D}"/>
    <cellStyle name="Normal 5 3 4 2 5" xfId="1754" xr:uid="{00000000-0005-0000-0000-0000321A0000}"/>
    <cellStyle name="Normal 5 3 4 2 5 2" xfId="3984" xr:uid="{00000000-0005-0000-0000-0000331A0000}"/>
    <cellStyle name="Normal 5 3 4 2 5 2 2" xfId="8207" xr:uid="{00000000-0005-0000-0000-0000341A0000}"/>
    <cellStyle name="Normal 5 3 4 2 5 2 2 2" xfId="16646" xr:uid="{E8BA58FA-7C75-4E46-8C92-054E48351905}"/>
    <cellStyle name="Normal 5 3 4 2 5 2 3" xfId="12428" xr:uid="{6E8687DF-3FCB-4FFF-A30C-359E6BD7CEC9}"/>
    <cellStyle name="Normal 5 3 4 2 5 3" xfId="6062" xr:uid="{00000000-0005-0000-0000-0000351A0000}"/>
    <cellStyle name="Normal 5 3 4 2 5 3 2" xfId="14501" xr:uid="{318E57D9-A389-46CD-9F7C-1F986418EBCD}"/>
    <cellStyle name="Normal 5 3 4 2 5 4" xfId="10283" xr:uid="{DF6E73DB-1353-4B16-87AD-CBE55E7986BD}"/>
    <cellStyle name="Normal 5 3 4 2 6" xfId="2168" xr:uid="{00000000-0005-0000-0000-0000361A0000}"/>
    <cellStyle name="Normal 5 3 4 2 6 2" xfId="4397" xr:uid="{00000000-0005-0000-0000-0000371A0000}"/>
    <cellStyle name="Normal 5 3 4 2 6 2 2" xfId="8620" xr:uid="{00000000-0005-0000-0000-0000381A0000}"/>
    <cellStyle name="Normal 5 3 4 2 6 2 2 2" xfId="17059" xr:uid="{DDCC6A0C-3512-4815-B32B-19B9EDCF8C16}"/>
    <cellStyle name="Normal 5 3 4 2 6 2 3" xfId="12841" xr:uid="{850994D0-6A76-4662-95E9-CF4AF5AF563D}"/>
    <cellStyle name="Normal 5 3 4 2 6 3" xfId="6475" xr:uid="{00000000-0005-0000-0000-0000391A0000}"/>
    <cellStyle name="Normal 5 3 4 2 6 3 2" xfId="14914" xr:uid="{863BDEEE-E1BA-4513-88DD-31510DCA2E04}"/>
    <cellStyle name="Normal 5 3 4 2 6 4" xfId="10696" xr:uid="{C7BA9EAA-5D03-48C8-9BDD-4E2196A40634}"/>
    <cellStyle name="Normal 5 3 4 2 7" xfId="2604" xr:uid="{00000000-0005-0000-0000-00003A1A0000}"/>
    <cellStyle name="Normal 5 3 4 2 7 2" xfId="6888" xr:uid="{00000000-0005-0000-0000-00003B1A0000}"/>
    <cellStyle name="Normal 5 3 4 2 7 2 2" xfId="15327" xr:uid="{3DCB2328-F1F9-41CB-807B-7A631D393715}"/>
    <cellStyle name="Normal 5 3 4 2 7 3" xfId="11109" xr:uid="{05A9C4C1-BCE0-4A2B-94D5-8222DCC0005D}"/>
    <cellStyle name="Normal 5 3 4 2 8" xfId="4823" xr:uid="{00000000-0005-0000-0000-00003C1A0000}"/>
    <cellStyle name="Normal 5 3 4 2 8 2" xfId="13262" xr:uid="{F7ACCCC5-3E68-4B16-A375-B790FA49A294}"/>
    <cellStyle name="Normal 5 3 4 2 9" xfId="9044" xr:uid="{665EC664-C7D1-4764-B27D-DCD3BEAF784E}"/>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15822" xr:uid="{3E57E01E-F936-47A4-966C-ECD7701C17F6}"/>
    <cellStyle name="Normal 5 3 4 3 2 2 3" xfId="11604" xr:uid="{D971BD19-E7D7-4C6B-B257-C17028BBA96B}"/>
    <cellStyle name="Normal 5 3 4 3 2 3" xfId="5238" xr:uid="{00000000-0005-0000-0000-0000411A0000}"/>
    <cellStyle name="Normal 5 3 4 3 2 3 2" xfId="13677" xr:uid="{B71096A1-23FC-484C-B1AE-81B663645079}"/>
    <cellStyle name="Normal 5 3 4 3 2 4" xfId="9459" xr:uid="{9E7B7C2D-D4C7-435E-9647-1D75D538569E}"/>
    <cellStyle name="Normal 5 3 4 3 3" xfId="1343" xr:uid="{00000000-0005-0000-0000-0000421A0000}"/>
    <cellStyle name="Normal 5 3 4 3 3 2" xfId="3573" xr:uid="{00000000-0005-0000-0000-0000431A0000}"/>
    <cellStyle name="Normal 5 3 4 3 3 2 2" xfId="7796" xr:uid="{00000000-0005-0000-0000-0000441A0000}"/>
    <cellStyle name="Normal 5 3 4 3 3 2 2 2" xfId="16235" xr:uid="{F0802E78-26D2-45BF-87C2-8EFBFF3C7AD3}"/>
    <cellStyle name="Normal 5 3 4 3 3 2 3" xfId="12017" xr:uid="{92CCC516-0F2B-42DA-90BB-B92872D9EA4E}"/>
    <cellStyle name="Normal 5 3 4 3 3 3" xfId="5651" xr:uid="{00000000-0005-0000-0000-0000451A0000}"/>
    <cellStyle name="Normal 5 3 4 3 3 3 2" xfId="14090" xr:uid="{2C41A1E8-01A0-40D1-B37C-D9BF0650C6DF}"/>
    <cellStyle name="Normal 5 3 4 3 3 4" xfId="9872" xr:uid="{31CD1777-A84D-4D8D-A71C-1CF4FB64130E}"/>
    <cellStyle name="Normal 5 3 4 3 4" xfId="1756" xr:uid="{00000000-0005-0000-0000-0000461A0000}"/>
    <cellStyle name="Normal 5 3 4 3 4 2" xfId="3986" xr:uid="{00000000-0005-0000-0000-0000471A0000}"/>
    <cellStyle name="Normal 5 3 4 3 4 2 2" xfId="8209" xr:uid="{00000000-0005-0000-0000-0000481A0000}"/>
    <cellStyle name="Normal 5 3 4 3 4 2 2 2" xfId="16648" xr:uid="{BAE957FC-B8D8-406B-9C39-5829004828BE}"/>
    <cellStyle name="Normal 5 3 4 3 4 2 3" xfId="12430" xr:uid="{292F8BFF-ADE8-452C-B90E-EDE5F09B4CE5}"/>
    <cellStyle name="Normal 5 3 4 3 4 3" xfId="6064" xr:uid="{00000000-0005-0000-0000-0000491A0000}"/>
    <cellStyle name="Normal 5 3 4 3 4 3 2" xfId="14503" xr:uid="{B84057C3-CCEB-42D8-B31B-48FC6929AF94}"/>
    <cellStyle name="Normal 5 3 4 3 4 4" xfId="10285" xr:uid="{C4A88AC6-1073-4492-89C7-B67D35F60BC2}"/>
    <cellStyle name="Normal 5 3 4 3 5" xfId="2170" xr:uid="{00000000-0005-0000-0000-00004A1A0000}"/>
    <cellStyle name="Normal 5 3 4 3 5 2" xfId="4399" xr:uid="{00000000-0005-0000-0000-00004B1A0000}"/>
    <cellStyle name="Normal 5 3 4 3 5 2 2" xfId="8622" xr:uid="{00000000-0005-0000-0000-00004C1A0000}"/>
    <cellStyle name="Normal 5 3 4 3 5 2 2 2" xfId="17061" xr:uid="{E642D37F-4A3D-4B1F-AA16-9383AE52F634}"/>
    <cellStyle name="Normal 5 3 4 3 5 2 3" xfId="12843" xr:uid="{E229C205-402A-465A-9680-1CFA91F99D10}"/>
    <cellStyle name="Normal 5 3 4 3 5 3" xfId="6477" xr:uid="{00000000-0005-0000-0000-00004D1A0000}"/>
    <cellStyle name="Normal 5 3 4 3 5 3 2" xfId="14916" xr:uid="{765CD254-FE25-4417-A066-9FF473BAF1EE}"/>
    <cellStyle name="Normal 5 3 4 3 5 4" xfId="10698" xr:uid="{690A9E51-A6EF-401A-87F5-CFD07D7BFE96}"/>
    <cellStyle name="Normal 5 3 4 3 6" xfId="2606" xr:uid="{00000000-0005-0000-0000-00004E1A0000}"/>
    <cellStyle name="Normal 5 3 4 3 6 2" xfId="6890" xr:uid="{00000000-0005-0000-0000-00004F1A0000}"/>
    <cellStyle name="Normal 5 3 4 3 6 2 2" xfId="15329" xr:uid="{43376D81-0B15-4195-8971-455AA7D13B74}"/>
    <cellStyle name="Normal 5 3 4 3 6 3" xfId="11111" xr:uid="{C80AFCC1-5286-48F7-BE25-2B58FFD5C3B5}"/>
    <cellStyle name="Normal 5 3 4 3 7" xfId="4825" xr:uid="{00000000-0005-0000-0000-0000501A0000}"/>
    <cellStyle name="Normal 5 3 4 3 7 2" xfId="13264" xr:uid="{47F9E7DE-2F1B-4D56-A004-95E68084A298}"/>
    <cellStyle name="Normal 5 3 4 3 8" xfId="9046" xr:uid="{421F5AB7-EDEC-4CA7-9FA9-24B937E2EB02}"/>
    <cellStyle name="Normal 5 3 4 4" xfId="923" xr:uid="{00000000-0005-0000-0000-0000511A0000}"/>
    <cellStyle name="Normal 5 3 4 4 2" xfId="3157" xr:uid="{00000000-0005-0000-0000-0000521A0000}"/>
    <cellStyle name="Normal 5 3 4 4 2 2" xfId="7380" xr:uid="{00000000-0005-0000-0000-0000531A0000}"/>
    <cellStyle name="Normal 5 3 4 4 2 2 2" xfId="15819" xr:uid="{2DA95D7E-EEDA-4EFE-B32E-C7555904D1F8}"/>
    <cellStyle name="Normal 5 3 4 4 2 3" xfId="11601" xr:uid="{BACB4C20-480D-480F-A00E-83CDBB189CF8}"/>
    <cellStyle name="Normal 5 3 4 4 3" xfId="5235" xr:uid="{00000000-0005-0000-0000-0000541A0000}"/>
    <cellStyle name="Normal 5 3 4 4 3 2" xfId="13674" xr:uid="{FCCBB160-5D45-4AB3-AF7E-29F9203204AF}"/>
    <cellStyle name="Normal 5 3 4 4 4" xfId="9456" xr:uid="{2B83670D-6E7B-4A3A-93EA-ACDD0B69D2EF}"/>
    <cellStyle name="Normal 5 3 4 5" xfId="1340" xr:uid="{00000000-0005-0000-0000-0000551A0000}"/>
    <cellStyle name="Normal 5 3 4 5 2" xfId="3570" xr:uid="{00000000-0005-0000-0000-0000561A0000}"/>
    <cellStyle name="Normal 5 3 4 5 2 2" xfId="7793" xr:uid="{00000000-0005-0000-0000-0000571A0000}"/>
    <cellStyle name="Normal 5 3 4 5 2 2 2" xfId="16232" xr:uid="{BFF6B701-ABCE-4386-8FCC-D0DAD5101F24}"/>
    <cellStyle name="Normal 5 3 4 5 2 3" xfId="12014" xr:uid="{2E0DB57B-953A-48A8-B8B1-027E9B2E3749}"/>
    <cellStyle name="Normal 5 3 4 5 3" xfId="5648" xr:uid="{00000000-0005-0000-0000-0000581A0000}"/>
    <cellStyle name="Normal 5 3 4 5 3 2" xfId="14087" xr:uid="{18AC4CB7-980C-4CEE-A361-6E9FA2F41BC9}"/>
    <cellStyle name="Normal 5 3 4 5 4" xfId="9869" xr:uid="{B6CA99FB-A8D8-49A5-852F-1FB48644CE44}"/>
    <cellStyle name="Normal 5 3 4 6" xfId="1753" xr:uid="{00000000-0005-0000-0000-0000591A0000}"/>
    <cellStyle name="Normal 5 3 4 6 2" xfId="3983" xr:uid="{00000000-0005-0000-0000-00005A1A0000}"/>
    <cellStyle name="Normal 5 3 4 6 2 2" xfId="8206" xr:uid="{00000000-0005-0000-0000-00005B1A0000}"/>
    <cellStyle name="Normal 5 3 4 6 2 2 2" xfId="16645" xr:uid="{6BD236CE-1895-46B8-921B-6934DBD2DA63}"/>
    <cellStyle name="Normal 5 3 4 6 2 3" xfId="12427" xr:uid="{68C5A02A-A9F9-4967-B70B-30ECB5197B2B}"/>
    <cellStyle name="Normal 5 3 4 6 3" xfId="6061" xr:uid="{00000000-0005-0000-0000-00005C1A0000}"/>
    <cellStyle name="Normal 5 3 4 6 3 2" xfId="14500" xr:uid="{3FB72B91-61EB-42F3-9F2D-03BE73A27492}"/>
    <cellStyle name="Normal 5 3 4 6 4" xfId="10282" xr:uid="{B6D5769D-DA8F-483C-85C4-2DC56CF5D01D}"/>
    <cellStyle name="Normal 5 3 4 7" xfId="2167" xr:uid="{00000000-0005-0000-0000-00005D1A0000}"/>
    <cellStyle name="Normal 5 3 4 7 2" xfId="4396" xr:uid="{00000000-0005-0000-0000-00005E1A0000}"/>
    <cellStyle name="Normal 5 3 4 7 2 2" xfId="8619" xr:uid="{00000000-0005-0000-0000-00005F1A0000}"/>
    <cellStyle name="Normal 5 3 4 7 2 2 2" xfId="17058" xr:uid="{8CA893EC-4965-412C-BFE3-81BDC9DA5EFA}"/>
    <cellStyle name="Normal 5 3 4 7 2 3" xfId="12840" xr:uid="{345474D1-4D3E-4212-9405-1D307C2C6D79}"/>
    <cellStyle name="Normal 5 3 4 7 3" xfId="6474" xr:uid="{00000000-0005-0000-0000-0000601A0000}"/>
    <cellStyle name="Normal 5 3 4 7 3 2" xfId="14913" xr:uid="{BFBA154E-5708-494D-8F4D-B06640F1E1BA}"/>
    <cellStyle name="Normal 5 3 4 7 4" xfId="10695" xr:uid="{6891B29F-022E-4232-BEFC-6C1A20763826}"/>
    <cellStyle name="Normal 5 3 4 8" xfId="2603" xr:uid="{00000000-0005-0000-0000-0000611A0000}"/>
    <cellStyle name="Normal 5 3 4 8 2" xfId="6887" xr:uid="{00000000-0005-0000-0000-0000621A0000}"/>
    <cellStyle name="Normal 5 3 4 8 2 2" xfId="15326" xr:uid="{BD846AC9-3125-47A6-9DD8-6743A1A4BF62}"/>
    <cellStyle name="Normal 5 3 4 8 3" xfId="11108" xr:uid="{2EAA9AC4-1201-4923-A8D0-40E9705290C2}"/>
    <cellStyle name="Normal 5 3 4 9" xfId="4822" xr:uid="{00000000-0005-0000-0000-0000631A0000}"/>
    <cellStyle name="Normal 5 3 4 9 2" xfId="13261" xr:uid="{3E3D3A91-0247-4E95-80CB-0CF1105D9BD5}"/>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15824" xr:uid="{EB3C362E-DEB3-437D-BBFB-61AAEF86673D}"/>
    <cellStyle name="Normal 5 3 5 2 2 2 3" xfId="11606" xr:uid="{09A49C22-8380-4597-8BF7-7DAB3239B148}"/>
    <cellStyle name="Normal 5 3 5 2 2 3" xfId="5240" xr:uid="{00000000-0005-0000-0000-0000691A0000}"/>
    <cellStyle name="Normal 5 3 5 2 2 3 2" xfId="13679" xr:uid="{A698FB1D-8E41-4E0C-A8CF-060CE4C4DE50}"/>
    <cellStyle name="Normal 5 3 5 2 2 4" xfId="9461" xr:uid="{B0B16EC3-643F-491D-8997-1B139D6A36E1}"/>
    <cellStyle name="Normal 5 3 5 2 3" xfId="1345" xr:uid="{00000000-0005-0000-0000-00006A1A0000}"/>
    <cellStyle name="Normal 5 3 5 2 3 2" xfId="3575" xr:uid="{00000000-0005-0000-0000-00006B1A0000}"/>
    <cellStyle name="Normal 5 3 5 2 3 2 2" xfId="7798" xr:uid="{00000000-0005-0000-0000-00006C1A0000}"/>
    <cellStyle name="Normal 5 3 5 2 3 2 2 2" xfId="16237" xr:uid="{BC97703A-90D6-42BA-9C43-B4E3D12BC8CF}"/>
    <cellStyle name="Normal 5 3 5 2 3 2 3" xfId="12019" xr:uid="{CE82681E-A145-4591-B2B0-7B86805FD0AF}"/>
    <cellStyle name="Normal 5 3 5 2 3 3" xfId="5653" xr:uid="{00000000-0005-0000-0000-00006D1A0000}"/>
    <cellStyle name="Normal 5 3 5 2 3 3 2" xfId="14092" xr:uid="{4FC248C8-AE1B-40F3-A5DD-7E9ABAF7F8E4}"/>
    <cellStyle name="Normal 5 3 5 2 3 4" xfId="9874" xr:uid="{1A31EBD6-62FD-4ABD-9FE1-795EE4479A6F}"/>
    <cellStyle name="Normal 5 3 5 2 4" xfId="1758" xr:uid="{00000000-0005-0000-0000-00006E1A0000}"/>
    <cellStyle name="Normal 5 3 5 2 4 2" xfId="3988" xr:uid="{00000000-0005-0000-0000-00006F1A0000}"/>
    <cellStyle name="Normal 5 3 5 2 4 2 2" xfId="8211" xr:uid="{00000000-0005-0000-0000-0000701A0000}"/>
    <cellStyle name="Normal 5 3 5 2 4 2 2 2" xfId="16650" xr:uid="{2E302F8B-D5EB-42A6-9B26-5DDBEC49D018}"/>
    <cellStyle name="Normal 5 3 5 2 4 2 3" xfId="12432" xr:uid="{CD738693-630E-426A-874C-F40AFFD9CCA7}"/>
    <cellStyle name="Normal 5 3 5 2 4 3" xfId="6066" xr:uid="{00000000-0005-0000-0000-0000711A0000}"/>
    <cellStyle name="Normal 5 3 5 2 4 3 2" xfId="14505" xr:uid="{3038B687-2510-4EBF-8213-EC62C00D21A9}"/>
    <cellStyle name="Normal 5 3 5 2 4 4" xfId="10287" xr:uid="{8423F94D-4301-4958-A822-A92920FB8486}"/>
    <cellStyle name="Normal 5 3 5 2 5" xfId="2172" xr:uid="{00000000-0005-0000-0000-0000721A0000}"/>
    <cellStyle name="Normal 5 3 5 2 5 2" xfId="4401" xr:uid="{00000000-0005-0000-0000-0000731A0000}"/>
    <cellStyle name="Normal 5 3 5 2 5 2 2" xfId="8624" xr:uid="{00000000-0005-0000-0000-0000741A0000}"/>
    <cellStyle name="Normal 5 3 5 2 5 2 2 2" xfId="17063" xr:uid="{20780831-BF80-482F-9118-A745E000EA06}"/>
    <cellStyle name="Normal 5 3 5 2 5 2 3" xfId="12845" xr:uid="{DCAA1AA8-2DD0-4F8F-816F-4DB73B03889E}"/>
    <cellStyle name="Normal 5 3 5 2 5 3" xfId="6479" xr:uid="{00000000-0005-0000-0000-0000751A0000}"/>
    <cellStyle name="Normal 5 3 5 2 5 3 2" xfId="14918" xr:uid="{0F6E0097-B455-408F-9EA0-1DAE9B10BB42}"/>
    <cellStyle name="Normal 5 3 5 2 5 4" xfId="10700" xr:uid="{CBD01DA9-D58E-45DB-858B-3A51BEFF83DD}"/>
    <cellStyle name="Normal 5 3 5 2 6" xfId="2608" xr:uid="{00000000-0005-0000-0000-0000761A0000}"/>
    <cellStyle name="Normal 5 3 5 2 6 2" xfId="6892" xr:uid="{00000000-0005-0000-0000-0000771A0000}"/>
    <cellStyle name="Normal 5 3 5 2 6 2 2" xfId="15331" xr:uid="{C93E4A92-00BC-424A-BA3E-C9BC9B6FACAA}"/>
    <cellStyle name="Normal 5 3 5 2 6 3" xfId="11113" xr:uid="{FCC4CB10-0E70-472A-AC31-7C7D4B9D5DBB}"/>
    <cellStyle name="Normal 5 3 5 2 7" xfId="4827" xr:uid="{00000000-0005-0000-0000-0000781A0000}"/>
    <cellStyle name="Normal 5 3 5 2 7 2" xfId="13266" xr:uid="{B0C8BE62-0904-4AC6-B9C1-A52C160219A3}"/>
    <cellStyle name="Normal 5 3 5 2 8" xfId="9048" xr:uid="{0DACE387-2044-4F12-A9F1-421295E2045F}"/>
    <cellStyle name="Normal 5 3 5 3" xfId="927" xr:uid="{00000000-0005-0000-0000-0000791A0000}"/>
    <cellStyle name="Normal 5 3 5 3 2" xfId="3161" xr:uid="{00000000-0005-0000-0000-00007A1A0000}"/>
    <cellStyle name="Normal 5 3 5 3 2 2" xfId="7384" xr:uid="{00000000-0005-0000-0000-00007B1A0000}"/>
    <cellStyle name="Normal 5 3 5 3 2 2 2" xfId="15823" xr:uid="{59D51D3C-64F6-40B8-B088-D157CFE69628}"/>
    <cellStyle name="Normal 5 3 5 3 2 3" xfId="11605" xr:uid="{1EC9668A-F197-4F4C-873D-5BA5533CC40B}"/>
    <cellStyle name="Normal 5 3 5 3 3" xfId="5239" xr:uid="{00000000-0005-0000-0000-00007C1A0000}"/>
    <cellStyle name="Normal 5 3 5 3 3 2" xfId="13678" xr:uid="{7435F26C-35B2-45CC-82BC-60F84F74E9BA}"/>
    <cellStyle name="Normal 5 3 5 3 4" xfId="9460" xr:uid="{7B6B51E3-5466-4BA6-85A5-FC8DEFF7C51A}"/>
    <cellStyle name="Normal 5 3 5 4" xfId="1344" xr:uid="{00000000-0005-0000-0000-00007D1A0000}"/>
    <cellStyle name="Normal 5 3 5 4 2" xfId="3574" xr:uid="{00000000-0005-0000-0000-00007E1A0000}"/>
    <cellStyle name="Normal 5 3 5 4 2 2" xfId="7797" xr:uid="{00000000-0005-0000-0000-00007F1A0000}"/>
    <cellStyle name="Normal 5 3 5 4 2 2 2" xfId="16236" xr:uid="{D42F3AD2-8012-418C-8425-E0B35BFC153E}"/>
    <cellStyle name="Normal 5 3 5 4 2 3" xfId="12018" xr:uid="{989650D6-8612-4340-ABAD-A02637C6F76E}"/>
    <cellStyle name="Normal 5 3 5 4 3" xfId="5652" xr:uid="{00000000-0005-0000-0000-0000801A0000}"/>
    <cellStyle name="Normal 5 3 5 4 3 2" xfId="14091" xr:uid="{46142F12-3A35-4151-8CC7-C30E8DE7BC69}"/>
    <cellStyle name="Normal 5 3 5 4 4" xfId="9873" xr:uid="{8D2F555A-B3AC-4EFF-AD20-13CBCA767483}"/>
    <cellStyle name="Normal 5 3 5 5" xfId="1757" xr:uid="{00000000-0005-0000-0000-0000811A0000}"/>
    <cellStyle name="Normal 5 3 5 5 2" xfId="3987" xr:uid="{00000000-0005-0000-0000-0000821A0000}"/>
    <cellStyle name="Normal 5 3 5 5 2 2" xfId="8210" xr:uid="{00000000-0005-0000-0000-0000831A0000}"/>
    <cellStyle name="Normal 5 3 5 5 2 2 2" xfId="16649" xr:uid="{C308B43D-F2EA-41AB-AC4A-2C840CEDD0EF}"/>
    <cellStyle name="Normal 5 3 5 5 2 3" xfId="12431" xr:uid="{390B701B-3C70-4991-9A25-D7C09865033B}"/>
    <cellStyle name="Normal 5 3 5 5 3" xfId="6065" xr:uid="{00000000-0005-0000-0000-0000841A0000}"/>
    <cellStyle name="Normal 5 3 5 5 3 2" xfId="14504" xr:uid="{4AA87FE3-A317-4A17-B97E-4CC38AAFB219}"/>
    <cellStyle name="Normal 5 3 5 5 4" xfId="10286" xr:uid="{4F3B92E7-B620-44B3-9C44-1AC647B2E8E6}"/>
    <cellStyle name="Normal 5 3 5 6" xfId="2171" xr:uid="{00000000-0005-0000-0000-0000851A0000}"/>
    <cellStyle name="Normal 5 3 5 6 2" xfId="4400" xr:uid="{00000000-0005-0000-0000-0000861A0000}"/>
    <cellStyle name="Normal 5 3 5 6 2 2" xfId="8623" xr:uid="{00000000-0005-0000-0000-0000871A0000}"/>
    <cellStyle name="Normal 5 3 5 6 2 2 2" xfId="17062" xr:uid="{5DAAD781-4099-4585-AAB0-A2D05DF277F6}"/>
    <cellStyle name="Normal 5 3 5 6 2 3" xfId="12844" xr:uid="{C20B9F51-DB22-47A4-B0E2-68984BDB2687}"/>
    <cellStyle name="Normal 5 3 5 6 3" xfId="6478" xr:uid="{00000000-0005-0000-0000-0000881A0000}"/>
    <cellStyle name="Normal 5 3 5 6 3 2" xfId="14917" xr:uid="{A06783D1-3BA9-4027-A032-B32B695CF88A}"/>
    <cellStyle name="Normal 5 3 5 6 4" xfId="10699" xr:uid="{F2B37085-56FF-4A37-866E-2B29CED0DA66}"/>
    <cellStyle name="Normal 5 3 5 7" xfId="2607" xr:uid="{00000000-0005-0000-0000-0000891A0000}"/>
    <cellStyle name="Normal 5 3 5 7 2" xfId="6891" xr:uid="{00000000-0005-0000-0000-00008A1A0000}"/>
    <cellStyle name="Normal 5 3 5 7 2 2" xfId="15330" xr:uid="{D64F6FF8-50E3-4E36-8C22-137E54397144}"/>
    <cellStyle name="Normal 5 3 5 7 3" xfId="11112" xr:uid="{7C8E4AFD-5FB2-4B2F-BC8E-E2F598EDDB36}"/>
    <cellStyle name="Normal 5 3 5 8" xfId="4826" xr:uid="{00000000-0005-0000-0000-00008B1A0000}"/>
    <cellStyle name="Normal 5 3 5 8 2" xfId="13265" xr:uid="{423ACA81-3F5E-4A04-8ED1-E3C3958F0512}"/>
    <cellStyle name="Normal 5 3 5 9" xfId="9047" xr:uid="{17ADD63D-BD98-4B5C-B115-E458699979CE}"/>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2 2 2" xfId="15825" xr:uid="{3568E448-16BA-4F9C-8A8F-09295AB5779C}"/>
    <cellStyle name="Normal 5 3 6 2 2 3" xfId="11607" xr:uid="{E895EC8B-B4D7-421F-80B1-895881B7811B}"/>
    <cellStyle name="Normal 5 3 6 2 3" xfId="5241" xr:uid="{00000000-0005-0000-0000-0000901A0000}"/>
    <cellStyle name="Normal 5 3 6 2 3 2" xfId="13680" xr:uid="{B9D9D155-C8B6-45FA-8437-DB91D8A23D4F}"/>
    <cellStyle name="Normal 5 3 6 2 4" xfId="9462" xr:uid="{F320090C-01B3-49E0-BFB8-593CC7AE181C}"/>
    <cellStyle name="Normal 5 3 6 3" xfId="1346" xr:uid="{00000000-0005-0000-0000-0000911A0000}"/>
    <cellStyle name="Normal 5 3 6 3 2" xfId="3576" xr:uid="{00000000-0005-0000-0000-0000921A0000}"/>
    <cellStyle name="Normal 5 3 6 3 2 2" xfId="7799" xr:uid="{00000000-0005-0000-0000-0000931A0000}"/>
    <cellStyle name="Normal 5 3 6 3 2 2 2" xfId="16238" xr:uid="{1A9B4699-CA12-4186-B1BF-52A7A0932631}"/>
    <cellStyle name="Normal 5 3 6 3 2 3" xfId="12020" xr:uid="{F4508C89-9FC5-410E-B75C-DD5F5B2BCBED}"/>
    <cellStyle name="Normal 5 3 6 3 3" xfId="5654" xr:uid="{00000000-0005-0000-0000-0000941A0000}"/>
    <cellStyle name="Normal 5 3 6 3 3 2" xfId="14093" xr:uid="{C1D527D5-67FE-4A1D-9A66-48A83C36AA48}"/>
    <cellStyle name="Normal 5 3 6 3 4" xfId="9875" xr:uid="{1FC070FF-67C3-4EAE-8440-4F6DE08BF96C}"/>
    <cellStyle name="Normal 5 3 6 4" xfId="1759" xr:uid="{00000000-0005-0000-0000-0000951A0000}"/>
    <cellStyle name="Normal 5 3 6 4 2" xfId="3989" xr:uid="{00000000-0005-0000-0000-0000961A0000}"/>
    <cellStyle name="Normal 5 3 6 4 2 2" xfId="8212" xr:uid="{00000000-0005-0000-0000-0000971A0000}"/>
    <cellStyle name="Normal 5 3 6 4 2 2 2" xfId="16651" xr:uid="{0C97050F-9179-42F7-92A7-22A9DEBD4121}"/>
    <cellStyle name="Normal 5 3 6 4 2 3" xfId="12433" xr:uid="{BEA7DD82-2669-47AD-8F99-FF6ECE41372C}"/>
    <cellStyle name="Normal 5 3 6 4 3" xfId="6067" xr:uid="{00000000-0005-0000-0000-0000981A0000}"/>
    <cellStyle name="Normal 5 3 6 4 3 2" xfId="14506" xr:uid="{CE7B71A3-BCCE-429E-8659-0F93B714A080}"/>
    <cellStyle name="Normal 5 3 6 4 4" xfId="10288" xr:uid="{320EFF16-9D73-4B5B-8B5A-C53ACB95F43A}"/>
    <cellStyle name="Normal 5 3 6 5" xfId="2173" xr:uid="{00000000-0005-0000-0000-0000991A0000}"/>
    <cellStyle name="Normal 5 3 6 5 2" xfId="4402" xr:uid="{00000000-0005-0000-0000-00009A1A0000}"/>
    <cellStyle name="Normal 5 3 6 5 2 2" xfId="8625" xr:uid="{00000000-0005-0000-0000-00009B1A0000}"/>
    <cellStyle name="Normal 5 3 6 5 2 2 2" xfId="17064" xr:uid="{51FA4F6A-3B40-4ECA-AC4D-3FBFDBEB77A6}"/>
    <cellStyle name="Normal 5 3 6 5 2 3" xfId="12846" xr:uid="{0E430633-A83C-485C-B843-1DA41363516B}"/>
    <cellStyle name="Normal 5 3 6 5 3" xfId="6480" xr:uid="{00000000-0005-0000-0000-00009C1A0000}"/>
    <cellStyle name="Normal 5 3 6 5 3 2" xfId="14919" xr:uid="{58BF1769-9E8A-4F67-A0D5-B65C5656BE84}"/>
    <cellStyle name="Normal 5 3 6 5 4" xfId="10701" xr:uid="{18E1DBA7-C54C-40B6-A651-ABA2CD958630}"/>
    <cellStyle name="Normal 5 3 6 6" xfId="2609" xr:uid="{00000000-0005-0000-0000-00009D1A0000}"/>
    <cellStyle name="Normal 5 3 6 6 2" xfId="6893" xr:uid="{00000000-0005-0000-0000-00009E1A0000}"/>
    <cellStyle name="Normal 5 3 6 6 2 2" xfId="15332" xr:uid="{3F22E333-341D-45AC-88D5-05069CC43F16}"/>
    <cellStyle name="Normal 5 3 6 6 3" xfId="11114" xr:uid="{CD624598-99CE-4AAB-B860-2B48DCEBCB73}"/>
    <cellStyle name="Normal 5 3 6 7" xfId="4828" xr:uid="{00000000-0005-0000-0000-00009F1A0000}"/>
    <cellStyle name="Normal 5 3 6 7 2" xfId="13267" xr:uid="{978273CF-6284-46FE-9E83-A5CAA1510793}"/>
    <cellStyle name="Normal 5 3 6 8" xfId="9049" xr:uid="{B0B4D7E1-6FD0-4F77-BB21-82CB113487E2}"/>
    <cellStyle name="Normal 5 3 7" xfId="913" xr:uid="{00000000-0005-0000-0000-0000A01A0000}"/>
    <cellStyle name="Normal 5 3 7 2" xfId="3148" xr:uid="{00000000-0005-0000-0000-0000A11A0000}"/>
    <cellStyle name="Normal 5 3 7 2 2" xfId="7371" xr:uid="{00000000-0005-0000-0000-0000A21A0000}"/>
    <cellStyle name="Normal 5 3 7 2 2 2" xfId="15810" xr:uid="{4EAD1280-E788-474A-8B09-C1B9252FDC25}"/>
    <cellStyle name="Normal 5 3 7 2 3" xfId="11592" xr:uid="{D2188FC4-FBCE-4079-AC4A-87982AF8A7B1}"/>
    <cellStyle name="Normal 5 3 7 3" xfId="5226" xr:uid="{00000000-0005-0000-0000-0000A31A0000}"/>
    <cellStyle name="Normal 5 3 7 3 2" xfId="13665" xr:uid="{B11D74F1-2650-4817-80E8-1000D880D651}"/>
    <cellStyle name="Normal 5 3 7 4" xfId="9447" xr:uid="{282ACF2F-9353-4738-AC1F-20B14AA48F3F}"/>
    <cellStyle name="Normal 5 3 8" xfId="1331" xr:uid="{00000000-0005-0000-0000-0000A41A0000}"/>
    <cellStyle name="Normal 5 3 8 2" xfId="3561" xr:uid="{00000000-0005-0000-0000-0000A51A0000}"/>
    <cellStyle name="Normal 5 3 8 2 2" xfId="7784" xr:uid="{00000000-0005-0000-0000-0000A61A0000}"/>
    <cellStyle name="Normal 5 3 8 2 2 2" xfId="16223" xr:uid="{27557862-F96B-41FC-8078-4311B071AB4B}"/>
    <cellStyle name="Normal 5 3 8 2 3" xfId="12005" xr:uid="{0FF29732-62B7-4E5F-9753-38B9406502B4}"/>
    <cellStyle name="Normal 5 3 8 3" xfId="5639" xr:uid="{00000000-0005-0000-0000-0000A71A0000}"/>
    <cellStyle name="Normal 5 3 8 3 2" xfId="14078" xr:uid="{3EB1F25C-B26A-4C0C-A751-DC07508098D1}"/>
    <cellStyle name="Normal 5 3 8 4" xfId="9860" xr:uid="{4CC63403-D8A7-4E4B-B96A-387D97ED5049}"/>
    <cellStyle name="Normal 5 3 9" xfId="1744" xr:uid="{00000000-0005-0000-0000-0000A81A0000}"/>
    <cellStyle name="Normal 5 3 9 2" xfId="3974" xr:uid="{00000000-0005-0000-0000-0000A91A0000}"/>
    <cellStyle name="Normal 5 3 9 2 2" xfId="8197" xr:uid="{00000000-0005-0000-0000-0000AA1A0000}"/>
    <cellStyle name="Normal 5 3 9 2 2 2" xfId="16636" xr:uid="{58DE74E2-F1DB-4439-A579-FBB6FF737CAB}"/>
    <cellStyle name="Normal 5 3 9 2 3" xfId="12418" xr:uid="{2E5A8485-4605-4344-9186-22F5DFC75F47}"/>
    <cellStyle name="Normal 5 3 9 3" xfId="6052" xr:uid="{00000000-0005-0000-0000-0000AB1A0000}"/>
    <cellStyle name="Normal 5 3 9 3 2" xfId="14491" xr:uid="{67978312-190A-42D6-8FB5-580D8EA0BFC9}"/>
    <cellStyle name="Normal 5 3 9 4" xfId="10273" xr:uid="{5340FF19-244F-4D35-A95A-171D42641E65}"/>
    <cellStyle name="Normal 5 4" xfId="456" xr:uid="{00000000-0005-0000-0000-0000AC1A0000}"/>
    <cellStyle name="Normal 5 4 10" xfId="4829" xr:uid="{00000000-0005-0000-0000-0000AD1A0000}"/>
    <cellStyle name="Normal 5 4 10 2" xfId="13268" xr:uid="{AB8AB390-EA72-4997-ABE5-EF5315306875}"/>
    <cellStyle name="Normal 5 4 11" xfId="9050" xr:uid="{FF928B48-5DE0-45D2-AC06-CAC11A3EE6F0}"/>
    <cellStyle name="Normal 5 4 2" xfId="457" xr:uid="{00000000-0005-0000-0000-0000AE1A0000}"/>
    <cellStyle name="Normal 5 4 2 10" xfId="9051" xr:uid="{9A695E8F-8462-46D8-8FA1-35EA3DA9B90B}"/>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15829" xr:uid="{08C166E3-F7DB-4FAD-A38B-89FA39B9FEBD}"/>
    <cellStyle name="Normal 5 4 2 2 2 2 2 3" xfId="11611" xr:uid="{F8D44DA1-CAF4-4DA7-B8B9-3B5C32C83209}"/>
    <cellStyle name="Normal 5 4 2 2 2 2 3" xfId="5245" xr:uid="{00000000-0005-0000-0000-0000B41A0000}"/>
    <cellStyle name="Normal 5 4 2 2 2 2 3 2" xfId="13684" xr:uid="{7564A1BD-4F50-4C6A-85B7-1DBE9B87CDE1}"/>
    <cellStyle name="Normal 5 4 2 2 2 2 4" xfId="9466" xr:uid="{04AD5A6B-2827-421B-B4C9-13357B53B5B9}"/>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2 2" xfId="16242" xr:uid="{EDD3317F-2077-4543-A9E7-4F649AFDC9EC}"/>
    <cellStyle name="Normal 5 4 2 2 2 3 2 3" xfId="12024" xr:uid="{22CC813A-1656-487A-B0F3-A23FD5676042}"/>
    <cellStyle name="Normal 5 4 2 2 2 3 3" xfId="5658" xr:uid="{00000000-0005-0000-0000-0000B81A0000}"/>
    <cellStyle name="Normal 5 4 2 2 2 3 3 2" xfId="14097" xr:uid="{3724857A-B69D-4FAB-ADB4-F8749BD3A1C3}"/>
    <cellStyle name="Normal 5 4 2 2 2 3 4" xfId="9879" xr:uid="{574A62DA-856B-40CF-9741-3501AC043F8A}"/>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2 2 2" xfId="16655" xr:uid="{50EA309D-5AA2-4B98-8DDB-975DD438D5E0}"/>
    <cellStyle name="Normal 5 4 2 2 2 4 2 3" xfId="12437" xr:uid="{65F79537-B2D0-4A1C-A548-6206926AC6E7}"/>
    <cellStyle name="Normal 5 4 2 2 2 4 3" xfId="6071" xr:uid="{00000000-0005-0000-0000-0000BC1A0000}"/>
    <cellStyle name="Normal 5 4 2 2 2 4 3 2" xfId="14510" xr:uid="{429324D9-526C-46F1-B723-91F7C91B67BC}"/>
    <cellStyle name="Normal 5 4 2 2 2 4 4" xfId="10292" xr:uid="{BF730171-500D-4272-A3A8-6234E453B723}"/>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2 2 2" xfId="17068" xr:uid="{70424987-A9D3-4BD5-BFB6-C982A8E6A1F0}"/>
    <cellStyle name="Normal 5 4 2 2 2 5 2 3" xfId="12850" xr:uid="{A4CA5EE0-594D-451F-BAC3-C884BFFE6554}"/>
    <cellStyle name="Normal 5 4 2 2 2 5 3" xfId="6484" xr:uid="{00000000-0005-0000-0000-0000C01A0000}"/>
    <cellStyle name="Normal 5 4 2 2 2 5 3 2" xfId="14923" xr:uid="{73B1CC4A-5EDA-4C93-9318-4F0D46EFCED0}"/>
    <cellStyle name="Normal 5 4 2 2 2 5 4" xfId="10705" xr:uid="{E6AC14E2-5410-4C97-81B5-8D2BCF5391D6}"/>
    <cellStyle name="Normal 5 4 2 2 2 6" xfId="2613" xr:uid="{00000000-0005-0000-0000-0000C11A0000}"/>
    <cellStyle name="Normal 5 4 2 2 2 6 2" xfId="6897" xr:uid="{00000000-0005-0000-0000-0000C21A0000}"/>
    <cellStyle name="Normal 5 4 2 2 2 6 2 2" xfId="15336" xr:uid="{FBC31F04-1547-4714-90BE-28B7E76DA148}"/>
    <cellStyle name="Normal 5 4 2 2 2 6 3" xfId="11118" xr:uid="{336BBD9B-39C9-44F7-93DD-EC91E69B0308}"/>
    <cellStyle name="Normal 5 4 2 2 2 7" xfId="4832" xr:uid="{00000000-0005-0000-0000-0000C31A0000}"/>
    <cellStyle name="Normal 5 4 2 2 2 7 2" xfId="13271" xr:uid="{835098B4-A888-43D3-A886-C227EEE48CA6}"/>
    <cellStyle name="Normal 5 4 2 2 2 8" xfId="9053" xr:uid="{4A86708A-4A79-4C0E-8D4F-88C6BBABC2DF}"/>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15828" xr:uid="{F36CCC06-8C9C-4C55-8636-F3B26AD91B94}"/>
    <cellStyle name="Normal 5 4 2 2 3 2 3" xfId="11610" xr:uid="{401706D6-166B-4D96-B9D1-A3762B798E50}"/>
    <cellStyle name="Normal 5 4 2 2 3 3" xfId="5244" xr:uid="{00000000-0005-0000-0000-0000C71A0000}"/>
    <cellStyle name="Normal 5 4 2 2 3 3 2" xfId="13683" xr:uid="{D4777178-982B-4943-95BD-56E96B3E32EF}"/>
    <cellStyle name="Normal 5 4 2 2 3 4" xfId="9465" xr:uid="{D8C200C3-024E-4531-9438-5340D4AAA1DE}"/>
    <cellStyle name="Normal 5 4 2 2 4" xfId="1349" xr:uid="{00000000-0005-0000-0000-0000C81A0000}"/>
    <cellStyle name="Normal 5 4 2 2 4 2" xfId="3579" xr:uid="{00000000-0005-0000-0000-0000C91A0000}"/>
    <cellStyle name="Normal 5 4 2 2 4 2 2" xfId="7802" xr:uid="{00000000-0005-0000-0000-0000CA1A0000}"/>
    <cellStyle name="Normal 5 4 2 2 4 2 2 2" xfId="16241" xr:uid="{D1D757B4-AE3F-4566-BC28-51D8AA1D9C45}"/>
    <cellStyle name="Normal 5 4 2 2 4 2 3" xfId="12023" xr:uid="{FC24C864-9525-4C98-BD57-27D5D6868DDC}"/>
    <cellStyle name="Normal 5 4 2 2 4 3" xfId="5657" xr:uid="{00000000-0005-0000-0000-0000CB1A0000}"/>
    <cellStyle name="Normal 5 4 2 2 4 3 2" xfId="14096" xr:uid="{7609A779-FFBE-4F00-8B42-505A8203D9C6}"/>
    <cellStyle name="Normal 5 4 2 2 4 4" xfId="9878" xr:uid="{E7E66860-5E41-43F3-9B84-B287081A2B68}"/>
    <cellStyle name="Normal 5 4 2 2 5" xfId="1762" xr:uid="{00000000-0005-0000-0000-0000CC1A0000}"/>
    <cellStyle name="Normal 5 4 2 2 5 2" xfId="3992" xr:uid="{00000000-0005-0000-0000-0000CD1A0000}"/>
    <cellStyle name="Normal 5 4 2 2 5 2 2" xfId="8215" xr:uid="{00000000-0005-0000-0000-0000CE1A0000}"/>
    <cellStyle name="Normal 5 4 2 2 5 2 2 2" xfId="16654" xr:uid="{D01D12C6-204F-4A0D-8636-32010F70931E}"/>
    <cellStyle name="Normal 5 4 2 2 5 2 3" xfId="12436" xr:uid="{2A884AB5-F785-4B80-B043-7E262875C2F5}"/>
    <cellStyle name="Normal 5 4 2 2 5 3" xfId="6070" xr:uid="{00000000-0005-0000-0000-0000CF1A0000}"/>
    <cellStyle name="Normal 5 4 2 2 5 3 2" xfId="14509" xr:uid="{61CF6F90-1C04-4ACF-A0E5-463D90844F08}"/>
    <cellStyle name="Normal 5 4 2 2 5 4" xfId="10291" xr:uid="{838ED7FE-C756-4E99-999A-6BD99C43F2ED}"/>
    <cellStyle name="Normal 5 4 2 2 6" xfId="2176" xr:uid="{00000000-0005-0000-0000-0000D01A0000}"/>
    <cellStyle name="Normal 5 4 2 2 6 2" xfId="4405" xr:uid="{00000000-0005-0000-0000-0000D11A0000}"/>
    <cellStyle name="Normal 5 4 2 2 6 2 2" xfId="8628" xr:uid="{00000000-0005-0000-0000-0000D21A0000}"/>
    <cellStyle name="Normal 5 4 2 2 6 2 2 2" xfId="17067" xr:uid="{9C2D49C8-F23F-4EA6-B2F4-9F5B3C61EBB3}"/>
    <cellStyle name="Normal 5 4 2 2 6 2 3" xfId="12849" xr:uid="{044C6D10-1430-4DFD-8C46-A0CDD0BC9CA4}"/>
    <cellStyle name="Normal 5 4 2 2 6 3" xfId="6483" xr:uid="{00000000-0005-0000-0000-0000D31A0000}"/>
    <cellStyle name="Normal 5 4 2 2 6 3 2" xfId="14922" xr:uid="{FF2A90D3-5568-4115-A0CD-5DC3C4E50FB0}"/>
    <cellStyle name="Normal 5 4 2 2 6 4" xfId="10704" xr:uid="{FA68BE75-FD66-475A-83F9-314DF42EFA4E}"/>
    <cellStyle name="Normal 5 4 2 2 7" xfId="2612" xr:uid="{00000000-0005-0000-0000-0000D41A0000}"/>
    <cellStyle name="Normal 5 4 2 2 7 2" xfId="6896" xr:uid="{00000000-0005-0000-0000-0000D51A0000}"/>
    <cellStyle name="Normal 5 4 2 2 7 2 2" xfId="15335" xr:uid="{A4AA61BB-6C7A-44BA-9EA6-29988AEB7884}"/>
    <cellStyle name="Normal 5 4 2 2 7 3" xfId="11117" xr:uid="{5E8BD054-8C34-41D4-98C2-D9DB0A2FD945}"/>
    <cellStyle name="Normal 5 4 2 2 8" xfId="4831" xr:uid="{00000000-0005-0000-0000-0000D61A0000}"/>
    <cellStyle name="Normal 5 4 2 2 8 2" xfId="13270" xr:uid="{4F20579B-B8FB-48A5-9BD5-07C68DCD0BB3}"/>
    <cellStyle name="Normal 5 4 2 2 9" xfId="9052" xr:uid="{1A0821EF-451B-4A63-8852-98CB4F68F417}"/>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15830" xr:uid="{FD925D88-9CCD-4684-AC16-1D750B3E91E2}"/>
    <cellStyle name="Normal 5 4 2 3 2 2 3" xfId="11612" xr:uid="{EC2F2C2B-E9BA-44EF-B880-0C3E102A077B}"/>
    <cellStyle name="Normal 5 4 2 3 2 3" xfId="5246" xr:uid="{00000000-0005-0000-0000-0000DB1A0000}"/>
    <cellStyle name="Normal 5 4 2 3 2 3 2" xfId="13685" xr:uid="{FE934F45-85E2-4A24-A5D8-F654F5EE1D93}"/>
    <cellStyle name="Normal 5 4 2 3 2 4" xfId="9467" xr:uid="{EC81861E-85CE-4682-BB7C-577778940CB0}"/>
    <cellStyle name="Normal 5 4 2 3 3" xfId="1351" xr:uid="{00000000-0005-0000-0000-0000DC1A0000}"/>
    <cellStyle name="Normal 5 4 2 3 3 2" xfId="3581" xr:uid="{00000000-0005-0000-0000-0000DD1A0000}"/>
    <cellStyle name="Normal 5 4 2 3 3 2 2" xfId="7804" xr:uid="{00000000-0005-0000-0000-0000DE1A0000}"/>
    <cellStyle name="Normal 5 4 2 3 3 2 2 2" xfId="16243" xr:uid="{42DAC9C5-1712-47C7-9AC2-857365866CCD}"/>
    <cellStyle name="Normal 5 4 2 3 3 2 3" xfId="12025" xr:uid="{5755790D-3CD8-4FE2-A581-BA806033DE53}"/>
    <cellStyle name="Normal 5 4 2 3 3 3" xfId="5659" xr:uid="{00000000-0005-0000-0000-0000DF1A0000}"/>
    <cellStyle name="Normal 5 4 2 3 3 3 2" xfId="14098" xr:uid="{A7CF5D74-FD7C-443D-A99D-7176B4AD944D}"/>
    <cellStyle name="Normal 5 4 2 3 3 4" xfId="9880" xr:uid="{20373ACA-526A-4B15-99E0-A03BCA40A02F}"/>
    <cellStyle name="Normal 5 4 2 3 4" xfId="1764" xr:uid="{00000000-0005-0000-0000-0000E01A0000}"/>
    <cellStyle name="Normal 5 4 2 3 4 2" xfId="3994" xr:uid="{00000000-0005-0000-0000-0000E11A0000}"/>
    <cellStyle name="Normal 5 4 2 3 4 2 2" xfId="8217" xr:uid="{00000000-0005-0000-0000-0000E21A0000}"/>
    <cellStyle name="Normal 5 4 2 3 4 2 2 2" xfId="16656" xr:uid="{FF286281-5349-4D95-BBFC-0C4BE9DCE08D}"/>
    <cellStyle name="Normal 5 4 2 3 4 2 3" xfId="12438" xr:uid="{B3E02CF1-5053-4E6D-BA55-C45979523559}"/>
    <cellStyle name="Normal 5 4 2 3 4 3" xfId="6072" xr:uid="{00000000-0005-0000-0000-0000E31A0000}"/>
    <cellStyle name="Normal 5 4 2 3 4 3 2" xfId="14511" xr:uid="{78095F2E-3D1C-4A59-8C50-068823A69F33}"/>
    <cellStyle name="Normal 5 4 2 3 4 4" xfId="10293" xr:uid="{BAA624B8-3D89-4574-BE70-0EF12E648E61}"/>
    <cellStyle name="Normal 5 4 2 3 5" xfId="2178" xr:uid="{00000000-0005-0000-0000-0000E41A0000}"/>
    <cellStyle name="Normal 5 4 2 3 5 2" xfId="4407" xr:uid="{00000000-0005-0000-0000-0000E51A0000}"/>
    <cellStyle name="Normal 5 4 2 3 5 2 2" xfId="8630" xr:uid="{00000000-0005-0000-0000-0000E61A0000}"/>
    <cellStyle name="Normal 5 4 2 3 5 2 2 2" xfId="17069" xr:uid="{317731FD-C4A4-47C2-9811-E2589A97E77C}"/>
    <cellStyle name="Normal 5 4 2 3 5 2 3" xfId="12851" xr:uid="{41312DAE-076F-4C56-B4B0-5AE049135D2D}"/>
    <cellStyle name="Normal 5 4 2 3 5 3" xfId="6485" xr:uid="{00000000-0005-0000-0000-0000E71A0000}"/>
    <cellStyle name="Normal 5 4 2 3 5 3 2" xfId="14924" xr:uid="{24E8B09F-3EE9-4A95-BC6B-38C189449F29}"/>
    <cellStyle name="Normal 5 4 2 3 5 4" xfId="10706" xr:uid="{CF0D17AC-B1EF-4B85-80AD-FE9CCEB4DAA8}"/>
    <cellStyle name="Normal 5 4 2 3 6" xfId="2614" xr:uid="{00000000-0005-0000-0000-0000E81A0000}"/>
    <cellStyle name="Normal 5 4 2 3 6 2" xfId="6898" xr:uid="{00000000-0005-0000-0000-0000E91A0000}"/>
    <cellStyle name="Normal 5 4 2 3 6 2 2" xfId="15337" xr:uid="{4876FBFA-8780-4D74-A8A0-34A5640D0126}"/>
    <cellStyle name="Normal 5 4 2 3 6 3" xfId="11119" xr:uid="{CC910674-E4B1-417A-8594-6000571F0B8B}"/>
    <cellStyle name="Normal 5 4 2 3 7" xfId="4833" xr:uid="{00000000-0005-0000-0000-0000EA1A0000}"/>
    <cellStyle name="Normal 5 4 2 3 7 2" xfId="13272" xr:uid="{8CA81E51-483D-46D1-9147-AF54271C9263}"/>
    <cellStyle name="Normal 5 4 2 3 8" xfId="9054" xr:uid="{307FB943-C935-4B56-9369-D9C762841E46}"/>
    <cellStyle name="Normal 5 4 2 4" xfId="931" xr:uid="{00000000-0005-0000-0000-0000EB1A0000}"/>
    <cellStyle name="Normal 5 4 2 4 2" xfId="3165" xr:uid="{00000000-0005-0000-0000-0000EC1A0000}"/>
    <cellStyle name="Normal 5 4 2 4 2 2" xfId="7388" xr:uid="{00000000-0005-0000-0000-0000ED1A0000}"/>
    <cellStyle name="Normal 5 4 2 4 2 2 2" xfId="15827" xr:uid="{1EDFDE91-0AD6-4CAD-B233-49CDC810603D}"/>
    <cellStyle name="Normal 5 4 2 4 2 3" xfId="11609" xr:uid="{8FE360C0-0DF3-4CDC-86BA-5F1E9D3AD08E}"/>
    <cellStyle name="Normal 5 4 2 4 3" xfId="5243" xr:uid="{00000000-0005-0000-0000-0000EE1A0000}"/>
    <cellStyle name="Normal 5 4 2 4 3 2" xfId="13682" xr:uid="{7D9C5554-3D19-4191-B3F3-90A5E86EFB4D}"/>
    <cellStyle name="Normal 5 4 2 4 4" xfId="9464" xr:uid="{8524E363-7463-4B91-A144-5DF033E86A00}"/>
    <cellStyle name="Normal 5 4 2 5" xfId="1348" xr:uid="{00000000-0005-0000-0000-0000EF1A0000}"/>
    <cellStyle name="Normal 5 4 2 5 2" xfId="3578" xr:uid="{00000000-0005-0000-0000-0000F01A0000}"/>
    <cellStyle name="Normal 5 4 2 5 2 2" xfId="7801" xr:uid="{00000000-0005-0000-0000-0000F11A0000}"/>
    <cellStyle name="Normal 5 4 2 5 2 2 2" xfId="16240" xr:uid="{C6A45B0A-F9E8-49EB-B468-3BA3358842AD}"/>
    <cellStyle name="Normal 5 4 2 5 2 3" xfId="12022" xr:uid="{66EB0D1C-449E-48DA-9349-7AFAAB21C7DA}"/>
    <cellStyle name="Normal 5 4 2 5 3" xfId="5656" xr:uid="{00000000-0005-0000-0000-0000F21A0000}"/>
    <cellStyle name="Normal 5 4 2 5 3 2" xfId="14095" xr:uid="{D95037E8-1745-4E1B-90BC-7889137B2F34}"/>
    <cellStyle name="Normal 5 4 2 5 4" xfId="9877" xr:uid="{D132285E-26F4-4C44-8868-1647514B29A3}"/>
    <cellStyle name="Normal 5 4 2 6" xfId="1761" xr:uid="{00000000-0005-0000-0000-0000F31A0000}"/>
    <cellStyle name="Normal 5 4 2 6 2" xfId="3991" xr:uid="{00000000-0005-0000-0000-0000F41A0000}"/>
    <cellStyle name="Normal 5 4 2 6 2 2" xfId="8214" xr:uid="{00000000-0005-0000-0000-0000F51A0000}"/>
    <cellStyle name="Normal 5 4 2 6 2 2 2" xfId="16653" xr:uid="{6AD7F12D-66D3-4F30-A22F-C69E89CE5EE1}"/>
    <cellStyle name="Normal 5 4 2 6 2 3" xfId="12435" xr:uid="{155FE2E3-A668-43DB-80A4-BF1BE201C033}"/>
    <cellStyle name="Normal 5 4 2 6 3" xfId="6069" xr:uid="{00000000-0005-0000-0000-0000F61A0000}"/>
    <cellStyle name="Normal 5 4 2 6 3 2" xfId="14508" xr:uid="{EC8733AF-814E-4253-9E01-7102D0010A8E}"/>
    <cellStyle name="Normal 5 4 2 6 4" xfId="10290" xr:uid="{023E0A76-E775-4CEA-BAF9-CC2DFF7B7FAB}"/>
    <cellStyle name="Normal 5 4 2 7" xfId="2175" xr:uid="{00000000-0005-0000-0000-0000F71A0000}"/>
    <cellStyle name="Normal 5 4 2 7 2" xfId="4404" xr:uid="{00000000-0005-0000-0000-0000F81A0000}"/>
    <cellStyle name="Normal 5 4 2 7 2 2" xfId="8627" xr:uid="{00000000-0005-0000-0000-0000F91A0000}"/>
    <cellStyle name="Normal 5 4 2 7 2 2 2" xfId="17066" xr:uid="{841748D3-1E54-4BDE-B906-0A0D2754C9F5}"/>
    <cellStyle name="Normal 5 4 2 7 2 3" xfId="12848" xr:uid="{97260B15-FC8B-4898-AACE-4E9EE6831D44}"/>
    <cellStyle name="Normal 5 4 2 7 3" xfId="6482" xr:uid="{00000000-0005-0000-0000-0000FA1A0000}"/>
    <cellStyle name="Normal 5 4 2 7 3 2" xfId="14921" xr:uid="{EBBB281E-5903-42E8-9E8A-C74903FC47B0}"/>
    <cellStyle name="Normal 5 4 2 7 4" xfId="10703" xr:uid="{14E06C79-5391-494C-9FED-E0B7F9F1DB9F}"/>
    <cellStyle name="Normal 5 4 2 8" xfId="2611" xr:uid="{00000000-0005-0000-0000-0000FB1A0000}"/>
    <cellStyle name="Normal 5 4 2 8 2" xfId="6895" xr:uid="{00000000-0005-0000-0000-0000FC1A0000}"/>
    <cellStyle name="Normal 5 4 2 8 2 2" xfId="15334" xr:uid="{0F569112-E931-4CD4-B992-111F382C7EC3}"/>
    <cellStyle name="Normal 5 4 2 8 3" xfId="11116" xr:uid="{83D381C3-46AE-4929-BC28-A5D9FC7AF29A}"/>
    <cellStyle name="Normal 5 4 2 9" xfId="4830" xr:uid="{00000000-0005-0000-0000-0000FD1A0000}"/>
    <cellStyle name="Normal 5 4 2 9 2" xfId="13269" xr:uid="{B2AE2CF1-E8FC-48BC-8A85-A0EB9BC05FBF}"/>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15832" xr:uid="{CF05E616-A112-4863-ACC1-CEC6F200A119}"/>
    <cellStyle name="Normal 5 4 3 2 2 2 3" xfId="11614" xr:uid="{E8EB6EEA-D213-43DC-84F3-3F4D8C471E45}"/>
    <cellStyle name="Normal 5 4 3 2 2 3" xfId="5248" xr:uid="{00000000-0005-0000-0000-0000031B0000}"/>
    <cellStyle name="Normal 5 4 3 2 2 3 2" xfId="13687" xr:uid="{861056DB-5467-4D36-BA7A-8D47A95F101E}"/>
    <cellStyle name="Normal 5 4 3 2 2 4" xfId="9469" xr:uid="{8EA90F3A-A34E-4B99-A1D5-0F6CE5225EE4}"/>
    <cellStyle name="Normal 5 4 3 2 3" xfId="1353" xr:uid="{00000000-0005-0000-0000-0000041B0000}"/>
    <cellStyle name="Normal 5 4 3 2 3 2" xfId="3583" xr:uid="{00000000-0005-0000-0000-0000051B0000}"/>
    <cellStyle name="Normal 5 4 3 2 3 2 2" xfId="7806" xr:uid="{00000000-0005-0000-0000-0000061B0000}"/>
    <cellStyle name="Normal 5 4 3 2 3 2 2 2" xfId="16245" xr:uid="{F3E24D14-5EAC-479D-852A-A763A6070BD9}"/>
    <cellStyle name="Normal 5 4 3 2 3 2 3" xfId="12027" xr:uid="{AC81A79B-155B-42B6-87D3-C18DA3A3BF08}"/>
    <cellStyle name="Normal 5 4 3 2 3 3" xfId="5661" xr:uid="{00000000-0005-0000-0000-0000071B0000}"/>
    <cellStyle name="Normal 5 4 3 2 3 3 2" xfId="14100" xr:uid="{301D6025-E6A4-4105-81AC-5953066E65AE}"/>
    <cellStyle name="Normal 5 4 3 2 3 4" xfId="9882" xr:uid="{BD274370-A196-4681-98BA-7E867267DF3E}"/>
    <cellStyle name="Normal 5 4 3 2 4" xfId="1766" xr:uid="{00000000-0005-0000-0000-0000081B0000}"/>
    <cellStyle name="Normal 5 4 3 2 4 2" xfId="3996" xr:uid="{00000000-0005-0000-0000-0000091B0000}"/>
    <cellStyle name="Normal 5 4 3 2 4 2 2" xfId="8219" xr:uid="{00000000-0005-0000-0000-00000A1B0000}"/>
    <cellStyle name="Normal 5 4 3 2 4 2 2 2" xfId="16658" xr:uid="{A73E9A9E-2195-4259-A6D8-D3841DC8240A}"/>
    <cellStyle name="Normal 5 4 3 2 4 2 3" xfId="12440" xr:uid="{F4C3B1AB-0323-4928-973B-5BF8BDE6D425}"/>
    <cellStyle name="Normal 5 4 3 2 4 3" xfId="6074" xr:uid="{00000000-0005-0000-0000-00000B1B0000}"/>
    <cellStyle name="Normal 5 4 3 2 4 3 2" xfId="14513" xr:uid="{742EE3CE-0233-487F-A8F2-A2E591FC11B7}"/>
    <cellStyle name="Normal 5 4 3 2 4 4" xfId="10295" xr:uid="{9000F4C8-9A70-4B89-A33C-67E02FDA9FEF}"/>
    <cellStyle name="Normal 5 4 3 2 5" xfId="2180" xr:uid="{00000000-0005-0000-0000-00000C1B0000}"/>
    <cellStyle name="Normal 5 4 3 2 5 2" xfId="4409" xr:uid="{00000000-0005-0000-0000-00000D1B0000}"/>
    <cellStyle name="Normal 5 4 3 2 5 2 2" xfId="8632" xr:uid="{00000000-0005-0000-0000-00000E1B0000}"/>
    <cellStyle name="Normal 5 4 3 2 5 2 2 2" xfId="17071" xr:uid="{7FBAD067-9C69-4D2A-BCFC-5D1FC6576BE2}"/>
    <cellStyle name="Normal 5 4 3 2 5 2 3" xfId="12853" xr:uid="{EAB06677-9DE0-4091-9AA4-16320C102036}"/>
    <cellStyle name="Normal 5 4 3 2 5 3" xfId="6487" xr:uid="{00000000-0005-0000-0000-00000F1B0000}"/>
    <cellStyle name="Normal 5 4 3 2 5 3 2" xfId="14926" xr:uid="{50B16D2D-BAA9-4A9F-8FD9-27B1A308C23C}"/>
    <cellStyle name="Normal 5 4 3 2 5 4" xfId="10708" xr:uid="{970B99E7-3143-4B4A-8035-8340E60698BA}"/>
    <cellStyle name="Normal 5 4 3 2 6" xfId="2616" xr:uid="{00000000-0005-0000-0000-0000101B0000}"/>
    <cellStyle name="Normal 5 4 3 2 6 2" xfId="6900" xr:uid="{00000000-0005-0000-0000-0000111B0000}"/>
    <cellStyle name="Normal 5 4 3 2 6 2 2" xfId="15339" xr:uid="{03D9982A-51A4-423B-9248-9D0E4109CC2A}"/>
    <cellStyle name="Normal 5 4 3 2 6 3" xfId="11121" xr:uid="{7BF1F1EF-D48C-4C34-9A3E-C65DE161CDE5}"/>
    <cellStyle name="Normal 5 4 3 2 7" xfId="4835" xr:uid="{00000000-0005-0000-0000-0000121B0000}"/>
    <cellStyle name="Normal 5 4 3 2 7 2" xfId="13274" xr:uid="{AFC50F9F-229B-4551-898C-3AC5075BFC24}"/>
    <cellStyle name="Normal 5 4 3 2 8" xfId="9056" xr:uid="{5EAAFDEC-53C1-4CC3-8161-91C9ECD34031}"/>
    <cellStyle name="Normal 5 4 3 3" xfId="935" xr:uid="{00000000-0005-0000-0000-0000131B0000}"/>
    <cellStyle name="Normal 5 4 3 3 2" xfId="3169" xr:uid="{00000000-0005-0000-0000-0000141B0000}"/>
    <cellStyle name="Normal 5 4 3 3 2 2" xfId="7392" xr:uid="{00000000-0005-0000-0000-0000151B0000}"/>
    <cellStyle name="Normal 5 4 3 3 2 2 2" xfId="15831" xr:uid="{101BBAEB-8593-47DB-A249-1220A9F499AF}"/>
    <cellStyle name="Normal 5 4 3 3 2 3" xfId="11613" xr:uid="{1A0B4B5D-CB94-43F4-BD75-D5EACFDAFB2F}"/>
    <cellStyle name="Normal 5 4 3 3 3" xfId="5247" xr:uid="{00000000-0005-0000-0000-0000161B0000}"/>
    <cellStyle name="Normal 5 4 3 3 3 2" xfId="13686" xr:uid="{9C172651-D299-4A5D-8FBF-FFCB72CDAD35}"/>
    <cellStyle name="Normal 5 4 3 3 4" xfId="9468" xr:uid="{1D98805B-6FB0-4397-B5FA-5240FDBF3BAF}"/>
    <cellStyle name="Normal 5 4 3 4" xfId="1352" xr:uid="{00000000-0005-0000-0000-0000171B0000}"/>
    <cellStyle name="Normal 5 4 3 4 2" xfId="3582" xr:uid="{00000000-0005-0000-0000-0000181B0000}"/>
    <cellStyle name="Normal 5 4 3 4 2 2" xfId="7805" xr:uid="{00000000-0005-0000-0000-0000191B0000}"/>
    <cellStyle name="Normal 5 4 3 4 2 2 2" xfId="16244" xr:uid="{EA57C030-C17E-420C-BD06-F728B1BBC08F}"/>
    <cellStyle name="Normal 5 4 3 4 2 3" xfId="12026" xr:uid="{55A8CE32-D61C-43F2-8158-17EC342FC97E}"/>
    <cellStyle name="Normal 5 4 3 4 3" xfId="5660" xr:uid="{00000000-0005-0000-0000-00001A1B0000}"/>
    <cellStyle name="Normal 5 4 3 4 3 2" xfId="14099" xr:uid="{609C1CD1-74A6-4C60-B983-4CCB48C3B8F6}"/>
    <cellStyle name="Normal 5 4 3 4 4" xfId="9881" xr:uid="{CFB3E27B-70B7-4283-AC8E-90495A9FE19D}"/>
    <cellStyle name="Normal 5 4 3 5" xfId="1765" xr:uid="{00000000-0005-0000-0000-00001B1B0000}"/>
    <cellStyle name="Normal 5 4 3 5 2" xfId="3995" xr:uid="{00000000-0005-0000-0000-00001C1B0000}"/>
    <cellStyle name="Normal 5 4 3 5 2 2" xfId="8218" xr:uid="{00000000-0005-0000-0000-00001D1B0000}"/>
    <cellStyle name="Normal 5 4 3 5 2 2 2" xfId="16657" xr:uid="{840C3279-496B-4E41-A283-6383FB0F24CA}"/>
    <cellStyle name="Normal 5 4 3 5 2 3" xfId="12439" xr:uid="{B5837582-A5CB-4C9B-BBBF-28F2003B0B63}"/>
    <cellStyle name="Normal 5 4 3 5 3" xfId="6073" xr:uid="{00000000-0005-0000-0000-00001E1B0000}"/>
    <cellStyle name="Normal 5 4 3 5 3 2" xfId="14512" xr:uid="{527DFEB9-D4D5-47B6-8B47-5EBC0FC958A4}"/>
    <cellStyle name="Normal 5 4 3 5 4" xfId="10294" xr:uid="{BA31016A-ACC9-4EBA-BCE9-8287417804D9}"/>
    <cellStyle name="Normal 5 4 3 6" xfId="2179" xr:uid="{00000000-0005-0000-0000-00001F1B0000}"/>
    <cellStyle name="Normal 5 4 3 6 2" xfId="4408" xr:uid="{00000000-0005-0000-0000-0000201B0000}"/>
    <cellStyle name="Normal 5 4 3 6 2 2" xfId="8631" xr:uid="{00000000-0005-0000-0000-0000211B0000}"/>
    <cellStyle name="Normal 5 4 3 6 2 2 2" xfId="17070" xr:uid="{386C01FA-867C-424B-851D-1B6449669721}"/>
    <cellStyle name="Normal 5 4 3 6 2 3" xfId="12852" xr:uid="{FFF21657-74C6-4C1D-ACAE-DA9DBF0C1756}"/>
    <cellStyle name="Normal 5 4 3 6 3" xfId="6486" xr:uid="{00000000-0005-0000-0000-0000221B0000}"/>
    <cellStyle name="Normal 5 4 3 6 3 2" xfId="14925" xr:uid="{CCDC65C7-C960-439A-8530-8C6D23DFD5A9}"/>
    <cellStyle name="Normal 5 4 3 6 4" xfId="10707" xr:uid="{02BFF0F7-547B-471E-BCDD-44F5F3C2CD38}"/>
    <cellStyle name="Normal 5 4 3 7" xfId="2615" xr:uid="{00000000-0005-0000-0000-0000231B0000}"/>
    <cellStyle name="Normal 5 4 3 7 2" xfId="6899" xr:uid="{00000000-0005-0000-0000-0000241B0000}"/>
    <cellStyle name="Normal 5 4 3 7 2 2" xfId="15338" xr:uid="{C10F9E2E-5875-4ADE-8727-EE515FC04166}"/>
    <cellStyle name="Normal 5 4 3 7 3" xfId="11120" xr:uid="{CE5C4DBD-D988-41B6-BB11-7DE1BFA4A611}"/>
    <cellStyle name="Normal 5 4 3 8" xfId="4834" xr:uid="{00000000-0005-0000-0000-0000251B0000}"/>
    <cellStyle name="Normal 5 4 3 8 2" xfId="13273" xr:uid="{3C9E8DA2-D04D-4776-AE1F-FDEF9FCC5B10}"/>
    <cellStyle name="Normal 5 4 3 9" xfId="9055" xr:uid="{6D1FB7A0-EB69-4258-B7A2-9B37540BDDB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2 2 2" xfId="15833" xr:uid="{F71DE3AE-2165-4758-88B9-88F5DA8683E8}"/>
    <cellStyle name="Normal 5 4 4 2 2 3" xfId="11615" xr:uid="{798034C4-60EF-47DE-BB0F-0D1D70F582F4}"/>
    <cellStyle name="Normal 5 4 4 2 3" xfId="5249" xr:uid="{00000000-0005-0000-0000-00002A1B0000}"/>
    <cellStyle name="Normal 5 4 4 2 3 2" xfId="13688" xr:uid="{112D4EB4-47A8-42D9-908D-AD416648F2A6}"/>
    <cellStyle name="Normal 5 4 4 2 4" xfId="9470" xr:uid="{B3C4AD2F-4C42-4C24-9711-8808F154B7BC}"/>
    <cellStyle name="Normal 5 4 4 3" xfId="1354" xr:uid="{00000000-0005-0000-0000-00002B1B0000}"/>
    <cellStyle name="Normal 5 4 4 3 2" xfId="3584" xr:uid="{00000000-0005-0000-0000-00002C1B0000}"/>
    <cellStyle name="Normal 5 4 4 3 2 2" xfId="7807" xr:uid="{00000000-0005-0000-0000-00002D1B0000}"/>
    <cellStyle name="Normal 5 4 4 3 2 2 2" xfId="16246" xr:uid="{9F02A744-B36A-4B03-AE90-5FFED854E5D4}"/>
    <cellStyle name="Normal 5 4 4 3 2 3" xfId="12028" xr:uid="{548A8699-4453-45BA-B18B-14563ABCE69D}"/>
    <cellStyle name="Normal 5 4 4 3 3" xfId="5662" xr:uid="{00000000-0005-0000-0000-00002E1B0000}"/>
    <cellStyle name="Normal 5 4 4 3 3 2" xfId="14101" xr:uid="{2A9227F7-97AA-41D6-98EA-18268B5A644B}"/>
    <cellStyle name="Normal 5 4 4 3 4" xfId="9883" xr:uid="{959301B6-8A92-43EA-99D2-7C7EDB3A5266}"/>
    <cellStyle name="Normal 5 4 4 4" xfId="1767" xr:uid="{00000000-0005-0000-0000-00002F1B0000}"/>
    <cellStyle name="Normal 5 4 4 4 2" xfId="3997" xr:uid="{00000000-0005-0000-0000-0000301B0000}"/>
    <cellStyle name="Normal 5 4 4 4 2 2" xfId="8220" xr:uid="{00000000-0005-0000-0000-0000311B0000}"/>
    <cellStyle name="Normal 5 4 4 4 2 2 2" xfId="16659" xr:uid="{42421D48-7CD5-490A-A912-ADC9559FADF3}"/>
    <cellStyle name="Normal 5 4 4 4 2 3" xfId="12441" xr:uid="{E929D4AB-4FAE-40DD-9096-9CD714FA8CFA}"/>
    <cellStyle name="Normal 5 4 4 4 3" xfId="6075" xr:uid="{00000000-0005-0000-0000-0000321B0000}"/>
    <cellStyle name="Normal 5 4 4 4 3 2" xfId="14514" xr:uid="{4DC9205F-F3C8-48C7-BFF3-0E81081F8B3E}"/>
    <cellStyle name="Normal 5 4 4 4 4" xfId="10296" xr:uid="{09AAA4B7-C12F-4DC7-8626-16FC7A9ECFAA}"/>
    <cellStyle name="Normal 5 4 4 5" xfId="2181" xr:uid="{00000000-0005-0000-0000-0000331B0000}"/>
    <cellStyle name="Normal 5 4 4 5 2" xfId="4410" xr:uid="{00000000-0005-0000-0000-0000341B0000}"/>
    <cellStyle name="Normal 5 4 4 5 2 2" xfId="8633" xr:uid="{00000000-0005-0000-0000-0000351B0000}"/>
    <cellStyle name="Normal 5 4 4 5 2 2 2" xfId="17072" xr:uid="{19F2753A-D2CD-4710-9D5C-FD12E67BA775}"/>
    <cellStyle name="Normal 5 4 4 5 2 3" xfId="12854" xr:uid="{CF11C560-C882-4CC7-9912-9F18AE662EB3}"/>
    <cellStyle name="Normal 5 4 4 5 3" xfId="6488" xr:uid="{00000000-0005-0000-0000-0000361B0000}"/>
    <cellStyle name="Normal 5 4 4 5 3 2" xfId="14927" xr:uid="{5C03EDE1-0A05-4EC8-8EE7-761C5B6C4247}"/>
    <cellStyle name="Normal 5 4 4 5 4" xfId="10709" xr:uid="{B2524F3C-B96A-48CA-93EA-42D37F7466EC}"/>
    <cellStyle name="Normal 5 4 4 6" xfId="2617" xr:uid="{00000000-0005-0000-0000-0000371B0000}"/>
    <cellStyle name="Normal 5 4 4 6 2" xfId="6901" xr:uid="{00000000-0005-0000-0000-0000381B0000}"/>
    <cellStyle name="Normal 5 4 4 6 2 2" xfId="15340" xr:uid="{E7D980B0-3538-43F3-ADDA-8D0814653BA9}"/>
    <cellStyle name="Normal 5 4 4 6 3" xfId="11122" xr:uid="{3E4FF7EB-6246-4EBC-928D-55104721C1CB}"/>
    <cellStyle name="Normal 5 4 4 7" xfId="4836" xr:uid="{00000000-0005-0000-0000-0000391B0000}"/>
    <cellStyle name="Normal 5 4 4 7 2" xfId="13275" xr:uid="{6DC099A9-2A08-4C8A-A57D-D286AB0135C9}"/>
    <cellStyle name="Normal 5 4 4 8" xfId="9057" xr:uid="{0B23E9F7-BAB9-4716-894C-AA75F410E524}"/>
    <cellStyle name="Normal 5 4 5" xfId="930" xr:uid="{00000000-0005-0000-0000-00003A1B0000}"/>
    <cellStyle name="Normal 5 4 5 2" xfId="3164" xr:uid="{00000000-0005-0000-0000-00003B1B0000}"/>
    <cellStyle name="Normal 5 4 5 2 2" xfId="7387" xr:uid="{00000000-0005-0000-0000-00003C1B0000}"/>
    <cellStyle name="Normal 5 4 5 2 2 2" xfId="15826" xr:uid="{C4D4B97E-6B12-41DC-8152-A0DA358060BB}"/>
    <cellStyle name="Normal 5 4 5 2 3" xfId="11608" xr:uid="{BD22541A-D928-4790-BEC0-4F759B48E72B}"/>
    <cellStyle name="Normal 5 4 5 3" xfId="5242" xr:uid="{00000000-0005-0000-0000-00003D1B0000}"/>
    <cellStyle name="Normal 5 4 5 3 2" xfId="13681" xr:uid="{5280EE82-87D1-4BEE-8731-B0BC183CD0B8}"/>
    <cellStyle name="Normal 5 4 5 4" xfId="9463" xr:uid="{5CE83A9E-6122-4F1E-83BB-32C80326133A}"/>
    <cellStyle name="Normal 5 4 6" xfId="1347" xr:uid="{00000000-0005-0000-0000-00003E1B0000}"/>
    <cellStyle name="Normal 5 4 6 2" xfId="3577" xr:uid="{00000000-0005-0000-0000-00003F1B0000}"/>
    <cellStyle name="Normal 5 4 6 2 2" xfId="7800" xr:uid="{00000000-0005-0000-0000-0000401B0000}"/>
    <cellStyle name="Normal 5 4 6 2 2 2" xfId="16239" xr:uid="{B7F89694-C091-4552-9D6F-C7239B954416}"/>
    <cellStyle name="Normal 5 4 6 2 3" xfId="12021" xr:uid="{5DA6B273-CC08-4673-9F7E-4343DF7090A3}"/>
    <cellStyle name="Normal 5 4 6 3" xfId="5655" xr:uid="{00000000-0005-0000-0000-0000411B0000}"/>
    <cellStyle name="Normal 5 4 6 3 2" xfId="14094" xr:uid="{AC3A0E0D-BCBC-4FDD-A41E-E1A678AF4154}"/>
    <cellStyle name="Normal 5 4 6 4" xfId="9876" xr:uid="{08D6FEE6-21A7-4990-868B-55C8D18BB1E0}"/>
    <cellStyle name="Normal 5 4 7" xfId="1760" xr:uid="{00000000-0005-0000-0000-0000421B0000}"/>
    <cellStyle name="Normal 5 4 7 2" xfId="3990" xr:uid="{00000000-0005-0000-0000-0000431B0000}"/>
    <cellStyle name="Normal 5 4 7 2 2" xfId="8213" xr:uid="{00000000-0005-0000-0000-0000441B0000}"/>
    <cellStyle name="Normal 5 4 7 2 2 2" xfId="16652" xr:uid="{D065B13F-FC8F-4E68-8CC2-E4D50A5E7813}"/>
    <cellStyle name="Normal 5 4 7 2 3" xfId="12434" xr:uid="{0CC59927-FC5D-41E9-A5E4-0C7CA22405AB}"/>
    <cellStyle name="Normal 5 4 7 3" xfId="6068" xr:uid="{00000000-0005-0000-0000-0000451B0000}"/>
    <cellStyle name="Normal 5 4 7 3 2" xfId="14507" xr:uid="{73E6A823-157B-4DD7-85E4-43960982FB52}"/>
    <cellStyle name="Normal 5 4 7 4" xfId="10289" xr:uid="{EDA33778-3986-4CF6-9466-7BF3E6F3E62A}"/>
    <cellStyle name="Normal 5 4 8" xfId="2174" xr:uid="{00000000-0005-0000-0000-0000461B0000}"/>
    <cellStyle name="Normal 5 4 8 2" xfId="4403" xr:uid="{00000000-0005-0000-0000-0000471B0000}"/>
    <cellStyle name="Normal 5 4 8 2 2" xfId="8626" xr:uid="{00000000-0005-0000-0000-0000481B0000}"/>
    <cellStyle name="Normal 5 4 8 2 2 2" xfId="17065" xr:uid="{995AB490-C3F0-43A7-9865-CA2C64C9E84D}"/>
    <cellStyle name="Normal 5 4 8 2 3" xfId="12847" xr:uid="{6AFEFB04-6AE8-4CB2-BEE6-4D960D717DEF}"/>
    <cellStyle name="Normal 5 4 8 3" xfId="6481" xr:uid="{00000000-0005-0000-0000-0000491B0000}"/>
    <cellStyle name="Normal 5 4 8 3 2" xfId="14920" xr:uid="{4020DA20-0405-4337-A953-C6DA352AFA55}"/>
    <cellStyle name="Normal 5 4 8 4" xfId="10702" xr:uid="{E1C1D02E-7257-43B7-B97E-AD80F25423F8}"/>
    <cellStyle name="Normal 5 4 9" xfId="2610" xr:uid="{00000000-0005-0000-0000-00004A1B0000}"/>
    <cellStyle name="Normal 5 4 9 2" xfId="6894" xr:uid="{00000000-0005-0000-0000-00004B1B0000}"/>
    <cellStyle name="Normal 5 4 9 2 2" xfId="15333" xr:uid="{52DE68E4-C264-4975-9050-0EF0342EA6CF}"/>
    <cellStyle name="Normal 5 4 9 3" xfId="11115" xr:uid="{20D63A04-8C5D-46CD-81C8-531C161591BA}"/>
    <cellStyle name="Normal 5 5" xfId="464" xr:uid="{00000000-0005-0000-0000-00004C1B0000}"/>
    <cellStyle name="Normal 5 5 10" xfId="9058" xr:uid="{95C83F6F-CA6C-483C-B303-936767983F79}"/>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15836" xr:uid="{D5D90489-6E26-4707-83E7-40FC464D4C20}"/>
    <cellStyle name="Normal 5 5 2 2 2 2 3" xfId="11618" xr:uid="{C3896F0A-20B4-4476-A452-63ABB2A3E0B0}"/>
    <cellStyle name="Normal 5 5 2 2 2 3" xfId="5252" xr:uid="{00000000-0005-0000-0000-0000521B0000}"/>
    <cellStyle name="Normal 5 5 2 2 2 3 2" xfId="13691" xr:uid="{28C30A43-8B26-4FB3-85CE-9EB614EFAD4E}"/>
    <cellStyle name="Normal 5 5 2 2 2 4" xfId="9473" xr:uid="{9432D975-327B-486E-95D7-F41AD31682C6}"/>
    <cellStyle name="Normal 5 5 2 2 3" xfId="1357" xr:uid="{00000000-0005-0000-0000-0000531B0000}"/>
    <cellStyle name="Normal 5 5 2 2 3 2" xfId="3587" xr:uid="{00000000-0005-0000-0000-0000541B0000}"/>
    <cellStyle name="Normal 5 5 2 2 3 2 2" xfId="7810" xr:uid="{00000000-0005-0000-0000-0000551B0000}"/>
    <cellStyle name="Normal 5 5 2 2 3 2 2 2" xfId="16249" xr:uid="{09468334-4165-44C5-B0D3-97BC7A3188C1}"/>
    <cellStyle name="Normal 5 5 2 2 3 2 3" xfId="12031" xr:uid="{6341AF83-7DD1-436E-A6B9-814FE22ACE7D}"/>
    <cellStyle name="Normal 5 5 2 2 3 3" xfId="5665" xr:uid="{00000000-0005-0000-0000-0000561B0000}"/>
    <cellStyle name="Normal 5 5 2 2 3 3 2" xfId="14104" xr:uid="{2CF27B6C-B615-4B68-A40A-7836CF25E379}"/>
    <cellStyle name="Normal 5 5 2 2 3 4" xfId="9886" xr:uid="{61AB71FB-26EA-490E-98F1-AB3053AAABFD}"/>
    <cellStyle name="Normal 5 5 2 2 4" xfId="1770" xr:uid="{00000000-0005-0000-0000-0000571B0000}"/>
    <cellStyle name="Normal 5 5 2 2 4 2" xfId="4000" xr:uid="{00000000-0005-0000-0000-0000581B0000}"/>
    <cellStyle name="Normal 5 5 2 2 4 2 2" xfId="8223" xr:uid="{00000000-0005-0000-0000-0000591B0000}"/>
    <cellStyle name="Normal 5 5 2 2 4 2 2 2" xfId="16662" xr:uid="{871631C8-B378-4E5C-835D-7C414874E668}"/>
    <cellStyle name="Normal 5 5 2 2 4 2 3" xfId="12444" xr:uid="{AF6A14DF-7F26-4766-A744-565B65AA92B9}"/>
    <cellStyle name="Normal 5 5 2 2 4 3" xfId="6078" xr:uid="{00000000-0005-0000-0000-00005A1B0000}"/>
    <cellStyle name="Normal 5 5 2 2 4 3 2" xfId="14517" xr:uid="{8AAE8083-8C20-4FA2-B668-723A24CE4690}"/>
    <cellStyle name="Normal 5 5 2 2 4 4" xfId="10299" xr:uid="{1ED1C580-7E7B-477C-A37D-26DE816914FD}"/>
    <cellStyle name="Normal 5 5 2 2 5" xfId="2184" xr:uid="{00000000-0005-0000-0000-00005B1B0000}"/>
    <cellStyle name="Normal 5 5 2 2 5 2" xfId="4413" xr:uid="{00000000-0005-0000-0000-00005C1B0000}"/>
    <cellStyle name="Normal 5 5 2 2 5 2 2" xfId="8636" xr:uid="{00000000-0005-0000-0000-00005D1B0000}"/>
    <cellStyle name="Normal 5 5 2 2 5 2 2 2" xfId="17075" xr:uid="{CF550241-2E5B-455C-8278-678398932754}"/>
    <cellStyle name="Normal 5 5 2 2 5 2 3" xfId="12857" xr:uid="{54714E7E-D80D-4D8E-B107-2400302EA3DF}"/>
    <cellStyle name="Normal 5 5 2 2 5 3" xfId="6491" xr:uid="{00000000-0005-0000-0000-00005E1B0000}"/>
    <cellStyle name="Normal 5 5 2 2 5 3 2" xfId="14930" xr:uid="{0451C146-1736-44B4-8F10-46DB792EF5B9}"/>
    <cellStyle name="Normal 5 5 2 2 5 4" xfId="10712" xr:uid="{633D6F6B-206A-43A1-AA1F-F402F23E6685}"/>
    <cellStyle name="Normal 5 5 2 2 6" xfId="2620" xr:uid="{00000000-0005-0000-0000-00005F1B0000}"/>
    <cellStyle name="Normal 5 5 2 2 6 2" xfId="6904" xr:uid="{00000000-0005-0000-0000-0000601B0000}"/>
    <cellStyle name="Normal 5 5 2 2 6 2 2" xfId="15343" xr:uid="{565C1948-4D0F-499B-B0B9-ACA83B7E7621}"/>
    <cellStyle name="Normal 5 5 2 2 6 3" xfId="11125" xr:uid="{6C4387F2-815B-441B-8796-3962FAF3591F}"/>
    <cellStyle name="Normal 5 5 2 2 7" xfId="4839" xr:uid="{00000000-0005-0000-0000-0000611B0000}"/>
    <cellStyle name="Normal 5 5 2 2 7 2" xfId="13278" xr:uid="{0BFDF609-C51F-497B-9A54-2C2EE56E986F}"/>
    <cellStyle name="Normal 5 5 2 2 8" xfId="9060" xr:uid="{D4059509-77E7-4382-8ED3-20FCF9C70790}"/>
    <cellStyle name="Normal 5 5 2 3" xfId="939" xr:uid="{00000000-0005-0000-0000-0000621B0000}"/>
    <cellStyle name="Normal 5 5 2 3 2" xfId="3173" xr:uid="{00000000-0005-0000-0000-0000631B0000}"/>
    <cellStyle name="Normal 5 5 2 3 2 2" xfId="7396" xr:uid="{00000000-0005-0000-0000-0000641B0000}"/>
    <cellStyle name="Normal 5 5 2 3 2 2 2" xfId="15835" xr:uid="{AF031EF1-B2E0-4324-930E-2BAB80EC133F}"/>
    <cellStyle name="Normal 5 5 2 3 2 3" xfId="11617" xr:uid="{CC4AFC21-B29B-4B8A-BC8F-7A5259269CC5}"/>
    <cellStyle name="Normal 5 5 2 3 3" xfId="5251" xr:uid="{00000000-0005-0000-0000-0000651B0000}"/>
    <cellStyle name="Normal 5 5 2 3 3 2" xfId="13690" xr:uid="{672E7D2C-2E3A-453B-B058-C7959A75AEE9}"/>
    <cellStyle name="Normal 5 5 2 3 4" xfId="9472" xr:uid="{09125FBB-8828-4248-8C6F-44897A7700D2}"/>
    <cellStyle name="Normal 5 5 2 4" xfId="1356" xr:uid="{00000000-0005-0000-0000-0000661B0000}"/>
    <cellStyle name="Normal 5 5 2 4 2" xfId="3586" xr:uid="{00000000-0005-0000-0000-0000671B0000}"/>
    <cellStyle name="Normal 5 5 2 4 2 2" xfId="7809" xr:uid="{00000000-0005-0000-0000-0000681B0000}"/>
    <cellStyle name="Normal 5 5 2 4 2 2 2" xfId="16248" xr:uid="{C20996FE-DB6B-4DD2-BF6C-89EA08AB7A7A}"/>
    <cellStyle name="Normal 5 5 2 4 2 3" xfId="12030" xr:uid="{8381A5DB-5C60-4952-8C9F-0DE04E1501D2}"/>
    <cellStyle name="Normal 5 5 2 4 3" xfId="5664" xr:uid="{00000000-0005-0000-0000-0000691B0000}"/>
    <cellStyle name="Normal 5 5 2 4 3 2" xfId="14103" xr:uid="{EDFE6EAA-D617-4D60-89A4-10AF4564EC4E}"/>
    <cellStyle name="Normal 5 5 2 4 4" xfId="9885" xr:uid="{5BB8C3F1-7354-4EE8-A61F-8D2A1A334302}"/>
    <cellStyle name="Normal 5 5 2 5" xfId="1769" xr:uid="{00000000-0005-0000-0000-00006A1B0000}"/>
    <cellStyle name="Normal 5 5 2 5 2" xfId="3999" xr:uid="{00000000-0005-0000-0000-00006B1B0000}"/>
    <cellStyle name="Normal 5 5 2 5 2 2" xfId="8222" xr:uid="{00000000-0005-0000-0000-00006C1B0000}"/>
    <cellStyle name="Normal 5 5 2 5 2 2 2" xfId="16661" xr:uid="{A3790A21-6A8E-42B7-BE77-F9D6EC2B5620}"/>
    <cellStyle name="Normal 5 5 2 5 2 3" xfId="12443" xr:uid="{E85E6D82-EC89-4418-BE10-983C695854B4}"/>
    <cellStyle name="Normal 5 5 2 5 3" xfId="6077" xr:uid="{00000000-0005-0000-0000-00006D1B0000}"/>
    <cellStyle name="Normal 5 5 2 5 3 2" xfId="14516" xr:uid="{DCC686DC-B155-4B8E-ABA4-8844EE46FD36}"/>
    <cellStyle name="Normal 5 5 2 5 4" xfId="10298" xr:uid="{F3BA13B0-5FC1-4B5D-A559-02D769C4DFF5}"/>
    <cellStyle name="Normal 5 5 2 6" xfId="2183" xr:uid="{00000000-0005-0000-0000-00006E1B0000}"/>
    <cellStyle name="Normal 5 5 2 6 2" xfId="4412" xr:uid="{00000000-0005-0000-0000-00006F1B0000}"/>
    <cellStyle name="Normal 5 5 2 6 2 2" xfId="8635" xr:uid="{00000000-0005-0000-0000-0000701B0000}"/>
    <cellStyle name="Normal 5 5 2 6 2 2 2" xfId="17074" xr:uid="{388649DD-4284-4E79-9CE7-FD44619B70E3}"/>
    <cellStyle name="Normal 5 5 2 6 2 3" xfId="12856" xr:uid="{0BE61E7F-01C9-4BFF-8887-C309AA130817}"/>
    <cellStyle name="Normal 5 5 2 6 3" xfId="6490" xr:uid="{00000000-0005-0000-0000-0000711B0000}"/>
    <cellStyle name="Normal 5 5 2 6 3 2" xfId="14929" xr:uid="{9BADF2C5-B7E7-4A1F-B6D9-8EE074AC8EC1}"/>
    <cellStyle name="Normal 5 5 2 6 4" xfId="10711" xr:uid="{6FAEB549-4002-4136-9DFD-E0443D707199}"/>
    <cellStyle name="Normal 5 5 2 7" xfId="2619" xr:uid="{00000000-0005-0000-0000-0000721B0000}"/>
    <cellStyle name="Normal 5 5 2 7 2" xfId="6903" xr:uid="{00000000-0005-0000-0000-0000731B0000}"/>
    <cellStyle name="Normal 5 5 2 7 2 2" xfId="15342" xr:uid="{62A4F686-6B27-4F44-A11B-4282223204B5}"/>
    <cellStyle name="Normal 5 5 2 7 3" xfId="11124" xr:uid="{8A425471-FC9F-4B4A-B207-B2DA74F2D962}"/>
    <cellStyle name="Normal 5 5 2 8" xfId="4838" xr:uid="{00000000-0005-0000-0000-0000741B0000}"/>
    <cellStyle name="Normal 5 5 2 8 2" xfId="13277" xr:uid="{682C6F2D-4D93-4557-8D37-517CE1E02F83}"/>
    <cellStyle name="Normal 5 5 2 9" xfId="9059" xr:uid="{F37E426B-6EF3-439D-AB7B-C4A6A2DD8048}"/>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2 2 2" xfId="15837" xr:uid="{D5576950-4EDB-4F4F-8F93-A24DCCC5D85D}"/>
    <cellStyle name="Normal 5 5 3 2 2 3" xfId="11619" xr:uid="{ED36539F-7522-4BC0-8FF9-B3C42F79FCD6}"/>
    <cellStyle name="Normal 5 5 3 2 3" xfId="5253" xr:uid="{00000000-0005-0000-0000-0000791B0000}"/>
    <cellStyle name="Normal 5 5 3 2 3 2" xfId="13692" xr:uid="{E0AE832B-5C59-41E9-A535-874F173ADABB}"/>
    <cellStyle name="Normal 5 5 3 2 4" xfId="9474" xr:uid="{903BB2E2-5770-46BB-A69D-4E1A7487D2C9}"/>
    <cellStyle name="Normal 5 5 3 3" xfId="1358" xr:uid="{00000000-0005-0000-0000-00007A1B0000}"/>
    <cellStyle name="Normal 5 5 3 3 2" xfId="3588" xr:uid="{00000000-0005-0000-0000-00007B1B0000}"/>
    <cellStyle name="Normal 5 5 3 3 2 2" xfId="7811" xr:uid="{00000000-0005-0000-0000-00007C1B0000}"/>
    <cellStyle name="Normal 5 5 3 3 2 2 2" xfId="16250" xr:uid="{46E4C572-3A7D-4BEF-BA26-BFFC3B77B303}"/>
    <cellStyle name="Normal 5 5 3 3 2 3" xfId="12032" xr:uid="{0169E7B5-DA7A-446A-9829-D45DA52225B8}"/>
    <cellStyle name="Normal 5 5 3 3 3" xfId="5666" xr:uid="{00000000-0005-0000-0000-00007D1B0000}"/>
    <cellStyle name="Normal 5 5 3 3 3 2" xfId="14105" xr:uid="{1862C45F-3A30-4397-BF9E-0BD8266C78C6}"/>
    <cellStyle name="Normal 5 5 3 3 4" xfId="9887" xr:uid="{D31859E9-5691-4D43-A433-1B1C48B21FB6}"/>
    <cellStyle name="Normal 5 5 3 4" xfId="1771" xr:uid="{00000000-0005-0000-0000-00007E1B0000}"/>
    <cellStyle name="Normal 5 5 3 4 2" xfId="4001" xr:uid="{00000000-0005-0000-0000-00007F1B0000}"/>
    <cellStyle name="Normal 5 5 3 4 2 2" xfId="8224" xr:uid="{00000000-0005-0000-0000-0000801B0000}"/>
    <cellStyle name="Normal 5 5 3 4 2 2 2" xfId="16663" xr:uid="{12EF10C6-D6CE-470A-8298-58F0AE3F9E5B}"/>
    <cellStyle name="Normal 5 5 3 4 2 3" xfId="12445" xr:uid="{28AF6B38-DDC1-4172-A9CD-B379A4233B29}"/>
    <cellStyle name="Normal 5 5 3 4 3" xfId="6079" xr:uid="{00000000-0005-0000-0000-0000811B0000}"/>
    <cellStyle name="Normal 5 5 3 4 3 2" xfId="14518" xr:uid="{8E195CCF-3CD5-474A-B5DB-E98729B727A0}"/>
    <cellStyle name="Normal 5 5 3 4 4" xfId="10300" xr:uid="{CFD910E8-5DB9-42C4-AC5A-CCDCB5CC8AA0}"/>
    <cellStyle name="Normal 5 5 3 5" xfId="2185" xr:uid="{00000000-0005-0000-0000-0000821B0000}"/>
    <cellStyle name="Normal 5 5 3 5 2" xfId="4414" xr:uid="{00000000-0005-0000-0000-0000831B0000}"/>
    <cellStyle name="Normal 5 5 3 5 2 2" xfId="8637" xr:uid="{00000000-0005-0000-0000-0000841B0000}"/>
    <cellStyle name="Normal 5 5 3 5 2 2 2" xfId="17076" xr:uid="{1061EB71-BD00-4C27-B34A-1FC546257C87}"/>
    <cellStyle name="Normal 5 5 3 5 2 3" xfId="12858" xr:uid="{0E6790B6-E5D7-4581-A45A-E49AF8F5D169}"/>
    <cellStyle name="Normal 5 5 3 5 3" xfId="6492" xr:uid="{00000000-0005-0000-0000-0000851B0000}"/>
    <cellStyle name="Normal 5 5 3 5 3 2" xfId="14931" xr:uid="{705BB2C5-8518-4A6B-8796-2434A10D0B23}"/>
    <cellStyle name="Normal 5 5 3 5 4" xfId="10713" xr:uid="{48ACDB9D-6ECE-4F18-90E7-1809F6A3CBCD}"/>
    <cellStyle name="Normal 5 5 3 6" xfId="2621" xr:uid="{00000000-0005-0000-0000-0000861B0000}"/>
    <cellStyle name="Normal 5 5 3 6 2" xfId="6905" xr:uid="{00000000-0005-0000-0000-0000871B0000}"/>
    <cellStyle name="Normal 5 5 3 6 2 2" xfId="15344" xr:uid="{436CE478-4641-4BCF-BCBA-E2609FC9DD89}"/>
    <cellStyle name="Normal 5 5 3 6 3" xfId="11126" xr:uid="{D00D7385-FEDF-404F-B86A-907117BC958D}"/>
    <cellStyle name="Normal 5 5 3 7" xfId="4840" xr:uid="{00000000-0005-0000-0000-0000881B0000}"/>
    <cellStyle name="Normal 5 5 3 7 2" xfId="13279" xr:uid="{86F511FA-D334-4BC7-A69E-FFAFC755F0BF}"/>
    <cellStyle name="Normal 5 5 3 8" xfId="9061" xr:uid="{AE334C6D-BF72-4A65-9D2D-0FBCDCBF91AD}"/>
    <cellStyle name="Normal 5 5 4" xfId="938" xr:uid="{00000000-0005-0000-0000-0000891B0000}"/>
    <cellStyle name="Normal 5 5 4 2" xfId="3172" xr:uid="{00000000-0005-0000-0000-00008A1B0000}"/>
    <cellStyle name="Normal 5 5 4 2 2" xfId="7395" xr:uid="{00000000-0005-0000-0000-00008B1B0000}"/>
    <cellStyle name="Normal 5 5 4 2 2 2" xfId="15834" xr:uid="{A4F5080E-51D1-48F3-AE71-374F03BB3232}"/>
    <cellStyle name="Normal 5 5 4 2 3" xfId="11616" xr:uid="{89E1720A-2800-472E-B0EF-6892798BB3F1}"/>
    <cellStyle name="Normal 5 5 4 3" xfId="5250" xr:uid="{00000000-0005-0000-0000-00008C1B0000}"/>
    <cellStyle name="Normal 5 5 4 3 2" xfId="13689" xr:uid="{6DD7A0FE-AC20-46C3-AC70-27EF98F2B24A}"/>
    <cellStyle name="Normal 5 5 4 4" xfId="9471" xr:uid="{E027E1D7-F993-4AB4-AFC7-F1DD60A11DB8}"/>
    <cellStyle name="Normal 5 5 5" xfId="1355" xr:uid="{00000000-0005-0000-0000-00008D1B0000}"/>
    <cellStyle name="Normal 5 5 5 2" xfId="3585" xr:uid="{00000000-0005-0000-0000-00008E1B0000}"/>
    <cellStyle name="Normal 5 5 5 2 2" xfId="7808" xr:uid="{00000000-0005-0000-0000-00008F1B0000}"/>
    <cellStyle name="Normal 5 5 5 2 2 2" xfId="16247" xr:uid="{9A62B228-2748-4177-BF35-F07C1298D08A}"/>
    <cellStyle name="Normal 5 5 5 2 3" xfId="12029" xr:uid="{C277D670-2FC1-4627-9B5D-E74592496078}"/>
    <cellStyle name="Normal 5 5 5 3" xfId="5663" xr:uid="{00000000-0005-0000-0000-0000901B0000}"/>
    <cellStyle name="Normal 5 5 5 3 2" xfId="14102" xr:uid="{214C34B1-87A4-49DF-BD7A-BDD104DFA801}"/>
    <cellStyle name="Normal 5 5 5 4" xfId="9884" xr:uid="{A7D67DAE-A893-4856-B81D-C7F409DD03B8}"/>
    <cellStyle name="Normal 5 5 6" xfId="1768" xr:uid="{00000000-0005-0000-0000-0000911B0000}"/>
    <cellStyle name="Normal 5 5 6 2" xfId="3998" xr:uid="{00000000-0005-0000-0000-0000921B0000}"/>
    <cellStyle name="Normal 5 5 6 2 2" xfId="8221" xr:uid="{00000000-0005-0000-0000-0000931B0000}"/>
    <cellStyle name="Normal 5 5 6 2 2 2" xfId="16660" xr:uid="{4D28F6DF-CB2F-4F43-B830-CCD1E50A926F}"/>
    <cellStyle name="Normal 5 5 6 2 3" xfId="12442" xr:uid="{0AF978A7-0ECF-4EAC-8045-116552BEB22B}"/>
    <cellStyle name="Normal 5 5 6 3" xfId="6076" xr:uid="{00000000-0005-0000-0000-0000941B0000}"/>
    <cellStyle name="Normal 5 5 6 3 2" xfId="14515" xr:uid="{54064C66-D95E-471D-903F-C5A4EEDDD8DC}"/>
    <cellStyle name="Normal 5 5 6 4" xfId="10297" xr:uid="{D38EDC80-3A56-46FC-A5BD-B59352B24758}"/>
    <cellStyle name="Normal 5 5 7" xfId="2182" xr:uid="{00000000-0005-0000-0000-0000951B0000}"/>
    <cellStyle name="Normal 5 5 7 2" xfId="4411" xr:uid="{00000000-0005-0000-0000-0000961B0000}"/>
    <cellStyle name="Normal 5 5 7 2 2" xfId="8634" xr:uid="{00000000-0005-0000-0000-0000971B0000}"/>
    <cellStyle name="Normal 5 5 7 2 2 2" xfId="17073" xr:uid="{47410C1D-662F-44D7-A451-D2CF75E3D64E}"/>
    <cellStyle name="Normal 5 5 7 2 3" xfId="12855" xr:uid="{B70847D9-5D2A-4E4F-9B19-FBF7B643AA28}"/>
    <cellStyle name="Normal 5 5 7 3" xfId="6489" xr:uid="{00000000-0005-0000-0000-0000981B0000}"/>
    <cellStyle name="Normal 5 5 7 3 2" xfId="14928" xr:uid="{6407476E-1FB1-4B49-8127-3B0E63D5147B}"/>
    <cellStyle name="Normal 5 5 7 4" xfId="10710" xr:uid="{8920D444-2CF3-401E-9855-858B00B608A2}"/>
    <cellStyle name="Normal 5 5 8" xfId="2618" xr:uid="{00000000-0005-0000-0000-0000991B0000}"/>
    <cellStyle name="Normal 5 5 8 2" xfId="6902" xr:uid="{00000000-0005-0000-0000-00009A1B0000}"/>
    <cellStyle name="Normal 5 5 8 2 2" xfId="15341" xr:uid="{4EDA7EEA-44DD-4865-8ACC-C7158D9EF66B}"/>
    <cellStyle name="Normal 5 5 8 3" xfId="11123" xr:uid="{820B1BB2-961D-40BE-94E5-40DDE78E8612}"/>
    <cellStyle name="Normal 5 5 9" xfId="4837" xr:uid="{00000000-0005-0000-0000-00009B1B0000}"/>
    <cellStyle name="Normal 5 5 9 2" xfId="13276" xr:uid="{E22B9E5B-FF6C-4706-A483-2D852BC023DF}"/>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2 2 2" xfId="15839" xr:uid="{24982871-070B-4675-808B-5E236CB08E0B}"/>
    <cellStyle name="Normal 5 6 2 2 2 3" xfId="11621" xr:uid="{1688D03F-FD62-48E7-B080-38202F7557DE}"/>
    <cellStyle name="Normal 5 6 2 2 3" xfId="5255" xr:uid="{00000000-0005-0000-0000-0000A11B0000}"/>
    <cellStyle name="Normal 5 6 2 2 3 2" xfId="13694" xr:uid="{43CC2FFB-B1D5-4776-8F55-9966DE5D2043}"/>
    <cellStyle name="Normal 5 6 2 2 4" xfId="9476" xr:uid="{1E6E919A-1330-4B22-B4FF-DBC4F0D7848B}"/>
    <cellStyle name="Normal 5 6 2 3" xfId="1360" xr:uid="{00000000-0005-0000-0000-0000A21B0000}"/>
    <cellStyle name="Normal 5 6 2 3 2" xfId="3590" xr:uid="{00000000-0005-0000-0000-0000A31B0000}"/>
    <cellStyle name="Normal 5 6 2 3 2 2" xfId="7813" xr:uid="{00000000-0005-0000-0000-0000A41B0000}"/>
    <cellStyle name="Normal 5 6 2 3 2 2 2" xfId="16252" xr:uid="{50A3ED66-896F-456E-827F-B4F0F22C433A}"/>
    <cellStyle name="Normal 5 6 2 3 2 3" xfId="12034" xr:uid="{63C3D0EF-4CE8-46C7-8029-A2FFBCD81B7B}"/>
    <cellStyle name="Normal 5 6 2 3 3" xfId="5668" xr:uid="{00000000-0005-0000-0000-0000A51B0000}"/>
    <cellStyle name="Normal 5 6 2 3 3 2" xfId="14107" xr:uid="{3AFEF0B8-DA0D-4FA6-AF68-AC1807866C76}"/>
    <cellStyle name="Normal 5 6 2 3 4" xfId="9889" xr:uid="{29376305-33E5-46D3-BF53-0F982E2120E3}"/>
    <cellStyle name="Normal 5 6 2 4" xfId="1773" xr:uid="{00000000-0005-0000-0000-0000A61B0000}"/>
    <cellStyle name="Normal 5 6 2 4 2" xfId="4003" xr:uid="{00000000-0005-0000-0000-0000A71B0000}"/>
    <cellStyle name="Normal 5 6 2 4 2 2" xfId="8226" xr:uid="{00000000-0005-0000-0000-0000A81B0000}"/>
    <cellStyle name="Normal 5 6 2 4 2 2 2" xfId="16665" xr:uid="{FA21743E-8CFB-4E74-869C-F345026F2D54}"/>
    <cellStyle name="Normal 5 6 2 4 2 3" xfId="12447" xr:uid="{E5AB945E-2701-4E50-B19A-4802F80B1FFA}"/>
    <cellStyle name="Normal 5 6 2 4 3" xfId="6081" xr:uid="{00000000-0005-0000-0000-0000A91B0000}"/>
    <cellStyle name="Normal 5 6 2 4 3 2" xfId="14520" xr:uid="{27C410C8-2CE9-4439-B427-7DE366147D79}"/>
    <cellStyle name="Normal 5 6 2 4 4" xfId="10302" xr:uid="{98FA9A1F-E2EF-4FBB-B4DD-77A8E3C8739C}"/>
    <cellStyle name="Normal 5 6 2 5" xfId="2187" xr:uid="{00000000-0005-0000-0000-0000AA1B0000}"/>
    <cellStyle name="Normal 5 6 2 5 2" xfId="4416" xr:uid="{00000000-0005-0000-0000-0000AB1B0000}"/>
    <cellStyle name="Normal 5 6 2 5 2 2" xfId="8639" xr:uid="{00000000-0005-0000-0000-0000AC1B0000}"/>
    <cellStyle name="Normal 5 6 2 5 2 2 2" xfId="17078" xr:uid="{5E8DAF9B-8194-4056-BFE1-FFB9ACA1C890}"/>
    <cellStyle name="Normal 5 6 2 5 2 3" xfId="12860" xr:uid="{BDA3C9FA-D14F-4860-8102-A0E97D90823D}"/>
    <cellStyle name="Normal 5 6 2 5 3" xfId="6494" xr:uid="{00000000-0005-0000-0000-0000AD1B0000}"/>
    <cellStyle name="Normal 5 6 2 5 3 2" xfId="14933" xr:uid="{96E7C63A-4AA5-4406-9A8E-A6EC4FBB8A7F}"/>
    <cellStyle name="Normal 5 6 2 5 4" xfId="10715" xr:uid="{BF354958-E184-49ED-8668-E1723510DBE6}"/>
    <cellStyle name="Normal 5 6 2 6" xfId="2623" xr:uid="{00000000-0005-0000-0000-0000AE1B0000}"/>
    <cellStyle name="Normal 5 6 2 6 2" xfId="6907" xr:uid="{00000000-0005-0000-0000-0000AF1B0000}"/>
    <cellStyle name="Normal 5 6 2 6 2 2" xfId="15346" xr:uid="{D5D0F98B-631B-40A0-813E-397CE3EA113F}"/>
    <cellStyle name="Normal 5 6 2 6 3" xfId="11128" xr:uid="{09F60A9D-4425-470C-BBFE-E84C8584F073}"/>
    <cellStyle name="Normal 5 6 2 7" xfId="4842" xr:uid="{00000000-0005-0000-0000-0000B01B0000}"/>
    <cellStyle name="Normal 5 6 2 7 2" xfId="13281" xr:uid="{D003F565-04F3-452E-8E09-0AE30C6D8D83}"/>
    <cellStyle name="Normal 5 6 2 8" xfId="9063" xr:uid="{4345AD58-CCC3-431F-8D1B-A9A39796CC08}"/>
    <cellStyle name="Normal 5 6 3" xfId="942" xr:uid="{00000000-0005-0000-0000-0000B11B0000}"/>
    <cellStyle name="Normal 5 6 3 2" xfId="3176" xr:uid="{00000000-0005-0000-0000-0000B21B0000}"/>
    <cellStyle name="Normal 5 6 3 2 2" xfId="7399" xr:uid="{00000000-0005-0000-0000-0000B31B0000}"/>
    <cellStyle name="Normal 5 6 3 2 2 2" xfId="15838" xr:uid="{DE638380-4CB2-4DD9-95B9-7013CB9EBB33}"/>
    <cellStyle name="Normal 5 6 3 2 3" xfId="11620" xr:uid="{6532040E-287B-4F9A-9FCD-C9B683FFD109}"/>
    <cellStyle name="Normal 5 6 3 3" xfId="5254" xr:uid="{00000000-0005-0000-0000-0000B41B0000}"/>
    <cellStyle name="Normal 5 6 3 3 2" xfId="13693" xr:uid="{894F2D1E-A765-4783-B924-AAEEB23D9F53}"/>
    <cellStyle name="Normal 5 6 3 4" xfId="9475" xr:uid="{776C1C87-5E6C-4E0A-9877-AB3AB5BE5040}"/>
    <cellStyle name="Normal 5 6 4" xfId="1359" xr:uid="{00000000-0005-0000-0000-0000B51B0000}"/>
    <cellStyle name="Normal 5 6 4 2" xfId="3589" xr:uid="{00000000-0005-0000-0000-0000B61B0000}"/>
    <cellStyle name="Normal 5 6 4 2 2" xfId="7812" xr:uid="{00000000-0005-0000-0000-0000B71B0000}"/>
    <cellStyle name="Normal 5 6 4 2 2 2" xfId="16251" xr:uid="{976E71BC-D3B2-4D6A-BDB4-B44C505C48EB}"/>
    <cellStyle name="Normal 5 6 4 2 3" xfId="12033" xr:uid="{941EB55A-33D3-4A36-B3B9-1B3AEDB8DAD7}"/>
    <cellStyle name="Normal 5 6 4 3" xfId="5667" xr:uid="{00000000-0005-0000-0000-0000B81B0000}"/>
    <cellStyle name="Normal 5 6 4 3 2" xfId="14106" xr:uid="{76E86888-1527-4658-BFE2-D487FDD3E37C}"/>
    <cellStyle name="Normal 5 6 4 4" xfId="9888" xr:uid="{5F6C2787-0132-49C5-840D-4AD730CF909D}"/>
    <cellStyle name="Normal 5 6 5" xfId="1772" xr:uid="{00000000-0005-0000-0000-0000B91B0000}"/>
    <cellStyle name="Normal 5 6 5 2" xfId="4002" xr:uid="{00000000-0005-0000-0000-0000BA1B0000}"/>
    <cellStyle name="Normal 5 6 5 2 2" xfId="8225" xr:uid="{00000000-0005-0000-0000-0000BB1B0000}"/>
    <cellStyle name="Normal 5 6 5 2 2 2" xfId="16664" xr:uid="{77B7CE71-F516-4358-BF7D-2702456F1C6F}"/>
    <cellStyle name="Normal 5 6 5 2 3" xfId="12446" xr:uid="{F2EBC8A4-C988-43F2-8569-79D0861360BB}"/>
    <cellStyle name="Normal 5 6 5 3" xfId="6080" xr:uid="{00000000-0005-0000-0000-0000BC1B0000}"/>
    <cellStyle name="Normal 5 6 5 3 2" xfId="14519" xr:uid="{0F8B6817-15F7-482F-A935-6C3ED5793EA3}"/>
    <cellStyle name="Normal 5 6 5 4" xfId="10301" xr:uid="{2447825B-F925-4046-AD3F-D1E0DF8312F1}"/>
    <cellStyle name="Normal 5 6 6" xfId="2186" xr:uid="{00000000-0005-0000-0000-0000BD1B0000}"/>
    <cellStyle name="Normal 5 6 6 2" xfId="4415" xr:uid="{00000000-0005-0000-0000-0000BE1B0000}"/>
    <cellStyle name="Normal 5 6 6 2 2" xfId="8638" xr:uid="{00000000-0005-0000-0000-0000BF1B0000}"/>
    <cellStyle name="Normal 5 6 6 2 2 2" xfId="17077" xr:uid="{BAF1E643-7E52-434B-84E4-D3B836DA5E99}"/>
    <cellStyle name="Normal 5 6 6 2 3" xfId="12859" xr:uid="{CEA39DC7-D087-4919-88D2-1D6510801B43}"/>
    <cellStyle name="Normal 5 6 6 3" xfId="6493" xr:uid="{00000000-0005-0000-0000-0000C01B0000}"/>
    <cellStyle name="Normal 5 6 6 3 2" xfId="14932" xr:uid="{F9D4DCC8-6346-4600-A931-2155E36827E7}"/>
    <cellStyle name="Normal 5 6 6 4" xfId="10714" xr:uid="{A0A3F2D2-153A-4295-AC6C-FAD0DE176CCB}"/>
    <cellStyle name="Normal 5 6 7" xfId="2622" xr:uid="{00000000-0005-0000-0000-0000C11B0000}"/>
    <cellStyle name="Normal 5 6 7 2" xfId="6906" xr:uid="{00000000-0005-0000-0000-0000C21B0000}"/>
    <cellStyle name="Normal 5 6 7 2 2" xfId="15345" xr:uid="{7051A2E8-DBF3-4C9B-8A20-D3A55F14EFE4}"/>
    <cellStyle name="Normal 5 6 7 3" xfId="11127" xr:uid="{0CF28D1D-F4D6-48AD-B1A1-F71B5D626FC9}"/>
    <cellStyle name="Normal 5 6 8" xfId="4841" xr:uid="{00000000-0005-0000-0000-0000C31B0000}"/>
    <cellStyle name="Normal 5 6 8 2" xfId="13280" xr:uid="{D197E551-0A82-4665-95AE-0A8B15E59D94}"/>
    <cellStyle name="Normal 5 6 9" xfId="9062" xr:uid="{24A857D7-C523-4BD8-8990-64050711E999}"/>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2 2 2" xfId="15840" xr:uid="{52CDAC0A-4AF9-4CB9-A28D-1560AD3473A4}"/>
    <cellStyle name="Normal 5 7 2 2 3" xfId="11622" xr:uid="{70C9F0D3-31A8-4833-B650-981EF1E84BA4}"/>
    <cellStyle name="Normal 5 7 2 3" xfId="5256" xr:uid="{00000000-0005-0000-0000-0000C81B0000}"/>
    <cellStyle name="Normal 5 7 2 3 2" xfId="13695" xr:uid="{236E6746-9916-4A9C-AA98-76C8710D884C}"/>
    <cellStyle name="Normal 5 7 2 4" xfId="9477" xr:uid="{C8B64B57-E738-43BE-81BC-838115A5AD91}"/>
    <cellStyle name="Normal 5 7 3" xfId="1361" xr:uid="{00000000-0005-0000-0000-0000C91B0000}"/>
    <cellStyle name="Normal 5 7 3 2" xfId="3591" xr:uid="{00000000-0005-0000-0000-0000CA1B0000}"/>
    <cellStyle name="Normal 5 7 3 2 2" xfId="7814" xr:uid="{00000000-0005-0000-0000-0000CB1B0000}"/>
    <cellStyle name="Normal 5 7 3 2 2 2" xfId="16253" xr:uid="{849C7171-1960-413C-AEBB-3AB3256E4DB4}"/>
    <cellStyle name="Normal 5 7 3 2 3" xfId="12035" xr:uid="{91A389FC-75DE-4EC6-9123-75D71D6D0BE4}"/>
    <cellStyle name="Normal 5 7 3 3" xfId="5669" xr:uid="{00000000-0005-0000-0000-0000CC1B0000}"/>
    <cellStyle name="Normal 5 7 3 3 2" xfId="14108" xr:uid="{6400508F-E593-47FC-A91A-626334154848}"/>
    <cellStyle name="Normal 5 7 3 4" xfId="9890" xr:uid="{30BB495A-6BAA-4443-AD3D-030CE6DEA761}"/>
    <cellStyle name="Normal 5 7 4" xfId="1774" xr:uid="{00000000-0005-0000-0000-0000CD1B0000}"/>
    <cellStyle name="Normal 5 7 4 2" xfId="4004" xr:uid="{00000000-0005-0000-0000-0000CE1B0000}"/>
    <cellStyle name="Normal 5 7 4 2 2" xfId="8227" xr:uid="{00000000-0005-0000-0000-0000CF1B0000}"/>
    <cellStyle name="Normal 5 7 4 2 2 2" xfId="16666" xr:uid="{2BE484E8-DD88-4C2D-BD9A-1C445123262C}"/>
    <cellStyle name="Normal 5 7 4 2 3" xfId="12448" xr:uid="{D07AB23A-B7FD-43FE-940E-EF23C69B041B}"/>
    <cellStyle name="Normal 5 7 4 3" xfId="6082" xr:uid="{00000000-0005-0000-0000-0000D01B0000}"/>
    <cellStyle name="Normal 5 7 4 3 2" xfId="14521" xr:uid="{D1AA507F-A1F2-47B2-AB5E-199BD2B8B770}"/>
    <cellStyle name="Normal 5 7 4 4" xfId="10303" xr:uid="{A7A8E66C-16FD-464F-AE90-781689F21E94}"/>
    <cellStyle name="Normal 5 7 5" xfId="2188" xr:uid="{00000000-0005-0000-0000-0000D11B0000}"/>
    <cellStyle name="Normal 5 7 5 2" xfId="4417" xr:uid="{00000000-0005-0000-0000-0000D21B0000}"/>
    <cellStyle name="Normal 5 7 5 2 2" xfId="8640" xr:uid="{00000000-0005-0000-0000-0000D31B0000}"/>
    <cellStyle name="Normal 5 7 5 2 2 2" xfId="17079" xr:uid="{F8C78829-DD47-4D24-9E4D-86FF155E79D0}"/>
    <cellStyle name="Normal 5 7 5 2 3" xfId="12861" xr:uid="{920F736F-C9E2-4189-8086-CF34BFD85F34}"/>
    <cellStyle name="Normal 5 7 5 3" xfId="6495" xr:uid="{00000000-0005-0000-0000-0000D41B0000}"/>
    <cellStyle name="Normal 5 7 5 3 2" xfId="14934" xr:uid="{6F1C5F37-64C5-42B1-B330-A6BE7F900AC7}"/>
    <cellStyle name="Normal 5 7 5 4" xfId="10716" xr:uid="{82AEFDF1-97BE-4BEF-8526-2FB1CA194D7D}"/>
    <cellStyle name="Normal 5 7 6" xfId="2624" xr:uid="{00000000-0005-0000-0000-0000D51B0000}"/>
    <cellStyle name="Normal 5 7 6 2" xfId="6908" xr:uid="{00000000-0005-0000-0000-0000D61B0000}"/>
    <cellStyle name="Normal 5 7 6 2 2" xfId="15347" xr:uid="{F2AB3C77-BAD6-45BD-861F-E1D0C7796E7F}"/>
    <cellStyle name="Normal 5 7 6 3" xfId="11129" xr:uid="{3C9F4724-73D6-4337-A9AD-D0542F77B7C0}"/>
    <cellStyle name="Normal 5 7 7" xfId="4843" xr:uid="{00000000-0005-0000-0000-0000D71B0000}"/>
    <cellStyle name="Normal 5 7 7 2" xfId="13282" xr:uid="{B9C5BB19-DACB-4706-8332-0AF2C631E323}"/>
    <cellStyle name="Normal 5 7 8" xfId="9064" xr:uid="{2B176DE0-B57F-4EDC-BA17-881508FEC586}"/>
    <cellStyle name="Normal 5 8" xfId="880" xr:uid="{00000000-0005-0000-0000-0000D81B0000}"/>
    <cellStyle name="Normal 5 8 2" xfId="3115" xr:uid="{00000000-0005-0000-0000-0000D91B0000}"/>
    <cellStyle name="Normal 5 8 2 2" xfId="7338" xr:uid="{00000000-0005-0000-0000-0000DA1B0000}"/>
    <cellStyle name="Normal 5 8 2 2 2" xfId="15777" xr:uid="{A1705904-2AD2-41FD-BB7B-17C1B1C2711F}"/>
    <cellStyle name="Normal 5 8 2 3" xfId="11559" xr:uid="{4545C631-FFAB-49D8-A4F3-3E3A6A8281B6}"/>
    <cellStyle name="Normal 5 8 3" xfId="5193" xr:uid="{00000000-0005-0000-0000-0000DB1B0000}"/>
    <cellStyle name="Normal 5 8 3 2" xfId="13632" xr:uid="{25B6AE7D-7432-4C7B-9936-CCEE1DCFEADF}"/>
    <cellStyle name="Normal 5 8 4" xfId="9414" xr:uid="{71ED4B7E-B81F-4B5D-B957-EDCFCA4151F3}"/>
    <cellStyle name="Normal 5 9" xfId="1298" xr:uid="{00000000-0005-0000-0000-0000DC1B0000}"/>
    <cellStyle name="Normal 5 9 2" xfId="3528" xr:uid="{00000000-0005-0000-0000-0000DD1B0000}"/>
    <cellStyle name="Normal 5 9 2 2" xfId="7751" xr:uid="{00000000-0005-0000-0000-0000DE1B0000}"/>
    <cellStyle name="Normal 5 9 2 2 2" xfId="16190" xr:uid="{B238DFD4-E466-42C0-92CE-CC9840FBBF70}"/>
    <cellStyle name="Normal 5 9 2 3" xfId="11972" xr:uid="{2BDCDC42-B8BF-41B5-8A7C-8AD76998586E}"/>
    <cellStyle name="Normal 5 9 3" xfId="5606" xr:uid="{00000000-0005-0000-0000-0000DF1B0000}"/>
    <cellStyle name="Normal 5 9 3 2" xfId="14045" xr:uid="{A477CB19-9760-4F80-BB98-C650D0FAA31B}"/>
    <cellStyle name="Normal 5 9 4" xfId="9827" xr:uid="{1B4ABF4B-22DD-4D68-9143-0E825BBF834F}"/>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2 2 2" xfId="17080" xr:uid="{075DE931-B759-4E42-8DE8-FE06E39EAC7C}"/>
    <cellStyle name="Normal 8 10 2 3" xfId="12862" xr:uid="{05EB3B18-8519-4086-B545-ADD2E752845C}"/>
    <cellStyle name="Normal 8 10 3" xfId="6496" xr:uid="{00000000-0005-0000-0000-0000EB1B0000}"/>
    <cellStyle name="Normal 8 10 3 2" xfId="14935" xr:uid="{99239ACE-535C-4289-A5F1-FE5743DEE6F9}"/>
    <cellStyle name="Normal 8 10 4" xfId="10717" xr:uid="{6C49B8B4-F65B-4CCC-B795-6640CD0CAD41}"/>
    <cellStyle name="Normal 8 11" xfId="2625" xr:uid="{00000000-0005-0000-0000-0000EC1B0000}"/>
    <cellStyle name="Normal 8 11 2" xfId="6909" xr:uid="{00000000-0005-0000-0000-0000ED1B0000}"/>
    <cellStyle name="Normal 8 11 2 2" xfId="15348" xr:uid="{2BCC2D16-694C-41E9-B49F-6F1E626EED91}"/>
    <cellStyle name="Normal 8 11 3" xfId="11130" xr:uid="{38DF6394-D3F8-4D93-8C91-972358728EC9}"/>
    <cellStyle name="Normal 8 12" xfId="4844" xr:uid="{00000000-0005-0000-0000-0000EE1B0000}"/>
    <cellStyle name="Normal 8 12 2" xfId="13283" xr:uid="{FA6A847F-2A4C-4892-8636-E467DFE1D098}"/>
    <cellStyle name="Normal 8 13" xfId="9065" xr:uid="{6C499439-B3F6-4BF7-94B4-1F599C24E9B0}"/>
    <cellStyle name="Normal 8 2" xfId="479" xr:uid="{00000000-0005-0000-0000-0000EF1B0000}"/>
    <cellStyle name="Normal 8 2 10" xfId="2626" xr:uid="{00000000-0005-0000-0000-0000F01B0000}"/>
    <cellStyle name="Normal 8 2 10 2" xfId="6910" xr:uid="{00000000-0005-0000-0000-0000F11B0000}"/>
    <cellStyle name="Normal 8 2 10 2 2" xfId="15349" xr:uid="{BA5D03BF-3AE0-45D8-BB50-CA50456BA190}"/>
    <cellStyle name="Normal 8 2 10 3" xfId="11131" xr:uid="{37B61026-A543-4B78-8677-244E5EA77ECB}"/>
    <cellStyle name="Normal 8 2 11" xfId="4845" xr:uid="{00000000-0005-0000-0000-0000F21B0000}"/>
    <cellStyle name="Normal 8 2 11 2" xfId="13284" xr:uid="{773E2DFB-252B-4166-A451-E0D1AB6F5FC9}"/>
    <cellStyle name="Normal 8 2 12" xfId="9066" xr:uid="{52F8971B-43E6-4E4E-8EED-B5479C88EE33}"/>
    <cellStyle name="Normal 8 2 2" xfId="480" xr:uid="{00000000-0005-0000-0000-0000F31B0000}"/>
    <cellStyle name="Normal 8 2 2 10" xfId="4846" xr:uid="{00000000-0005-0000-0000-0000F41B0000}"/>
    <cellStyle name="Normal 8 2 2 10 2" xfId="13285" xr:uid="{B6F5D961-AB05-4F50-B4B6-EAB610A97657}"/>
    <cellStyle name="Normal 8 2 2 11" xfId="9067" xr:uid="{1DE5A372-153A-4468-AA4F-160AFC5D2C82}"/>
    <cellStyle name="Normal 8 2 2 2" xfId="481" xr:uid="{00000000-0005-0000-0000-0000F51B0000}"/>
    <cellStyle name="Normal 8 2 2 2 10" xfId="9068" xr:uid="{1D85F024-9057-4200-BD2A-FDF7CAA87AF2}"/>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15846" xr:uid="{9832642A-850D-469F-A52D-A4B26B6235D1}"/>
    <cellStyle name="Normal 8 2 2 2 2 2 2 2 3" xfId="11628" xr:uid="{08645AC1-CF4D-4E4E-BFEE-828366518970}"/>
    <cellStyle name="Normal 8 2 2 2 2 2 2 3" xfId="5262" xr:uid="{00000000-0005-0000-0000-0000FB1B0000}"/>
    <cellStyle name="Normal 8 2 2 2 2 2 2 3 2" xfId="13701" xr:uid="{A7F0543E-430D-4970-AD79-6B4BD9D3D0BA}"/>
    <cellStyle name="Normal 8 2 2 2 2 2 2 4" xfId="9483" xr:uid="{6BE164C4-E03C-42C5-AC57-9B8D59D88239}"/>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2 2" xfId="16259" xr:uid="{65DC3083-E13B-4AD7-97CF-9E04AC18E8C1}"/>
    <cellStyle name="Normal 8 2 2 2 2 2 3 2 3" xfId="12041" xr:uid="{BEBAEE4F-0A16-4A95-B72E-A9E715E26CC6}"/>
    <cellStyle name="Normal 8 2 2 2 2 2 3 3" xfId="5675" xr:uid="{00000000-0005-0000-0000-0000FF1B0000}"/>
    <cellStyle name="Normal 8 2 2 2 2 2 3 3 2" xfId="14114" xr:uid="{2CFEFFB2-D755-4B20-988F-7C764DDB929F}"/>
    <cellStyle name="Normal 8 2 2 2 2 2 3 4" xfId="9896" xr:uid="{B70CAE34-F572-4723-B15E-6ADDC2A74734}"/>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2 2 2" xfId="16672" xr:uid="{F495946C-B5CF-4852-BBC9-4937CC1F1176}"/>
    <cellStyle name="Normal 8 2 2 2 2 2 4 2 3" xfId="12454" xr:uid="{38DA72AC-3241-48F3-971B-BB2E386B26A6}"/>
    <cellStyle name="Normal 8 2 2 2 2 2 4 3" xfId="6088" xr:uid="{00000000-0005-0000-0000-0000031C0000}"/>
    <cellStyle name="Normal 8 2 2 2 2 2 4 3 2" xfId="14527" xr:uid="{8EF74807-7ED6-4362-89AA-0A654D122ADA}"/>
    <cellStyle name="Normal 8 2 2 2 2 2 4 4" xfId="10309" xr:uid="{541B241C-0217-4D5A-A692-1817E1F99C42}"/>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2 2 2" xfId="17085" xr:uid="{F56B5506-9469-4540-AAA2-A0C336068D03}"/>
    <cellStyle name="Normal 8 2 2 2 2 2 5 2 3" xfId="12867" xr:uid="{7D8EFC8F-202E-4D09-AB04-E17AA43920D7}"/>
    <cellStyle name="Normal 8 2 2 2 2 2 5 3" xfId="6501" xr:uid="{00000000-0005-0000-0000-0000071C0000}"/>
    <cellStyle name="Normal 8 2 2 2 2 2 5 3 2" xfId="14940" xr:uid="{12F6764C-6045-41B3-A8E1-84CC7D3693DA}"/>
    <cellStyle name="Normal 8 2 2 2 2 2 5 4" xfId="10722" xr:uid="{75267BB4-118D-4EA6-B2DD-CA672FBC5D37}"/>
    <cellStyle name="Normal 8 2 2 2 2 2 6" xfId="2630" xr:uid="{00000000-0005-0000-0000-0000081C0000}"/>
    <cellStyle name="Normal 8 2 2 2 2 2 6 2" xfId="6914" xr:uid="{00000000-0005-0000-0000-0000091C0000}"/>
    <cellStyle name="Normal 8 2 2 2 2 2 6 2 2" xfId="15353" xr:uid="{691B5702-D57B-431B-B939-B2A2084481FC}"/>
    <cellStyle name="Normal 8 2 2 2 2 2 6 3" xfId="11135" xr:uid="{A71FA622-05FA-44DD-BB63-77B0C3BE0DEB}"/>
    <cellStyle name="Normal 8 2 2 2 2 2 7" xfId="4849" xr:uid="{00000000-0005-0000-0000-00000A1C0000}"/>
    <cellStyle name="Normal 8 2 2 2 2 2 7 2" xfId="13288" xr:uid="{CDBEF777-FFD5-4C52-9478-D0378D718A0E}"/>
    <cellStyle name="Normal 8 2 2 2 2 2 8" xfId="9070" xr:uid="{556DECFE-D5AC-4986-ADA3-7C4AD8989743}"/>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15845" xr:uid="{698BB218-2FCA-4025-BF41-6EB6738772B4}"/>
    <cellStyle name="Normal 8 2 2 2 2 3 2 3" xfId="11627" xr:uid="{DB1012C6-1D4B-4FF1-B14D-A72C5FC10283}"/>
    <cellStyle name="Normal 8 2 2 2 2 3 3" xfId="5261" xr:uid="{00000000-0005-0000-0000-00000E1C0000}"/>
    <cellStyle name="Normal 8 2 2 2 2 3 3 2" xfId="13700" xr:uid="{FAFE6BCC-C1FB-4478-A145-BAE0FC274C51}"/>
    <cellStyle name="Normal 8 2 2 2 2 3 4" xfId="9482" xr:uid="{089A6098-D4A8-4129-BD2A-7BBF792D87C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2 2" xfId="16258" xr:uid="{1BB7B7D4-06B9-4B6F-8184-E0CDA0111B96}"/>
    <cellStyle name="Normal 8 2 2 2 2 4 2 3" xfId="12040" xr:uid="{B126E209-BA93-4236-B998-31072B6CA0D9}"/>
    <cellStyle name="Normal 8 2 2 2 2 4 3" xfId="5674" xr:uid="{00000000-0005-0000-0000-0000121C0000}"/>
    <cellStyle name="Normal 8 2 2 2 2 4 3 2" xfId="14113" xr:uid="{7EE75B9F-560D-4DDE-8AF9-FC97CC39C14C}"/>
    <cellStyle name="Normal 8 2 2 2 2 4 4" xfId="9895" xr:uid="{E11938A1-3C37-416D-A38D-4B00366BBD73}"/>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2 2 2" xfId="16671" xr:uid="{453ADF43-8F09-40B3-B13C-3DF278A4C136}"/>
    <cellStyle name="Normal 8 2 2 2 2 5 2 3" xfId="12453" xr:uid="{654E8E5C-3732-460B-ACC5-564823454C0B}"/>
    <cellStyle name="Normal 8 2 2 2 2 5 3" xfId="6087" xr:uid="{00000000-0005-0000-0000-0000161C0000}"/>
    <cellStyle name="Normal 8 2 2 2 2 5 3 2" xfId="14526" xr:uid="{B7DDBD70-8787-4021-8CF4-8EDCDADEF887}"/>
    <cellStyle name="Normal 8 2 2 2 2 5 4" xfId="10308" xr:uid="{57689866-6887-4E02-AA97-430105843CC1}"/>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2 2 2" xfId="17084" xr:uid="{E5562976-A8A8-4B73-B82D-7B7BDC5A3948}"/>
    <cellStyle name="Normal 8 2 2 2 2 6 2 3" xfId="12866" xr:uid="{9B3F9B81-E651-4D52-81B5-30C3E311E251}"/>
    <cellStyle name="Normal 8 2 2 2 2 6 3" xfId="6500" xr:uid="{00000000-0005-0000-0000-00001A1C0000}"/>
    <cellStyle name="Normal 8 2 2 2 2 6 3 2" xfId="14939" xr:uid="{367A3DCB-5AD1-4D03-9C26-B0461BE99D94}"/>
    <cellStyle name="Normal 8 2 2 2 2 6 4" xfId="10721" xr:uid="{2297A3B0-6275-491C-9935-939A2C8C951D}"/>
    <cellStyle name="Normal 8 2 2 2 2 7" xfId="2629" xr:uid="{00000000-0005-0000-0000-00001B1C0000}"/>
    <cellStyle name="Normal 8 2 2 2 2 7 2" xfId="6913" xr:uid="{00000000-0005-0000-0000-00001C1C0000}"/>
    <cellStyle name="Normal 8 2 2 2 2 7 2 2" xfId="15352" xr:uid="{4EDEE02A-1382-4946-B245-6BD13910FE0A}"/>
    <cellStyle name="Normal 8 2 2 2 2 7 3" xfId="11134" xr:uid="{E21D0DB9-0C81-4DDE-BCAC-11E90914A0A5}"/>
    <cellStyle name="Normal 8 2 2 2 2 8" xfId="4848" xr:uid="{00000000-0005-0000-0000-00001D1C0000}"/>
    <cellStyle name="Normal 8 2 2 2 2 8 2" xfId="13287" xr:uid="{B32D7ACF-A874-431F-9D3F-2303345D222B}"/>
    <cellStyle name="Normal 8 2 2 2 2 9" xfId="9069" xr:uid="{3C32E74F-DC9F-4D16-A040-3384B3E6C139}"/>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15847" xr:uid="{FA51A6CA-56E3-4AB9-BF60-D31C79350479}"/>
    <cellStyle name="Normal 8 2 2 2 3 2 2 3" xfId="11629" xr:uid="{AA2014B4-6591-431F-A894-C1BE188AD391}"/>
    <cellStyle name="Normal 8 2 2 2 3 2 3" xfId="5263" xr:uid="{00000000-0005-0000-0000-0000221C0000}"/>
    <cellStyle name="Normal 8 2 2 2 3 2 3 2" xfId="13702" xr:uid="{21B23AA3-D76B-4D55-9D64-51F250BEB8D2}"/>
    <cellStyle name="Normal 8 2 2 2 3 2 4" xfId="9484" xr:uid="{C61E5535-DD80-4C9A-9B78-D34E9A382DBF}"/>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2 2" xfId="16260" xr:uid="{D8759367-C3D5-4148-BC7A-E63FBD3E9788}"/>
    <cellStyle name="Normal 8 2 2 2 3 3 2 3" xfId="12042" xr:uid="{0EECE03D-6008-4881-937A-6B7D503CCC20}"/>
    <cellStyle name="Normal 8 2 2 2 3 3 3" xfId="5676" xr:uid="{00000000-0005-0000-0000-0000261C0000}"/>
    <cellStyle name="Normal 8 2 2 2 3 3 3 2" xfId="14115" xr:uid="{CD1FE6F7-6675-41F2-9941-E1220CE77081}"/>
    <cellStyle name="Normal 8 2 2 2 3 3 4" xfId="9897" xr:uid="{50965836-BF5E-4479-9C20-120B70B2A92D}"/>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2 2 2" xfId="16673" xr:uid="{6ED2B86F-57FA-410E-A418-F0F2B42ADBDA}"/>
    <cellStyle name="Normal 8 2 2 2 3 4 2 3" xfId="12455" xr:uid="{2A7DE5A0-3736-411A-BDDA-07CBFBFEBCFD}"/>
    <cellStyle name="Normal 8 2 2 2 3 4 3" xfId="6089" xr:uid="{00000000-0005-0000-0000-00002A1C0000}"/>
    <cellStyle name="Normal 8 2 2 2 3 4 3 2" xfId="14528" xr:uid="{100B0A3B-DC57-414E-A163-D55CB8F1488F}"/>
    <cellStyle name="Normal 8 2 2 2 3 4 4" xfId="10310" xr:uid="{76EED8F1-0FF0-4A74-B453-CACC29A8B62E}"/>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2 2 2" xfId="17086" xr:uid="{52CD7D98-F1CE-4C3F-841C-2F8798CC7E81}"/>
    <cellStyle name="Normal 8 2 2 2 3 5 2 3" xfId="12868" xr:uid="{B1CC1694-F205-4F89-A4E4-89B7C0142A74}"/>
    <cellStyle name="Normal 8 2 2 2 3 5 3" xfId="6502" xr:uid="{00000000-0005-0000-0000-00002E1C0000}"/>
    <cellStyle name="Normal 8 2 2 2 3 5 3 2" xfId="14941" xr:uid="{56FEF57D-90E1-45AA-AC4D-F8BCA2DE8040}"/>
    <cellStyle name="Normal 8 2 2 2 3 5 4" xfId="10723" xr:uid="{DC5C3129-C9A4-490D-8D5E-0A7C75E1227F}"/>
    <cellStyle name="Normal 8 2 2 2 3 6" xfId="2631" xr:uid="{00000000-0005-0000-0000-00002F1C0000}"/>
    <cellStyle name="Normal 8 2 2 2 3 6 2" xfId="6915" xr:uid="{00000000-0005-0000-0000-0000301C0000}"/>
    <cellStyle name="Normal 8 2 2 2 3 6 2 2" xfId="15354" xr:uid="{551CA099-1772-40FA-9CD5-7E3D9BE452CD}"/>
    <cellStyle name="Normal 8 2 2 2 3 6 3" xfId="11136" xr:uid="{847FA089-D271-469F-ACD9-305687581B42}"/>
    <cellStyle name="Normal 8 2 2 2 3 7" xfId="4850" xr:uid="{00000000-0005-0000-0000-0000311C0000}"/>
    <cellStyle name="Normal 8 2 2 2 3 7 2" xfId="13289" xr:uid="{FD9DEC98-89C7-418B-9337-FFCDAE0317BB}"/>
    <cellStyle name="Normal 8 2 2 2 3 8" xfId="9071" xr:uid="{A38BD4B0-20CD-4D9F-ADEB-D03CD4E8DC6A}"/>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15844" xr:uid="{5F269F1D-5A10-4DFD-9789-B002FF67489B}"/>
    <cellStyle name="Normal 8 2 2 2 4 2 3" xfId="11626" xr:uid="{035704CD-5B13-4D29-8956-D76C9F3F6FC6}"/>
    <cellStyle name="Normal 8 2 2 2 4 3" xfId="5260" xr:uid="{00000000-0005-0000-0000-0000351C0000}"/>
    <cellStyle name="Normal 8 2 2 2 4 3 2" xfId="13699" xr:uid="{4C8AB54D-E9BC-4837-B488-A1EC3154EF2E}"/>
    <cellStyle name="Normal 8 2 2 2 4 4" xfId="9481" xr:uid="{1CC70C68-ACAE-49A3-BFC4-BD3DDC3B7726}"/>
    <cellStyle name="Normal 8 2 2 2 5" xfId="1365" xr:uid="{00000000-0005-0000-0000-0000361C0000}"/>
    <cellStyle name="Normal 8 2 2 2 5 2" xfId="3595" xr:uid="{00000000-0005-0000-0000-0000371C0000}"/>
    <cellStyle name="Normal 8 2 2 2 5 2 2" xfId="7818" xr:uid="{00000000-0005-0000-0000-0000381C0000}"/>
    <cellStyle name="Normal 8 2 2 2 5 2 2 2" xfId="16257" xr:uid="{EB602B92-5825-4A37-9E14-5F6BB671D69A}"/>
    <cellStyle name="Normal 8 2 2 2 5 2 3" xfId="12039" xr:uid="{3743E580-A2B3-4EA0-83F7-47BD5B1CDF6D}"/>
    <cellStyle name="Normal 8 2 2 2 5 3" xfId="5673" xr:uid="{00000000-0005-0000-0000-0000391C0000}"/>
    <cellStyle name="Normal 8 2 2 2 5 3 2" xfId="14112" xr:uid="{20A3732C-F86A-45A8-8B4B-5D0E68D6FF74}"/>
    <cellStyle name="Normal 8 2 2 2 5 4" xfId="9894" xr:uid="{8AED2FF5-BAD7-4BA3-B8A9-71FF15215DD0}"/>
    <cellStyle name="Normal 8 2 2 2 6" xfId="1778" xr:uid="{00000000-0005-0000-0000-00003A1C0000}"/>
    <cellStyle name="Normal 8 2 2 2 6 2" xfId="4008" xr:uid="{00000000-0005-0000-0000-00003B1C0000}"/>
    <cellStyle name="Normal 8 2 2 2 6 2 2" xfId="8231" xr:uid="{00000000-0005-0000-0000-00003C1C0000}"/>
    <cellStyle name="Normal 8 2 2 2 6 2 2 2" xfId="16670" xr:uid="{06EBE15A-C641-4665-91F6-493C4575895D}"/>
    <cellStyle name="Normal 8 2 2 2 6 2 3" xfId="12452" xr:uid="{4A2BD454-6C98-4876-A70C-94CDB4595AE7}"/>
    <cellStyle name="Normal 8 2 2 2 6 3" xfId="6086" xr:uid="{00000000-0005-0000-0000-00003D1C0000}"/>
    <cellStyle name="Normal 8 2 2 2 6 3 2" xfId="14525" xr:uid="{808D7E86-D3AF-4A1C-9588-6CAFF4B675F2}"/>
    <cellStyle name="Normal 8 2 2 2 6 4" xfId="10307" xr:uid="{5A7D2FEE-999D-49FC-B474-477D22976015}"/>
    <cellStyle name="Normal 8 2 2 2 7" xfId="2192" xr:uid="{00000000-0005-0000-0000-00003E1C0000}"/>
    <cellStyle name="Normal 8 2 2 2 7 2" xfId="4421" xr:uid="{00000000-0005-0000-0000-00003F1C0000}"/>
    <cellStyle name="Normal 8 2 2 2 7 2 2" xfId="8644" xr:uid="{00000000-0005-0000-0000-0000401C0000}"/>
    <cellStyle name="Normal 8 2 2 2 7 2 2 2" xfId="17083" xr:uid="{1A22734E-97F6-4111-89DC-97E597DE7B2B}"/>
    <cellStyle name="Normal 8 2 2 2 7 2 3" xfId="12865" xr:uid="{C762B415-402B-4481-9651-B4CA4F712BC6}"/>
    <cellStyle name="Normal 8 2 2 2 7 3" xfId="6499" xr:uid="{00000000-0005-0000-0000-0000411C0000}"/>
    <cellStyle name="Normal 8 2 2 2 7 3 2" xfId="14938" xr:uid="{D0BE0213-596E-4F14-8DB8-3D6EEBE864E2}"/>
    <cellStyle name="Normal 8 2 2 2 7 4" xfId="10720" xr:uid="{9C443A0C-8737-47D8-ABF0-E8B45CFB29D1}"/>
    <cellStyle name="Normal 8 2 2 2 8" xfId="2628" xr:uid="{00000000-0005-0000-0000-0000421C0000}"/>
    <cellStyle name="Normal 8 2 2 2 8 2" xfId="6912" xr:uid="{00000000-0005-0000-0000-0000431C0000}"/>
    <cellStyle name="Normal 8 2 2 2 8 2 2" xfId="15351" xr:uid="{78B33F81-44C0-442C-BD39-EDD2A58FF3C2}"/>
    <cellStyle name="Normal 8 2 2 2 8 3" xfId="11133" xr:uid="{F6D11625-2229-4854-B715-D15099606CFB}"/>
    <cellStyle name="Normal 8 2 2 2 9" xfId="4847" xr:uid="{00000000-0005-0000-0000-0000441C0000}"/>
    <cellStyle name="Normal 8 2 2 2 9 2" xfId="13286" xr:uid="{8288BF63-3515-4DC3-9E69-CDB0C7B630E3}"/>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15849" xr:uid="{D051EB4B-6A9A-4F51-A38C-F95EBED35673}"/>
    <cellStyle name="Normal 8 2 2 3 2 2 2 3" xfId="11631" xr:uid="{0643B744-BE2F-4D60-BA03-1FFF358332B3}"/>
    <cellStyle name="Normal 8 2 2 3 2 2 3" xfId="5265" xr:uid="{00000000-0005-0000-0000-00004A1C0000}"/>
    <cellStyle name="Normal 8 2 2 3 2 2 3 2" xfId="13704" xr:uid="{78B4A6A7-658F-4CFD-9BD0-FE37BB3DCE5A}"/>
    <cellStyle name="Normal 8 2 2 3 2 2 4" xfId="9486" xr:uid="{77C8C796-0B1D-4C69-8593-DB2DCD4EB078}"/>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2 2" xfId="16262" xr:uid="{1C0F8FCB-A15D-4BCA-BA15-922E4BF232AE}"/>
    <cellStyle name="Normal 8 2 2 3 2 3 2 3" xfId="12044" xr:uid="{4236485F-2623-42F8-AF0B-7DA546268D78}"/>
    <cellStyle name="Normal 8 2 2 3 2 3 3" xfId="5678" xr:uid="{00000000-0005-0000-0000-00004E1C0000}"/>
    <cellStyle name="Normal 8 2 2 3 2 3 3 2" xfId="14117" xr:uid="{E185578A-0A8E-48C4-A510-C46AD11AE40F}"/>
    <cellStyle name="Normal 8 2 2 3 2 3 4" xfId="9899" xr:uid="{DD5641C6-F72E-4B0A-8984-FE7311FB45CD}"/>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2 2 2" xfId="16675" xr:uid="{861D5D6F-F00F-4476-A317-7B85F60292AD}"/>
    <cellStyle name="Normal 8 2 2 3 2 4 2 3" xfId="12457" xr:uid="{CC010254-AEEE-4CF2-BDAD-6DA5AF5D9344}"/>
    <cellStyle name="Normal 8 2 2 3 2 4 3" xfId="6091" xr:uid="{00000000-0005-0000-0000-0000521C0000}"/>
    <cellStyle name="Normal 8 2 2 3 2 4 3 2" xfId="14530" xr:uid="{3DE0C561-C38B-4BEF-9EA5-A08FD54D1EB8}"/>
    <cellStyle name="Normal 8 2 2 3 2 4 4" xfId="10312" xr:uid="{472C8F91-51AE-45A4-AE0A-C3A5D8250B88}"/>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2 2 2" xfId="17088" xr:uid="{E3BFE06E-D1AE-46DA-944D-D048FCB82298}"/>
    <cellStyle name="Normal 8 2 2 3 2 5 2 3" xfId="12870" xr:uid="{51C92EAD-F2A5-4C87-8112-4DD7832A8733}"/>
    <cellStyle name="Normal 8 2 2 3 2 5 3" xfId="6504" xr:uid="{00000000-0005-0000-0000-0000561C0000}"/>
    <cellStyle name="Normal 8 2 2 3 2 5 3 2" xfId="14943" xr:uid="{4B5E5C8E-36FC-4535-9924-9AACF0125FEA}"/>
    <cellStyle name="Normal 8 2 2 3 2 5 4" xfId="10725" xr:uid="{D7C073FA-4F50-4AC9-BE85-228F2AEA5D9E}"/>
    <cellStyle name="Normal 8 2 2 3 2 6" xfId="2633" xr:uid="{00000000-0005-0000-0000-0000571C0000}"/>
    <cellStyle name="Normal 8 2 2 3 2 6 2" xfId="6917" xr:uid="{00000000-0005-0000-0000-0000581C0000}"/>
    <cellStyle name="Normal 8 2 2 3 2 6 2 2" xfId="15356" xr:uid="{F40D2C36-B97D-4E53-B674-BA9BF7559C94}"/>
    <cellStyle name="Normal 8 2 2 3 2 6 3" xfId="11138" xr:uid="{80DD83A8-BC05-4801-9CA6-75079E97F884}"/>
    <cellStyle name="Normal 8 2 2 3 2 7" xfId="4852" xr:uid="{00000000-0005-0000-0000-0000591C0000}"/>
    <cellStyle name="Normal 8 2 2 3 2 7 2" xfId="13291" xr:uid="{608505EC-8C47-4584-98CF-C9992869B446}"/>
    <cellStyle name="Normal 8 2 2 3 2 8" xfId="9073" xr:uid="{74DB9407-3BEC-4DB4-A7FC-293B88692157}"/>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15848" xr:uid="{6615D2BE-816B-4B68-8447-7F93011B6272}"/>
    <cellStyle name="Normal 8 2 2 3 3 2 3" xfId="11630" xr:uid="{5187CBC8-C9B2-4676-ABB6-EC94DCAFE8DF}"/>
    <cellStyle name="Normal 8 2 2 3 3 3" xfId="5264" xr:uid="{00000000-0005-0000-0000-00005D1C0000}"/>
    <cellStyle name="Normal 8 2 2 3 3 3 2" xfId="13703" xr:uid="{A2F29D58-56A4-4807-AB13-4801B71C572B}"/>
    <cellStyle name="Normal 8 2 2 3 3 4" xfId="9485" xr:uid="{930D4B2F-051C-4E5A-AFA1-CC281790C1F0}"/>
    <cellStyle name="Normal 8 2 2 3 4" xfId="1369" xr:uid="{00000000-0005-0000-0000-00005E1C0000}"/>
    <cellStyle name="Normal 8 2 2 3 4 2" xfId="3599" xr:uid="{00000000-0005-0000-0000-00005F1C0000}"/>
    <cellStyle name="Normal 8 2 2 3 4 2 2" xfId="7822" xr:uid="{00000000-0005-0000-0000-0000601C0000}"/>
    <cellStyle name="Normal 8 2 2 3 4 2 2 2" xfId="16261" xr:uid="{128DA93F-039C-4D71-838F-D63EAAE90236}"/>
    <cellStyle name="Normal 8 2 2 3 4 2 3" xfId="12043" xr:uid="{0D509FD4-0863-4307-B073-6619B277B852}"/>
    <cellStyle name="Normal 8 2 2 3 4 3" xfId="5677" xr:uid="{00000000-0005-0000-0000-0000611C0000}"/>
    <cellStyle name="Normal 8 2 2 3 4 3 2" xfId="14116" xr:uid="{F2872776-D68E-480F-B634-7AF4D87CFEDD}"/>
    <cellStyle name="Normal 8 2 2 3 4 4" xfId="9898" xr:uid="{B510AAAC-E52E-47B0-8B3A-26788EA632C7}"/>
    <cellStyle name="Normal 8 2 2 3 5" xfId="1782" xr:uid="{00000000-0005-0000-0000-0000621C0000}"/>
    <cellStyle name="Normal 8 2 2 3 5 2" xfId="4012" xr:uid="{00000000-0005-0000-0000-0000631C0000}"/>
    <cellStyle name="Normal 8 2 2 3 5 2 2" xfId="8235" xr:uid="{00000000-0005-0000-0000-0000641C0000}"/>
    <cellStyle name="Normal 8 2 2 3 5 2 2 2" xfId="16674" xr:uid="{1897177D-2EF5-4149-898A-41B9CC6AE777}"/>
    <cellStyle name="Normal 8 2 2 3 5 2 3" xfId="12456" xr:uid="{B0F0DA1D-9347-4038-AB5F-64B1B6D7693C}"/>
    <cellStyle name="Normal 8 2 2 3 5 3" xfId="6090" xr:uid="{00000000-0005-0000-0000-0000651C0000}"/>
    <cellStyle name="Normal 8 2 2 3 5 3 2" xfId="14529" xr:uid="{DC05A40E-3D3D-4C9F-9E8A-9CD6D61E43DF}"/>
    <cellStyle name="Normal 8 2 2 3 5 4" xfId="10311" xr:uid="{CFE1D445-87DE-4D65-AC5A-EE98EE717C7B}"/>
    <cellStyle name="Normal 8 2 2 3 6" xfId="2196" xr:uid="{00000000-0005-0000-0000-0000661C0000}"/>
    <cellStyle name="Normal 8 2 2 3 6 2" xfId="4425" xr:uid="{00000000-0005-0000-0000-0000671C0000}"/>
    <cellStyle name="Normal 8 2 2 3 6 2 2" xfId="8648" xr:uid="{00000000-0005-0000-0000-0000681C0000}"/>
    <cellStyle name="Normal 8 2 2 3 6 2 2 2" xfId="17087" xr:uid="{F721D9C3-7671-4B88-9B7C-1275812EC46C}"/>
    <cellStyle name="Normal 8 2 2 3 6 2 3" xfId="12869" xr:uid="{F170036B-FA23-49A6-9A03-B3B66E74EF10}"/>
    <cellStyle name="Normal 8 2 2 3 6 3" xfId="6503" xr:uid="{00000000-0005-0000-0000-0000691C0000}"/>
    <cellStyle name="Normal 8 2 2 3 6 3 2" xfId="14942" xr:uid="{305850DD-22C0-49C0-B5EF-99460E645EDF}"/>
    <cellStyle name="Normal 8 2 2 3 6 4" xfId="10724" xr:uid="{2824317F-3BCE-4014-9817-93F516CC49D4}"/>
    <cellStyle name="Normal 8 2 2 3 7" xfId="2632" xr:uid="{00000000-0005-0000-0000-00006A1C0000}"/>
    <cellStyle name="Normal 8 2 2 3 7 2" xfId="6916" xr:uid="{00000000-0005-0000-0000-00006B1C0000}"/>
    <cellStyle name="Normal 8 2 2 3 7 2 2" xfId="15355" xr:uid="{D2A91CEB-E751-49E0-918D-B70FE8A8CF78}"/>
    <cellStyle name="Normal 8 2 2 3 7 3" xfId="11137" xr:uid="{8733D181-242C-4CDB-9611-4B365903610E}"/>
    <cellStyle name="Normal 8 2 2 3 8" xfId="4851" xr:uid="{00000000-0005-0000-0000-00006C1C0000}"/>
    <cellStyle name="Normal 8 2 2 3 8 2" xfId="13290" xr:uid="{AC4947B9-4AC1-4055-9CD1-126121D1D485}"/>
    <cellStyle name="Normal 8 2 2 3 9" xfId="9072" xr:uid="{66407500-6433-4E63-A769-81C698A68B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15850" xr:uid="{C3D3A468-F600-4ECB-AB1B-503E91099CF0}"/>
    <cellStyle name="Normal 8 2 2 4 2 2 3" xfId="11632" xr:uid="{928F4A68-440A-406A-9BC7-B4F4F466C3E9}"/>
    <cellStyle name="Normal 8 2 2 4 2 3" xfId="5266" xr:uid="{00000000-0005-0000-0000-0000711C0000}"/>
    <cellStyle name="Normal 8 2 2 4 2 3 2" xfId="13705" xr:uid="{1D69192A-9065-457A-B716-644A7A199CA1}"/>
    <cellStyle name="Normal 8 2 2 4 2 4" xfId="9487" xr:uid="{6E5C34B7-24C3-4608-AD3C-7E9B7A0D6795}"/>
    <cellStyle name="Normal 8 2 2 4 3" xfId="1371" xr:uid="{00000000-0005-0000-0000-0000721C0000}"/>
    <cellStyle name="Normal 8 2 2 4 3 2" xfId="3601" xr:uid="{00000000-0005-0000-0000-0000731C0000}"/>
    <cellStyle name="Normal 8 2 2 4 3 2 2" xfId="7824" xr:uid="{00000000-0005-0000-0000-0000741C0000}"/>
    <cellStyle name="Normal 8 2 2 4 3 2 2 2" xfId="16263" xr:uid="{1B7707B0-03B9-4E42-B27A-9FF9FF38ADDF}"/>
    <cellStyle name="Normal 8 2 2 4 3 2 3" xfId="12045" xr:uid="{229201EB-A64A-4886-829E-DB7AA7891C26}"/>
    <cellStyle name="Normal 8 2 2 4 3 3" xfId="5679" xr:uid="{00000000-0005-0000-0000-0000751C0000}"/>
    <cellStyle name="Normal 8 2 2 4 3 3 2" xfId="14118" xr:uid="{C060CD52-B96B-4008-B19F-040FC1900CA1}"/>
    <cellStyle name="Normal 8 2 2 4 3 4" xfId="9900" xr:uid="{9F88D020-FB17-4CA2-9173-004A21CD4194}"/>
    <cellStyle name="Normal 8 2 2 4 4" xfId="1784" xr:uid="{00000000-0005-0000-0000-0000761C0000}"/>
    <cellStyle name="Normal 8 2 2 4 4 2" xfId="4014" xr:uid="{00000000-0005-0000-0000-0000771C0000}"/>
    <cellStyle name="Normal 8 2 2 4 4 2 2" xfId="8237" xr:uid="{00000000-0005-0000-0000-0000781C0000}"/>
    <cellStyle name="Normal 8 2 2 4 4 2 2 2" xfId="16676" xr:uid="{5A74960E-275F-4A4C-ABF9-CD119EE2E191}"/>
    <cellStyle name="Normal 8 2 2 4 4 2 3" xfId="12458" xr:uid="{6993B9C3-FF7F-4E78-B248-B7E3C390DB0B}"/>
    <cellStyle name="Normal 8 2 2 4 4 3" xfId="6092" xr:uid="{00000000-0005-0000-0000-0000791C0000}"/>
    <cellStyle name="Normal 8 2 2 4 4 3 2" xfId="14531" xr:uid="{0A06427B-B118-474B-B346-ED37E05C0E64}"/>
    <cellStyle name="Normal 8 2 2 4 4 4" xfId="10313" xr:uid="{D0E76200-9B87-4B0C-83CE-1654057E6FF0}"/>
    <cellStyle name="Normal 8 2 2 4 5" xfId="2198" xr:uid="{00000000-0005-0000-0000-00007A1C0000}"/>
    <cellStyle name="Normal 8 2 2 4 5 2" xfId="4427" xr:uid="{00000000-0005-0000-0000-00007B1C0000}"/>
    <cellStyle name="Normal 8 2 2 4 5 2 2" xfId="8650" xr:uid="{00000000-0005-0000-0000-00007C1C0000}"/>
    <cellStyle name="Normal 8 2 2 4 5 2 2 2" xfId="17089" xr:uid="{95FD694B-FB64-418B-BF93-35240430B5FF}"/>
    <cellStyle name="Normal 8 2 2 4 5 2 3" xfId="12871" xr:uid="{30B1B5A2-5AC5-4686-882C-72FC1380DDEA}"/>
    <cellStyle name="Normal 8 2 2 4 5 3" xfId="6505" xr:uid="{00000000-0005-0000-0000-00007D1C0000}"/>
    <cellStyle name="Normal 8 2 2 4 5 3 2" xfId="14944" xr:uid="{A01212A9-74A4-4C28-8EEA-9379D7F34F1D}"/>
    <cellStyle name="Normal 8 2 2 4 5 4" xfId="10726" xr:uid="{6E972310-78E2-4DC7-9708-3E6E7778F830}"/>
    <cellStyle name="Normal 8 2 2 4 6" xfId="2634" xr:uid="{00000000-0005-0000-0000-00007E1C0000}"/>
    <cellStyle name="Normal 8 2 2 4 6 2" xfId="6918" xr:uid="{00000000-0005-0000-0000-00007F1C0000}"/>
    <cellStyle name="Normal 8 2 2 4 6 2 2" xfId="15357" xr:uid="{B697BE22-9393-44CD-B9CF-37AD657E7464}"/>
    <cellStyle name="Normal 8 2 2 4 6 3" xfId="11139" xr:uid="{FC834CCE-B257-4BBC-93A3-423402E1260B}"/>
    <cellStyle name="Normal 8 2 2 4 7" xfId="4853" xr:uid="{00000000-0005-0000-0000-0000801C0000}"/>
    <cellStyle name="Normal 8 2 2 4 7 2" xfId="13292" xr:uid="{EC0DCCEA-F49D-4DC9-93D6-BF176A771119}"/>
    <cellStyle name="Normal 8 2 2 4 8" xfId="9074" xr:uid="{D544A222-B402-4E2B-93B8-79AD0CB53FB4}"/>
    <cellStyle name="Normal 8 2 2 5" xfId="947" xr:uid="{00000000-0005-0000-0000-0000811C0000}"/>
    <cellStyle name="Normal 8 2 2 5 2" xfId="3181" xr:uid="{00000000-0005-0000-0000-0000821C0000}"/>
    <cellStyle name="Normal 8 2 2 5 2 2" xfId="7404" xr:uid="{00000000-0005-0000-0000-0000831C0000}"/>
    <cellStyle name="Normal 8 2 2 5 2 2 2" xfId="15843" xr:uid="{E5FF35D5-5604-4C2B-9FFD-15EEDE373A35}"/>
    <cellStyle name="Normal 8 2 2 5 2 3" xfId="11625" xr:uid="{196F1BD0-672D-4379-A280-53F990AC79EF}"/>
    <cellStyle name="Normal 8 2 2 5 3" xfId="5259" xr:uid="{00000000-0005-0000-0000-0000841C0000}"/>
    <cellStyle name="Normal 8 2 2 5 3 2" xfId="13698" xr:uid="{571AD51A-9DA2-436F-9263-B3F5C7004ABC}"/>
    <cellStyle name="Normal 8 2 2 5 4" xfId="9480" xr:uid="{335BF2C9-2EC3-46EB-B2EB-C760844FFB4A}"/>
    <cellStyle name="Normal 8 2 2 6" xfId="1364" xr:uid="{00000000-0005-0000-0000-0000851C0000}"/>
    <cellStyle name="Normal 8 2 2 6 2" xfId="3594" xr:uid="{00000000-0005-0000-0000-0000861C0000}"/>
    <cellStyle name="Normal 8 2 2 6 2 2" xfId="7817" xr:uid="{00000000-0005-0000-0000-0000871C0000}"/>
    <cellStyle name="Normal 8 2 2 6 2 2 2" xfId="16256" xr:uid="{391CF995-0D06-4929-AB07-01CD9555DB2E}"/>
    <cellStyle name="Normal 8 2 2 6 2 3" xfId="12038" xr:uid="{790E88AD-D6EA-474A-9788-7C83F3A9DA92}"/>
    <cellStyle name="Normal 8 2 2 6 3" xfId="5672" xr:uid="{00000000-0005-0000-0000-0000881C0000}"/>
    <cellStyle name="Normal 8 2 2 6 3 2" xfId="14111" xr:uid="{4782A013-1914-4D35-9677-1A36B38BDCE6}"/>
    <cellStyle name="Normal 8 2 2 6 4" xfId="9893" xr:uid="{352A7D25-5083-4997-8FB5-DE9AEF26184F}"/>
    <cellStyle name="Normal 8 2 2 7" xfId="1777" xr:uid="{00000000-0005-0000-0000-0000891C0000}"/>
    <cellStyle name="Normal 8 2 2 7 2" xfId="4007" xr:uid="{00000000-0005-0000-0000-00008A1C0000}"/>
    <cellStyle name="Normal 8 2 2 7 2 2" xfId="8230" xr:uid="{00000000-0005-0000-0000-00008B1C0000}"/>
    <cellStyle name="Normal 8 2 2 7 2 2 2" xfId="16669" xr:uid="{F2695990-781F-498B-A188-B369A824BAC4}"/>
    <cellStyle name="Normal 8 2 2 7 2 3" xfId="12451" xr:uid="{03E8ECA9-2B10-4429-8D7D-E5E6F338A88F}"/>
    <cellStyle name="Normal 8 2 2 7 3" xfId="6085" xr:uid="{00000000-0005-0000-0000-00008C1C0000}"/>
    <cellStyle name="Normal 8 2 2 7 3 2" xfId="14524" xr:uid="{D58B6DA9-AFB9-499D-99B8-F2D6C4D0B3AF}"/>
    <cellStyle name="Normal 8 2 2 7 4" xfId="10306" xr:uid="{F909CD47-8632-4CCF-A3D6-2A9C477E7A3C}"/>
    <cellStyle name="Normal 8 2 2 8" xfId="2191" xr:uid="{00000000-0005-0000-0000-00008D1C0000}"/>
    <cellStyle name="Normal 8 2 2 8 2" xfId="4420" xr:uid="{00000000-0005-0000-0000-00008E1C0000}"/>
    <cellStyle name="Normal 8 2 2 8 2 2" xfId="8643" xr:uid="{00000000-0005-0000-0000-00008F1C0000}"/>
    <cellStyle name="Normal 8 2 2 8 2 2 2" xfId="17082" xr:uid="{83CD342A-C8D1-44A1-AC5D-141143C5EEFB}"/>
    <cellStyle name="Normal 8 2 2 8 2 3" xfId="12864" xr:uid="{8F0D7821-DCC8-4593-A1D9-7825408B725D}"/>
    <cellStyle name="Normal 8 2 2 8 3" xfId="6498" xr:uid="{00000000-0005-0000-0000-0000901C0000}"/>
    <cellStyle name="Normal 8 2 2 8 3 2" xfId="14937" xr:uid="{2521514B-8854-4399-81DC-6607D388AB64}"/>
    <cellStyle name="Normal 8 2 2 8 4" xfId="10719" xr:uid="{CD3316A5-5A4C-41BA-8C6A-535E7651C7BF}"/>
    <cellStyle name="Normal 8 2 2 9" xfId="2627" xr:uid="{00000000-0005-0000-0000-0000911C0000}"/>
    <cellStyle name="Normal 8 2 2 9 2" xfId="6911" xr:uid="{00000000-0005-0000-0000-0000921C0000}"/>
    <cellStyle name="Normal 8 2 2 9 2 2" xfId="15350" xr:uid="{C6D5F7F9-7EF5-46AD-9D78-ACA25E1C0847}"/>
    <cellStyle name="Normal 8 2 2 9 3" xfId="11132" xr:uid="{302CC313-33F3-468D-8D4E-8FC5BEAA5717}"/>
    <cellStyle name="Normal 8 2 3" xfId="488" xr:uid="{00000000-0005-0000-0000-0000931C0000}"/>
    <cellStyle name="Normal 8 2 3 10" xfId="9075" xr:uid="{5FD67D79-7DD2-452E-899C-C65AAD78979C}"/>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15853" xr:uid="{16EC3A9B-D862-40B6-8ABB-7337E252E93C}"/>
    <cellStyle name="Normal 8 2 3 2 2 2 2 3" xfId="11635" xr:uid="{8348F8EE-11F5-45C8-A58F-1167BEBD59C3}"/>
    <cellStyle name="Normal 8 2 3 2 2 2 3" xfId="5269" xr:uid="{00000000-0005-0000-0000-0000991C0000}"/>
    <cellStyle name="Normal 8 2 3 2 2 2 3 2" xfId="13708" xr:uid="{FA496D41-E468-4F79-A688-401A432823AA}"/>
    <cellStyle name="Normal 8 2 3 2 2 2 4" xfId="9490" xr:uid="{8D648FA5-98A2-47A6-A7D2-FB68792C4B97}"/>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2 2" xfId="16266" xr:uid="{15164E81-5767-4D31-BD31-8FFA4332EDD6}"/>
    <cellStyle name="Normal 8 2 3 2 2 3 2 3" xfId="12048" xr:uid="{AD59DAF3-873B-4429-ACF9-1F9A8CF242F3}"/>
    <cellStyle name="Normal 8 2 3 2 2 3 3" xfId="5682" xr:uid="{00000000-0005-0000-0000-00009D1C0000}"/>
    <cellStyle name="Normal 8 2 3 2 2 3 3 2" xfId="14121" xr:uid="{DD2C1221-B4A6-41FE-89DC-C560AA2D405E}"/>
    <cellStyle name="Normal 8 2 3 2 2 3 4" xfId="9903" xr:uid="{7DA71068-368A-4DA3-94CB-28DB4D49713B}"/>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2 2 2" xfId="16679" xr:uid="{CC9D99C3-92B7-44B9-8A7B-054A2BD558E4}"/>
    <cellStyle name="Normal 8 2 3 2 2 4 2 3" xfId="12461" xr:uid="{4AE6655B-9D83-499A-9A2F-CF55C53FAE17}"/>
    <cellStyle name="Normal 8 2 3 2 2 4 3" xfId="6095" xr:uid="{00000000-0005-0000-0000-0000A11C0000}"/>
    <cellStyle name="Normal 8 2 3 2 2 4 3 2" xfId="14534" xr:uid="{DF32D8B9-3D57-46DA-9913-0C06548ECADF}"/>
    <cellStyle name="Normal 8 2 3 2 2 4 4" xfId="10316" xr:uid="{9E4C453E-F58C-4E29-BF74-4B9607FE1F0B}"/>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2 2 2" xfId="17092" xr:uid="{53121558-4459-49F2-B8C0-674ADACF5A83}"/>
    <cellStyle name="Normal 8 2 3 2 2 5 2 3" xfId="12874" xr:uid="{2B8ADBC7-3B7A-46B1-8D95-42E072D72800}"/>
    <cellStyle name="Normal 8 2 3 2 2 5 3" xfId="6508" xr:uid="{00000000-0005-0000-0000-0000A51C0000}"/>
    <cellStyle name="Normal 8 2 3 2 2 5 3 2" xfId="14947" xr:uid="{A07A569D-7196-4D8E-8824-8F9127F781F1}"/>
    <cellStyle name="Normal 8 2 3 2 2 5 4" xfId="10729" xr:uid="{F18407F2-4E70-4195-80E9-FE8EE792DD14}"/>
    <cellStyle name="Normal 8 2 3 2 2 6" xfId="2637" xr:uid="{00000000-0005-0000-0000-0000A61C0000}"/>
    <cellStyle name="Normal 8 2 3 2 2 6 2" xfId="6921" xr:uid="{00000000-0005-0000-0000-0000A71C0000}"/>
    <cellStyle name="Normal 8 2 3 2 2 6 2 2" xfId="15360" xr:uid="{00F629FE-8A27-4FC9-B3CE-33EC631EEC87}"/>
    <cellStyle name="Normal 8 2 3 2 2 6 3" xfId="11142" xr:uid="{8C1B884F-BD20-447B-9860-6825199AE8EE}"/>
    <cellStyle name="Normal 8 2 3 2 2 7" xfId="4856" xr:uid="{00000000-0005-0000-0000-0000A81C0000}"/>
    <cellStyle name="Normal 8 2 3 2 2 7 2" xfId="13295" xr:uid="{48DD4DA3-048E-4135-88C4-F5E5C2A50DA3}"/>
    <cellStyle name="Normal 8 2 3 2 2 8" xfId="9077" xr:uid="{C8E12CB0-D157-4336-AD46-BAEDA6DF037B}"/>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15852" xr:uid="{B01E4AFD-9E10-48FF-BCE1-4D7BB83D499E}"/>
    <cellStyle name="Normal 8 2 3 2 3 2 3" xfId="11634" xr:uid="{673A89F4-F2AB-497C-921E-DAE557E386A0}"/>
    <cellStyle name="Normal 8 2 3 2 3 3" xfId="5268" xr:uid="{00000000-0005-0000-0000-0000AC1C0000}"/>
    <cellStyle name="Normal 8 2 3 2 3 3 2" xfId="13707" xr:uid="{477413EE-C38E-4263-B9DE-7B054E9CA13E}"/>
    <cellStyle name="Normal 8 2 3 2 3 4" xfId="9489" xr:uid="{073852D1-0868-49AF-93A2-D19C149EA630}"/>
    <cellStyle name="Normal 8 2 3 2 4" xfId="1373" xr:uid="{00000000-0005-0000-0000-0000AD1C0000}"/>
    <cellStyle name="Normal 8 2 3 2 4 2" xfId="3603" xr:uid="{00000000-0005-0000-0000-0000AE1C0000}"/>
    <cellStyle name="Normal 8 2 3 2 4 2 2" xfId="7826" xr:uid="{00000000-0005-0000-0000-0000AF1C0000}"/>
    <cellStyle name="Normal 8 2 3 2 4 2 2 2" xfId="16265" xr:uid="{12A8A34C-CB1D-4B08-963E-4C5C7B648972}"/>
    <cellStyle name="Normal 8 2 3 2 4 2 3" xfId="12047" xr:uid="{62C088D8-7983-4C17-A152-A0902A3A7EC0}"/>
    <cellStyle name="Normal 8 2 3 2 4 3" xfId="5681" xr:uid="{00000000-0005-0000-0000-0000B01C0000}"/>
    <cellStyle name="Normal 8 2 3 2 4 3 2" xfId="14120" xr:uid="{9EFE6FF3-CC32-40A2-BB0B-7E50D9DFA52D}"/>
    <cellStyle name="Normal 8 2 3 2 4 4" xfId="9902" xr:uid="{A1EEABD9-70D0-4220-A67D-65EBB04AB20E}"/>
    <cellStyle name="Normal 8 2 3 2 5" xfId="1786" xr:uid="{00000000-0005-0000-0000-0000B11C0000}"/>
    <cellStyle name="Normal 8 2 3 2 5 2" xfId="4016" xr:uid="{00000000-0005-0000-0000-0000B21C0000}"/>
    <cellStyle name="Normal 8 2 3 2 5 2 2" xfId="8239" xr:uid="{00000000-0005-0000-0000-0000B31C0000}"/>
    <cellStyle name="Normal 8 2 3 2 5 2 2 2" xfId="16678" xr:uid="{237BE75A-1B3B-4450-8AB6-124E84C5F45F}"/>
    <cellStyle name="Normal 8 2 3 2 5 2 3" xfId="12460" xr:uid="{9671E093-5CC5-441E-A7AF-C9CA09E7316F}"/>
    <cellStyle name="Normal 8 2 3 2 5 3" xfId="6094" xr:uid="{00000000-0005-0000-0000-0000B41C0000}"/>
    <cellStyle name="Normal 8 2 3 2 5 3 2" xfId="14533" xr:uid="{0061EE08-0C7A-48E3-9A63-B18EBEAA75E8}"/>
    <cellStyle name="Normal 8 2 3 2 5 4" xfId="10315" xr:uid="{61B67CB4-9E5F-48BE-AC5C-702F83B42EBB}"/>
    <cellStyle name="Normal 8 2 3 2 6" xfId="2200" xr:uid="{00000000-0005-0000-0000-0000B51C0000}"/>
    <cellStyle name="Normal 8 2 3 2 6 2" xfId="4429" xr:uid="{00000000-0005-0000-0000-0000B61C0000}"/>
    <cellStyle name="Normal 8 2 3 2 6 2 2" xfId="8652" xr:uid="{00000000-0005-0000-0000-0000B71C0000}"/>
    <cellStyle name="Normal 8 2 3 2 6 2 2 2" xfId="17091" xr:uid="{33978BA4-F4A4-4C8F-BE66-2D0799F08E54}"/>
    <cellStyle name="Normal 8 2 3 2 6 2 3" xfId="12873" xr:uid="{D4214A92-1C87-4A8E-8123-83E85DE14C18}"/>
    <cellStyle name="Normal 8 2 3 2 6 3" xfId="6507" xr:uid="{00000000-0005-0000-0000-0000B81C0000}"/>
    <cellStyle name="Normal 8 2 3 2 6 3 2" xfId="14946" xr:uid="{74E36D18-C91D-422D-8955-C4B3D39C598E}"/>
    <cellStyle name="Normal 8 2 3 2 6 4" xfId="10728" xr:uid="{303D7C22-9AC9-4266-A495-14644F399899}"/>
    <cellStyle name="Normal 8 2 3 2 7" xfId="2636" xr:uid="{00000000-0005-0000-0000-0000B91C0000}"/>
    <cellStyle name="Normal 8 2 3 2 7 2" xfId="6920" xr:uid="{00000000-0005-0000-0000-0000BA1C0000}"/>
    <cellStyle name="Normal 8 2 3 2 7 2 2" xfId="15359" xr:uid="{3771B9A8-0A8E-4CB8-B44D-4DC22ACA0D42}"/>
    <cellStyle name="Normal 8 2 3 2 7 3" xfId="11141" xr:uid="{DF22B3B7-238B-4876-925D-195070B8563D}"/>
    <cellStyle name="Normal 8 2 3 2 8" xfId="4855" xr:uid="{00000000-0005-0000-0000-0000BB1C0000}"/>
    <cellStyle name="Normal 8 2 3 2 8 2" xfId="13294" xr:uid="{FA3A0895-E22B-4649-9D9A-DC379ADDC752}"/>
    <cellStyle name="Normal 8 2 3 2 9" xfId="9076" xr:uid="{65D065FA-AA52-487D-83E2-9A72282A5846}"/>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15854" xr:uid="{74B33B40-8297-468E-A117-0251AF307889}"/>
    <cellStyle name="Normal 8 2 3 3 2 2 3" xfId="11636" xr:uid="{06BD92B6-EF2E-436B-B577-124F63801009}"/>
    <cellStyle name="Normal 8 2 3 3 2 3" xfId="5270" xr:uid="{00000000-0005-0000-0000-0000C01C0000}"/>
    <cellStyle name="Normal 8 2 3 3 2 3 2" xfId="13709" xr:uid="{DA078D1F-70DF-4199-BED8-E7B734FC95FB}"/>
    <cellStyle name="Normal 8 2 3 3 2 4" xfId="9491" xr:uid="{7C04A16D-BED9-438C-8240-4F326AAA0112}"/>
    <cellStyle name="Normal 8 2 3 3 3" xfId="1375" xr:uid="{00000000-0005-0000-0000-0000C11C0000}"/>
    <cellStyle name="Normal 8 2 3 3 3 2" xfId="3605" xr:uid="{00000000-0005-0000-0000-0000C21C0000}"/>
    <cellStyle name="Normal 8 2 3 3 3 2 2" xfId="7828" xr:uid="{00000000-0005-0000-0000-0000C31C0000}"/>
    <cellStyle name="Normal 8 2 3 3 3 2 2 2" xfId="16267" xr:uid="{649ADBF4-02FB-4BF2-A7FD-DA77C40470F0}"/>
    <cellStyle name="Normal 8 2 3 3 3 2 3" xfId="12049" xr:uid="{5DC0F937-526A-4093-9047-54D7FB090B2C}"/>
    <cellStyle name="Normal 8 2 3 3 3 3" xfId="5683" xr:uid="{00000000-0005-0000-0000-0000C41C0000}"/>
    <cellStyle name="Normal 8 2 3 3 3 3 2" xfId="14122" xr:uid="{77DE050C-8DFE-42FA-9FE5-37947B93296E}"/>
    <cellStyle name="Normal 8 2 3 3 3 4" xfId="9904" xr:uid="{9EC25621-823F-4175-8665-ED86E17070A0}"/>
    <cellStyle name="Normal 8 2 3 3 4" xfId="1788" xr:uid="{00000000-0005-0000-0000-0000C51C0000}"/>
    <cellStyle name="Normal 8 2 3 3 4 2" xfId="4018" xr:uid="{00000000-0005-0000-0000-0000C61C0000}"/>
    <cellStyle name="Normal 8 2 3 3 4 2 2" xfId="8241" xr:uid="{00000000-0005-0000-0000-0000C71C0000}"/>
    <cellStyle name="Normal 8 2 3 3 4 2 2 2" xfId="16680" xr:uid="{F02A8B87-E23A-4378-87EA-00ED0F84A224}"/>
    <cellStyle name="Normal 8 2 3 3 4 2 3" xfId="12462" xr:uid="{63214D77-A21B-4DD8-A1D3-33F9682D387C}"/>
    <cellStyle name="Normal 8 2 3 3 4 3" xfId="6096" xr:uid="{00000000-0005-0000-0000-0000C81C0000}"/>
    <cellStyle name="Normal 8 2 3 3 4 3 2" xfId="14535" xr:uid="{D540808B-F033-4F3E-9D66-6A26938A8804}"/>
    <cellStyle name="Normal 8 2 3 3 4 4" xfId="10317" xr:uid="{24173E6E-F8EA-49BB-A336-27154068C2CD}"/>
    <cellStyle name="Normal 8 2 3 3 5" xfId="2202" xr:uid="{00000000-0005-0000-0000-0000C91C0000}"/>
    <cellStyle name="Normal 8 2 3 3 5 2" xfId="4431" xr:uid="{00000000-0005-0000-0000-0000CA1C0000}"/>
    <cellStyle name="Normal 8 2 3 3 5 2 2" xfId="8654" xr:uid="{00000000-0005-0000-0000-0000CB1C0000}"/>
    <cellStyle name="Normal 8 2 3 3 5 2 2 2" xfId="17093" xr:uid="{2C927B48-5A62-4C03-9AA5-DFFD6558E555}"/>
    <cellStyle name="Normal 8 2 3 3 5 2 3" xfId="12875" xr:uid="{C9B463CF-FC4E-4036-BCAE-A51361855F74}"/>
    <cellStyle name="Normal 8 2 3 3 5 3" xfId="6509" xr:uid="{00000000-0005-0000-0000-0000CC1C0000}"/>
    <cellStyle name="Normal 8 2 3 3 5 3 2" xfId="14948" xr:uid="{C645DF78-223E-4D38-81D4-31D8DA3F3C60}"/>
    <cellStyle name="Normal 8 2 3 3 5 4" xfId="10730" xr:uid="{99B38CA7-3333-4903-A65D-9937864C16A1}"/>
    <cellStyle name="Normal 8 2 3 3 6" xfId="2638" xr:uid="{00000000-0005-0000-0000-0000CD1C0000}"/>
    <cellStyle name="Normal 8 2 3 3 6 2" xfId="6922" xr:uid="{00000000-0005-0000-0000-0000CE1C0000}"/>
    <cellStyle name="Normal 8 2 3 3 6 2 2" xfId="15361" xr:uid="{AC57FED1-DACA-4188-83D8-56FAA7C980BA}"/>
    <cellStyle name="Normal 8 2 3 3 6 3" xfId="11143" xr:uid="{8618C133-1906-4EC3-9402-19376E11AD90}"/>
    <cellStyle name="Normal 8 2 3 3 7" xfId="4857" xr:uid="{00000000-0005-0000-0000-0000CF1C0000}"/>
    <cellStyle name="Normal 8 2 3 3 7 2" xfId="13296" xr:uid="{D68C717A-FB45-48BA-91B9-CDA3CB5280E5}"/>
    <cellStyle name="Normal 8 2 3 3 8" xfId="9078" xr:uid="{1B143C0E-9CDF-4ECD-9194-106D3EE825BC}"/>
    <cellStyle name="Normal 8 2 3 4" xfId="955" xr:uid="{00000000-0005-0000-0000-0000D01C0000}"/>
    <cellStyle name="Normal 8 2 3 4 2" xfId="3189" xr:uid="{00000000-0005-0000-0000-0000D11C0000}"/>
    <cellStyle name="Normal 8 2 3 4 2 2" xfId="7412" xr:uid="{00000000-0005-0000-0000-0000D21C0000}"/>
    <cellStyle name="Normal 8 2 3 4 2 2 2" xfId="15851" xr:uid="{8C65DBEA-F8A2-4AEC-91A6-EBFA8846EE07}"/>
    <cellStyle name="Normal 8 2 3 4 2 3" xfId="11633" xr:uid="{144C0C98-5D6A-4684-A5A2-C1A8CB1EAD3A}"/>
    <cellStyle name="Normal 8 2 3 4 3" xfId="5267" xr:uid="{00000000-0005-0000-0000-0000D31C0000}"/>
    <cellStyle name="Normal 8 2 3 4 3 2" xfId="13706" xr:uid="{B21EAA51-CEF2-45A9-B681-00862015DE75}"/>
    <cellStyle name="Normal 8 2 3 4 4" xfId="9488" xr:uid="{3B05B2F4-2E4A-427D-A635-846A3DF1AE05}"/>
    <cellStyle name="Normal 8 2 3 5" xfId="1372" xr:uid="{00000000-0005-0000-0000-0000D41C0000}"/>
    <cellStyle name="Normal 8 2 3 5 2" xfId="3602" xr:uid="{00000000-0005-0000-0000-0000D51C0000}"/>
    <cellStyle name="Normal 8 2 3 5 2 2" xfId="7825" xr:uid="{00000000-0005-0000-0000-0000D61C0000}"/>
    <cellStyle name="Normal 8 2 3 5 2 2 2" xfId="16264" xr:uid="{2C7EFE31-BCA4-4F41-B2B5-E782C9DE59BD}"/>
    <cellStyle name="Normal 8 2 3 5 2 3" xfId="12046" xr:uid="{A8F67FC5-4A43-4EA9-9F73-348777E3F045}"/>
    <cellStyle name="Normal 8 2 3 5 3" xfId="5680" xr:uid="{00000000-0005-0000-0000-0000D71C0000}"/>
    <cellStyle name="Normal 8 2 3 5 3 2" xfId="14119" xr:uid="{CCD9B68E-2B37-4E63-BC15-40494699D762}"/>
    <cellStyle name="Normal 8 2 3 5 4" xfId="9901" xr:uid="{7E580DC0-E70E-47FE-B671-4526E767C7A8}"/>
    <cellStyle name="Normal 8 2 3 6" xfId="1785" xr:uid="{00000000-0005-0000-0000-0000D81C0000}"/>
    <cellStyle name="Normal 8 2 3 6 2" xfId="4015" xr:uid="{00000000-0005-0000-0000-0000D91C0000}"/>
    <cellStyle name="Normal 8 2 3 6 2 2" xfId="8238" xr:uid="{00000000-0005-0000-0000-0000DA1C0000}"/>
    <cellStyle name="Normal 8 2 3 6 2 2 2" xfId="16677" xr:uid="{D098576E-F917-422F-83F6-12DF4C272AC3}"/>
    <cellStyle name="Normal 8 2 3 6 2 3" xfId="12459" xr:uid="{F549B9B8-B785-4C9D-B42A-051DB8FC5242}"/>
    <cellStyle name="Normal 8 2 3 6 3" xfId="6093" xr:uid="{00000000-0005-0000-0000-0000DB1C0000}"/>
    <cellStyle name="Normal 8 2 3 6 3 2" xfId="14532" xr:uid="{64E48194-F0CB-4E92-9ADE-FB04CFC220DB}"/>
    <cellStyle name="Normal 8 2 3 6 4" xfId="10314" xr:uid="{FD844AF4-2BFD-4BAA-8C61-F4BC13D04F41}"/>
    <cellStyle name="Normal 8 2 3 7" xfId="2199" xr:uid="{00000000-0005-0000-0000-0000DC1C0000}"/>
    <cellStyle name="Normal 8 2 3 7 2" xfId="4428" xr:uid="{00000000-0005-0000-0000-0000DD1C0000}"/>
    <cellStyle name="Normal 8 2 3 7 2 2" xfId="8651" xr:uid="{00000000-0005-0000-0000-0000DE1C0000}"/>
    <cellStyle name="Normal 8 2 3 7 2 2 2" xfId="17090" xr:uid="{3C2423D4-4AB4-4249-ADD3-001E29D14294}"/>
    <cellStyle name="Normal 8 2 3 7 2 3" xfId="12872" xr:uid="{61E86DDC-EC08-4556-AFB5-4F13E4A60E6D}"/>
    <cellStyle name="Normal 8 2 3 7 3" xfId="6506" xr:uid="{00000000-0005-0000-0000-0000DF1C0000}"/>
    <cellStyle name="Normal 8 2 3 7 3 2" xfId="14945" xr:uid="{9D24BE2B-9608-439B-A11F-CF8DE496A8D3}"/>
    <cellStyle name="Normal 8 2 3 7 4" xfId="10727" xr:uid="{748F5FDB-0D64-44ED-8C21-886A1D4F4DC7}"/>
    <cellStyle name="Normal 8 2 3 8" xfId="2635" xr:uid="{00000000-0005-0000-0000-0000E01C0000}"/>
    <cellStyle name="Normal 8 2 3 8 2" xfId="6919" xr:uid="{00000000-0005-0000-0000-0000E11C0000}"/>
    <cellStyle name="Normal 8 2 3 8 2 2" xfId="15358" xr:uid="{9B99DC8A-85E3-4E25-AEAF-EE7BBC54C24A}"/>
    <cellStyle name="Normal 8 2 3 8 3" xfId="11140" xr:uid="{0C37B4AC-211A-48C0-809C-95FE7B4C1412}"/>
    <cellStyle name="Normal 8 2 3 9" xfId="4854" xr:uid="{00000000-0005-0000-0000-0000E21C0000}"/>
    <cellStyle name="Normal 8 2 3 9 2" xfId="13293" xr:uid="{BCC048B7-D2BE-403F-8F97-524626C28BA7}"/>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15856" xr:uid="{BD0E3009-5731-4106-AD74-E971ED78B624}"/>
    <cellStyle name="Normal 8 2 4 2 2 2 3" xfId="11638" xr:uid="{2577CDD0-2F04-4A67-8398-9E7F1CD4A1F6}"/>
    <cellStyle name="Normal 8 2 4 2 2 3" xfId="5272" xr:uid="{00000000-0005-0000-0000-0000E81C0000}"/>
    <cellStyle name="Normal 8 2 4 2 2 3 2" xfId="13711" xr:uid="{8C09DD85-A7D2-436B-BE70-CDFAF938B438}"/>
    <cellStyle name="Normal 8 2 4 2 2 4" xfId="9493" xr:uid="{0F84096D-22BB-446F-9A7C-14DC5C32651F}"/>
    <cellStyle name="Normal 8 2 4 2 3" xfId="1377" xr:uid="{00000000-0005-0000-0000-0000E91C0000}"/>
    <cellStyle name="Normal 8 2 4 2 3 2" xfId="3607" xr:uid="{00000000-0005-0000-0000-0000EA1C0000}"/>
    <cellStyle name="Normal 8 2 4 2 3 2 2" xfId="7830" xr:uid="{00000000-0005-0000-0000-0000EB1C0000}"/>
    <cellStyle name="Normal 8 2 4 2 3 2 2 2" xfId="16269" xr:uid="{7324794F-9AF1-45CE-98AB-B42E04695E8E}"/>
    <cellStyle name="Normal 8 2 4 2 3 2 3" xfId="12051" xr:uid="{678ECDAA-2484-48E3-BDF7-614DE246A81B}"/>
    <cellStyle name="Normal 8 2 4 2 3 3" xfId="5685" xr:uid="{00000000-0005-0000-0000-0000EC1C0000}"/>
    <cellStyle name="Normal 8 2 4 2 3 3 2" xfId="14124" xr:uid="{FD9A9065-DD3E-432E-8CA1-BC171C4F974B}"/>
    <cellStyle name="Normal 8 2 4 2 3 4" xfId="9906" xr:uid="{A182FF3A-84C4-424C-81E3-C51844EC0DBE}"/>
    <cellStyle name="Normal 8 2 4 2 4" xfId="1790" xr:uid="{00000000-0005-0000-0000-0000ED1C0000}"/>
    <cellStyle name="Normal 8 2 4 2 4 2" xfId="4020" xr:uid="{00000000-0005-0000-0000-0000EE1C0000}"/>
    <cellStyle name="Normal 8 2 4 2 4 2 2" xfId="8243" xr:uid="{00000000-0005-0000-0000-0000EF1C0000}"/>
    <cellStyle name="Normal 8 2 4 2 4 2 2 2" xfId="16682" xr:uid="{3699EFB7-7C46-45C4-A346-BED41536209F}"/>
    <cellStyle name="Normal 8 2 4 2 4 2 3" xfId="12464" xr:uid="{C5FC15F9-310E-4D29-8E63-2D16A3234FFC}"/>
    <cellStyle name="Normal 8 2 4 2 4 3" xfId="6098" xr:uid="{00000000-0005-0000-0000-0000F01C0000}"/>
    <cellStyle name="Normal 8 2 4 2 4 3 2" xfId="14537" xr:uid="{A274EF0A-1898-496E-B6B6-CB2933B22388}"/>
    <cellStyle name="Normal 8 2 4 2 4 4" xfId="10319" xr:uid="{448FDFCA-E57F-4814-B350-6279C4D4ECCC}"/>
    <cellStyle name="Normal 8 2 4 2 5" xfId="2204" xr:uid="{00000000-0005-0000-0000-0000F11C0000}"/>
    <cellStyle name="Normal 8 2 4 2 5 2" xfId="4433" xr:uid="{00000000-0005-0000-0000-0000F21C0000}"/>
    <cellStyle name="Normal 8 2 4 2 5 2 2" xfId="8656" xr:uid="{00000000-0005-0000-0000-0000F31C0000}"/>
    <cellStyle name="Normal 8 2 4 2 5 2 2 2" xfId="17095" xr:uid="{FB7434AF-5313-4218-8333-DC0ABA572D90}"/>
    <cellStyle name="Normal 8 2 4 2 5 2 3" xfId="12877" xr:uid="{F2A4ECB0-F8FA-462C-85B1-4FA7FC094679}"/>
    <cellStyle name="Normal 8 2 4 2 5 3" xfId="6511" xr:uid="{00000000-0005-0000-0000-0000F41C0000}"/>
    <cellStyle name="Normal 8 2 4 2 5 3 2" xfId="14950" xr:uid="{B731042C-BA16-47C9-BE90-BB3832C588FC}"/>
    <cellStyle name="Normal 8 2 4 2 5 4" xfId="10732" xr:uid="{D6D84174-46CE-4AAE-9589-190DBA5C9713}"/>
    <cellStyle name="Normal 8 2 4 2 6" xfId="2640" xr:uid="{00000000-0005-0000-0000-0000F51C0000}"/>
    <cellStyle name="Normal 8 2 4 2 6 2" xfId="6924" xr:uid="{00000000-0005-0000-0000-0000F61C0000}"/>
    <cellStyle name="Normal 8 2 4 2 6 2 2" xfId="15363" xr:uid="{98EC5AAA-41DA-4A74-A9F7-A2C44DB87D30}"/>
    <cellStyle name="Normal 8 2 4 2 6 3" xfId="11145" xr:uid="{D8BBDCC2-5ED2-45B3-9CEC-F020828D09A7}"/>
    <cellStyle name="Normal 8 2 4 2 7" xfId="4859" xr:uid="{00000000-0005-0000-0000-0000F71C0000}"/>
    <cellStyle name="Normal 8 2 4 2 7 2" xfId="13298" xr:uid="{B2E34F6D-C917-408A-BD55-11226D3346C0}"/>
    <cellStyle name="Normal 8 2 4 2 8" xfId="9080" xr:uid="{9CFBED3A-2418-41E7-9952-C741BDFF690E}"/>
    <cellStyle name="Normal 8 2 4 3" xfId="959" xr:uid="{00000000-0005-0000-0000-0000F81C0000}"/>
    <cellStyle name="Normal 8 2 4 3 2" xfId="3193" xr:uid="{00000000-0005-0000-0000-0000F91C0000}"/>
    <cellStyle name="Normal 8 2 4 3 2 2" xfId="7416" xr:uid="{00000000-0005-0000-0000-0000FA1C0000}"/>
    <cellStyle name="Normal 8 2 4 3 2 2 2" xfId="15855" xr:uid="{7E0B16BA-C89D-4170-8557-B30BCF5DC5E1}"/>
    <cellStyle name="Normal 8 2 4 3 2 3" xfId="11637" xr:uid="{BF4A86E2-02F7-4DFB-9B6F-B5FA16330AD6}"/>
    <cellStyle name="Normal 8 2 4 3 3" xfId="5271" xr:uid="{00000000-0005-0000-0000-0000FB1C0000}"/>
    <cellStyle name="Normal 8 2 4 3 3 2" xfId="13710" xr:uid="{71563FC6-545C-4022-8EDC-370EC9DD1810}"/>
    <cellStyle name="Normal 8 2 4 3 4" xfId="9492" xr:uid="{2E34C07E-3311-4590-9EBD-D6B47D2C4403}"/>
    <cellStyle name="Normal 8 2 4 4" xfId="1376" xr:uid="{00000000-0005-0000-0000-0000FC1C0000}"/>
    <cellStyle name="Normal 8 2 4 4 2" xfId="3606" xr:uid="{00000000-0005-0000-0000-0000FD1C0000}"/>
    <cellStyle name="Normal 8 2 4 4 2 2" xfId="7829" xr:uid="{00000000-0005-0000-0000-0000FE1C0000}"/>
    <cellStyle name="Normal 8 2 4 4 2 2 2" xfId="16268" xr:uid="{6D1A0C32-B741-472C-BE1F-491C45D3BAEC}"/>
    <cellStyle name="Normal 8 2 4 4 2 3" xfId="12050" xr:uid="{D424C00F-396B-440B-8EB6-4929C2382500}"/>
    <cellStyle name="Normal 8 2 4 4 3" xfId="5684" xr:uid="{00000000-0005-0000-0000-0000FF1C0000}"/>
    <cellStyle name="Normal 8 2 4 4 3 2" xfId="14123" xr:uid="{C101BFA6-F968-4EFC-9F04-3A9B354C9D54}"/>
    <cellStyle name="Normal 8 2 4 4 4" xfId="9905" xr:uid="{B783BFE9-A140-4FC1-A452-E063678AA620}"/>
    <cellStyle name="Normal 8 2 4 5" xfId="1789" xr:uid="{00000000-0005-0000-0000-0000001D0000}"/>
    <cellStyle name="Normal 8 2 4 5 2" xfId="4019" xr:uid="{00000000-0005-0000-0000-0000011D0000}"/>
    <cellStyle name="Normal 8 2 4 5 2 2" xfId="8242" xr:uid="{00000000-0005-0000-0000-0000021D0000}"/>
    <cellStyle name="Normal 8 2 4 5 2 2 2" xfId="16681" xr:uid="{A163C906-34E9-47F9-AAD0-46ABE7401554}"/>
    <cellStyle name="Normal 8 2 4 5 2 3" xfId="12463" xr:uid="{C3569E5E-AF3C-4B76-9DD8-95B880E115C7}"/>
    <cellStyle name="Normal 8 2 4 5 3" xfId="6097" xr:uid="{00000000-0005-0000-0000-0000031D0000}"/>
    <cellStyle name="Normal 8 2 4 5 3 2" xfId="14536" xr:uid="{A6B560C8-840C-4F39-96FD-CD71456D8A25}"/>
    <cellStyle name="Normal 8 2 4 5 4" xfId="10318" xr:uid="{FAA0D24A-00C4-4451-92CE-4970D6AC306A}"/>
    <cellStyle name="Normal 8 2 4 6" xfId="2203" xr:uid="{00000000-0005-0000-0000-0000041D0000}"/>
    <cellStyle name="Normal 8 2 4 6 2" xfId="4432" xr:uid="{00000000-0005-0000-0000-0000051D0000}"/>
    <cellStyle name="Normal 8 2 4 6 2 2" xfId="8655" xr:uid="{00000000-0005-0000-0000-0000061D0000}"/>
    <cellStyle name="Normal 8 2 4 6 2 2 2" xfId="17094" xr:uid="{8548F7EB-F88C-4806-852E-232725AB4054}"/>
    <cellStyle name="Normal 8 2 4 6 2 3" xfId="12876" xr:uid="{300A8DFA-FDA2-4C13-B948-D4DBD29729B9}"/>
    <cellStyle name="Normal 8 2 4 6 3" xfId="6510" xr:uid="{00000000-0005-0000-0000-0000071D0000}"/>
    <cellStyle name="Normal 8 2 4 6 3 2" xfId="14949" xr:uid="{4B2E4762-8536-4E8C-8960-E4269E9B7D97}"/>
    <cellStyle name="Normal 8 2 4 6 4" xfId="10731" xr:uid="{31C9AE56-A006-41D3-823A-41EDFA741BBF}"/>
    <cellStyle name="Normal 8 2 4 7" xfId="2639" xr:uid="{00000000-0005-0000-0000-0000081D0000}"/>
    <cellStyle name="Normal 8 2 4 7 2" xfId="6923" xr:uid="{00000000-0005-0000-0000-0000091D0000}"/>
    <cellStyle name="Normal 8 2 4 7 2 2" xfId="15362" xr:uid="{D5F5CE5C-D0CE-433E-A8C9-267CC720C778}"/>
    <cellStyle name="Normal 8 2 4 7 3" xfId="11144" xr:uid="{14E6F501-3C4D-4461-9F21-CB774EB76595}"/>
    <cellStyle name="Normal 8 2 4 8" xfId="4858" xr:uid="{00000000-0005-0000-0000-00000A1D0000}"/>
    <cellStyle name="Normal 8 2 4 8 2" xfId="13297" xr:uid="{3F9A608A-7308-4F42-987E-9C61609E060D}"/>
    <cellStyle name="Normal 8 2 4 9" xfId="9079" xr:uid="{6E705776-FEF1-4BFF-AC7F-3624E0DD49FB}"/>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2 2 2" xfId="15857" xr:uid="{C7ADB2A6-0939-46A2-94C0-C4FDF0EFCA03}"/>
    <cellStyle name="Normal 8 2 5 2 2 3" xfId="11639" xr:uid="{57127F50-099D-4CC3-9B97-D27E86E27EFB}"/>
    <cellStyle name="Normal 8 2 5 2 3" xfId="5273" xr:uid="{00000000-0005-0000-0000-00000F1D0000}"/>
    <cellStyle name="Normal 8 2 5 2 3 2" xfId="13712" xr:uid="{B48B0D66-432E-4AD3-B2A6-6D6A181DA5F9}"/>
    <cellStyle name="Normal 8 2 5 2 4" xfId="9494" xr:uid="{C95F1DE8-DB77-427F-94BC-92079DAAEF3C}"/>
    <cellStyle name="Normal 8 2 5 3" xfId="1378" xr:uid="{00000000-0005-0000-0000-0000101D0000}"/>
    <cellStyle name="Normal 8 2 5 3 2" xfId="3608" xr:uid="{00000000-0005-0000-0000-0000111D0000}"/>
    <cellStyle name="Normal 8 2 5 3 2 2" xfId="7831" xr:uid="{00000000-0005-0000-0000-0000121D0000}"/>
    <cellStyle name="Normal 8 2 5 3 2 2 2" xfId="16270" xr:uid="{20C5F122-DAFE-4700-9276-3F1CE05F6F2D}"/>
    <cellStyle name="Normal 8 2 5 3 2 3" xfId="12052" xr:uid="{943BAB6F-1C78-4CD6-9D6E-50599CC4A606}"/>
    <cellStyle name="Normal 8 2 5 3 3" xfId="5686" xr:uid="{00000000-0005-0000-0000-0000131D0000}"/>
    <cellStyle name="Normal 8 2 5 3 3 2" xfId="14125" xr:uid="{CA051437-8FB3-419B-A63B-3E194556DC58}"/>
    <cellStyle name="Normal 8 2 5 3 4" xfId="9907" xr:uid="{65E19115-E7B8-4383-9C45-CFB374BC761D}"/>
    <cellStyle name="Normal 8 2 5 4" xfId="1791" xr:uid="{00000000-0005-0000-0000-0000141D0000}"/>
    <cellStyle name="Normal 8 2 5 4 2" xfId="4021" xr:uid="{00000000-0005-0000-0000-0000151D0000}"/>
    <cellStyle name="Normal 8 2 5 4 2 2" xfId="8244" xr:uid="{00000000-0005-0000-0000-0000161D0000}"/>
    <cellStyle name="Normal 8 2 5 4 2 2 2" xfId="16683" xr:uid="{5779C3DB-FEA3-416F-BB2C-D0BB7E990592}"/>
    <cellStyle name="Normal 8 2 5 4 2 3" xfId="12465" xr:uid="{7A3D5B5A-727A-4B23-8378-3E0CABA9E3CE}"/>
    <cellStyle name="Normal 8 2 5 4 3" xfId="6099" xr:uid="{00000000-0005-0000-0000-0000171D0000}"/>
    <cellStyle name="Normal 8 2 5 4 3 2" xfId="14538" xr:uid="{1DC0938F-30A9-4B64-B380-39320F9751E3}"/>
    <cellStyle name="Normal 8 2 5 4 4" xfId="10320" xr:uid="{4F18085C-17EA-4C32-9E4B-A9F103E4413E}"/>
    <cellStyle name="Normal 8 2 5 5" xfId="2205" xr:uid="{00000000-0005-0000-0000-0000181D0000}"/>
    <cellStyle name="Normal 8 2 5 5 2" xfId="4434" xr:uid="{00000000-0005-0000-0000-0000191D0000}"/>
    <cellStyle name="Normal 8 2 5 5 2 2" xfId="8657" xr:uid="{00000000-0005-0000-0000-00001A1D0000}"/>
    <cellStyle name="Normal 8 2 5 5 2 2 2" xfId="17096" xr:uid="{AC1931D5-4725-4491-84CE-BCA5ACBB70BD}"/>
    <cellStyle name="Normal 8 2 5 5 2 3" xfId="12878" xr:uid="{9074C039-2C7C-4C0F-84FD-0E9066819408}"/>
    <cellStyle name="Normal 8 2 5 5 3" xfId="6512" xr:uid="{00000000-0005-0000-0000-00001B1D0000}"/>
    <cellStyle name="Normal 8 2 5 5 3 2" xfId="14951" xr:uid="{181562A1-7238-4AF1-92B1-7C4E6EBEFA2A}"/>
    <cellStyle name="Normal 8 2 5 5 4" xfId="10733" xr:uid="{EAC3D185-E9A3-4619-8A18-7A32218C301F}"/>
    <cellStyle name="Normal 8 2 5 6" xfId="2641" xr:uid="{00000000-0005-0000-0000-00001C1D0000}"/>
    <cellStyle name="Normal 8 2 5 6 2" xfId="6925" xr:uid="{00000000-0005-0000-0000-00001D1D0000}"/>
    <cellStyle name="Normal 8 2 5 6 2 2" xfId="15364" xr:uid="{1F0A671B-CADC-48CD-A23B-199563776569}"/>
    <cellStyle name="Normal 8 2 5 6 3" xfId="11146" xr:uid="{DE16AAB2-2FC6-4820-B234-B8171F3A1958}"/>
    <cellStyle name="Normal 8 2 5 7" xfId="4860" xr:uid="{00000000-0005-0000-0000-00001E1D0000}"/>
    <cellStyle name="Normal 8 2 5 7 2" xfId="13299" xr:uid="{EF60467A-A4BE-4397-82B2-50B760BAEC94}"/>
    <cellStyle name="Normal 8 2 5 8" xfId="9081" xr:uid="{AE9FBF43-7AB9-4D31-B9A7-E38D149D6E85}"/>
    <cellStyle name="Normal 8 2 6" xfId="946" xr:uid="{00000000-0005-0000-0000-00001F1D0000}"/>
    <cellStyle name="Normal 8 2 6 2" xfId="3180" xr:uid="{00000000-0005-0000-0000-0000201D0000}"/>
    <cellStyle name="Normal 8 2 6 2 2" xfId="7403" xr:uid="{00000000-0005-0000-0000-0000211D0000}"/>
    <cellStyle name="Normal 8 2 6 2 2 2" xfId="15842" xr:uid="{4B158F68-BBD8-4D8C-BAC5-672DE1F6210E}"/>
    <cellStyle name="Normal 8 2 6 2 3" xfId="11624" xr:uid="{8CE8216E-3886-4473-AD8B-8CA53C383888}"/>
    <cellStyle name="Normal 8 2 6 3" xfId="5258" xr:uid="{00000000-0005-0000-0000-0000221D0000}"/>
    <cellStyle name="Normal 8 2 6 3 2" xfId="13697" xr:uid="{79524EC5-7663-4B35-80A4-EF8E5EA4197D}"/>
    <cellStyle name="Normal 8 2 6 4" xfId="9479" xr:uid="{C312D831-F939-4608-AB06-C3E9FE8694D8}"/>
    <cellStyle name="Normal 8 2 7" xfId="1363" xr:uid="{00000000-0005-0000-0000-0000231D0000}"/>
    <cellStyle name="Normal 8 2 7 2" xfId="3593" xr:uid="{00000000-0005-0000-0000-0000241D0000}"/>
    <cellStyle name="Normal 8 2 7 2 2" xfId="7816" xr:uid="{00000000-0005-0000-0000-0000251D0000}"/>
    <cellStyle name="Normal 8 2 7 2 2 2" xfId="16255" xr:uid="{09B615E8-AD21-4025-A235-892C70FF6124}"/>
    <cellStyle name="Normal 8 2 7 2 3" xfId="12037" xr:uid="{DD54F857-BEDE-4EF6-B226-3081C9A59624}"/>
    <cellStyle name="Normal 8 2 7 3" xfId="5671" xr:uid="{00000000-0005-0000-0000-0000261D0000}"/>
    <cellStyle name="Normal 8 2 7 3 2" xfId="14110" xr:uid="{325213D1-B98E-4016-854C-9B26349D7054}"/>
    <cellStyle name="Normal 8 2 7 4" xfId="9892" xr:uid="{85F79167-3163-49BA-81E2-2878AAF5BA6E}"/>
    <cellStyle name="Normal 8 2 8" xfId="1776" xr:uid="{00000000-0005-0000-0000-0000271D0000}"/>
    <cellStyle name="Normal 8 2 8 2" xfId="4006" xr:uid="{00000000-0005-0000-0000-0000281D0000}"/>
    <cellStyle name="Normal 8 2 8 2 2" xfId="8229" xr:uid="{00000000-0005-0000-0000-0000291D0000}"/>
    <cellStyle name="Normal 8 2 8 2 2 2" xfId="16668" xr:uid="{74C7F23F-D216-467D-90C9-712158C20577}"/>
    <cellStyle name="Normal 8 2 8 2 3" xfId="12450" xr:uid="{E19836B3-7E98-4C4C-B67E-F13821251C92}"/>
    <cellStyle name="Normal 8 2 8 3" xfId="6084" xr:uid="{00000000-0005-0000-0000-00002A1D0000}"/>
    <cellStyle name="Normal 8 2 8 3 2" xfId="14523" xr:uid="{5DC4CD21-21AB-45BC-8336-4CE2D39F9F7D}"/>
    <cellStyle name="Normal 8 2 8 4" xfId="10305" xr:uid="{9CD04565-9AD0-4CC4-904E-B269A1C66FB7}"/>
    <cellStyle name="Normal 8 2 9" xfId="2190" xr:uid="{00000000-0005-0000-0000-00002B1D0000}"/>
    <cellStyle name="Normal 8 2 9 2" xfId="4419" xr:uid="{00000000-0005-0000-0000-00002C1D0000}"/>
    <cellStyle name="Normal 8 2 9 2 2" xfId="8642" xr:uid="{00000000-0005-0000-0000-00002D1D0000}"/>
    <cellStyle name="Normal 8 2 9 2 2 2" xfId="17081" xr:uid="{F6BD97DB-C489-40CB-B78A-7E15B7341980}"/>
    <cellStyle name="Normal 8 2 9 2 3" xfId="12863" xr:uid="{4F833B1A-251B-4DA0-8074-1496014F92F6}"/>
    <cellStyle name="Normal 8 2 9 3" xfId="6497" xr:uid="{00000000-0005-0000-0000-00002E1D0000}"/>
    <cellStyle name="Normal 8 2 9 3 2" xfId="14936" xr:uid="{0C5172EE-CF0A-49FC-BE75-101A04B4EB4F}"/>
    <cellStyle name="Normal 8 2 9 4" xfId="10718" xr:uid="{1EB05A19-3DCD-41CA-B99B-E6B107C1B7A2}"/>
    <cellStyle name="Normal 8 3" xfId="495" xr:uid="{00000000-0005-0000-0000-00002F1D0000}"/>
    <cellStyle name="Normal 8 3 10" xfId="4861" xr:uid="{00000000-0005-0000-0000-0000301D0000}"/>
    <cellStyle name="Normal 8 3 10 2" xfId="13300" xr:uid="{6A9553F2-031C-4A65-AFDE-83831DF1C444}"/>
    <cellStyle name="Normal 8 3 11" xfId="9082" xr:uid="{54907E50-8496-4407-81AF-70B150E1D41D}"/>
    <cellStyle name="Normal 8 3 2" xfId="496" xr:uid="{00000000-0005-0000-0000-0000311D0000}"/>
    <cellStyle name="Normal 8 3 2 10" xfId="9083" xr:uid="{ABA42BC1-8D8C-4493-A667-3A1664D21363}"/>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15861" xr:uid="{76305959-4C48-405C-A192-638E52B75BF9}"/>
    <cellStyle name="Normal 8 3 2 2 2 2 2 3" xfId="11643" xr:uid="{07EAFC8C-5982-4E5A-BEC7-30F60CA923D6}"/>
    <cellStyle name="Normal 8 3 2 2 2 2 3" xfId="5277" xr:uid="{00000000-0005-0000-0000-0000371D0000}"/>
    <cellStyle name="Normal 8 3 2 2 2 2 3 2" xfId="13716" xr:uid="{BB7F788A-789A-4616-B09B-D9E7D1562BAD}"/>
    <cellStyle name="Normal 8 3 2 2 2 2 4" xfId="9498" xr:uid="{D9477F6F-CED5-43F0-9ADE-BCF233C91C4A}"/>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2 2" xfId="16274" xr:uid="{97C79DA4-8243-4338-93F4-E76230A40ED7}"/>
    <cellStyle name="Normal 8 3 2 2 2 3 2 3" xfId="12056" xr:uid="{51A6D975-4920-4F1D-B3BE-23226336216E}"/>
    <cellStyle name="Normal 8 3 2 2 2 3 3" xfId="5690" xr:uid="{00000000-0005-0000-0000-00003B1D0000}"/>
    <cellStyle name="Normal 8 3 2 2 2 3 3 2" xfId="14129" xr:uid="{4E463D5F-67D3-439F-96D9-051500E18175}"/>
    <cellStyle name="Normal 8 3 2 2 2 3 4" xfId="9911" xr:uid="{584C739B-7375-4A62-A1C7-FE253A22F9F8}"/>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2 2 2" xfId="16687" xr:uid="{2E20E04A-5ABE-48F9-9911-1F3D870916C3}"/>
    <cellStyle name="Normal 8 3 2 2 2 4 2 3" xfId="12469" xr:uid="{1C479138-A8AC-452C-9BA2-E2ACC6295791}"/>
    <cellStyle name="Normal 8 3 2 2 2 4 3" xfId="6103" xr:uid="{00000000-0005-0000-0000-00003F1D0000}"/>
    <cellStyle name="Normal 8 3 2 2 2 4 3 2" xfId="14542" xr:uid="{D0B47F97-1254-4C31-8F45-F49BC1051B58}"/>
    <cellStyle name="Normal 8 3 2 2 2 4 4" xfId="10324" xr:uid="{63320417-C2D7-4796-8DBE-C4E5EA5612BF}"/>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2 2 2" xfId="17100" xr:uid="{A7CACA7A-971E-4E58-9C54-AB57BC18416A}"/>
    <cellStyle name="Normal 8 3 2 2 2 5 2 3" xfId="12882" xr:uid="{7F7D9EF1-D432-468C-9D30-A9FEF94F65FA}"/>
    <cellStyle name="Normal 8 3 2 2 2 5 3" xfId="6516" xr:uid="{00000000-0005-0000-0000-0000431D0000}"/>
    <cellStyle name="Normal 8 3 2 2 2 5 3 2" xfId="14955" xr:uid="{4D13C204-BF6F-4940-9BDF-B7C07798DC7C}"/>
    <cellStyle name="Normal 8 3 2 2 2 5 4" xfId="10737" xr:uid="{AA72C050-A742-4395-8B4D-FA3FF15AD66A}"/>
    <cellStyle name="Normal 8 3 2 2 2 6" xfId="2645" xr:uid="{00000000-0005-0000-0000-0000441D0000}"/>
    <cellStyle name="Normal 8 3 2 2 2 6 2" xfId="6929" xr:uid="{00000000-0005-0000-0000-0000451D0000}"/>
    <cellStyle name="Normal 8 3 2 2 2 6 2 2" xfId="15368" xr:uid="{B3F76AED-7EA1-4594-B6FC-66C560F01417}"/>
    <cellStyle name="Normal 8 3 2 2 2 6 3" xfId="11150" xr:uid="{29BCB1D6-C31E-415A-A3F2-FEDC29D16BA2}"/>
    <cellStyle name="Normal 8 3 2 2 2 7" xfId="4864" xr:uid="{00000000-0005-0000-0000-0000461D0000}"/>
    <cellStyle name="Normal 8 3 2 2 2 7 2" xfId="13303" xr:uid="{8635D546-FDE1-4180-8DC2-C2C418038C52}"/>
    <cellStyle name="Normal 8 3 2 2 2 8" xfId="9085" xr:uid="{32C3D562-D753-43D4-AA64-3DE1FEC7FAB2}"/>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15860" xr:uid="{9D181472-B918-4199-BBB4-2E4D682DC294}"/>
    <cellStyle name="Normal 8 3 2 2 3 2 3" xfId="11642" xr:uid="{35DCF1A4-130F-4991-8D21-D44D63B331E1}"/>
    <cellStyle name="Normal 8 3 2 2 3 3" xfId="5276" xr:uid="{00000000-0005-0000-0000-00004A1D0000}"/>
    <cellStyle name="Normal 8 3 2 2 3 3 2" xfId="13715" xr:uid="{B01855DD-D6BA-46BB-8436-0682B3247117}"/>
    <cellStyle name="Normal 8 3 2 2 3 4" xfId="9497" xr:uid="{643E7641-920F-488F-945B-9632135CB014}"/>
    <cellStyle name="Normal 8 3 2 2 4" xfId="1381" xr:uid="{00000000-0005-0000-0000-00004B1D0000}"/>
    <cellStyle name="Normal 8 3 2 2 4 2" xfId="3611" xr:uid="{00000000-0005-0000-0000-00004C1D0000}"/>
    <cellStyle name="Normal 8 3 2 2 4 2 2" xfId="7834" xr:uid="{00000000-0005-0000-0000-00004D1D0000}"/>
    <cellStyle name="Normal 8 3 2 2 4 2 2 2" xfId="16273" xr:uid="{927C686B-93B3-4CAF-A686-0EFFA44CC44A}"/>
    <cellStyle name="Normal 8 3 2 2 4 2 3" xfId="12055" xr:uid="{AA03EDBA-35D8-4535-92D3-88CE4B4EF26C}"/>
    <cellStyle name="Normal 8 3 2 2 4 3" xfId="5689" xr:uid="{00000000-0005-0000-0000-00004E1D0000}"/>
    <cellStyle name="Normal 8 3 2 2 4 3 2" xfId="14128" xr:uid="{D8A382B6-77D7-4252-AF06-ACEC2AA2A6CE}"/>
    <cellStyle name="Normal 8 3 2 2 4 4" xfId="9910" xr:uid="{F45938A2-ABAA-48CC-9BA9-52FD7C4C46D4}"/>
    <cellStyle name="Normal 8 3 2 2 5" xfId="1794" xr:uid="{00000000-0005-0000-0000-00004F1D0000}"/>
    <cellStyle name="Normal 8 3 2 2 5 2" xfId="4024" xr:uid="{00000000-0005-0000-0000-0000501D0000}"/>
    <cellStyle name="Normal 8 3 2 2 5 2 2" xfId="8247" xr:uid="{00000000-0005-0000-0000-0000511D0000}"/>
    <cellStyle name="Normal 8 3 2 2 5 2 2 2" xfId="16686" xr:uid="{A96C5FDB-0822-41EC-B48E-320EBC60D92D}"/>
    <cellStyle name="Normal 8 3 2 2 5 2 3" xfId="12468" xr:uid="{E01683FF-75EF-4106-B125-277094011D7D}"/>
    <cellStyle name="Normal 8 3 2 2 5 3" xfId="6102" xr:uid="{00000000-0005-0000-0000-0000521D0000}"/>
    <cellStyle name="Normal 8 3 2 2 5 3 2" xfId="14541" xr:uid="{2511B27A-0163-488D-84D4-C9C20A998823}"/>
    <cellStyle name="Normal 8 3 2 2 5 4" xfId="10323" xr:uid="{08C31C9D-43EB-4965-BC94-B56210E1E84F}"/>
    <cellStyle name="Normal 8 3 2 2 6" xfId="2208" xr:uid="{00000000-0005-0000-0000-0000531D0000}"/>
    <cellStyle name="Normal 8 3 2 2 6 2" xfId="4437" xr:uid="{00000000-0005-0000-0000-0000541D0000}"/>
    <cellStyle name="Normal 8 3 2 2 6 2 2" xfId="8660" xr:uid="{00000000-0005-0000-0000-0000551D0000}"/>
    <cellStyle name="Normal 8 3 2 2 6 2 2 2" xfId="17099" xr:uid="{2D28FBE5-7A15-4BCF-9768-38891DABC1A1}"/>
    <cellStyle name="Normal 8 3 2 2 6 2 3" xfId="12881" xr:uid="{03776B2A-7E10-412E-9FE3-7B1E7C121FC2}"/>
    <cellStyle name="Normal 8 3 2 2 6 3" xfId="6515" xr:uid="{00000000-0005-0000-0000-0000561D0000}"/>
    <cellStyle name="Normal 8 3 2 2 6 3 2" xfId="14954" xr:uid="{02FA52D8-54CA-4ED5-8FB1-1E59931ED5C3}"/>
    <cellStyle name="Normal 8 3 2 2 6 4" xfId="10736" xr:uid="{2586E1FB-3D4C-46E9-9376-0637855D527B}"/>
    <cellStyle name="Normal 8 3 2 2 7" xfId="2644" xr:uid="{00000000-0005-0000-0000-0000571D0000}"/>
    <cellStyle name="Normal 8 3 2 2 7 2" xfId="6928" xr:uid="{00000000-0005-0000-0000-0000581D0000}"/>
    <cellStyle name="Normal 8 3 2 2 7 2 2" xfId="15367" xr:uid="{D8399246-7640-4BAA-A758-8CA4356D5224}"/>
    <cellStyle name="Normal 8 3 2 2 7 3" xfId="11149" xr:uid="{236F3EFF-668A-4B6A-9489-0EE8BD7D08C6}"/>
    <cellStyle name="Normal 8 3 2 2 8" xfId="4863" xr:uid="{00000000-0005-0000-0000-0000591D0000}"/>
    <cellStyle name="Normal 8 3 2 2 8 2" xfId="13302" xr:uid="{2D11CC4B-E6F3-4A3D-8D56-1906634FC62E}"/>
    <cellStyle name="Normal 8 3 2 2 9" xfId="9084" xr:uid="{F90636D3-C665-424B-92EF-72706A3F1CA8}"/>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15862" xr:uid="{02D11FD0-6E98-49E2-A19A-6E3B174FF352}"/>
    <cellStyle name="Normal 8 3 2 3 2 2 3" xfId="11644" xr:uid="{64CD85AC-704B-4ED2-BEBB-3A16FC1F1750}"/>
    <cellStyle name="Normal 8 3 2 3 2 3" xfId="5278" xr:uid="{00000000-0005-0000-0000-00005E1D0000}"/>
    <cellStyle name="Normal 8 3 2 3 2 3 2" xfId="13717" xr:uid="{EE0D549F-87BD-470B-8CAB-DAF89D02654A}"/>
    <cellStyle name="Normal 8 3 2 3 2 4" xfId="9499" xr:uid="{0C90C926-D3E1-47AA-8875-5AB721292DEE}"/>
    <cellStyle name="Normal 8 3 2 3 3" xfId="1383" xr:uid="{00000000-0005-0000-0000-00005F1D0000}"/>
    <cellStyle name="Normal 8 3 2 3 3 2" xfId="3613" xr:uid="{00000000-0005-0000-0000-0000601D0000}"/>
    <cellStyle name="Normal 8 3 2 3 3 2 2" xfId="7836" xr:uid="{00000000-0005-0000-0000-0000611D0000}"/>
    <cellStyle name="Normal 8 3 2 3 3 2 2 2" xfId="16275" xr:uid="{AFFE2C9B-090D-46D9-9484-96DBA02F1A89}"/>
    <cellStyle name="Normal 8 3 2 3 3 2 3" xfId="12057" xr:uid="{4BE58230-F5E2-439E-B66B-FA10B5814450}"/>
    <cellStyle name="Normal 8 3 2 3 3 3" xfId="5691" xr:uid="{00000000-0005-0000-0000-0000621D0000}"/>
    <cellStyle name="Normal 8 3 2 3 3 3 2" xfId="14130" xr:uid="{3D15662B-185D-478B-8223-0944420F5621}"/>
    <cellStyle name="Normal 8 3 2 3 3 4" xfId="9912" xr:uid="{40BA88D2-C5F6-415F-A4A5-3F724F78993C}"/>
    <cellStyle name="Normal 8 3 2 3 4" xfId="1796" xr:uid="{00000000-0005-0000-0000-0000631D0000}"/>
    <cellStyle name="Normal 8 3 2 3 4 2" xfId="4026" xr:uid="{00000000-0005-0000-0000-0000641D0000}"/>
    <cellStyle name="Normal 8 3 2 3 4 2 2" xfId="8249" xr:uid="{00000000-0005-0000-0000-0000651D0000}"/>
    <cellStyle name="Normal 8 3 2 3 4 2 2 2" xfId="16688" xr:uid="{B57B0810-A70D-462A-89E1-9983A080690B}"/>
    <cellStyle name="Normal 8 3 2 3 4 2 3" xfId="12470" xr:uid="{22667124-0FFC-4E32-9013-E71971166490}"/>
    <cellStyle name="Normal 8 3 2 3 4 3" xfId="6104" xr:uid="{00000000-0005-0000-0000-0000661D0000}"/>
    <cellStyle name="Normal 8 3 2 3 4 3 2" xfId="14543" xr:uid="{8C8A7DA9-79CB-4B97-A5FF-F231409CC6AA}"/>
    <cellStyle name="Normal 8 3 2 3 4 4" xfId="10325" xr:uid="{C9F681CB-0240-470D-92C2-BB645F7914AC}"/>
    <cellStyle name="Normal 8 3 2 3 5" xfId="2210" xr:uid="{00000000-0005-0000-0000-0000671D0000}"/>
    <cellStyle name="Normal 8 3 2 3 5 2" xfId="4439" xr:uid="{00000000-0005-0000-0000-0000681D0000}"/>
    <cellStyle name="Normal 8 3 2 3 5 2 2" xfId="8662" xr:uid="{00000000-0005-0000-0000-0000691D0000}"/>
    <cellStyle name="Normal 8 3 2 3 5 2 2 2" xfId="17101" xr:uid="{49DBC6FA-5F32-4340-85B6-44B408B16ACF}"/>
    <cellStyle name="Normal 8 3 2 3 5 2 3" xfId="12883" xr:uid="{A378DE9A-2E3D-4A27-A992-F6B1B9D6C262}"/>
    <cellStyle name="Normal 8 3 2 3 5 3" xfId="6517" xr:uid="{00000000-0005-0000-0000-00006A1D0000}"/>
    <cellStyle name="Normal 8 3 2 3 5 3 2" xfId="14956" xr:uid="{D3149951-715C-412E-AC78-ECC91F8E4C66}"/>
    <cellStyle name="Normal 8 3 2 3 5 4" xfId="10738" xr:uid="{E4CEB543-5D88-4C33-A2B7-5AC23C1F3C39}"/>
    <cellStyle name="Normal 8 3 2 3 6" xfId="2646" xr:uid="{00000000-0005-0000-0000-00006B1D0000}"/>
    <cellStyle name="Normal 8 3 2 3 6 2" xfId="6930" xr:uid="{00000000-0005-0000-0000-00006C1D0000}"/>
    <cellStyle name="Normal 8 3 2 3 6 2 2" xfId="15369" xr:uid="{B275C34B-45F2-4CE0-8172-5BCF0388F702}"/>
    <cellStyle name="Normal 8 3 2 3 6 3" xfId="11151" xr:uid="{48C570E0-3428-41C2-A20C-864BB4F74A70}"/>
    <cellStyle name="Normal 8 3 2 3 7" xfId="4865" xr:uid="{00000000-0005-0000-0000-00006D1D0000}"/>
    <cellStyle name="Normal 8 3 2 3 7 2" xfId="13304" xr:uid="{1FCD73BF-D190-4E8D-811B-E17DF3B4AB12}"/>
    <cellStyle name="Normal 8 3 2 3 8" xfId="9086" xr:uid="{E8C4F0DD-1DDA-4BE7-B873-70719056CC1B}"/>
    <cellStyle name="Normal 8 3 2 4" xfId="963" xr:uid="{00000000-0005-0000-0000-00006E1D0000}"/>
    <cellStyle name="Normal 8 3 2 4 2" xfId="3197" xr:uid="{00000000-0005-0000-0000-00006F1D0000}"/>
    <cellStyle name="Normal 8 3 2 4 2 2" xfId="7420" xr:uid="{00000000-0005-0000-0000-0000701D0000}"/>
    <cellStyle name="Normal 8 3 2 4 2 2 2" xfId="15859" xr:uid="{52A2BD61-5F98-405B-BB38-2AF72B79C086}"/>
    <cellStyle name="Normal 8 3 2 4 2 3" xfId="11641" xr:uid="{A26B9CD4-9FB2-4D74-83C6-50534D73B2D8}"/>
    <cellStyle name="Normal 8 3 2 4 3" xfId="5275" xr:uid="{00000000-0005-0000-0000-0000711D0000}"/>
    <cellStyle name="Normal 8 3 2 4 3 2" xfId="13714" xr:uid="{F6659C4D-6C56-4D99-BF4B-43C54D571EC1}"/>
    <cellStyle name="Normal 8 3 2 4 4" xfId="9496" xr:uid="{03996201-65D8-4B08-BAF1-A737AC9152B4}"/>
    <cellStyle name="Normal 8 3 2 5" xfId="1380" xr:uid="{00000000-0005-0000-0000-0000721D0000}"/>
    <cellStyle name="Normal 8 3 2 5 2" xfId="3610" xr:uid="{00000000-0005-0000-0000-0000731D0000}"/>
    <cellStyle name="Normal 8 3 2 5 2 2" xfId="7833" xr:uid="{00000000-0005-0000-0000-0000741D0000}"/>
    <cellStyle name="Normal 8 3 2 5 2 2 2" xfId="16272" xr:uid="{2A278AAC-20CB-4A63-BAC8-67E397FCB653}"/>
    <cellStyle name="Normal 8 3 2 5 2 3" xfId="12054" xr:uid="{6F194F16-6185-4C45-B006-71B2002A235A}"/>
    <cellStyle name="Normal 8 3 2 5 3" xfId="5688" xr:uid="{00000000-0005-0000-0000-0000751D0000}"/>
    <cellStyle name="Normal 8 3 2 5 3 2" xfId="14127" xr:uid="{145061B9-741F-4ADD-BE0A-047794E424E3}"/>
    <cellStyle name="Normal 8 3 2 5 4" xfId="9909" xr:uid="{7B51630F-4CA5-4D1C-B40D-6697D6368A55}"/>
    <cellStyle name="Normal 8 3 2 6" xfId="1793" xr:uid="{00000000-0005-0000-0000-0000761D0000}"/>
    <cellStyle name="Normal 8 3 2 6 2" xfId="4023" xr:uid="{00000000-0005-0000-0000-0000771D0000}"/>
    <cellStyle name="Normal 8 3 2 6 2 2" xfId="8246" xr:uid="{00000000-0005-0000-0000-0000781D0000}"/>
    <cellStyle name="Normal 8 3 2 6 2 2 2" xfId="16685" xr:uid="{A5279C6E-5CD2-4F5A-A9FE-BBD36E0DF749}"/>
    <cellStyle name="Normal 8 3 2 6 2 3" xfId="12467" xr:uid="{E9B2D978-F541-494D-B5F6-63BD6D72A43C}"/>
    <cellStyle name="Normal 8 3 2 6 3" xfId="6101" xr:uid="{00000000-0005-0000-0000-0000791D0000}"/>
    <cellStyle name="Normal 8 3 2 6 3 2" xfId="14540" xr:uid="{9E7A0A17-EC5E-4847-9249-F5786DC610FF}"/>
    <cellStyle name="Normal 8 3 2 6 4" xfId="10322" xr:uid="{7476BE7C-C829-4E62-80F3-7BD8F0102A80}"/>
    <cellStyle name="Normal 8 3 2 7" xfId="2207" xr:uid="{00000000-0005-0000-0000-00007A1D0000}"/>
    <cellStyle name="Normal 8 3 2 7 2" xfId="4436" xr:uid="{00000000-0005-0000-0000-00007B1D0000}"/>
    <cellStyle name="Normal 8 3 2 7 2 2" xfId="8659" xr:uid="{00000000-0005-0000-0000-00007C1D0000}"/>
    <cellStyle name="Normal 8 3 2 7 2 2 2" xfId="17098" xr:uid="{19846B27-A26C-491E-947F-8D5E1B376D15}"/>
    <cellStyle name="Normal 8 3 2 7 2 3" xfId="12880" xr:uid="{B3D5B591-5196-4012-B9C3-9ABC6171426D}"/>
    <cellStyle name="Normal 8 3 2 7 3" xfId="6514" xr:uid="{00000000-0005-0000-0000-00007D1D0000}"/>
    <cellStyle name="Normal 8 3 2 7 3 2" xfId="14953" xr:uid="{A83C26BC-A59E-4750-B2BC-45305A88CCC2}"/>
    <cellStyle name="Normal 8 3 2 7 4" xfId="10735" xr:uid="{CEC3955B-333E-460C-ABBB-73EEF1A1462B}"/>
    <cellStyle name="Normal 8 3 2 8" xfId="2643" xr:uid="{00000000-0005-0000-0000-00007E1D0000}"/>
    <cellStyle name="Normal 8 3 2 8 2" xfId="6927" xr:uid="{00000000-0005-0000-0000-00007F1D0000}"/>
    <cellStyle name="Normal 8 3 2 8 2 2" xfId="15366" xr:uid="{DDAE372A-F8F3-4F51-AB98-474951DC7ACB}"/>
    <cellStyle name="Normal 8 3 2 8 3" xfId="11148" xr:uid="{28B4D090-029A-46EB-A659-C2DA7CF4A2C8}"/>
    <cellStyle name="Normal 8 3 2 9" xfId="4862" xr:uid="{00000000-0005-0000-0000-0000801D0000}"/>
    <cellStyle name="Normal 8 3 2 9 2" xfId="13301" xr:uid="{AD468FF8-0BF2-4CD0-BE4B-3DB07E9C707D}"/>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15864" xr:uid="{841E021D-4C10-4500-AF10-5BE521EE32DD}"/>
    <cellStyle name="Normal 8 3 3 2 2 2 3" xfId="11646" xr:uid="{DB7684F7-CBE6-4E12-A38D-CDFCD94C2454}"/>
    <cellStyle name="Normal 8 3 3 2 2 3" xfId="5280" xr:uid="{00000000-0005-0000-0000-0000861D0000}"/>
    <cellStyle name="Normal 8 3 3 2 2 3 2" xfId="13719" xr:uid="{BFDF4AEF-2B23-4EDA-88F8-D7F99E19B134}"/>
    <cellStyle name="Normal 8 3 3 2 2 4" xfId="9501" xr:uid="{25506C77-C7CE-43EB-BF36-0B53FB2F7C2B}"/>
    <cellStyle name="Normal 8 3 3 2 3" xfId="1385" xr:uid="{00000000-0005-0000-0000-0000871D0000}"/>
    <cellStyle name="Normal 8 3 3 2 3 2" xfId="3615" xr:uid="{00000000-0005-0000-0000-0000881D0000}"/>
    <cellStyle name="Normal 8 3 3 2 3 2 2" xfId="7838" xr:uid="{00000000-0005-0000-0000-0000891D0000}"/>
    <cellStyle name="Normal 8 3 3 2 3 2 2 2" xfId="16277" xr:uid="{6270D127-20BB-490B-A192-EC10557F15B3}"/>
    <cellStyle name="Normal 8 3 3 2 3 2 3" xfId="12059" xr:uid="{69F69142-FC19-4CA2-83DF-0DC1F154267D}"/>
    <cellStyle name="Normal 8 3 3 2 3 3" xfId="5693" xr:uid="{00000000-0005-0000-0000-00008A1D0000}"/>
    <cellStyle name="Normal 8 3 3 2 3 3 2" xfId="14132" xr:uid="{4C1D87F2-1AD2-4786-8189-D797D93ACAF9}"/>
    <cellStyle name="Normal 8 3 3 2 3 4" xfId="9914" xr:uid="{8298A3E3-B976-4B69-B543-20538F69CC46}"/>
    <cellStyle name="Normal 8 3 3 2 4" xfId="1798" xr:uid="{00000000-0005-0000-0000-00008B1D0000}"/>
    <cellStyle name="Normal 8 3 3 2 4 2" xfId="4028" xr:uid="{00000000-0005-0000-0000-00008C1D0000}"/>
    <cellStyle name="Normal 8 3 3 2 4 2 2" xfId="8251" xr:uid="{00000000-0005-0000-0000-00008D1D0000}"/>
    <cellStyle name="Normal 8 3 3 2 4 2 2 2" xfId="16690" xr:uid="{521C48DA-1EBB-4278-BC6A-9AE375D22AF2}"/>
    <cellStyle name="Normal 8 3 3 2 4 2 3" xfId="12472" xr:uid="{8DC19C63-B4F4-47B3-9562-21A1CC715C46}"/>
    <cellStyle name="Normal 8 3 3 2 4 3" xfId="6106" xr:uid="{00000000-0005-0000-0000-00008E1D0000}"/>
    <cellStyle name="Normal 8 3 3 2 4 3 2" xfId="14545" xr:uid="{A0C25E21-2326-4A59-B54F-5DB024156A1C}"/>
    <cellStyle name="Normal 8 3 3 2 4 4" xfId="10327" xr:uid="{EA11715F-9DDA-4FAB-B864-E130AA6BAE6F}"/>
    <cellStyle name="Normal 8 3 3 2 5" xfId="2212" xr:uid="{00000000-0005-0000-0000-00008F1D0000}"/>
    <cellStyle name="Normal 8 3 3 2 5 2" xfId="4441" xr:uid="{00000000-0005-0000-0000-0000901D0000}"/>
    <cellStyle name="Normal 8 3 3 2 5 2 2" xfId="8664" xr:uid="{00000000-0005-0000-0000-0000911D0000}"/>
    <cellStyle name="Normal 8 3 3 2 5 2 2 2" xfId="17103" xr:uid="{A81509B2-9CB4-4F14-A38F-801F2BDCDEF0}"/>
    <cellStyle name="Normal 8 3 3 2 5 2 3" xfId="12885" xr:uid="{14B8D4F2-761D-48F5-A31B-B0B708E3CFE1}"/>
    <cellStyle name="Normal 8 3 3 2 5 3" xfId="6519" xr:uid="{00000000-0005-0000-0000-0000921D0000}"/>
    <cellStyle name="Normal 8 3 3 2 5 3 2" xfId="14958" xr:uid="{C4AD49E3-DF45-4813-8B65-0F94D95A5AF8}"/>
    <cellStyle name="Normal 8 3 3 2 5 4" xfId="10740" xr:uid="{2C85BBA8-9A23-4200-B824-4F055D198E65}"/>
    <cellStyle name="Normal 8 3 3 2 6" xfId="2648" xr:uid="{00000000-0005-0000-0000-0000931D0000}"/>
    <cellStyle name="Normal 8 3 3 2 6 2" xfId="6932" xr:uid="{00000000-0005-0000-0000-0000941D0000}"/>
    <cellStyle name="Normal 8 3 3 2 6 2 2" xfId="15371" xr:uid="{B59E61D3-4AB4-4E17-8D32-05D2DFC60CCA}"/>
    <cellStyle name="Normal 8 3 3 2 6 3" xfId="11153" xr:uid="{7B50841B-CD15-45E5-A3CB-08A2E6BE242A}"/>
    <cellStyle name="Normal 8 3 3 2 7" xfId="4867" xr:uid="{00000000-0005-0000-0000-0000951D0000}"/>
    <cellStyle name="Normal 8 3 3 2 7 2" xfId="13306" xr:uid="{361FC6EA-AD5A-460E-B16E-6D110E4BFC5C}"/>
    <cellStyle name="Normal 8 3 3 2 8" xfId="9088" xr:uid="{56B5DEED-D0CB-4540-BC33-E1C45B46634E}"/>
    <cellStyle name="Normal 8 3 3 3" xfId="967" xr:uid="{00000000-0005-0000-0000-0000961D0000}"/>
    <cellStyle name="Normal 8 3 3 3 2" xfId="3201" xr:uid="{00000000-0005-0000-0000-0000971D0000}"/>
    <cellStyle name="Normal 8 3 3 3 2 2" xfId="7424" xr:uid="{00000000-0005-0000-0000-0000981D0000}"/>
    <cellStyle name="Normal 8 3 3 3 2 2 2" xfId="15863" xr:uid="{53703CAF-B414-4EDE-846C-678983A3A19B}"/>
    <cellStyle name="Normal 8 3 3 3 2 3" xfId="11645" xr:uid="{A1B54A76-130C-43D8-A6A1-2FA63D88FCF2}"/>
    <cellStyle name="Normal 8 3 3 3 3" xfId="5279" xr:uid="{00000000-0005-0000-0000-0000991D0000}"/>
    <cellStyle name="Normal 8 3 3 3 3 2" xfId="13718" xr:uid="{878B2672-BCD1-42AE-A2AE-929715BAFE2E}"/>
    <cellStyle name="Normal 8 3 3 3 4" xfId="9500" xr:uid="{E98876B4-BEFC-4E64-8B51-F74FD49D5B40}"/>
    <cellStyle name="Normal 8 3 3 4" xfId="1384" xr:uid="{00000000-0005-0000-0000-00009A1D0000}"/>
    <cellStyle name="Normal 8 3 3 4 2" xfId="3614" xr:uid="{00000000-0005-0000-0000-00009B1D0000}"/>
    <cellStyle name="Normal 8 3 3 4 2 2" xfId="7837" xr:uid="{00000000-0005-0000-0000-00009C1D0000}"/>
    <cellStyle name="Normal 8 3 3 4 2 2 2" xfId="16276" xr:uid="{02190AEF-E856-4AD1-91EA-D97825772E7C}"/>
    <cellStyle name="Normal 8 3 3 4 2 3" xfId="12058" xr:uid="{04401737-29C6-4827-B8BD-AD92109E88AB}"/>
    <cellStyle name="Normal 8 3 3 4 3" xfId="5692" xr:uid="{00000000-0005-0000-0000-00009D1D0000}"/>
    <cellStyle name="Normal 8 3 3 4 3 2" xfId="14131" xr:uid="{791E6373-5E81-4591-8B43-E3978212348D}"/>
    <cellStyle name="Normal 8 3 3 4 4" xfId="9913" xr:uid="{99A71418-4303-4066-AD1F-415F8AFC9753}"/>
    <cellStyle name="Normal 8 3 3 5" xfId="1797" xr:uid="{00000000-0005-0000-0000-00009E1D0000}"/>
    <cellStyle name="Normal 8 3 3 5 2" xfId="4027" xr:uid="{00000000-0005-0000-0000-00009F1D0000}"/>
    <cellStyle name="Normal 8 3 3 5 2 2" xfId="8250" xr:uid="{00000000-0005-0000-0000-0000A01D0000}"/>
    <cellStyle name="Normal 8 3 3 5 2 2 2" xfId="16689" xr:uid="{7341A387-A7C5-4D8F-9E83-CEE308F0F484}"/>
    <cellStyle name="Normal 8 3 3 5 2 3" xfId="12471" xr:uid="{0F1498E4-0E32-4E06-9750-9236F8E997FC}"/>
    <cellStyle name="Normal 8 3 3 5 3" xfId="6105" xr:uid="{00000000-0005-0000-0000-0000A11D0000}"/>
    <cellStyle name="Normal 8 3 3 5 3 2" xfId="14544" xr:uid="{7B80F9DA-8072-4424-9229-1C6B93A114E3}"/>
    <cellStyle name="Normal 8 3 3 5 4" xfId="10326" xr:uid="{5AF7CEE1-5B1B-4DC8-B88F-49BCDCE48744}"/>
    <cellStyle name="Normal 8 3 3 6" xfId="2211" xr:uid="{00000000-0005-0000-0000-0000A21D0000}"/>
    <cellStyle name="Normal 8 3 3 6 2" xfId="4440" xr:uid="{00000000-0005-0000-0000-0000A31D0000}"/>
    <cellStyle name="Normal 8 3 3 6 2 2" xfId="8663" xr:uid="{00000000-0005-0000-0000-0000A41D0000}"/>
    <cellStyle name="Normal 8 3 3 6 2 2 2" xfId="17102" xr:uid="{9D3C74A6-BDFE-4115-8293-13054B644A5B}"/>
    <cellStyle name="Normal 8 3 3 6 2 3" xfId="12884" xr:uid="{C4EC598C-7845-4C89-B2E1-289FD3F19534}"/>
    <cellStyle name="Normal 8 3 3 6 3" xfId="6518" xr:uid="{00000000-0005-0000-0000-0000A51D0000}"/>
    <cellStyle name="Normal 8 3 3 6 3 2" xfId="14957" xr:uid="{DEA3CB0A-8698-4A1F-B822-22131FD88789}"/>
    <cellStyle name="Normal 8 3 3 6 4" xfId="10739" xr:uid="{8AE2F709-985C-41D9-A807-708DD66E1077}"/>
    <cellStyle name="Normal 8 3 3 7" xfId="2647" xr:uid="{00000000-0005-0000-0000-0000A61D0000}"/>
    <cellStyle name="Normal 8 3 3 7 2" xfId="6931" xr:uid="{00000000-0005-0000-0000-0000A71D0000}"/>
    <cellStyle name="Normal 8 3 3 7 2 2" xfId="15370" xr:uid="{C8C24270-EB51-4457-B3EF-A368CC07C2A0}"/>
    <cellStyle name="Normal 8 3 3 7 3" xfId="11152" xr:uid="{042E8E8A-307E-4571-92C9-C7BD162CB90C}"/>
    <cellStyle name="Normal 8 3 3 8" xfId="4866" xr:uid="{00000000-0005-0000-0000-0000A81D0000}"/>
    <cellStyle name="Normal 8 3 3 8 2" xfId="13305" xr:uid="{82CD2B86-30DE-4569-9225-9B10605F3C63}"/>
    <cellStyle name="Normal 8 3 3 9" xfId="9087" xr:uid="{DC6DBA95-B8D9-42E5-AF6C-D2AF5F2AB8BC}"/>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2 2 2" xfId="15865" xr:uid="{0D5F0136-280C-4E50-98DA-4F5C44145956}"/>
    <cellStyle name="Normal 8 3 4 2 2 3" xfId="11647" xr:uid="{FD98118B-DC7F-4236-8B33-DB7779092532}"/>
    <cellStyle name="Normal 8 3 4 2 3" xfId="5281" xr:uid="{00000000-0005-0000-0000-0000AD1D0000}"/>
    <cellStyle name="Normal 8 3 4 2 3 2" xfId="13720" xr:uid="{6AFC3369-CBC3-4862-A45A-D5321256EAAD}"/>
    <cellStyle name="Normal 8 3 4 2 4" xfId="9502" xr:uid="{DC579791-1667-401E-B757-C3A362FA2C4B}"/>
    <cellStyle name="Normal 8 3 4 3" xfId="1386" xr:uid="{00000000-0005-0000-0000-0000AE1D0000}"/>
    <cellStyle name="Normal 8 3 4 3 2" xfId="3616" xr:uid="{00000000-0005-0000-0000-0000AF1D0000}"/>
    <cellStyle name="Normal 8 3 4 3 2 2" xfId="7839" xr:uid="{00000000-0005-0000-0000-0000B01D0000}"/>
    <cellStyle name="Normal 8 3 4 3 2 2 2" xfId="16278" xr:uid="{3F0D18EC-13E5-4BDF-82C1-ABA276E3C90B}"/>
    <cellStyle name="Normal 8 3 4 3 2 3" xfId="12060" xr:uid="{3B1529AA-3039-42F1-B4F4-A5D7680875EC}"/>
    <cellStyle name="Normal 8 3 4 3 3" xfId="5694" xr:uid="{00000000-0005-0000-0000-0000B11D0000}"/>
    <cellStyle name="Normal 8 3 4 3 3 2" xfId="14133" xr:uid="{1B9A72F1-0AAD-43BF-8271-A7F575B95740}"/>
    <cellStyle name="Normal 8 3 4 3 4" xfId="9915" xr:uid="{2F80B6A2-19AB-473E-A1CA-C63BF3EC79B7}"/>
    <cellStyle name="Normal 8 3 4 4" xfId="1799" xr:uid="{00000000-0005-0000-0000-0000B21D0000}"/>
    <cellStyle name="Normal 8 3 4 4 2" xfId="4029" xr:uid="{00000000-0005-0000-0000-0000B31D0000}"/>
    <cellStyle name="Normal 8 3 4 4 2 2" xfId="8252" xr:uid="{00000000-0005-0000-0000-0000B41D0000}"/>
    <cellStyle name="Normal 8 3 4 4 2 2 2" xfId="16691" xr:uid="{5200C8D1-9F0F-4E30-84E9-1B6B9C287B80}"/>
    <cellStyle name="Normal 8 3 4 4 2 3" xfId="12473" xr:uid="{1851AA23-3A12-45C9-A868-2A1E0F09243B}"/>
    <cellStyle name="Normal 8 3 4 4 3" xfId="6107" xr:uid="{00000000-0005-0000-0000-0000B51D0000}"/>
    <cellStyle name="Normal 8 3 4 4 3 2" xfId="14546" xr:uid="{337DF1F1-941C-4F88-9EC8-C7DD5C0AFBBB}"/>
    <cellStyle name="Normal 8 3 4 4 4" xfId="10328" xr:uid="{0BB48B62-0DCE-4941-9D89-163BA1616D36}"/>
    <cellStyle name="Normal 8 3 4 5" xfId="2213" xr:uid="{00000000-0005-0000-0000-0000B61D0000}"/>
    <cellStyle name="Normal 8 3 4 5 2" xfId="4442" xr:uid="{00000000-0005-0000-0000-0000B71D0000}"/>
    <cellStyle name="Normal 8 3 4 5 2 2" xfId="8665" xr:uid="{00000000-0005-0000-0000-0000B81D0000}"/>
    <cellStyle name="Normal 8 3 4 5 2 2 2" xfId="17104" xr:uid="{84CEA867-BB50-458E-B242-6A56C6C0F5C9}"/>
    <cellStyle name="Normal 8 3 4 5 2 3" xfId="12886" xr:uid="{B655D3EC-022D-4FDC-AE05-AEE10B2D0979}"/>
    <cellStyle name="Normal 8 3 4 5 3" xfId="6520" xr:uid="{00000000-0005-0000-0000-0000B91D0000}"/>
    <cellStyle name="Normal 8 3 4 5 3 2" xfId="14959" xr:uid="{E55A9B74-3BB7-492C-94BF-3CAFFFE4B080}"/>
    <cellStyle name="Normal 8 3 4 5 4" xfId="10741" xr:uid="{08D70A89-FE68-48F9-9ACB-415FF5BA8633}"/>
    <cellStyle name="Normal 8 3 4 6" xfId="2649" xr:uid="{00000000-0005-0000-0000-0000BA1D0000}"/>
    <cellStyle name="Normal 8 3 4 6 2" xfId="6933" xr:uid="{00000000-0005-0000-0000-0000BB1D0000}"/>
    <cellStyle name="Normal 8 3 4 6 2 2" xfId="15372" xr:uid="{B94F1F61-C914-4A36-B1AD-A7BA03EB412A}"/>
    <cellStyle name="Normal 8 3 4 6 3" xfId="11154" xr:uid="{86A3BA6E-32F9-47C4-AB7D-6BD246C0E74B}"/>
    <cellStyle name="Normal 8 3 4 7" xfId="4868" xr:uid="{00000000-0005-0000-0000-0000BC1D0000}"/>
    <cellStyle name="Normal 8 3 4 7 2" xfId="13307" xr:uid="{1A51363B-4FD3-47E3-B8DC-D3E8C27412A8}"/>
    <cellStyle name="Normal 8 3 4 8" xfId="9089" xr:uid="{00B40621-9386-4C17-885A-85313A6C9DAB}"/>
    <cellStyle name="Normal 8 3 5" xfId="962" xr:uid="{00000000-0005-0000-0000-0000BD1D0000}"/>
    <cellStyle name="Normal 8 3 5 2" xfId="3196" xr:uid="{00000000-0005-0000-0000-0000BE1D0000}"/>
    <cellStyle name="Normal 8 3 5 2 2" xfId="7419" xr:uid="{00000000-0005-0000-0000-0000BF1D0000}"/>
    <cellStyle name="Normal 8 3 5 2 2 2" xfId="15858" xr:uid="{3462585F-5CDD-40A1-A930-111C18F4DCB3}"/>
    <cellStyle name="Normal 8 3 5 2 3" xfId="11640" xr:uid="{7AB6B990-57CB-4DBD-BC50-9C1DCD215700}"/>
    <cellStyle name="Normal 8 3 5 3" xfId="5274" xr:uid="{00000000-0005-0000-0000-0000C01D0000}"/>
    <cellStyle name="Normal 8 3 5 3 2" xfId="13713" xr:uid="{938AFCD3-0EBB-4FA9-A531-42DA2209B79C}"/>
    <cellStyle name="Normal 8 3 5 4" xfId="9495" xr:uid="{CDB1DD4A-E393-4845-ACB4-520987C90AB3}"/>
    <cellStyle name="Normal 8 3 6" xfId="1379" xr:uid="{00000000-0005-0000-0000-0000C11D0000}"/>
    <cellStyle name="Normal 8 3 6 2" xfId="3609" xr:uid="{00000000-0005-0000-0000-0000C21D0000}"/>
    <cellStyle name="Normal 8 3 6 2 2" xfId="7832" xr:uid="{00000000-0005-0000-0000-0000C31D0000}"/>
    <cellStyle name="Normal 8 3 6 2 2 2" xfId="16271" xr:uid="{3C444F45-A970-452E-8D4C-0932DD60DB94}"/>
    <cellStyle name="Normal 8 3 6 2 3" xfId="12053" xr:uid="{A25FC99B-A642-4AB5-A102-65C31C3E284C}"/>
    <cellStyle name="Normal 8 3 6 3" xfId="5687" xr:uid="{00000000-0005-0000-0000-0000C41D0000}"/>
    <cellStyle name="Normal 8 3 6 3 2" xfId="14126" xr:uid="{FB056589-93C6-4BD7-BA80-E43540ACB4E6}"/>
    <cellStyle name="Normal 8 3 6 4" xfId="9908" xr:uid="{E83F67C7-0589-4A43-852C-FA6843D01FB2}"/>
    <cellStyle name="Normal 8 3 7" xfId="1792" xr:uid="{00000000-0005-0000-0000-0000C51D0000}"/>
    <cellStyle name="Normal 8 3 7 2" xfId="4022" xr:uid="{00000000-0005-0000-0000-0000C61D0000}"/>
    <cellStyle name="Normal 8 3 7 2 2" xfId="8245" xr:uid="{00000000-0005-0000-0000-0000C71D0000}"/>
    <cellStyle name="Normal 8 3 7 2 2 2" xfId="16684" xr:uid="{5B14468E-EAE8-466D-B687-1E831CAEE110}"/>
    <cellStyle name="Normal 8 3 7 2 3" xfId="12466" xr:uid="{9F2C1676-71DB-4037-9EE5-AE03294D4DAE}"/>
    <cellStyle name="Normal 8 3 7 3" xfId="6100" xr:uid="{00000000-0005-0000-0000-0000C81D0000}"/>
    <cellStyle name="Normal 8 3 7 3 2" xfId="14539" xr:uid="{BBC8D924-F51A-4BA4-80E9-24C70CF5363D}"/>
    <cellStyle name="Normal 8 3 7 4" xfId="10321" xr:uid="{118C3392-34B9-4755-B961-DD6C4624D106}"/>
    <cellStyle name="Normal 8 3 8" xfId="2206" xr:uid="{00000000-0005-0000-0000-0000C91D0000}"/>
    <cellStyle name="Normal 8 3 8 2" xfId="4435" xr:uid="{00000000-0005-0000-0000-0000CA1D0000}"/>
    <cellStyle name="Normal 8 3 8 2 2" xfId="8658" xr:uid="{00000000-0005-0000-0000-0000CB1D0000}"/>
    <cellStyle name="Normal 8 3 8 2 2 2" xfId="17097" xr:uid="{D9354F04-279C-44D9-ACE8-A838C2B45F7A}"/>
    <cellStyle name="Normal 8 3 8 2 3" xfId="12879" xr:uid="{34240C62-CE2A-47A5-B4F5-C3B045DF4C45}"/>
    <cellStyle name="Normal 8 3 8 3" xfId="6513" xr:uid="{00000000-0005-0000-0000-0000CC1D0000}"/>
    <cellStyle name="Normal 8 3 8 3 2" xfId="14952" xr:uid="{3E936C7F-4442-488C-9FCF-5B5801F740B6}"/>
    <cellStyle name="Normal 8 3 8 4" xfId="10734" xr:uid="{33C8F73F-1D0A-4577-BBE0-5C6B5905A904}"/>
    <cellStyle name="Normal 8 3 9" xfId="2642" xr:uid="{00000000-0005-0000-0000-0000CD1D0000}"/>
    <cellStyle name="Normal 8 3 9 2" xfId="6926" xr:uid="{00000000-0005-0000-0000-0000CE1D0000}"/>
    <cellStyle name="Normal 8 3 9 2 2" xfId="15365" xr:uid="{8110E295-E656-4425-8974-C07842FDEA1D}"/>
    <cellStyle name="Normal 8 3 9 3" xfId="11147" xr:uid="{9DED1E9B-9C95-405C-86F7-89560D4A9972}"/>
    <cellStyle name="Normal 8 4" xfId="503" xr:uid="{00000000-0005-0000-0000-0000CF1D0000}"/>
    <cellStyle name="Normal 8 4 10" xfId="9090" xr:uid="{AAD2B651-00FB-4B20-804B-D8FE95979556}"/>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15868" xr:uid="{B3E7C083-6610-4646-AED9-E5F67443A8F3}"/>
    <cellStyle name="Normal 8 4 2 2 2 2 3" xfId="11650" xr:uid="{FCDEA94D-B798-4C47-80C8-571CCC5FBDB0}"/>
    <cellStyle name="Normal 8 4 2 2 2 3" xfId="5284" xr:uid="{00000000-0005-0000-0000-0000D51D0000}"/>
    <cellStyle name="Normal 8 4 2 2 2 3 2" xfId="13723" xr:uid="{E8D53AE1-DFC9-4CA5-8E23-79A61532CFC1}"/>
    <cellStyle name="Normal 8 4 2 2 2 4" xfId="9505" xr:uid="{E2D3BB4D-332C-46D9-9A5D-1F61647AB3CE}"/>
    <cellStyle name="Normal 8 4 2 2 3" xfId="1389" xr:uid="{00000000-0005-0000-0000-0000D61D0000}"/>
    <cellStyle name="Normal 8 4 2 2 3 2" xfId="3619" xr:uid="{00000000-0005-0000-0000-0000D71D0000}"/>
    <cellStyle name="Normal 8 4 2 2 3 2 2" xfId="7842" xr:uid="{00000000-0005-0000-0000-0000D81D0000}"/>
    <cellStyle name="Normal 8 4 2 2 3 2 2 2" xfId="16281" xr:uid="{636F98EB-0457-4DC0-B414-C76A1D22E488}"/>
    <cellStyle name="Normal 8 4 2 2 3 2 3" xfId="12063" xr:uid="{8A1305B6-3720-4869-B85A-28A10EE36AB9}"/>
    <cellStyle name="Normal 8 4 2 2 3 3" xfId="5697" xr:uid="{00000000-0005-0000-0000-0000D91D0000}"/>
    <cellStyle name="Normal 8 4 2 2 3 3 2" xfId="14136" xr:uid="{01BF49B8-4356-491D-A655-54449FE8852C}"/>
    <cellStyle name="Normal 8 4 2 2 3 4" xfId="9918" xr:uid="{F15C271B-D210-46AD-8E84-64C87FDDAD04}"/>
    <cellStyle name="Normal 8 4 2 2 4" xfId="1802" xr:uid="{00000000-0005-0000-0000-0000DA1D0000}"/>
    <cellStyle name="Normal 8 4 2 2 4 2" xfId="4032" xr:uid="{00000000-0005-0000-0000-0000DB1D0000}"/>
    <cellStyle name="Normal 8 4 2 2 4 2 2" xfId="8255" xr:uid="{00000000-0005-0000-0000-0000DC1D0000}"/>
    <cellStyle name="Normal 8 4 2 2 4 2 2 2" xfId="16694" xr:uid="{9494872F-FA4D-457A-AD42-F40F0786D0D6}"/>
    <cellStyle name="Normal 8 4 2 2 4 2 3" xfId="12476" xr:uid="{1A2AE496-96E5-4528-918D-41E0F8FB6654}"/>
    <cellStyle name="Normal 8 4 2 2 4 3" xfId="6110" xr:uid="{00000000-0005-0000-0000-0000DD1D0000}"/>
    <cellStyle name="Normal 8 4 2 2 4 3 2" xfId="14549" xr:uid="{1D35328C-244B-4359-81A2-DBE78CF2C380}"/>
    <cellStyle name="Normal 8 4 2 2 4 4" xfId="10331" xr:uid="{9895A7EC-611F-44C2-B192-43A17B4D55EB}"/>
    <cellStyle name="Normal 8 4 2 2 5" xfId="2216" xr:uid="{00000000-0005-0000-0000-0000DE1D0000}"/>
    <cellStyle name="Normal 8 4 2 2 5 2" xfId="4445" xr:uid="{00000000-0005-0000-0000-0000DF1D0000}"/>
    <cellStyle name="Normal 8 4 2 2 5 2 2" xfId="8668" xr:uid="{00000000-0005-0000-0000-0000E01D0000}"/>
    <cellStyle name="Normal 8 4 2 2 5 2 2 2" xfId="17107" xr:uid="{CAD6A829-0983-4DAA-A5E2-CCB27B5FA52D}"/>
    <cellStyle name="Normal 8 4 2 2 5 2 3" xfId="12889" xr:uid="{8658ED67-5F1C-4620-B955-A58ECD4EC8AD}"/>
    <cellStyle name="Normal 8 4 2 2 5 3" xfId="6523" xr:uid="{00000000-0005-0000-0000-0000E11D0000}"/>
    <cellStyle name="Normal 8 4 2 2 5 3 2" xfId="14962" xr:uid="{B0653C28-DA99-4C90-8849-F97114DF0807}"/>
    <cellStyle name="Normal 8 4 2 2 5 4" xfId="10744" xr:uid="{EFFCDC11-37D4-4D19-A4BC-ACC99EE2F267}"/>
    <cellStyle name="Normal 8 4 2 2 6" xfId="2652" xr:uid="{00000000-0005-0000-0000-0000E21D0000}"/>
    <cellStyle name="Normal 8 4 2 2 6 2" xfId="6936" xr:uid="{00000000-0005-0000-0000-0000E31D0000}"/>
    <cellStyle name="Normal 8 4 2 2 6 2 2" xfId="15375" xr:uid="{45EA21A9-5B03-4CB2-888F-45D451A737AF}"/>
    <cellStyle name="Normal 8 4 2 2 6 3" xfId="11157" xr:uid="{01E84B8F-31A6-4A60-B8C6-77C21481BB7D}"/>
    <cellStyle name="Normal 8 4 2 2 7" xfId="4871" xr:uid="{00000000-0005-0000-0000-0000E41D0000}"/>
    <cellStyle name="Normal 8 4 2 2 7 2" xfId="13310" xr:uid="{E0839127-DE3D-4917-83F4-FA992268D940}"/>
    <cellStyle name="Normal 8 4 2 2 8" xfId="9092" xr:uid="{5D4D2FA8-C5F0-49B8-9A99-D6557EBC390A}"/>
    <cellStyle name="Normal 8 4 2 3" xfId="971" xr:uid="{00000000-0005-0000-0000-0000E51D0000}"/>
    <cellStyle name="Normal 8 4 2 3 2" xfId="3205" xr:uid="{00000000-0005-0000-0000-0000E61D0000}"/>
    <cellStyle name="Normal 8 4 2 3 2 2" xfId="7428" xr:uid="{00000000-0005-0000-0000-0000E71D0000}"/>
    <cellStyle name="Normal 8 4 2 3 2 2 2" xfId="15867" xr:uid="{F86E469D-1D24-4803-9104-19499608F48E}"/>
    <cellStyle name="Normal 8 4 2 3 2 3" xfId="11649" xr:uid="{ABF28C43-3969-414E-BB95-682FF7E42231}"/>
    <cellStyle name="Normal 8 4 2 3 3" xfId="5283" xr:uid="{00000000-0005-0000-0000-0000E81D0000}"/>
    <cellStyle name="Normal 8 4 2 3 3 2" xfId="13722" xr:uid="{B505C634-17F5-4BF3-8008-A4C4BF0ED4C8}"/>
    <cellStyle name="Normal 8 4 2 3 4" xfId="9504" xr:uid="{A2C86E5C-ADD9-483D-8E69-A1BEEA70E56E}"/>
    <cellStyle name="Normal 8 4 2 4" xfId="1388" xr:uid="{00000000-0005-0000-0000-0000E91D0000}"/>
    <cellStyle name="Normal 8 4 2 4 2" xfId="3618" xr:uid="{00000000-0005-0000-0000-0000EA1D0000}"/>
    <cellStyle name="Normal 8 4 2 4 2 2" xfId="7841" xr:uid="{00000000-0005-0000-0000-0000EB1D0000}"/>
    <cellStyle name="Normal 8 4 2 4 2 2 2" xfId="16280" xr:uid="{68EC0182-8263-4E06-8547-8A9A8295855C}"/>
    <cellStyle name="Normal 8 4 2 4 2 3" xfId="12062" xr:uid="{1F56FC85-0572-40D2-9E2C-C4BC886CECDA}"/>
    <cellStyle name="Normal 8 4 2 4 3" xfId="5696" xr:uid="{00000000-0005-0000-0000-0000EC1D0000}"/>
    <cellStyle name="Normal 8 4 2 4 3 2" xfId="14135" xr:uid="{3F3975FD-B713-4F1E-88FA-DE6DFD66E441}"/>
    <cellStyle name="Normal 8 4 2 4 4" xfId="9917" xr:uid="{A38BAFD9-75E4-4BD3-AA91-56EF0044D03E}"/>
    <cellStyle name="Normal 8 4 2 5" xfId="1801" xr:uid="{00000000-0005-0000-0000-0000ED1D0000}"/>
    <cellStyle name="Normal 8 4 2 5 2" xfId="4031" xr:uid="{00000000-0005-0000-0000-0000EE1D0000}"/>
    <cellStyle name="Normal 8 4 2 5 2 2" xfId="8254" xr:uid="{00000000-0005-0000-0000-0000EF1D0000}"/>
    <cellStyle name="Normal 8 4 2 5 2 2 2" xfId="16693" xr:uid="{524579D5-A74C-421D-8C20-A4845900A577}"/>
    <cellStyle name="Normal 8 4 2 5 2 3" xfId="12475" xr:uid="{70EBA6C2-8E2C-4C35-A0EC-CC689ED1B44F}"/>
    <cellStyle name="Normal 8 4 2 5 3" xfId="6109" xr:uid="{00000000-0005-0000-0000-0000F01D0000}"/>
    <cellStyle name="Normal 8 4 2 5 3 2" xfId="14548" xr:uid="{CA8FFB7E-B6BB-4ACA-B0CF-97B0993E5887}"/>
    <cellStyle name="Normal 8 4 2 5 4" xfId="10330" xr:uid="{6D4CB1CD-102A-4726-841D-4894B5704D70}"/>
    <cellStyle name="Normal 8 4 2 6" xfId="2215" xr:uid="{00000000-0005-0000-0000-0000F11D0000}"/>
    <cellStyle name="Normal 8 4 2 6 2" xfId="4444" xr:uid="{00000000-0005-0000-0000-0000F21D0000}"/>
    <cellStyle name="Normal 8 4 2 6 2 2" xfId="8667" xr:uid="{00000000-0005-0000-0000-0000F31D0000}"/>
    <cellStyle name="Normal 8 4 2 6 2 2 2" xfId="17106" xr:uid="{60DFA624-F0EB-4224-982B-7D2CA97CC7A0}"/>
    <cellStyle name="Normal 8 4 2 6 2 3" xfId="12888" xr:uid="{DEA1F83D-06B3-4459-8E85-533148E22ED7}"/>
    <cellStyle name="Normal 8 4 2 6 3" xfId="6522" xr:uid="{00000000-0005-0000-0000-0000F41D0000}"/>
    <cellStyle name="Normal 8 4 2 6 3 2" xfId="14961" xr:uid="{A2614156-F2A8-4040-BD70-A388D3D9985E}"/>
    <cellStyle name="Normal 8 4 2 6 4" xfId="10743" xr:uid="{97B393E9-C493-494C-8157-30444AE18086}"/>
    <cellStyle name="Normal 8 4 2 7" xfId="2651" xr:uid="{00000000-0005-0000-0000-0000F51D0000}"/>
    <cellStyle name="Normal 8 4 2 7 2" xfId="6935" xr:uid="{00000000-0005-0000-0000-0000F61D0000}"/>
    <cellStyle name="Normal 8 4 2 7 2 2" xfId="15374" xr:uid="{609849A1-C45C-4F82-AABC-6F228AFF4CBE}"/>
    <cellStyle name="Normal 8 4 2 7 3" xfId="11156" xr:uid="{A6046639-13E7-4626-8E6B-92308DB4E2E3}"/>
    <cellStyle name="Normal 8 4 2 8" xfId="4870" xr:uid="{00000000-0005-0000-0000-0000F71D0000}"/>
    <cellStyle name="Normal 8 4 2 8 2" xfId="13309" xr:uid="{C0F49E7E-FD97-4CE1-9877-785F6FE5BF15}"/>
    <cellStyle name="Normal 8 4 2 9" xfId="9091" xr:uid="{0964D35B-891D-4FC0-A98D-CB7824A20CDE}"/>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2 2 2" xfId="15869" xr:uid="{04EAFD50-77B3-468B-88DE-D9F1C96F2ED6}"/>
    <cellStyle name="Normal 8 4 3 2 2 3" xfId="11651" xr:uid="{D4394D72-BD66-49CE-97C4-89A81A2FDE39}"/>
    <cellStyle name="Normal 8 4 3 2 3" xfId="5285" xr:uid="{00000000-0005-0000-0000-0000FC1D0000}"/>
    <cellStyle name="Normal 8 4 3 2 3 2" xfId="13724" xr:uid="{4D180249-C165-42C4-B595-A35B96810CB2}"/>
    <cellStyle name="Normal 8 4 3 2 4" xfId="9506" xr:uid="{C56A9BDC-5EF4-43A7-8556-3C838C8D7B54}"/>
    <cellStyle name="Normal 8 4 3 3" xfId="1390" xr:uid="{00000000-0005-0000-0000-0000FD1D0000}"/>
    <cellStyle name="Normal 8 4 3 3 2" xfId="3620" xr:uid="{00000000-0005-0000-0000-0000FE1D0000}"/>
    <cellStyle name="Normal 8 4 3 3 2 2" xfId="7843" xr:uid="{00000000-0005-0000-0000-0000FF1D0000}"/>
    <cellStyle name="Normal 8 4 3 3 2 2 2" xfId="16282" xr:uid="{DADCB971-EF21-4798-9B28-426FC7BF96DE}"/>
    <cellStyle name="Normal 8 4 3 3 2 3" xfId="12064" xr:uid="{59781A45-D50D-448E-B16D-F2E9DD2A1499}"/>
    <cellStyle name="Normal 8 4 3 3 3" xfId="5698" xr:uid="{00000000-0005-0000-0000-0000001E0000}"/>
    <cellStyle name="Normal 8 4 3 3 3 2" xfId="14137" xr:uid="{D03D4D5C-EA54-4CDF-B5DD-8EA6EFD80AD2}"/>
    <cellStyle name="Normal 8 4 3 3 4" xfId="9919" xr:uid="{F5D71FA9-1BEA-4ADC-A458-239DF6861AD5}"/>
    <cellStyle name="Normal 8 4 3 4" xfId="1803" xr:uid="{00000000-0005-0000-0000-0000011E0000}"/>
    <cellStyle name="Normal 8 4 3 4 2" xfId="4033" xr:uid="{00000000-0005-0000-0000-0000021E0000}"/>
    <cellStyle name="Normal 8 4 3 4 2 2" xfId="8256" xr:uid="{00000000-0005-0000-0000-0000031E0000}"/>
    <cellStyle name="Normal 8 4 3 4 2 2 2" xfId="16695" xr:uid="{8741036C-40B9-4683-8C89-002B96F24EDB}"/>
    <cellStyle name="Normal 8 4 3 4 2 3" xfId="12477" xr:uid="{2D316409-4F43-411C-A24F-A7F41F72912E}"/>
    <cellStyle name="Normal 8 4 3 4 3" xfId="6111" xr:uid="{00000000-0005-0000-0000-0000041E0000}"/>
    <cellStyle name="Normal 8 4 3 4 3 2" xfId="14550" xr:uid="{BC9EE4C9-DEA6-4083-8C0E-F7B28FACCD99}"/>
    <cellStyle name="Normal 8 4 3 4 4" xfId="10332" xr:uid="{3BFC8210-F498-48BA-8905-8AF29268852A}"/>
    <cellStyle name="Normal 8 4 3 5" xfId="2217" xr:uid="{00000000-0005-0000-0000-0000051E0000}"/>
    <cellStyle name="Normal 8 4 3 5 2" xfId="4446" xr:uid="{00000000-0005-0000-0000-0000061E0000}"/>
    <cellStyle name="Normal 8 4 3 5 2 2" xfId="8669" xr:uid="{00000000-0005-0000-0000-0000071E0000}"/>
    <cellStyle name="Normal 8 4 3 5 2 2 2" xfId="17108" xr:uid="{340435CD-324C-433A-9B18-1EA9B1AD0730}"/>
    <cellStyle name="Normal 8 4 3 5 2 3" xfId="12890" xr:uid="{171B5CC9-ED8A-42D4-A5E2-5EA697DC9316}"/>
    <cellStyle name="Normal 8 4 3 5 3" xfId="6524" xr:uid="{00000000-0005-0000-0000-0000081E0000}"/>
    <cellStyle name="Normal 8 4 3 5 3 2" xfId="14963" xr:uid="{3C7288D1-F55D-4D65-BCE2-ACBAEE6D7FC6}"/>
    <cellStyle name="Normal 8 4 3 5 4" xfId="10745" xr:uid="{53058E96-36FE-47FC-B332-CCB317335F67}"/>
    <cellStyle name="Normal 8 4 3 6" xfId="2653" xr:uid="{00000000-0005-0000-0000-0000091E0000}"/>
    <cellStyle name="Normal 8 4 3 6 2" xfId="6937" xr:uid="{00000000-0005-0000-0000-00000A1E0000}"/>
    <cellStyle name="Normal 8 4 3 6 2 2" xfId="15376" xr:uid="{3E010A0F-1FD9-4313-B726-27D888BC6177}"/>
    <cellStyle name="Normal 8 4 3 6 3" xfId="11158" xr:uid="{8FC059B2-3D0C-4C53-B0F7-42EBA1605F8D}"/>
    <cellStyle name="Normal 8 4 3 7" xfId="4872" xr:uid="{00000000-0005-0000-0000-00000B1E0000}"/>
    <cellStyle name="Normal 8 4 3 7 2" xfId="13311" xr:uid="{3DE4624A-1F51-4052-9C3D-8A0003347C5A}"/>
    <cellStyle name="Normal 8 4 3 8" xfId="9093" xr:uid="{DF733F11-3891-4172-9DE4-DA70F961C6A9}"/>
    <cellStyle name="Normal 8 4 4" xfId="970" xr:uid="{00000000-0005-0000-0000-00000C1E0000}"/>
    <cellStyle name="Normal 8 4 4 2" xfId="3204" xr:uid="{00000000-0005-0000-0000-00000D1E0000}"/>
    <cellStyle name="Normal 8 4 4 2 2" xfId="7427" xr:uid="{00000000-0005-0000-0000-00000E1E0000}"/>
    <cellStyle name="Normal 8 4 4 2 2 2" xfId="15866" xr:uid="{C08128FB-D3FA-4CBE-89CE-4B4647016D7A}"/>
    <cellStyle name="Normal 8 4 4 2 3" xfId="11648" xr:uid="{53A9D54D-6C78-4CEF-BE48-6593D74D007D}"/>
    <cellStyle name="Normal 8 4 4 3" xfId="5282" xr:uid="{00000000-0005-0000-0000-00000F1E0000}"/>
    <cellStyle name="Normal 8 4 4 3 2" xfId="13721" xr:uid="{A21F80AE-5AC6-4B9D-9580-1E9171853DE2}"/>
    <cellStyle name="Normal 8 4 4 4" xfId="9503" xr:uid="{9C38F61E-E9A4-4761-A85E-48D8D6C7C0A7}"/>
    <cellStyle name="Normal 8 4 5" xfId="1387" xr:uid="{00000000-0005-0000-0000-0000101E0000}"/>
    <cellStyle name="Normal 8 4 5 2" xfId="3617" xr:uid="{00000000-0005-0000-0000-0000111E0000}"/>
    <cellStyle name="Normal 8 4 5 2 2" xfId="7840" xr:uid="{00000000-0005-0000-0000-0000121E0000}"/>
    <cellStyle name="Normal 8 4 5 2 2 2" xfId="16279" xr:uid="{049BC6BA-90C3-4786-AEA3-65196F6D28DE}"/>
    <cellStyle name="Normal 8 4 5 2 3" xfId="12061" xr:uid="{1E3AD4AF-A9FA-4224-A5B3-DCAEF88495D1}"/>
    <cellStyle name="Normal 8 4 5 3" xfId="5695" xr:uid="{00000000-0005-0000-0000-0000131E0000}"/>
    <cellStyle name="Normal 8 4 5 3 2" xfId="14134" xr:uid="{B79BCE41-956A-4070-9F74-DEB1B5DD5619}"/>
    <cellStyle name="Normal 8 4 5 4" xfId="9916" xr:uid="{60468314-82A9-43EA-943B-B32162C79AE3}"/>
    <cellStyle name="Normal 8 4 6" xfId="1800" xr:uid="{00000000-0005-0000-0000-0000141E0000}"/>
    <cellStyle name="Normal 8 4 6 2" xfId="4030" xr:uid="{00000000-0005-0000-0000-0000151E0000}"/>
    <cellStyle name="Normal 8 4 6 2 2" xfId="8253" xr:uid="{00000000-0005-0000-0000-0000161E0000}"/>
    <cellStyle name="Normal 8 4 6 2 2 2" xfId="16692" xr:uid="{F0C4F64D-FBA9-45DA-8F60-C940312B530E}"/>
    <cellStyle name="Normal 8 4 6 2 3" xfId="12474" xr:uid="{4314511F-17DC-42E5-B7CF-E0D3E219A5F3}"/>
    <cellStyle name="Normal 8 4 6 3" xfId="6108" xr:uid="{00000000-0005-0000-0000-0000171E0000}"/>
    <cellStyle name="Normal 8 4 6 3 2" xfId="14547" xr:uid="{75E13E15-E311-4719-A4CF-7303230CAA86}"/>
    <cellStyle name="Normal 8 4 6 4" xfId="10329" xr:uid="{EA3B5E7B-60C3-46FF-942A-2AF93E1B0127}"/>
    <cellStyle name="Normal 8 4 7" xfId="2214" xr:uid="{00000000-0005-0000-0000-0000181E0000}"/>
    <cellStyle name="Normal 8 4 7 2" xfId="4443" xr:uid="{00000000-0005-0000-0000-0000191E0000}"/>
    <cellStyle name="Normal 8 4 7 2 2" xfId="8666" xr:uid="{00000000-0005-0000-0000-00001A1E0000}"/>
    <cellStyle name="Normal 8 4 7 2 2 2" xfId="17105" xr:uid="{CCA8C546-A556-4282-9195-36ACC24FE4AB}"/>
    <cellStyle name="Normal 8 4 7 2 3" xfId="12887" xr:uid="{A737E737-4748-418D-8AD0-A729833D50E4}"/>
    <cellStyle name="Normal 8 4 7 3" xfId="6521" xr:uid="{00000000-0005-0000-0000-00001B1E0000}"/>
    <cellStyle name="Normal 8 4 7 3 2" xfId="14960" xr:uid="{77D5BC99-B558-4CBE-A09D-9D47DDF690F7}"/>
    <cellStyle name="Normal 8 4 7 4" xfId="10742" xr:uid="{EE2D6D92-0FF5-4134-8240-BC2EEE32D7D1}"/>
    <cellStyle name="Normal 8 4 8" xfId="2650" xr:uid="{00000000-0005-0000-0000-00001C1E0000}"/>
    <cellStyle name="Normal 8 4 8 2" xfId="6934" xr:uid="{00000000-0005-0000-0000-00001D1E0000}"/>
    <cellStyle name="Normal 8 4 8 2 2" xfId="15373" xr:uid="{FA987F4E-9830-4614-BC69-BC9B7DFCE30A}"/>
    <cellStyle name="Normal 8 4 8 3" xfId="11155" xr:uid="{886F8943-D018-4F4C-B79C-14438AC7622D}"/>
    <cellStyle name="Normal 8 4 9" xfId="4869" xr:uid="{00000000-0005-0000-0000-00001E1E0000}"/>
    <cellStyle name="Normal 8 4 9 2" xfId="13308" xr:uid="{4C4610B9-F90D-403F-9331-52CA7120515C}"/>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2 2 2" xfId="15871" xr:uid="{4236A93F-157E-4173-A4FE-0460382A7FFC}"/>
    <cellStyle name="Normal 8 5 2 2 2 3" xfId="11653" xr:uid="{A7837F52-7D7C-43C2-8DA9-628033CCD644}"/>
    <cellStyle name="Normal 8 5 2 2 3" xfId="5287" xr:uid="{00000000-0005-0000-0000-0000241E0000}"/>
    <cellStyle name="Normal 8 5 2 2 3 2" xfId="13726" xr:uid="{B753FAE1-DC9E-4980-BFF1-336706C70AE3}"/>
    <cellStyle name="Normal 8 5 2 2 4" xfId="9508" xr:uid="{8976DFDB-43AA-4FE1-80F7-5DD3D3139D56}"/>
    <cellStyle name="Normal 8 5 2 3" xfId="1392" xr:uid="{00000000-0005-0000-0000-0000251E0000}"/>
    <cellStyle name="Normal 8 5 2 3 2" xfId="3622" xr:uid="{00000000-0005-0000-0000-0000261E0000}"/>
    <cellStyle name="Normal 8 5 2 3 2 2" xfId="7845" xr:uid="{00000000-0005-0000-0000-0000271E0000}"/>
    <cellStyle name="Normal 8 5 2 3 2 2 2" xfId="16284" xr:uid="{7C65A18E-CC32-4B01-97C5-078231BD767F}"/>
    <cellStyle name="Normal 8 5 2 3 2 3" xfId="12066" xr:uid="{22D21538-02CA-4996-B02E-C20219AF39F0}"/>
    <cellStyle name="Normal 8 5 2 3 3" xfId="5700" xr:uid="{00000000-0005-0000-0000-0000281E0000}"/>
    <cellStyle name="Normal 8 5 2 3 3 2" xfId="14139" xr:uid="{8DD1D3C0-4EF4-4B3A-A52F-3B7A93241994}"/>
    <cellStyle name="Normal 8 5 2 3 4" xfId="9921" xr:uid="{DBC4EDA9-4075-42EC-A191-EB119A57F421}"/>
    <cellStyle name="Normal 8 5 2 4" xfId="1805" xr:uid="{00000000-0005-0000-0000-0000291E0000}"/>
    <cellStyle name="Normal 8 5 2 4 2" xfId="4035" xr:uid="{00000000-0005-0000-0000-00002A1E0000}"/>
    <cellStyle name="Normal 8 5 2 4 2 2" xfId="8258" xr:uid="{00000000-0005-0000-0000-00002B1E0000}"/>
    <cellStyle name="Normal 8 5 2 4 2 2 2" xfId="16697" xr:uid="{0CD6F9DF-B56B-40CC-8634-F63CED772A80}"/>
    <cellStyle name="Normal 8 5 2 4 2 3" xfId="12479" xr:uid="{2CCC7B4A-EEA7-453F-AD99-3B20ACB6E254}"/>
    <cellStyle name="Normal 8 5 2 4 3" xfId="6113" xr:uid="{00000000-0005-0000-0000-00002C1E0000}"/>
    <cellStyle name="Normal 8 5 2 4 3 2" xfId="14552" xr:uid="{96DAD52F-E1EF-42D8-912C-24B79D931C3C}"/>
    <cellStyle name="Normal 8 5 2 4 4" xfId="10334" xr:uid="{AC682379-BC34-4857-AD13-C3C9CB93EB49}"/>
    <cellStyle name="Normal 8 5 2 5" xfId="2219" xr:uid="{00000000-0005-0000-0000-00002D1E0000}"/>
    <cellStyle name="Normal 8 5 2 5 2" xfId="4448" xr:uid="{00000000-0005-0000-0000-00002E1E0000}"/>
    <cellStyle name="Normal 8 5 2 5 2 2" xfId="8671" xr:uid="{00000000-0005-0000-0000-00002F1E0000}"/>
    <cellStyle name="Normal 8 5 2 5 2 2 2" xfId="17110" xr:uid="{06B5868E-F557-46DA-99D5-F5999F9CB403}"/>
    <cellStyle name="Normal 8 5 2 5 2 3" xfId="12892" xr:uid="{2386AA84-1E27-4AA8-B878-B1AB6A0C1E18}"/>
    <cellStyle name="Normal 8 5 2 5 3" xfId="6526" xr:uid="{00000000-0005-0000-0000-0000301E0000}"/>
    <cellStyle name="Normal 8 5 2 5 3 2" xfId="14965" xr:uid="{C86BC71A-D373-4A3E-ACB4-C1D81ECAAF90}"/>
    <cellStyle name="Normal 8 5 2 5 4" xfId="10747" xr:uid="{C97CFA56-DBF2-4A7F-BB65-96C1B24EA415}"/>
    <cellStyle name="Normal 8 5 2 6" xfId="2655" xr:uid="{00000000-0005-0000-0000-0000311E0000}"/>
    <cellStyle name="Normal 8 5 2 6 2" xfId="6939" xr:uid="{00000000-0005-0000-0000-0000321E0000}"/>
    <cellStyle name="Normal 8 5 2 6 2 2" xfId="15378" xr:uid="{CCDB8601-EB00-4AB9-BC6B-9C053EF3A44D}"/>
    <cellStyle name="Normal 8 5 2 6 3" xfId="11160" xr:uid="{0E17AC20-C851-4834-BBBE-F3C99A6A2B89}"/>
    <cellStyle name="Normal 8 5 2 7" xfId="4874" xr:uid="{00000000-0005-0000-0000-0000331E0000}"/>
    <cellStyle name="Normal 8 5 2 7 2" xfId="13313" xr:uid="{E9AA818A-6CC5-4CCC-B49D-57A2ECA6228F}"/>
    <cellStyle name="Normal 8 5 2 8" xfId="9095" xr:uid="{CB411926-C38D-41CD-8DD9-9BBA57CBE8ED}"/>
    <cellStyle name="Normal 8 5 3" xfId="974" xr:uid="{00000000-0005-0000-0000-0000341E0000}"/>
    <cellStyle name="Normal 8 5 3 2" xfId="3208" xr:uid="{00000000-0005-0000-0000-0000351E0000}"/>
    <cellStyle name="Normal 8 5 3 2 2" xfId="7431" xr:uid="{00000000-0005-0000-0000-0000361E0000}"/>
    <cellStyle name="Normal 8 5 3 2 2 2" xfId="15870" xr:uid="{C4A162AC-5679-465B-8ECD-AA58FE61AFE1}"/>
    <cellStyle name="Normal 8 5 3 2 3" xfId="11652" xr:uid="{B2495E34-BF4D-43D0-8673-12E0EBB711F1}"/>
    <cellStyle name="Normal 8 5 3 3" xfId="5286" xr:uid="{00000000-0005-0000-0000-0000371E0000}"/>
    <cellStyle name="Normal 8 5 3 3 2" xfId="13725" xr:uid="{7AC8FE8D-5DF2-43E1-897E-EA20796F6FA5}"/>
    <cellStyle name="Normal 8 5 3 4" xfId="9507" xr:uid="{9AE84D8B-F4CE-4B61-ADCE-BEA1AEA73F83}"/>
    <cellStyle name="Normal 8 5 4" xfId="1391" xr:uid="{00000000-0005-0000-0000-0000381E0000}"/>
    <cellStyle name="Normal 8 5 4 2" xfId="3621" xr:uid="{00000000-0005-0000-0000-0000391E0000}"/>
    <cellStyle name="Normal 8 5 4 2 2" xfId="7844" xr:uid="{00000000-0005-0000-0000-00003A1E0000}"/>
    <cellStyle name="Normal 8 5 4 2 2 2" xfId="16283" xr:uid="{A67FBCCA-8B98-4D25-879D-BFF410B36DDA}"/>
    <cellStyle name="Normal 8 5 4 2 3" xfId="12065" xr:uid="{8A2BFA3D-C7BF-4F94-B57E-3CE9B2EFAC1B}"/>
    <cellStyle name="Normal 8 5 4 3" xfId="5699" xr:uid="{00000000-0005-0000-0000-00003B1E0000}"/>
    <cellStyle name="Normal 8 5 4 3 2" xfId="14138" xr:uid="{173756A1-297A-4565-B621-E8B5857490F8}"/>
    <cellStyle name="Normal 8 5 4 4" xfId="9920" xr:uid="{FB6F6A5B-B2CE-4630-9E90-07F9E13366CC}"/>
    <cellStyle name="Normal 8 5 5" xfId="1804" xr:uid="{00000000-0005-0000-0000-00003C1E0000}"/>
    <cellStyle name="Normal 8 5 5 2" xfId="4034" xr:uid="{00000000-0005-0000-0000-00003D1E0000}"/>
    <cellStyle name="Normal 8 5 5 2 2" xfId="8257" xr:uid="{00000000-0005-0000-0000-00003E1E0000}"/>
    <cellStyle name="Normal 8 5 5 2 2 2" xfId="16696" xr:uid="{29E20C79-9C7A-4F06-98EC-E92E0C007B1D}"/>
    <cellStyle name="Normal 8 5 5 2 3" xfId="12478" xr:uid="{31BB1E96-20A4-45B8-976E-A9D72A27B863}"/>
    <cellStyle name="Normal 8 5 5 3" xfId="6112" xr:uid="{00000000-0005-0000-0000-00003F1E0000}"/>
    <cellStyle name="Normal 8 5 5 3 2" xfId="14551" xr:uid="{B4EFA494-E47F-44F5-B5A5-E70A4B210119}"/>
    <cellStyle name="Normal 8 5 5 4" xfId="10333" xr:uid="{15EEE55B-A871-467C-8384-3DBA1D34FD49}"/>
    <cellStyle name="Normal 8 5 6" xfId="2218" xr:uid="{00000000-0005-0000-0000-0000401E0000}"/>
    <cellStyle name="Normal 8 5 6 2" xfId="4447" xr:uid="{00000000-0005-0000-0000-0000411E0000}"/>
    <cellStyle name="Normal 8 5 6 2 2" xfId="8670" xr:uid="{00000000-0005-0000-0000-0000421E0000}"/>
    <cellStyle name="Normal 8 5 6 2 2 2" xfId="17109" xr:uid="{633CDF65-5246-4B88-8852-188DE53985C6}"/>
    <cellStyle name="Normal 8 5 6 2 3" xfId="12891" xr:uid="{84E26029-4869-49DB-9A7B-CC39133D5716}"/>
    <cellStyle name="Normal 8 5 6 3" xfId="6525" xr:uid="{00000000-0005-0000-0000-0000431E0000}"/>
    <cellStyle name="Normal 8 5 6 3 2" xfId="14964" xr:uid="{DCAF1245-C842-4FDA-8A88-D78354D37AA1}"/>
    <cellStyle name="Normal 8 5 6 4" xfId="10746" xr:uid="{A07AE280-0038-4E5A-BF7D-4F17A63020F7}"/>
    <cellStyle name="Normal 8 5 7" xfId="2654" xr:uid="{00000000-0005-0000-0000-0000441E0000}"/>
    <cellStyle name="Normal 8 5 7 2" xfId="6938" xr:uid="{00000000-0005-0000-0000-0000451E0000}"/>
    <cellStyle name="Normal 8 5 7 2 2" xfId="15377" xr:uid="{C1D97794-A1B9-4335-A955-4772689ECDF8}"/>
    <cellStyle name="Normal 8 5 7 3" xfId="11159" xr:uid="{27471FA8-81D1-4A4C-A62A-6A48CC2087CB}"/>
    <cellStyle name="Normal 8 5 8" xfId="4873" xr:uid="{00000000-0005-0000-0000-0000461E0000}"/>
    <cellStyle name="Normal 8 5 8 2" xfId="13312" xr:uid="{D3A6AF01-F6B7-457A-9FDF-FB1D898AD35C}"/>
    <cellStyle name="Normal 8 5 9" xfId="9094" xr:uid="{3BDB8BAA-0466-4771-A63C-09203D57EC2B}"/>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2 2 2" xfId="15872" xr:uid="{3E5319D4-FA76-4256-B0AC-340D8B47D07E}"/>
    <cellStyle name="Normal 8 6 2 2 3" xfId="11654" xr:uid="{8FF43AAD-E638-493A-9FFC-79D1D1F68F4E}"/>
    <cellStyle name="Normal 8 6 2 3" xfId="5288" xr:uid="{00000000-0005-0000-0000-00004B1E0000}"/>
    <cellStyle name="Normal 8 6 2 3 2" xfId="13727" xr:uid="{4F6B187E-0C12-4807-8420-65FDE35739E6}"/>
    <cellStyle name="Normal 8 6 2 4" xfId="9509" xr:uid="{FB1BA910-F294-4823-A4DE-90C8BC330F4B}"/>
    <cellStyle name="Normal 8 6 3" xfId="1393" xr:uid="{00000000-0005-0000-0000-00004C1E0000}"/>
    <cellStyle name="Normal 8 6 3 2" xfId="3623" xr:uid="{00000000-0005-0000-0000-00004D1E0000}"/>
    <cellStyle name="Normal 8 6 3 2 2" xfId="7846" xr:uid="{00000000-0005-0000-0000-00004E1E0000}"/>
    <cellStyle name="Normal 8 6 3 2 2 2" xfId="16285" xr:uid="{40F1A208-D490-47A5-B8AE-8501D4F6802B}"/>
    <cellStyle name="Normal 8 6 3 2 3" xfId="12067" xr:uid="{A2136F2F-0538-4CE1-9192-8664D24728F4}"/>
    <cellStyle name="Normal 8 6 3 3" xfId="5701" xr:uid="{00000000-0005-0000-0000-00004F1E0000}"/>
    <cellStyle name="Normal 8 6 3 3 2" xfId="14140" xr:uid="{E6969A81-DC42-4DF9-9D3B-3F550870EF71}"/>
    <cellStyle name="Normal 8 6 3 4" xfId="9922" xr:uid="{D891F194-6DA3-4350-84E2-130874CFB18F}"/>
    <cellStyle name="Normal 8 6 4" xfId="1806" xr:uid="{00000000-0005-0000-0000-0000501E0000}"/>
    <cellStyle name="Normal 8 6 4 2" xfId="4036" xr:uid="{00000000-0005-0000-0000-0000511E0000}"/>
    <cellStyle name="Normal 8 6 4 2 2" xfId="8259" xr:uid="{00000000-0005-0000-0000-0000521E0000}"/>
    <cellStyle name="Normal 8 6 4 2 2 2" xfId="16698" xr:uid="{CB7151B9-8E1D-4797-BC3F-9425C46639FE}"/>
    <cellStyle name="Normal 8 6 4 2 3" xfId="12480" xr:uid="{3608E6EF-6067-4BCF-8B44-6B65FAFD02C9}"/>
    <cellStyle name="Normal 8 6 4 3" xfId="6114" xr:uid="{00000000-0005-0000-0000-0000531E0000}"/>
    <cellStyle name="Normal 8 6 4 3 2" xfId="14553" xr:uid="{42290FF9-C38A-47E6-A4AF-A2EB4EA5CC98}"/>
    <cellStyle name="Normal 8 6 4 4" xfId="10335" xr:uid="{857C3F8A-1A0D-462F-BC26-092199040D8B}"/>
    <cellStyle name="Normal 8 6 5" xfId="2220" xr:uid="{00000000-0005-0000-0000-0000541E0000}"/>
    <cellStyle name="Normal 8 6 5 2" xfId="4449" xr:uid="{00000000-0005-0000-0000-0000551E0000}"/>
    <cellStyle name="Normal 8 6 5 2 2" xfId="8672" xr:uid="{00000000-0005-0000-0000-0000561E0000}"/>
    <cellStyle name="Normal 8 6 5 2 2 2" xfId="17111" xr:uid="{8C6FEE0C-7978-4DFC-9CF2-9E14B0A2900E}"/>
    <cellStyle name="Normal 8 6 5 2 3" xfId="12893" xr:uid="{096B54CD-F741-43D5-BD57-28039E9C6EA8}"/>
    <cellStyle name="Normal 8 6 5 3" xfId="6527" xr:uid="{00000000-0005-0000-0000-0000571E0000}"/>
    <cellStyle name="Normal 8 6 5 3 2" xfId="14966" xr:uid="{1170F721-E684-435F-8AE5-32D81523C34D}"/>
    <cellStyle name="Normal 8 6 5 4" xfId="10748" xr:uid="{BDE8FD1A-798C-4012-BE07-99339182CD74}"/>
    <cellStyle name="Normal 8 6 6" xfId="2656" xr:uid="{00000000-0005-0000-0000-0000581E0000}"/>
    <cellStyle name="Normal 8 6 6 2" xfId="6940" xr:uid="{00000000-0005-0000-0000-0000591E0000}"/>
    <cellStyle name="Normal 8 6 6 2 2" xfId="15379" xr:uid="{CDE5C0F1-12B6-484B-99B2-CDD99780C489}"/>
    <cellStyle name="Normal 8 6 6 3" xfId="11161" xr:uid="{2D6FBCC1-6C80-43A0-A66C-595DBA9220B0}"/>
    <cellStyle name="Normal 8 6 7" xfId="4875" xr:uid="{00000000-0005-0000-0000-00005A1E0000}"/>
    <cellStyle name="Normal 8 6 7 2" xfId="13314" xr:uid="{F02D3166-C882-42E0-8F4A-88AB3CDBE621}"/>
    <cellStyle name="Normal 8 6 8" xfId="9096" xr:uid="{3AA5B038-D1BC-448D-8A4F-919ED2B5EF47}"/>
    <cellStyle name="Normal 8 7" xfId="945" xr:uid="{00000000-0005-0000-0000-00005B1E0000}"/>
    <cellStyle name="Normal 8 7 2" xfId="3179" xr:uid="{00000000-0005-0000-0000-00005C1E0000}"/>
    <cellStyle name="Normal 8 7 2 2" xfId="7402" xr:uid="{00000000-0005-0000-0000-00005D1E0000}"/>
    <cellStyle name="Normal 8 7 2 2 2" xfId="15841" xr:uid="{333C0B22-39A9-4BD0-83C5-2BD27391FA8A}"/>
    <cellStyle name="Normal 8 7 2 3" xfId="11623" xr:uid="{7FE60B26-D4ED-4D03-BF03-84D68CC7A211}"/>
    <cellStyle name="Normal 8 7 3" xfId="5257" xr:uid="{00000000-0005-0000-0000-00005E1E0000}"/>
    <cellStyle name="Normal 8 7 3 2" xfId="13696" xr:uid="{C2C1DF9B-ECC1-4C24-BC15-B59629D66FB4}"/>
    <cellStyle name="Normal 8 7 4" xfId="9478" xr:uid="{AD617293-0CBD-46DD-8B05-ADF91E434E26}"/>
    <cellStyle name="Normal 8 8" xfId="1362" xr:uid="{00000000-0005-0000-0000-00005F1E0000}"/>
    <cellStyle name="Normal 8 8 2" xfId="3592" xr:uid="{00000000-0005-0000-0000-0000601E0000}"/>
    <cellStyle name="Normal 8 8 2 2" xfId="7815" xr:uid="{00000000-0005-0000-0000-0000611E0000}"/>
    <cellStyle name="Normal 8 8 2 2 2" xfId="16254" xr:uid="{9AF2E91C-BD10-4DF8-B826-25EE15559384}"/>
    <cellStyle name="Normal 8 8 2 3" xfId="12036" xr:uid="{53F9A343-6BB1-4011-A303-567EA58EC03D}"/>
    <cellStyle name="Normal 8 8 3" xfId="5670" xr:uid="{00000000-0005-0000-0000-0000621E0000}"/>
    <cellStyle name="Normal 8 8 3 2" xfId="14109" xr:uid="{C5EF51A7-E329-493C-852D-8307332BC118}"/>
    <cellStyle name="Normal 8 8 4" xfId="9891" xr:uid="{A687C0BE-599D-402C-B76D-CBD56CBD6801}"/>
    <cellStyle name="Normal 8 9" xfId="1775" xr:uid="{00000000-0005-0000-0000-0000631E0000}"/>
    <cellStyle name="Normal 8 9 2" xfId="4005" xr:uid="{00000000-0005-0000-0000-0000641E0000}"/>
    <cellStyle name="Normal 8 9 2 2" xfId="8228" xr:uid="{00000000-0005-0000-0000-0000651E0000}"/>
    <cellStyle name="Normal 8 9 2 2 2" xfId="16667" xr:uid="{4A9B7A39-64DE-43EA-9BFE-DE32D447448A}"/>
    <cellStyle name="Normal 8 9 2 3" xfId="12449" xr:uid="{5D1A4688-ABEF-43D2-B908-712DB73429F0}"/>
    <cellStyle name="Normal 8 9 3" xfId="6083" xr:uid="{00000000-0005-0000-0000-0000661E0000}"/>
    <cellStyle name="Normal 8 9 3 2" xfId="14522" xr:uid="{67C3B952-A595-485D-B1D0-ACB8380F738A}"/>
    <cellStyle name="Normal 8 9 4" xfId="10304" xr:uid="{D37A6D61-8C03-4C45-AE5D-5BCAA9490319}"/>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0 2 2" xfId="15380" xr:uid="{5E26CF3B-3658-4E67-BD46-6F20D7092D29}"/>
    <cellStyle name="Normal 9 2 10 3" xfId="11162" xr:uid="{A09B8ACC-9B52-44F0-AD0C-AE9EABF0BCFC}"/>
    <cellStyle name="Normal 9 2 11" xfId="4876" xr:uid="{00000000-0005-0000-0000-00006B1E0000}"/>
    <cellStyle name="Normal 9 2 11 2" xfId="13315" xr:uid="{F375A90F-72B3-4352-BCC8-E079131608F7}"/>
    <cellStyle name="Normal 9 2 12" xfId="9097" xr:uid="{3224F818-C9B3-4AB6-B206-9DDC37540813}"/>
    <cellStyle name="Normal 9 2 2" xfId="512" xr:uid="{00000000-0005-0000-0000-00006C1E0000}"/>
    <cellStyle name="Normal 9 2 2 10" xfId="4877" xr:uid="{00000000-0005-0000-0000-00006D1E0000}"/>
    <cellStyle name="Normal 9 2 2 10 2" xfId="13316" xr:uid="{BC0E2200-C324-4446-A845-7E6BDB9E5FF8}"/>
    <cellStyle name="Normal 9 2 2 11" xfId="9098" xr:uid="{41B3785C-9C20-43A4-8811-C1FDD36D36A6}"/>
    <cellStyle name="Normal 9 2 2 2" xfId="513" xr:uid="{00000000-0005-0000-0000-00006E1E0000}"/>
    <cellStyle name="Normal 9 2 2 2 10" xfId="9099" xr:uid="{32D08F1E-6632-41DD-AFDF-CF8FEF3B8F8F}"/>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15877" xr:uid="{F58C252F-DA34-4A01-86A0-FE63A3E6BB7D}"/>
    <cellStyle name="Normal 9 2 2 2 2 2 2 2 3" xfId="11659" xr:uid="{E0A93CE4-424B-4749-A657-7A2C30F63BC3}"/>
    <cellStyle name="Normal 9 2 2 2 2 2 2 3" xfId="5293" xr:uid="{00000000-0005-0000-0000-0000741E0000}"/>
    <cellStyle name="Normal 9 2 2 2 2 2 2 3 2" xfId="13732" xr:uid="{216EA067-2BF2-4D24-9436-B6D8CDE0EE4B}"/>
    <cellStyle name="Normal 9 2 2 2 2 2 2 4" xfId="9514" xr:uid="{4A4D4EF9-E26E-4C07-9075-A84589D6D827}"/>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2 2" xfId="16290" xr:uid="{258867F2-58B2-4BF6-AA04-A64A7684A0B3}"/>
    <cellStyle name="Normal 9 2 2 2 2 2 3 2 3" xfId="12072" xr:uid="{FEB44796-D3BE-4374-A40D-C0982852E3C8}"/>
    <cellStyle name="Normal 9 2 2 2 2 2 3 3" xfId="5706" xr:uid="{00000000-0005-0000-0000-0000781E0000}"/>
    <cellStyle name="Normal 9 2 2 2 2 2 3 3 2" xfId="14145" xr:uid="{FA2DE551-5DC2-47FF-9A62-743BAF58CFC2}"/>
    <cellStyle name="Normal 9 2 2 2 2 2 3 4" xfId="9927" xr:uid="{8D2D31A2-0E07-4DD8-A5BD-AF7F9C36F46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2 2 2" xfId="16703" xr:uid="{B1AD8251-7079-4956-A529-328BB75AAA57}"/>
    <cellStyle name="Normal 9 2 2 2 2 2 4 2 3" xfId="12485" xr:uid="{9EA990A7-61B5-447F-9A90-114410D4C62B}"/>
    <cellStyle name="Normal 9 2 2 2 2 2 4 3" xfId="6119" xr:uid="{00000000-0005-0000-0000-00007C1E0000}"/>
    <cellStyle name="Normal 9 2 2 2 2 2 4 3 2" xfId="14558" xr:uid="{A6F4F344-8499-4B10-A212-AC159B27E144}"/>
    <cellStyle name="Normal 9 2 2 2 2 2 4 4" xfId="10340" xr:uid="{B76AA4BE-8D63-420B-854A-CBE4D5E4EA97}"/>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2 2 2" xfId="17116" xr:uid="{CCDBC914-6EAC-4AC7-A733-C4DEA53777C3}"/>
    <cellStyle name="Normal 9 2 2 2 2 2 5 2 3" xfId="12898" xr:uid="{1A62EC11-EBC6-45BA-B73D-E1094B74D821}"/>
    <cellStyle name="Normal 9 2 2 2 2 2 5 3" xfId="6532" xr:uid="{00000000-0005-0000-0000-0000801E0000}"/>
    <cellStyle name="Normal 9 2 2 2 2 2 5 3 2" xfId="14971" xr:uid="{6308ED3F-00C5-48D6-912D-583A639538CB}"/>
    <cellStyle name="Normal 9 2 2 2 2 2 5 4" xfId="10753" xr:uid="{F983E9D0-0E4B-45FE-B386-387646A14122}"/>
    <cellStyle name="Normal 9 2 2 2 2 2 6" xfId="2661" xr:uid="{00000000-0005-0000-0000-0000811E0000}"/>
    <cellStyle name="Normal 9 2 2 2 2 2 6 2" xfId="6945" xr:uid="{00000000-0005-0000-0000-0000821E0000}"/>
    <cellStyle name="Normal 9 2 2 2 2 2 6 2 2" xfId="15384" xr:uid="{3362EBE1-860C-40D3-AF97-938E61C154F4}"/>
    <cellStyle name="Normal 9 2 2 2 2 2 6 3" xfId="11166" xr:uid="{FA73DD01-8CA6-43A7-BDB2-4DAD63BBC59F}"/>
    <cellStyle name="Normal 9 2 2 2 2 2 7" xfId="4880" xr:uid="{00000000-0005-0000-0000-0000831E0000}"/>
    <cellStyle name="Normal 9 2 2 2 2 2 7 2" xfId="13319" xr:uid="{152BA417-097A-400B-B28E-EA29281C3A13}"/>
    <cellStyle name="Normal 9 2 2 2 2 2 8" xfId="9101" xr:uid="{D9E4F569-2750-462D-A472-B9BD4822AA3E}"/>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15876" xr:uid="{64060B5C-99D6-4E90-A06F-5E9D6401BEBD}"/>
    <cellStyle name="Normal 9 2 2 2 2 3 2 3" xfId="11658" xr:uid="{EF2DB8E5-8483-4CD4-BA21-9B8023E24BC1}"/>
    <cellStyle name="Normal 9 2 2 2 2 3 3" xfId="5292" xr:uid="{00000000-0005-0000-0000-0000871E0000}"/>
    <cellStyle name="Normal 9 2 2 2 2 3 3 2" xfId="13731" xr:uid="{4D586028-0A0C-45F5-82C8-8985CCCCE94C}"/>
    <cellStyle name="Normal 9 2 2 2 2 3 4" xfId="9513" xr:uid="{A4354152-3E69-45A6-8D76-E4D89C4C7FB4}"/>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2 2" xfId="16289" xr:uid="{2A26EF63-B242-4CCB-96D8-FCC16DADC39F}"/>
    <cellStyle name="Normal 9 2 2 2 2 4 2 3" xfId="12071" xr:uid="{268B214D-39D0-4799-B161-14B6FF947491}"/>
    <cellStyle name="Normal 9 2 2 2 2 4 3" xfId="5705" xr:uid="{00000000-0005-0000-0000-00008B1E0000}"/>
    <cellStyle name="Normal 9 2 2 2 2 4 3 2" xfId="14144" xr:uid="{67283385-7685-4825-B04A-85C3259010DB}"/>
    <cellStyle name="Normal 9 2 2 2 2 4 4" xfId="9926" xr:uid="{55B31A59-C57B-4659-8720-8442EE9224A2}"/>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2 2 2" xfId="16702" xr:uid="{2F2698D7-0F2A-4B8D-9C79-76AB96C9B0B0}"/>
    <cellStyle name="Normal 9 2 2 2 2 5 2 3" xfId="12484" xr:uid="{BF099120-A700-4CFB-88CE-295AF279F9CA}"/>
    <cellStyle name="Normal 9 2 2 2 2 5 3" xfId="6118" xr:uid="{00000000-0005-0000-0000-00008F1E0000}"/>
    <cellStyle name="Normal 9 2 2 2 2 5 3 2" xfId="14557" xr:uid="{9C9C97FB-821F-457A-9AD3-7167D0523ED5}"/>
    <cellStyle name="Normal 9 2 2 2 2 5 4" xfId="10339" xr:uid="{03383601-B6D2-4793-9ADD-B3A097928AB5}"/>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2 2 2" xfId="17115" xr:uid="{3D6F7CC1-D063-496F-8D3B-0516B46E46D0}"/>
    <cellStyle name="Normal 9 2 2 2 2 6 2 3" xfId="12897" xr:uid="{81358DDE-A6BC-445F-96C4-10D8FB455F69}"/>
    <cellStyle name="Normal 9 2 2 2 2 6 3" xfId="6531" xr:uid="{00000000-0005-0000-0000-0000931E0000}"/>
    <cellStyle name="Normal 9 2 2 2 2 6 3 2" xfId="14970" xr:uid="{E6DE3CAC-9D87-49BF-8E85-D3C31867139A}"/>
    <cellStyle name="Normal 9 2 2 2 2 6 4" xfId="10752" xr:uid="{2C4CCED5-20C5-4B89-A9E8-1B0162194E7D}"/>
    <cellStyle name="Normal 9 2 2 2 2 7" xfId="2660" xr:uid="{00000000-0005-0000-0000-0000941E0000}"/>
    <cellStyle name="Normal 9 2 2 2 2 7 2" xfId="6944" xr:uid="{00000000-0005-0000-0000-0000951E0000}"/>
    <cellStyle name="Normal 9 2 2 2 2 7 2 2" xfId="15383" xr:uid="{8045EB49-AA77-4980-99A9-80E8DE2531F6}"/>
    <cellStyle name="Normal 9 2 2 2 2 7 3" xfId="11165" xr:uid="{3E6C8F3C-EB38-4D0A-A281-8CC50DEC258F}"/>
    <cellStyle name="Normal 9 2 2 2 2 8" xfId="4879" xr:uid="{00000000-0005-0000-0000-0000961E0000}"/>
    <cellStyle name="Normal 9 2 2 2 2 8 2" xfId="13318" xr:uid="{6E6FFA73-C46F-49BE-9399-FA49DA2BA001}"/>
    <cellStyle name="Normal 9 2 2 2 2 9" xfId="9100" xr:uid="{7EC48496-09AF-4E03-AC2C-B3046216E49D}"/>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15878" xr:uid="{8C6B6BAC-2C81-4828-9826-C3408758479B}"/>
    <cellStyle name="Normal 9 2 2 2 3 2 2 3" xfId="11660" xr:uid="{945B051D-381C-4249-9BC9-9B7DCC1DA53D}"/>
    <cellStyle name="Normal 9 2 2 2 3 2 3" xfId="5294" xr:uid="{00000000-0005-0000-0000-00009B1E0000}"/>
    <cellStyle name="Normal 9 2 2 2 3 2 3 2" xfId="13733" xr:uid="{35E1FF8C-6E6F-4A31-B0EC-0C1EB60F5E04}"/>
    <cellStyle name="Normal 9 2 2 2 3 2 4" xfId="9515" xr:uid="{F18E84F2-E425-4749-B939-EB12A77047C1}"/>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2 2" xfId="16291" xr:uid="{D6BB0C44-5B0F-4AF2-959F-A176750CF5AF}"/>
    <cellStyle name="Normal 9 2 2 2 3 3 2 3" xfId="12073" xr:uid="{F9D21181-CA97-418C-95CB-E7287B911B31}"/>
    <cellStyle name="Normal 9 2 2 2 3 3 3" xfId="5707" xr:uid="{00000000-0005-0000-0000-00009F1E0000}"/>
    <cellStyle name="Normal 9 2 2 2 3 3 3 2" xfId="14146" xr:uid="{9AFD162B-838D-4984-BFCB-2BF50744C9AC}"/>
    <cellStyle name="Normal 9 2 2 2 3 3 4" xfId="9928" xr:uid="{0BCC177B-4112-41F4-8F28-A15D2638426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2 2 2" xfId="16704" xr:uid="{4E2AD91B-DD94-4C64-841B-5192C2FC9929}"/>
    <cellStyle name="Normal 9 2 2 2 3 4 2 3" xfId="12486" xr:uid="{57E1A780-E76A-4FE9-87E1-9A22043908A5}"/>
    <cellStyle name="Normal 9 2 2 2 3 4 3" xfId="6120" xr:uid="{00000000-0005-0000-0000-0000A31E0000}"/>
    <cellStyle name="Normal 9 2 2 2 3 4 3 2" xfId="14559" xr:uid="{07F67A68-B145-4BFF-87B4-13837A71E919}"/>
    <cellStyle name="Normal 9 2 2 2 3 4 4" xfId="10341" xr:uid="{33A5B824-B183-4A92-AEC9-E113C5513F6F}"/>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2 2 2" xfId="17117" xr:uid="{F392AEE3-E763-48EE-9C7F-9491E254DB55}"/>
    <cellStyle name="Normal 9 2 2 2 3 5 2 3" xfId="12899" xr:uid="{85E0D3A1-E75E-45BA-BE63-42E81BFA24F8}"/>
    <cellStyle name="Normal 9 2 2 2 3 5 3" xfId="6533" xr:uid="{00000000-0005-0000-0000-0000A71E0000}"/>
    <cellStyle name="Normal 9 2 2 2 3 5 3 2" xfId="14972" xr:uid="{D5EC2708-1982-4EA4-9D51-F4BE8FBE35A0}"/>
    <cellStyle name="Normal 9 2 2 2 3 5 4" xfId="10754" xr:uid="{2B315297-3C19-4513-A794-86F9C3EA051A}"/>
    <cellStyle name="Normal 9 2 2 2 3 6" xfId="2662" xr:uid="{00000000-0005-0000-0000-0000A81E0000}"/>
    <cellStyle name="Normal 9 2 2 2 3 6 2" xfId="6946" xr:uid="{00000000-0005-0000-0000-0000A91E0000}"/>
    <cellStyle name="Normal 9 2 2 2 3 6 2 2" xfId="15385" xr:uid="{73B63F02-A575-499B-B6C9-BEAF5259F41A}"/>
    <cellStyle name="Normal 9 2 2 2 3 6 3" xfId="11167" xr:uid="{4D6CA865-FA15-4241-810B-2CC10A931B68}"/>
    <cellStyle name="Normal 9 2 2 2 3 7" xfId="4881" xr:uid="{00000000-0005-0000-0000-0000AA1E0000}"/>
    <cellStyle name="Normal 9 2 2 2 3 7 2" xfId="13320" xr:uid="{0BC607AD-5AA1-4AB7-8DE2-A6D26FFB926A}"/>
    <cellStyle name="Normal 9 2 2 2 3 8" xfId="9102" xr:uid="{87348F58-20E1-47F0-B6A5-240F47DA4B9B}"/>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15875" xr:uid="{90D33C4D-2D3E-4B0B-90A0-BA15F15E88F8}"/>
    <cellStyle name="Normal 9 2 2 2 4 2 3" xfId="11657" xr:uid="{76EE89B5-B1E8-43D6-92B7-5C3C58ADF04B}"/>
    <cellStyle name="Normal 9 2 2 2 4 3" xfId="5291" xr:uid="{00000000-0005-0000-0000-0000AE1E0000}"/>
    <cellStyle name="Normal 9 2 2 2 4 3 2" xfId="13730" xr:uid="{F2C80426-C3CC-4BE8-9F5E-DDCAF76E80A0}"/>
    <cellStyle name="Normal 9 2 2 2 4 4" xfId="9512" xr:uid="{077FE97F-09BA-496E-8BEB-42F00EDEB37F}"/>
    <cellStyle name="Normal 9 2 2 2 5" xfId="1396" xr:uid="{00000000-0005-0000-0000-0000AF1E0000}"/>
    <cellStyle name="Normal 9 2 2 2 5 2" xfId="3626" xr:uid="{00000000-0005-0000-0000-0000B01E0000}"/>
    <cellStyle name="Normal 9 2 2 2 5 2 2" xfId="7849" xr:uid="{00000000-0005-0000-0000-0000B11E0000}"/>
    <cellStyle name="Normal 9 2 2 2 5 2 2 2" xfId="16288" xr:uid="{A2F90076-CDBE-48EA-B140-04A38AAE5DAF}"/>
    <cellStyle name="Normal 9 2 2 2 5 2 3" xfId="12070" xr:uid="{700A2BF0-2E01-4F7B-A2B0-FDF18D75903E}"/>
    <cellStyle name="Normal 9 2 2 2 5 3" xfId="5704" xr:uid="{00000000-0005-0000-0000-0000B21E0000}"/>
    <cellStyle name="Normal 9 2 2 2 5 3 2" xfId="14143" xr:uid="{326F8F84-C94B-46CA-8862-EE4680F5F034}"/>
    <cellStyle name="Normal 9 2 2 2 5 4" xfId="9925" xr:uid="{DC09E846-6A45-437A-B15A-0F5C0C3F1686}"/>
    <cellStyle name="Normal 9 2 2 2 6" xfId="1809" xr:uid="{00000000-0005-0000-0000-0000B31E0000}"/>
    <cellStyle name="Normal 9 2 2 2 6 2" xfId="4039" xr:uid="{00000000-0005-0000-0000-0000B41E0000}"/>
    <cellStyle name="Normal 9 2 2 2 6 2 2" xfId="8262" xr:uid="{00000000-0005-0000-0000-0000B51E0000}"/>
    <cellStyle name="Normal 9 2 2 2 6 2 2 2" xfId="16701" xr:uid="{1C79D331-5CCB-4CB1-B9B3-C228DF062485}"/>
    <cellStyle name="Normal 9 2 2 2 6 2 3" xfId="12483" xr:uid="{819DC9A4-4ED8-4967-8709-8D6FD310AA9E}"/>
    <cellStyle name="Normal 9 2 2 2 6 3" xfId="6117" xr:uid="{00000000-0005-0000-0000-0000B61E0000}"/>
    <cellStyle name="Normal 9 2 2 2 6 3 2" xfId="14556" xr:uid="{DE40CE68-D831-4C47-943D-1A41AC5F49E6}"/>
    <cellStyle name="Normal 9 2 2 2 6 4" xfId="10338" xr:uid="{CDA8751A-C554-4609-9883-82CAF6B3C2CC}"/>
    <cellStyle name="Normal 9 2 2 2 7" xfId="2223" xr:uid="{00000000-0005-0000-0000-0000B71E0000}"/>
    <cellStyle name="Normal 9 2 2 2 7 2" xfId="4452" xr:uid="{00000000-0005-0000-0000-0000B81E0000}"/>
    <cellStyle name="Normal 9 2 2 2 7 2 2" xfId="8675" xr:uid="{00000000-0005-0000-0000-0000B91E0000}"/>
    <cellStyle name="Normal 9 2 2 2 7 2 2 2" xfId="17114" xr:uid="{956FCF53-02D9-45F9-BF4F-A58FB7167048}"/>
    <cellStyle name="Normal 9 2 2 2 7 2 3" xfId="12896" xr:uid="{46D7CC04-AA3D-4692-9A9E-76ED16493DB1}"/>
    <cellStyle name="Normal 9 2 2 2 7 3" xfId="6530" xr:uid="{00000000-0005-0000-0000-0000BA1E0000}"/>
    <cellStyle name="Normal 9 2 2 2 7 3 2" xfId="14969" xr:uid="{7BEADEB5-1D35-43F4-BA71-32B519668D2C}"/>
    <cellStyle name="Normal 9 2 2 2 7 4" xfId="10751" xr:uid="{348716EE-88BE-4B5D-9CAF-8965D7B69E8C}"/>
    <cellStyle name="Normal 9 2 2 2 8" xfId="2659" xr:uid="{00000000-0005-0000-0000-0000BB1E0000}"/>
    <cellStyle name="Normal 9 2 2 2 8 2" xfId="6943" xr:uid="{00000000-0005-0000-0000-0000BC1E0000}"/>
    <cellStyle name="Normal 9 2 2 2 8 2 2" xfId="15382" xr:uid="{D87502CA-55AC-45C5-8615-C96CD49DDEB9}"/>
    <cellStyle name="Normal 9 2 2 2 8 3" xfId="11164" xr:uid="{EC8B9073-2F8A-4214-AFC5-3CCEFEA32116}"/>
    <cellStyle name="Normal 9 2 2 2 9" xfId="4878" xr:uid="{00000000-0005-0000-0000-0000BD1E0000}"/>
    <cellStyle name="Normal 9 2 2 2 9 2" xfId="13317" xr:uid="{B1FA1D49-5E0A-4771-B360-58555391A5ED}"/>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15880" xr:uid="{59A1D867-2709-43F7-8338-EB248A5C306B}"/>
    <cellStyle name="Normal 9 2 2 3 2 2 2 3" xfId="11662" xr:uid="{891DB904-1072-4B2C-87BD-6A7F93050D41}"/>
    <cellStyle name="Normal 9 2 2 3 2 2 3" xfId="5296" xr:uid="{00000000-0005-0000-0000-0000C31E0000}"/>
    <cellStyle name="Normal 9 2 2 3 2 2 3 2" xfId="13735" xr:uid="{04608461-7980-43C5-93A8-2996F3A4E7CB}"/>
    <cellStyle name="Normal 9 2 2 3 2 2 4" xfId="9517" xr:uid="{3F508D29-C202-425D-A791-2570D9AA1CB4}"/>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2 2" xfId="16293" xr:uid="{ADA98F81-3D9A-499D-870B-F94B09CD8F5B}"/>
    <cellStyle name="Normal 9 2 2 3 2 3 2 3" xfId="12075" xr:uid="{5BFBB0B4-F48B-41AF-B9FC-2F0844A0C342}"/>
    <cellStyle name="Normal 9 2 2 3 2 3 3" xfId="5709" xr:uid="{00000000-0005-0000-0000-0000C71E0000}"/>
    <cellStyle name="Normal 9 2 2 3 2 3 3 2" xfId="14148" xr:uid="{F90E551B-AE54-449C-A5A3-5DF89DEDACEF}"/>
    <cellStyle name="Normal 9 2 2 3 2 3 4" xfId="9930" xr:uid="{FDDD94C8-C515-43EA-BC7E-95663DC09194}"/>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2 2 2" xfId="16706" xr:uid="{7518B494-D10E-46CD-89E6-531305AB2B91}"/>
    <cellStyle name="Normal 9 2 2 3 2 4 2 3" xfId="12488" xr:uid="{DF397954-34EB-465D-9C11-A7B9D434C6E9}"/>
    <cellStyle name="Normal 9 2 2 3 2 4 3" xfId="6122" xr:uid="{00000000-0005-0000-0000-0000CB1E0000}"/>
    <cellStyle name="Normal 9 2 2 3 2 4 3 2" xfId="14561" xr:uid="{0F8CD221-D96A-4839-A5F6-A1028AB15A47}"/>
    <cellStyle name="Normal 9 2 2 3 2 4 4" xfId="10343" xr:uid="{035BFF29-89C8-4832-B8AF-197611972A09}"/>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2 2 2" xfId="17119" xr:uid="{3BB82DD2-9A7F-4EB4-AFFE-DC24FFC34199}"/>
    <cellStyle name="Normal 9 2 2 3 2 5 2 3" xfId="12901" xr:uid="{C4F9313D-0E88-4ACD-B718-69A5E4A8FF46}"/>
    <cellStyle name="Normal 9 2 2 3 2 5 3" xfId="6535" xr:uid="{00000000-0005-0000-0000-0000CF1E0000}"/>
    <cellStyle name="Normal 9 2 2 3 2 5 3 2" xfId="14974" xr:uid="{B4B5D5AA-5B2B-484A-A161-A54E20AEAAA4}"/>
    <cellStyle name="Normal 9 2 2 3 2 5 4" xfId="10756" xr:uid="{A3362A01-2D80-401E-BF6A-EAB474764723}"/>
    <cellStyle name="Normal 9 2 2 3 2 6" xfId="2664" xr:uid="{00000000-0005-0000-0000-0000D01E0000}"/>
    <cellStyle name="Normal 9 2 2 3 2 6 2" xfId="6948" xr:uid="{00000000-0005-0000-0000-0000D11E0000}"/>
    <cellStyle name="Normal 9 2 2 3 2 6 2 2" xfId="15387" xr:uid="{351E9C59-5DC6-4088-94DA-46F70EE44EE7}"/>
    <cellStyle name="Normal 9 2 2 3 2 6 3" xfId="11169" xr:uid="{BD56E3F1-11D8-427C-8808-7BF91FE6CC3F}"/>
    <cellStyle name="Normal 9 2 2 3 2 7" xfId="4883" xr:uid="{00000000-0005-0000-0000-0000D21E0000}"/>
    <cellStyle name="Normal 9 2 2 3 2 7 2" xfId="13322" xr:uid="{221277AD-1F99-4A55-9295-5AF7960DC023}"/>
    <cellStyle name="Normal 9 2 2 3 2 8" xfId="9104" xr:uid="{EB1D19A6-032A-4B8B-B20B-4A2C07EC6751}"/>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15879" xr:uid="{B3B99D93-4F9A-4D89-9671-63F5D39897AC}"/>
    <cellStyle name="Normal 9 2 2 3 3 2 3" xfId="11661" xr:uid="{E2F1F69E-C2D1-4F2E-8978-712ABF24B99B}"/>
    <cellStyle name="Normal 9 2 2 3 3 3" xfId="5295" xr:uid="{00000000-0005-0000-0000-0000D61E0000}"/>
    <cellStyle name="Normal 9 2 2 3 3 3 2" xfId="13734" xr:uid="{67D6D334-686A-4316-BCA7-FB4C75B36FEA}"/>
    <cellStyle name="Normal 9 2 2 3 3 4" xfId="9516" xr:uid="{992BF2BF-DB9D-4D00-9970-DF505C4044E8}"/>
    <cellStyle name="Normal 9 2 2 3 4" xfId="1400" xr:uid="{00000000-0005-0000-0000-0000D71E0000}"/>
    <cellStyle name="Normal 9 2 2 3 4 2" xfId="3630" xr:uid="{00000000-0005-0000-0000-0000D81E0000}"/>
    <cellStyle name="Normal 9 2 2 3 4 2 2" xfId="7853" xr:uid="{00000000-0005-0000-0000-0000D91E0000}"/>
    <cellStyle name="Normal 9 2 2 3 4 2 2 2" xfId="16292" xr:uid="{961A52F7-8537-472D-9A78-0D4BBAEB1D1A}"/>
    <cellStyle name="Normal 9 2 2 3 4 2 3" xfId="12074" xr:uid="{0D720A53-E98C-466A-9033-497A505BE6D1}"/>
    <cellStyle name="Normal 9 2 2 3 4 3" xfId="5708" xr:uid="{00000000-0005-0000-0000-0000DA1E0000}"/>
    <cellStyle name="Normal 9 2 2 3 4 3 2" xfId="14147" xr:uid="{FD1D57F4-C8E3-446D-96FB-14CEB6E12059}"/>
    <cellStyle name="Normal 9 2 2 3 4 4" xfId="9929" xr:uid="{E3B19FB4-7950-4DCB-8841-5E3D2E372F60}"/>
    <cellStyle name="Normal 9 2 2 3 5" xfId="1813" xr:uid="{00000000-0005-0000-0000-0000DB1E0000}"/>
    <cellStyle name="Normal 9 2 2 3 5 2" xfId="4043" xr:uid="{00000000-0005-0000-0000-0000DC1E0000}"/>
    <cellStyle name="Normal 9 2 2 3 5 2 2" xfId="8266" xr:uid="{00000000-0005-0000-0000-0000DD1E0000}"/>
    <cellStyle name="Normal 9 2 2 3 5 2 2 2" xfId="16705" xr:uid="{AA05978C-9F27-44D6-836F-BDBE7207D479}"/>
    <cellStyle name="Normal 9 2 2 3 5 2 3" xfId="12487" xr:uid="{75913777-3B96-4EBB-8067-88E686EB27DA}"/>
    <cellStyle name="Normal 9 2 2 3 5 3" xfId="6121" xr:uid="{00000000-0005-0000-0000-0000DE1E0000}"/>
    <cellStyle name="Normal 9 2 2 3 5 3 2" xfId="14560" xr:uid="{8BA74B34-18FC-4838-8547-CDB52A476618}"/>
    <cellStyle name="Normal 9 2 2 3 5 4" xfId="10342" xr:uid="{92B569DA-952A-42F9-B00E-E54FFD1F3E73}"/>
    <cellStyle name="Normal 9 2 2 3 6" xfId="2227" xr:uid="{00000000-0005-0000-0000-0000DF1E0000}"/>
    <cellStyle name="Normal 9 2 2 3 6 2" xfId="4456" xr:uid="{00000000-0005-0000-0000-0000E01E0000}"/>
    <cellStyle name="Normal 9 2 2 3 6 2 2" xfId="8679" xr:uid="{00000000-0005-0000-0000-0000E11E0000}"/>
    <cellStyle name="Normal 9 2 2 3 6 2 2 2" xfId="17118" xr:uid="{523DD6C4-13FD-4077-ABCC-5EE0B373B3A0}"/>
    <cellStyle name="Normal 9 2 2 3 6 2 3" xfId="12900" xr:uid="{CC8FD972-A78D-4E39-9A6E-D98E29720E8F}"/>
    <cellStyle name="Normal 9 2 2 3 6 3" xfId="6534" xr:uid="{00000000-0005-0000-0000-0000E21E0000}"/>
    <cellStyle name="Normal 9 2 2 3 6 3 2" xfId="14973" xr:uid="{965A203A-8500-4333-BC4C-D0660C447442}"/>
    <cellStyle name="Normal 9 2 2 3 6 4" xfId="10755" xr:uid="{777A668D-4FE7-4FE2-B48F-2E9593C67099}"/>
    <cellStyle name="Normal 9 2 2 3 7" xfId="2663" xr:uid="{00000000-0005-0000-0000-0000E31E0000}"/>
    <cellStyle name="Normal 9 2 2 3 7 2" xfId="6947" xr:uid="{00000000-0005-0000-0000-0000E41E0000}"/>
    <cellStyle name="Normal 9 2 2 3 7 2 2" xfId="15386" xr:uid="{428275C2-C5B0-48A3-9C55-317DCAE976D3}"/>
    <cellStyle name="Normal 9 2 2 3 7 3" xfId="11168" xr:uid="{B0B9B326-6CC8-4335-BD12-5C81CCC666D9}"/>
    <cellStyle name="Normal 9 2 2 3 8" xfId="4882" xr:uid="{00000000-0005-0000-0000-0000E51E0000}"/>
    <cellStyle name="Normal 9 2 2 3 8 2" xfId="13321" xr:uid="{61635964-5435-40C0-AD38-D8BA26E9BFD9}"/>
    <cellStyle name="Normal 9 2 2 3 9" xfId="9103" xr:uid="{A034AAF6-E00E-4A76-AA46-D5BED4974FAA}"/>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15881" xr:uid="{1FC198F4-815B-4CE3-8E7F-D8DE4373EB93}"/>
    <cellStyle name="Normal 9 2 2 4 2 2 3" xfId="11663" xr:uid="{D08DCF38-CEBC-48B0-9BC3-BF5EBA20E264}"/>
    <cellStyle name="Normal 9 2 2 4 2 3" xfId="5297" xr:uid="{00000000-0005-0000-0000-0000EA1E0000}"/>
    <cellStyle name="Normal 9 2 2 4 2 3 2" xfId="13736" xr:uid="{1609B4B8-307E-4CF6-AD2C-84D849D3B7D2}"/>
    <cellStyle name="Normal 9 2 2 4 2 4" xfId="9518" xr:uid="{D55F7269-7794-49FF-9C80-F875A382F8C8}"/>
    <cellStyle name="Normal 9 2 2 4 3" xfId="1402" xr:uid="{00000000-0005-0000-0000-0000EB1E0000}"/>
    <cellStyle name="Normal 9 2 2 4 3 2" xfId="3632" xr:uid="{00000000-0005-0000-0000-0000EC1E0000}"/>
    <cellStyle name="Normal 9 2 2 4 3 2 2" xfId="7855" xr:uid="{00000000-0005-0000-0000-0000ED1E0000}"/>
    <cellStyle name="Normal 9 2 2 4 3 2 2 2" xfId="16294" xr:uid="{9BC152B9-ECD1-4A26-8931-0058B8589A93}"/>
    <cellStyle name="Normal 9 2 2 4 3 2 3" xfId="12076" xr:uid="{4F316259-4C95-480D-B298-EEE33F82DFA9}"/>
    <cellStyle name="Normal 9 2 2 4 3 3" xfId="5710" xr:uid="{00000000-0005-0000-0000-0000EE1E0000}"/>
    <cellStyle name="Normal 9 2 2 4 3 3 2" xfId="14149" xr:uid="{D5C3AA37-05FD-45D6-82DE-E142D8EA8AB8}"/>
    <cellStyle name="Normal 9 2 2 4 3 4" xfId="9931" xr:uid="{C72C0FC6-47E6-4D24-B038-004A1BA751AA}"/>
    <cellStyle name="Normal 9 2 2 4 4" xfId="1815" xr:uid="{00000000-0005-0000-0000-0000EF1E0000}"/>
    <cellStyle name="Normal 9 2 2 4 4 2" xfId="4045" xr:uid="{00000000-0005-0000-0000-0000F01E0000}"/>
    <cellStyle name="Normal 9 2 2 4 4 2 2" xfId="8268" xr:uid="{00000000-0005-0000-0000-0000F11E0000}"/>
    <cellStyle name="Normal 9 2 2 4 4 2 2 2" xfId="16707" xr:uid="{7929AA45-E3A7-4C9B-8AE6-2F31ACDEDAD4}"/>
    <cellStyle name="Normal 9 2 2 4 4 2 3" xfId="12489" xr:uid="{BC35489A-EB9E-4E5E-B836-0640178C81CD}"/>
    <cellStyle name="Normal 9 2 2 4 4 3" xfId="6123" xr:uid="{00000000-0005-0000-0000-0000F21E0000}"/>
    <cellStyle name="Normal 9 2 2 4 4 3 2" xfId="14562" xr:uid="{F253290D-89B4-474F-A741-36BFB2BC5DF1}"/>
    <cellStyle name="Normal 9 2 2 4 4 4" xfId="10344" xr:uid="{EE16FBC2-A352-4425-BBDB-4A9E43BD022A}"/>
    <cellStyle name="Normal 9 2 2 4 5" xfId="2229" xr:uid="{00000000-0005-0000-0000-0000F31E0000}"/>
    <cellStyle name="Normal 9 2 2 4 5 2" xfId="4458" xr:uid="{00000000-0005-0000-0000-0000F41E0000}"/>
    <cellStyle name="Normal 9 2 2 4 5 2 2" xfId="8681" xr:uid="{00000000-0005-0000-0000-0000F51E0000}"/>
    <cellStyle name="Normal 9 2 2 4 5 2 2 2" xfId="17120" xr:uid="{4A08475F-4D52-4BCE-AF17-CC687DA3D986}"/>
    <cellStyle name="Normal 9 2 2 4 5 2 3" xfId="12902" xr:uid="{6A6DA2E6-2480-4A1B-BF5F-93C8810412CB}"/>
    <cellStyle name="Normal 9 2 2 4 5 3" xfId="6536" xr:uid="{00000000-0005-0000-0000-0000F61E0000}"/>
    <cellStyle name="Normal 9 2 2 4 5 3 2" xfId="14975" xr:uid="{4F47568A-AC11-498F-8876-A54968D8020B}"/>
    <cellStyle name="Normal 9 2 2 4 5 4" xfId="10757" xr:uid="{D50230F6-C9B8-4EE3-A21F-47F5FB7AD0CC}"/>
    <cellStyle name="Normal 9 2 2 4 6" xfId="2665" xr:uid="{00000000-0005-0000-0000-0000F71E0000}"/>
    <cellStyle name="Normal 9 2 2 4 6 2" xfId="6949" xr:uid="{00000000-0005-0000-0000-0000F81E0000}"/>
    <cellStyle name="Normal 9 2 2 4 6 2 2" xfId="15388" xr:uid="{3BAEDDB9-A85B-4094-AA20-B995B064441A}"/>
    <cellStyle name="Normal 9 2 2 4 6 3" xfId="11170" xr:uid="{3E9B9F20-B890-49EE-AE35-21FCB74BCC36}"/>
    <cellStyle name="Normal 9 2 2 4 7" xfId="4884" xr:uid="{00000000-0005-0000-0000-0000F91E0000}"/>
    <cellStyle name="Normal 9 2 2 4 7 2" xfId="13323" xr:uid="{44F32415-481D-4264-948B-91949349CE6E}"/>
    <cellStyle name="Normal 9 2 2 4 8" xfId="9105" xr:uid="{1F181558-C38E-46B0-B809-E8266BE3E586}"/>
    <cellStyle name="Normal 9 2 2 5" xfId="979" xr:uid="{00000000-0005-0000-0000-0000FA1E0000}"/>
    <cellStyle name="Normal 9 2 2 5 2" xfId="3212" xr:uid="{00000000-0005-0000-0000-0000FB1E0000}"/>
    <cellStyle name="Normal 9 2 2 5 2 2" xfId="7435" xr:uid="{00000000-0005-0000-0000-0000FC1E0000}"/>
    <cellStyle name="Normal 9 2 2 5 2 2 2" xfId="15874" xr:uid="{4888C6FC-CD34-4467-B908-EFE57006639E}"/>
    <cellStyle name="Normal 9 2 2 5 2 3" xfId="11656" xr:uid="{E130BB67-E1E6-44F5-B3A0-14CC814FA59A}"/>
    <cellStyle name="Normal 9 2 2 5 3" xfId="5290" xr:uid="{00000000-0005-0000-0000-0000FD1E0000}"/>
    <cellStyle name="Normal 9 2 2 5 3 2" xfId="13729" xr:uid="{98F2E97B-2DAF-49CD-9B79-C009492DA3AF}"/>
    <cellStyle name="Normal 9 2 2 5 4" xfId="9511" xr:uid="{4E515A86-B007-4FEA-A535-DA4866C31214}"/>
    <cellStyle name="Normal 9 2 2 6" xfId="1395" xr:uid="{00000000-0005-0000-0000-0000FE1E0000}"/>
    <cellStyle name="Normal 9 2 2 6 2" xfId="3625" xr:uid="{00000000-0005-0000-0000-0000FF1E0000}"/>
    <cellStyle name="Normal 9 2 2 6 2 2" xfId="7848" xr:uid="{00000000-0005-0000-0000-0000001F0000}"/>
    <cellStyle name="Normal 9 2 2 6 2 2 2" xfId="16287" xr:uid="{DB628620-CECC-4B86-9A60-9CFCFF70FBDF}"/>
    <cellStyle name="Normal 9 2 2 6 2 3" xfId="12069" xr:uid="{D4CBD00C-131D-4D17-B43D-578F84D60CB9}"/>
    <cellStyle name="Normal 9 2 2 6 3" xfId="5703" xr:uid="{00000000-0005-0000-0000-0000011F0000}"/>
    <cellStyle name="Normal 9 2 2 6 3 2" xfId="14142" xr:uid="{CC53B602-8CE3-4798-8A9F-894A424DA1ED}"/>
    <cellStyle name="Normal 9 2 2 6 4" xfId="9924" xr:uid="{57630420-E7E1-4762-9687-0E9E3FD40AD0}"/>
    <cellStyle name="Normal 9 2 2 7" xfId="1808" xr:uid="{00000000-0005-0000-0000-0000021F0000}"/>
    <cellStyle name="Normal 9 2 2 7 2" xfId="4038" xr:uid="{00000000-0005-0000-0000-0000031F0000}"/>
    <cellStyle name="Normal 9 2 2 7 2 2" xfId="8261" xr:uid="{00000000-0005-0000-0000-0000041F0000}"/>
    <cellStyle name="Normal 9 2 2 7 2 2 2" xfId="16700" xr:uid="{2AA5D54C-7CA0-4134-B59E-E98C70545FAD}"/>
    <cellStyle name="Normal 9 2 2 7 2 3" xfId="12482" xr:uid="{15CD29B5-B8A8-4A1E-8528-4B0A11A29F23}"/>
    <cellStyle name="Normal 9 2 2 7 3" xfId="6116" xr:uid="{00000000-0005-0000-0000-0000051F0000}"/>
    <cellStyle name="Normal 9 2 2 7 3 2" xfId="14555" xr:uid="{15180648-E9B7-4869-A1B2-17ABE3030821}"/>
    <cellStyle name="Normal 9 2 2 7 4" xfId="10337" xr:uid="{BEBAED75-08DE-4A5F-8278-AB70D67A363E}"/>
    <cellStyle name="Normal 9 2 2 8" xfId="2222" xr:uid="{00000000-0005-0000-0000-0000061F0000}"/>
    <cellStyle name="Normal 9 2 2 8 2" xfId="4451" xr:uid="{00000000-0005-0000-0000-0000071F0000}"/>
    <cellStyle name="Normal 9 2 2 8 2 2" xfId="8674" xr:uid="{00000000-0005-0000-0000-0000081F0000}"/>
    <cellStyle name="Normal 9 2 2 8 2 2 2" xfId="17113" xr:uid="{8CD24B04-33DD-46CB-8E5E-ED61C07C851D}"/>
    <cellStyle name="Normal 9 2 2 8 2 3" xfId="12895" xr:uid="{B6A97AC6-5FC8-49BE-B882-BD9212EFB1D1}"/>
    <cellStyle name="Normal 9 2 2 8 3" xfId="6529" xr:uid="{00000000-0005-0000-0000-0000091F0000}"/>
    <cellStyle name="Normal 9 2 2 8 3 2" xfId="14968" xr:uid="{FCDFF60A-864F-4876-B1B8-8F91ABC455A3}"/>
    <cellStyle name="Normal 9 2 2 8 4" xfId="10750" xr:uid="{3A2E6456-0905-4C53-99DB-4FAA87595424}"/>
    <cellStyle name="Normal 9 2 2 9" xfId="2658" xr:uid="{00000000-0005-0000-0000-00000A1F0000}"/>
    <cellStyle name="Normal 9 2 2 9 2" xfId="6942" xr:uid="{00000000-0005-0000-0000-00000B1F0000}"/>
    <cellStyle name="Normal 9 2 2 9 2 2" xfId="15381" xr:uid="{F8F07B60-5473-4C25-814F-39B1350165E3}"/>
    <cellStyle name="Normal 9 2 2 9 3" xfId="11163" xr:uid="{1875034A-E54C-4B37-A012-3BE603DE5058}"/>
    <cellStyle name="Normal 9 2 3" xfId="520" xr:uid="{00000000-0005-0000-0000-00000C1F0000}"/>
    <cellStyle name="Normal 9 2 3 10" xfId="9106" xr:uid="{5CEC9AC2-9738-4DC8-A1C2-10449723D44E}"/>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15884" xr:uid="{AA797293-9273-4F4E-9754-3E3090AAF85F}"/>
    <cellStyle name="Normal 9 2 3 2 2 2 2 3" xfId="11666" xr:uid="{424DCE86-70B7-4BD2-AD69-6D9C7F170592}"/>
    <cellStyle name="Normal 9 2 3 2 2 2 3" xfId="5300" xr:uid="{00000000-0005-0000-0000-0000121F0000}"/>
    <cellStyle name="Normal 9 2 3 2 2 2 3 2" xfId="13739" xr:uid="{1184B808-75C9-491B-9597-A9E151C7CA4A}"/>
    <cellStyle name="Normal 9 2 3 2 2 2 4" xfId="9521" xr:uid="{6EB8364D-3371-4465-9F18-B23A46B40654}"/>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2 2" xfId="16297" xr:uid="{0E65C563-8564-477C-A14E-96E839EEB281}"/>
    <cellStyle name="Normal 9 2 3 2 2 3 2 3" xfId="12079" xr:uid="{B50DC29E-F3FD-4CBD-999C-2DB874C6E439}"/>
    <cellStyle name="Normal 9 2 3 2 2 3 3" xfId="5713" xr:uid="{00000000-0005-0000-0000-0000161F0000}"/>
    <cellStyle name="Normal 9 2 3 2 2 3 3 2" xfId="14152" xr:uid="{E171C3C8-BB3C-4F9F-B6C1-76C89782C547}"/>
    <cellStyle name="Normal 9 2 3 2 2 3 4" xfId="9934" xr:uid="{C8CC7DA8-C045-47FC-A7DC-F0EEBB5CD42D}"/>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2 2 2" xfId="16710" xr:uid="{763B3021-7A2C-4DD1-9EEE-B29A1161C9B5}"/>
    <cellStyle name="Normal 9 2 3 2 2 4 2 3" xfId="12492" xr:uid="{613186C4-F2C9-4C4C-8F46-1FB26E348D92}"/>
    <cellStyle name="Normal 9 2 3 2 2 4 3" xfId="6126" xr:uid="{00000000-0005-0000-0000-00001A1F0000}"/>
    <cellStyle name="Normal 9 2 3 2 2 4 3 2" xfId="14565" xr:uid="{D5B7BAAF-0175-4388-BDCF-1E9A9AD181AA}"/>
    <cellStyle name="Normal 9 2 3 2 2 4 4" xfId="10347" xr:uid="{4F30B4EF-D20E-4445-9F50-74BB52A89D2A}"/>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2 2 2" xfId="17123" xr:uid="{0653DDC0-0C93-4661-9BD6-343A3E44B258}"/>
    <cellStyle name="Normal 9 2 3 2 2 5 2 3" xfId="12905" xr:uid="{46A086AA-ED39-49BA-B1D1-EAEFA8FBB7C9}"/>
    <cellStyle name="Normal 9 2 3 2 2 5 3" xfId="6539" xr:uid="{00000000-0005-0000-0000-00001E1F0000}"/>
    <cellStyle name="Normal 9 2 3 2 2 5 3 2" xfId="14978" xr:uid="{5197DD62-8586-47FB-90B4-F5A28CA02820}"/>
    <cellStyle name="Normal 9 2 3 2 2 5 4" xfId="10760" xr:uid="{3F13E81F-5D0C-411A-AB0F-7AEA5A91B860}"/>
    <cellStyle name="Normal 9 2 3 2 2 6" xfId="2668" xr:uid="{00000000-0005-0000-0000-00001F1F0000}"/>
    <cellStyle name="Normal 9 2 3 2 2 6 2" xfId="6952" xr:uid="{00000000-0005-0000-0000-0000201F0000}"/>
    <cellStyle name="Normal 9 2 3 2 2 6 2 2" xfId="15391" xr:uid="{9EE0008F-0001-45AC-9E68-5ED111B4D5E8}"/>
    <cellStyle name="Normal 9 2 3 2 2 6 3" xfId="11173" xr:uid="{A210C770-5056-4E12-97CD-FCE5C37BAC9D}"/>
    <cellStyle name="Normal 9 2 3 2 2 7" xfId="4887" xr:uid="{00000000-0005-0000-0000-0000211F0000}"/>
    <cellStyle name="Normal 9 2 3 2 2 7 2" xfId="13326" xr:uid="{AF04ABC5-B299-4C00-B053-8FCF8CAB7904}"/>
    <cellStyle name="Normal 9 2 3 2 2 8" xfId="9108" xr:uid="{AEFB7B8E-2F42-4CBA-9846-2F4F09C05A1F}"/>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15883" xr:uid="{B433E1AF-1EBA-49BF-B529-8A2C5728BD05}"/>
    <cellStyle name="Normal 9 2 3 2 3 2 3" xfId="11665" xr:uid="{082FB82F-ACE4-4104-B1F7-1320286E6563}"/>
    <cellStyle name="Normal 9 2 3 2 3 3" xfId="5299" xr:uid="{00000000-0005-0000-0000-0000251F0000}"/>
    <cellStyle name="Normal 9 2 3 2 3 3 2" xfId="13738" xr:uid="{888489B9-6054-4743-8B64-220CB157032C}"/>
    <cellStyle name="Normal 9 2 3 2 3 4" xfId="9520" xr:uid="{420B84FE-B838-4E9E-9DB9-0E189687BDDB}"/>
    <cellStyle name="Normal 9 2 3 2 4" xfId="1404" xr:uid="{00000000-0005-0000-0000-0000261F0000}"/>
    <cellStyle name="Normal 9 2 3 2 4 2" xfId="3634" xr:uid="{00000000-0005-0000-0000-0000271F0000}"/>
    <cellStyle name="Normal 9 2 3 2 4 2 2" xfId="7857" xr:uid="{00000000-0005-0000-0000-0000281F0000}"/>
    <cellStyle name="Normal 9 2 3 2 4 2 2 2" xfId="16296" xr:uid="{2A5C833C-B91F-4B45-B448-704FC164A250}"/>
    <cellStyle name="Normal 9 2 3 2 4 2 3" xfId="12078" xr:uid="{59C44FEA-5C77-42FF-B946-92025D66AC6F}"/>
    <cellStyle name="Normal 9 2 3 2 4 3" xfId="5712" xr:uid="{00000000-0005-0000-0000-0000291F0000}"/>
    <cellStyle name="Normal 9 2 3 2 4 3 2" xfId="14151" xr:uid="{04B81E18-6848-4BAE-9731-7DED0B4DD073}"/>
    <cellStyle name="Normal 9 2 3 2 4 4" xfId="9933" xr:uid="{E33B0A6F-1899-450F-B631-8FA437643E41}"/>
    <cellStyle name="Normal 9 2 3 2 5" xfId="1817" xr:uid="{00000000-0005-0000-0000-00002A1F0000}"/>
    <cellStyle name="Normal 9 2 3 2 5 2" xfId="4047" xr:uid="{00000000-0005-0000-0000-00002B1F0000}"/>
    <cellStyle name="Normal 9 2 3 2 5 2 2" xfId="8270" xr:uid="{00000000-0005-0000-0000-00002C1F0000}"/>
    <cellStyle name="Normal 9 2 3 2 5 2 2 2" xfId="16709" xr:uid="{B438E58E-3223-4BB4-BEE5-243D337340C6}"/>
    <cellStyle name="Normal 9 2 3 2 5 2 3" xfId="12491" xr:uid="{D3EB7F4B-B56E-4E60-8346-9D938C9CE9E6}"/>
    <cellStyle name="Normal 9 2 3 2 5 3" xfId="6125" xr:uid="{00000000-0005-0000-0000-00002D1F0000}"/>
    <cellStyle name="Normal 9 2 3 2 5 3 2" xfId="14564" xr:uid="{58958F4D-1B9F-45D2-889B-E23AE9B85AB5}"/>
    <cellStyle name="Normal 9 2 3 2 5 4" xfId="10346" xr:uid="{90D622F5-21DE-4BF2-A3FF-4B9E266981FA}"/>
    <cellStyle name="Normal 9 2 3 2 6" xfId="2231" xr:uid="{00000000-0005-0000-0000-00002E1F0000}"/>
    <cellStyle name="Normal 9 2 3 2 6 2" xfId="4460" xr:uid="{00000000-0005-0000-0000-00002F1F0000}"/>
    <cellStyle name="Normal 9 2 3 2 6 2 2" xfId="8683" xr:uid="{00000000-0005-0000-0000-0000301F0000}"/>
    <cellStyle name="Normal 9 2 3 2 6 2 2 2" xfId="17122" xr:uid="{9A3F5BD5-C41B-452A-82FF-7C9900B05F64}"/>
    <cellStyle name="Normal 9 2 3 2 6 2 3" xfId="12904" xr:uid="{15F76A83-1F8B-4EAC-8DA3-6FF2409A3019}"/>
    <cellStyle name="Normal 9 2 3 2 6 3" xfId="6538" xr:uid="{00000000-0005-0000-0000-0000311F0000}"/>
    <cellStyle name="Normal 9 2 3 2 6 3 2" xfId="14977" xr:uid="{CA8CC949-B90B-4CA3-9D41-9A950153EE4A}"/>
    <cellStyle name="Normal 9 2 3 2 6 4" xfId="10759" xr:uid="{B189483D-8FCD-41A8-B59E-F810EA71262B}"/>
    <cellStyle name="Normal 9 2 3 2 7" xfId="2667" xr:uid="{00000000-0005-0000-0000-0000321F0000}"/>
    <cellStyle name="Normal 9 2 3 2 7 2" xfId="6951" xr:uid="{00000000-0005-0000-0000-0000331F0000}"/>
    <cellStyle name="Normal 9 2 3 2 7 2 2" xfId="15390" xr:uid="{281AD165-395A-42F2-B922-468B274BF433}"/>
    <cellStyle name="Normal 9 2 3 2 7 3" xfId="11172" xr:uid="{2C531E9D-80BE-4C01-8CFC-BC6E9274D5BA}"/>
    <cellStyle name="Normal 9 2 3 2 8" xfId="4886" xr:uid="{00000000-0005-0000-0000-0000341F0000}"/>
    <cellStyle name="Normal 9 2 3 2 8 2" xfId="13325" xr:uid="{1DB553E3-61FA-45BE-95E5-F5BBD1A826DB}"/>
    <cellStyle name="Normal 9 2 3 2 9" xfId="9107" xr:uid="{5A0440EC-88B3-47C4-A6EC-C49D0D7A6817}"/>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15885" xr:uid="{68CF0F42-6261-43B9-B20E-E1EA40192183}"/>
    <cellStyle name="Normal 9 2 3 3 2 2 3" xfId="11667" xr:uid="{AB7C1011-57E4-43BC-B48E-6220BCDB285C}"/>
    <cellStyle name="Normal 9 2 3 3 2 3" xfId="5301" xr:uid="{00000000-0005-0000-0000-0000391F0000}"/>
    <cellStyle name="Normal 9 2 3 3 2 3 2" xfId="13740" xr:uid="{23A21258-4C35-49E1-8082-1D3A75C4DC36}"/>
    <cellStyle name="Normal 9 2 3 3 2 4" xfId="9522" xr:uid="{14EE18F0-BA5A-458D-B58C-DD65274BF7B9}"/>
    <cellStyle name="Normal 9 2 3 3 3" xfId="1406" xr:uid="{00000000-0005-0000-0000-00003A1F0000}"/>
    <cellStyle name="Normal 9 2 3 3 3 2" xfId="3636" xr:uid="{00000000-0005-0000-0000-00003B1F0000}"/>
    <cellStyle name="Normal 9 2 3 3 3 2 2" xfId="7859" xr:uid="{00000000-0005-0000-0000-00003C1F0000}"/>
    <cellStyle name="Normal 9 2 3 3 3 2 2 2" xfId="16298" xr:uid="{8C2058D1-1F72-4DBF-9C88-FB520800C295}"/>
    <cellStyle name="Normal 9 2 3 3 3 2 3" xfId="12080" xr:uid="{71222227-E720-4921-9991-2487F8DC6F12}"/>
    <cellStyle name="Normal 9 2 3 3 3 3" xfId="5714" xr:uid="{00000000-0005-0000-0000-00003D1F0000}"/>
    <cellStyle name="Normal 9 2 3 3 3 3 2" xfId="14153" xr:uid="{01257815-AD96-46C8-99C6-FF36329B73F9}"/>
    <cellStyle name="Normal 9 2 3 3 3 4" xfId="9935" xr:uid="{F803C714-1664-4AFF-87D4-9C9A6A47D10F}"/>
    <cellStyle name="Normal 9 2 3 3 4" xfId="1819" xr:uid="{00000000-0005-0000-0000-00003E1F0000}"/>
    <cellStyle name="Normal 9 2 3 3 4 2" xfId="4049" xr:uid="{00000000-0005-0000-0000-00003F1F0000}"/>
    <cellStyle name="Normal 9 2 3 3 4 2 2" xfId="8272" xr:uid="{00000000-0005-0000-0000-0000401F0000}"/>
    <cellStyle name="Normal 9 2 3 3 4 2 2 2" xfId="16711" xr:uid="{9B603C36-1023-4E7C-8101-A7EDB5F2753F}"/>
    <cellStyle name="Normal 9 2 3 3 4 2 3" xfId="12493" xr:uid="{5DD00C29-7F52-461F-8CD7-74D3CC117DCC}"/>
    <cellStyle name="Normal 9 2 3 3 4 3" xfId="6127" xr:uid="{00000000-0005-0000-0000-0000411F0000}"/>
    <cellStyle name="Normal 9 2 3 3 4 3 2" xfId="14566" xr:uid="{EAFFCB69-192C-4EC9-A4B2-C65134A36B5B}"/>
    <cellStyle name="Normal 9 2 3 3 4 4" xfId="10348" xr:uid="{AC82DBDA-A5DC-4940-B0F6-53DE92187AB5}"/>
    <cellStyle name="Normal 9 2 3 3 5" xfId="2233" xr:uid="{00000000-0005-0000-0000-0000421F0000}"/>
    <cellStyle name="Normal 9 2 3 3 5 2" xfId="4462" xr:uid="{00000000-0005-0000-0000-0000431F0000}"/>
    <cellStyle name="Normal 9 2 3 3 5 2 2" xfId="8685" xr:uid="{00000000-0005-0000-0000-0000441F0000}"/>
    <cellStyle name="Normal 9 2 3 3 5 2 2 2" xfId="17124" xr:uid="{3E8AA45D-5D9E-4068-BE9B-527D8B0419DD}"/>
    <cellStyle name="Normal 9 2 3 3 5 2 3" xfId="12906" xr:uid="{874560D9-EF69-4817-8562-1595FA1FBA55}"/>
    <cellStyle name="Normal 9 2 3 3 5 3" xfId="6540" xr:uid="{00000000-0005-0000-0000-0000451F0000}"/>
    <cellStyle name="Normal 9 2 3 3 5 3 2" xfId="14979" xr:uid="{81F6ACFB-8B6E-4AD0-BC9B-5C7898710ABA}"/>
    <cellStyle name="Normal 9 2 3 3 5 4" xfId="10761" xr:uid="{50A2EADB-FA0C-497C-8256-8BE360F32A65}"/>
    <cellStyle name="Normal 9 2 3 3 6" xfId="2669" xr:uid="{00000000-0005-0000-0000-0000461F0000}"/>
    <cellStyle name="Normal 9 2 3 3 6 2" xfId="6953" xr:uid="{00000000-0005-0000-0000-0000471F0000}"/>
    <cellStyle name="Normal 9 2 3 3 6 2 2" xfId="15392" xr:uid="{736A2145-02E5-4268-9BCC-42498755CDA8}"/>
    <cellStyle name="Normal 9 2 3 3 6 3" xfId="11174" xr:uid="{7D6F2089-9B1A-4FD4-965E-4EBBC8B86CB6}"/>
    <cellStyle name="Normal 9 2 3 3 7" xfId="4888" xr:uid="{00000000-0005-0000-0000-0000481F0000}"/>
    <cellStyle name="Normal 9 2 3 3 7 2" xfId="13327" xr:uid="{C648540C-DD95-4E24-B450-393EE41EE2A0}"/>
    <cellStyle name="Normal 9 2 3 3 8" xfId="9109" xr:uid="{D20E1834-6E18-422C-A3B8-A515373AE5CF}"/>
    <cellStyle name="Normal 9 2 3 4" xfId="987" xr:uid="{00000000-0005-0000-0000-0000491F0000}"/>
    <cellStyle name="Normal 9 2 3 4 2" xfId="3220" xr:uid="{00000000-0005-0000-0000-00004A1F0000}"/>
    <cellStyle name="Normal 9 2 3 4 2 2" xfId="7443" xr:uid="{00000000-0005-0000-0000-00004B1F0000}"/>
    <cellStyle name="Normal 9 2 3 4 2 2 2" xfId="15882" xr:uid="{FE65DC21-EF84-4BA2-AC7E-57C3A918497F}"/>
    <cellStyle name="Normal 9 2 3 4 2 3" xfId="11664" xr:uid="{71089AE9-84EC-4E8C-B515-B7E1A94E0172}"/>
    <cellStyle name="Normal 9 2 3 4 3" xfId="5298" xr:uid="{00000000-0005-0000-0000-00004C1F0000}"/>
    <cellStyle name="Normal 9 2 3 4 3 2" xfId="13737" xr:uid="{010B8F93-C6A8-48D0-B7F0-7DF9C9BAC37F}"/>
    <cellStyle name="Normal 9 2 3 4 4" xfId="9519" xr:uid="{D229DF2C-9B8A-435F-B6A8-7C803D2CE36C}"/>
    <cellStyle name="Normal 9 2 3 5" xfId="1403" xr:uid="{00000000-0005-0000-0000-00004D1F0000}"/>
    <cellStyle name="Normal 9 2 3 5 2" xfId="3633" xr:uid="{00000000-0005-0000-0000-00004E1F0000}"/>
    <cellStyle name="Normal 9 2 3 5 2 2" xfId="7856" xr:uid="{00000000-0005-0000-0000-00004F1F0000}"/>
    <cellStyle name="Normal 9 2 3 5 2 2 2" xfId="16295" xr:uid="{F90EB32B-8424-4C33-9362-880B78D67EA4}"/>
    <cellStyle name="Normal 9 2 3 5 2 3" xfId="12077" xr:uid="{58E5FA8A-EDF5-4F63-9EA8-CC0B88C000AB}"/>
    <cellStyle name="Normal 9 2 3 5 3" xfId="5711" xr:uid="{00000000-0005-0000-0000-0000501F0000}"/>
    <cellStyle name="Normal 9 2 3 5 3 2" xfId="14150" xr:uid="{2843A1FC-DDEA-4C46-8679-1A36515FDC34}"/>
    <cellStyle name="Normal 9 2 3 5 4" xfId="9932" xr:uid="{2575F374-8D38-440E-BAF6-45C32C98304D}"/>
    <cellStyle name="Normal 9 2 3 6" xfId="1816" xr:uid="{00000000-0005-0000-0000-0000511F0000}"/>
    <cellStyle name="Normal 9 2 3 6 2" xfId="4046" xr:uid="{00000000-0005-0000-0000-0000521F0000}"/>
    <cellStyle name="Normal 9 2 3 6 2 2" xfId="8269" xr:uid="{00000000-0005-0000-0000-0000531F0000}"/>
    <cellStyle name="Normal 9 2 3 6 2 2 2" xfId="16708" xr:uid="{ECDDECCA-A1B6-4007-B6BA-922264686510}"/>
    <cellStyle name="Normal 9 2 3 6 2 3" xfId="12490" xr:uid="{DE6011CF-085A-4078-A543-6AC40EA32AC8}"/>
    <cellStyle name="Normal 9 2 3 6 3" xfId="6124" xr:uid="{00000000-0005-0000-0000-0000541F0000}"/>
    <cellStyle name="Normal 9 2 3 6 3 2" xfId="14563" xr:uid="{BA4AC82E-7D4E-4115-A93D-D3BEFEB6CE8D}"/>
    <cellStyle name="Normal 9 2 3 6 4" xfId="10345" xr:uid="{613929AE-5AA2-49C9-8C57-2EB0BD742447}"/>
    <cellStyle name="Normal 9 2 3 7" xfId="2230" xr:uid="{00000000-0005-0000-0000-0000551F0000}"/>
    <cellStyle name="Normal 9 2 3 7 2" xfId="4459" xr:uid="{00000000-0005-0000-0000-0000561F0000}"/>
    <cellStyle name="Normal 9 2 3 7 2 2" xfId="8682" xr:uid="{00000000-0005-0000-0000-0000571F0000}"/>
    <cellStyle name="Normal 9 2 3 7 2 2 2" xfId="17121" xr:uid="{2F9DEB5E-755B-4E0C-937E-81818EA1E9BC}"/>
    <cellStyle name="Normal 9 2 3 7 2 3" xfId="12903" xr:uid="{B9BE54FE-C6AA-4F24-AD90-E762A41B38D8}"/>
    <cellStyle name="Normal 9 2 3 7 3" xfId="6537" xr:uid="{00000000-0005-0000-0000-0000581F0000}"/>
    <cellStyle name="Normal 9 2 3 7 3 2" xfId="14976" xr:uid="{0D797290-C803-436C-BB33-87B1CE11E7B1}"/>
    <cellStyle name="Normal 9 2 3 7 4" xfId="10758" xr:uid="{BC959647-8B35-4DAC-831B-C7795AEA784F}"/>
    <cellStyle name="Normal 9 2 3 8" xfId="2666" xr:uid="{00000000-0005-0000-0000-0000591F0000}"/>
    <cellStyle name="Normal 9 2 3 8 2" xfId="6950" xr:uid="{00000000-0005-0000-0000-00005A1F0000}"/>
    <cellStyle name="Normal 9 2 3 8 2 2" xfId="15389" xr:uid="{32BF801C-E25C-4925-BB52-A701AE03B2C3}"/>
    <cellStyle name="Normal 9 2 3 8 3" xfId="11171" xr:uid="{DA87F704-1675-40A9-8B4A-68F6111EA305}"/>
    <cellStyle name="Normal 9 2 3 9" xfId="4885" xr:uid="{00000000-0005-0000-0000-00005B1F0000}"/>
    <cellStyle name="Normal 9 2 3 9 2" xfId="13324" xr:uid="{77697FCF-7C5F-49F1-8A42-03DDFB1A2744}"/>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15887" xr:uid="{3995A0E8-9A3A-422D-AC9B-432B37084FAE}"/>
    <cellStyle name="Normal 9 2 4 2 2 2 3" xfId="11669" xr:uid="{E6D75656-76E8-4C73-B396-2BF1C48C686E}"/>
    <cellStyle name="Normal 9 2 4 2 2 3" xfId="5303" xr:uid="{00000000-0005-0000-0000-0000611F0000}"/>
    <cellStyle name="Normal 9 2 4 2 2 3 2" xfId="13742" xr:uid="{ED9496CA-8AEA-49F4-9DDA-F5FDFA987727}"/>
    <cellStyle name="Normal 9 2 4 2 2 4" xfId="9524" xr:uid="{59CC3A95-9B16-4E85-ADC7-451F650E6F61}"/>
    <cellStyle name="Normal 9 2 4 2 3" xfId="1408" xr:uid="{00000000-0005-0000-0000-0000621F0000}"/>
    <cellStyle name="Normal 9 2 4 2 3 2" xfId="3638" xr:uid="{00000000-0005-0000-0000-0000631F0000}"/>
    <cellStyle name="Normal 9 2 4 2 3 2 2" xfId="7861" xr:uid="{00000000-0005-0000-0000-0000641F0000}"/>
    <cellStyle name="Normal 9 2 4 2 3 2 2 2" xfId="16300" xr:uid="{900F97FA-0A48-402F-9E62-DCA4C05B230A}"/>
    <cellStyle name="Normal 9 2 4 2 3 2 3" xfId="12082" xr:uid="{B166AB5F-3264-47A4-B390-6D54A1E5A9F1}"/>
    <cellStyle name="Normal 9 2 4 2 3 3" xfId="5716" xr:uid="{00000000-0005-0000-0000-0000651F0000}"/>
    <cellStyle name="Normal 9 2 4 2 3 3 2" xfId="14155" xr:uid="{CA781360-775D-42D6-A340-409E5B7AAF93}"/>
    <cellStyle name="Normal 9 2 4 2 3 4" xfId="9937" xr:uid="{5256A5D7-E41E-4807-BD17-F904B80C2715}"/>
    <cellStyle name="Normal 9 2 4 2 4" xfId="1821" xr:uid="{00000000-0005-0000-0000-0000661F0000}"/>
    <cellStyle name="Normal 9 2 4 2 4 2" xfId="4051" xr:uid="{00000000-0005-0000-0000-0000671F0000}"/>
    <cellStyle name="Normal 9 2 4 2 4 2 2" xfId="8274" xr:uid="{00000000-0005-0000-0000-0000681F0000}"/>
    <cellStyle name="Normal 9 2 4 2 4 2 2 2" xfId="16713" xr:uid="{2273CAD9-2093-41C7-AAFC-2D1D01F90371}"/>
    <cellStyle name="Normal 9 2 4 2 4 2 3" xfId="12495" xr:uid="{348A0609-08EC-4751-B976-E0B767C6465C}"/>
    <cellStyle name="Normal 9 2 4 2 4 3" xfId="6129" xr:uid="{00000000-0005-0000-0000-0000691F0000}"/>
    <cellStyle name="Normal 9 2 4 2 4 3 2" xfId="14568" xr:uid="{8ABF35A3-8532-4BDA-A4CA-C7CE67F8BECE}"/>
    <cellStyle name="Normal 9 2 4 2 4 4" xfId="10350" xr:uid="{D4413C2B-FABB-4D2B-9F42-E680AF998F05}"/>
    <cellStyle name="Normal 9 2 4 2 5" xfId="2235" xr:uid="{00000000-0005-0000-0000-00006A1F0000}"/>
    <cellStyle name="Normal 9 2 4 2 5 2" xfId="4464" xr:uid="{00000000-0005-0000-0000-00006B1F0000}"/>
    <cellStyle name="Normal 9 2 4 2 5 2 2" xfId="8687" xr:uid="{00000000-0005-0000-0000-00006C1F0000}"/>
    <cellStyle name="Normal 9 2 4 2 5 2 2 2" xfId="17126" xr:uid="{F3DEE4D8-1E07-4BFA-A1CD-7E21A6156DBA}"/>
    <cellStyle name="Normal 9 2 4 2 5 2 3" xfId="12908" xr:uid="{78A209E8-AACA-49A9-8BFE-69572C223649}"/>
    <cellStyle name="Normal 9 2 4 2 5 3" xfId="6542" xr:uid="{00000000-0005-0000-0000-00006D1F0000}"/>
    <cellStyle name="Normal 9 2 4 2 5 3 2" xfId="14981" xr:uid="{34EC536F-568F-411B-BB39-BAE28E3E2B82}"/>
    <cellStyle name="Normal 9 2 4 2 5 4" xfId="10763" xr:uid="{5B062C56-CD6D-4ABD-9E5A-C43B13FA3672}"/>
    <cellStyle name="Normal 9 2 4 2 6" xfId="2671" xr:uid="{00000000-0005-0000-0000-00006E1F0000}"/>
    <cellStyle name="Normal 9 2 4 2 6 2" xfId="6955" xr:uid="{00000000-0005-0000-0000-00006F1F0000}"/>
    <cellStyle name="Normal 9 2 4 2 6 2 2" xfId="15394" xr:uid="{D853C9F4-62D4-4174-822E-539BC0D4F81D}"/>
    <cellStyle name="Normal 9 2 4 2 6 3" xfId="11176" xr:uid="{DD1D9513-4E17-441D-841C-6A28C0FAC756}"/>
    <cellStyle name="Normal 9 2 4 2 7" xfId="4890" xr:uid="{00000000-0005-0000-0000-0000701F0000}"/>
    <cellStyle name="Normal 9 2 4 2 7 2" xfId="13329" xr:uid="{D902C45A-58B6-4B80-90B6-6B15504E7483}"/>
    <cellStyle name="Normal 9 2 4 2 8" xfId="9111" xr:uid="{EDA55288-0143-4E4A-924A-336FD6F3624D}"/>
    <cellStyle name="Normal 9 2 4 3" xfId="991" xr:uid="{00000000-0005-0000-0000-0000711F0000}"/>
    <cellStyle name="Normal 9 2 4 3 2" xfId="3224" xr:uid="{00000000-0005-0000-0000-0000721F0000}"/>
    <cellStyle name="Normal 9 2 4 3 2 2" xfId="7447" xr:uid="{00000000-0005-0000-0000-0000731F0000}"/>
    <cellStyle name="Normal 9 2 4 3 2 2 2" xfId="15886" xr:uid="{1178651A-DE01-415F-8EEA-C6A692F105CF}"/>
    <cellStyle name="Normal 9 2 4 3 2 3" xfId="11668" xr:uid="{D6C454A3-4FCE-4740-8C95-57E59504BA44}"/>
    <cellStyle name="Normal 9 2 4 3 3" xfId="5302" xr:uid="{00000000-0005-0000-0000-0000741F0000}"/>
    <cellStyle name="Normal 9 2 4 3 3 2" xfId="13741" xr:uid="{70F643D9-1766-46FC-845C-56A7C1C1B758}"/>
    <cellStyle name="Normal 9 2 4 3 4" xfId="9523" xr:uid="{2DBCFBEE-D519-4351-8C0F-8BA21E0FE97B}"/>
    <cellStyle name="Normal 9 2 4 4" xfId="1407" xr:uid="{00000000-0005-0000-0000-0000751F0000}"/>
    <cellStyle name="Normal 9 2 4 4 2" xfId="3637" xr:uid="{00000000-0005-0000-0000-0000761F0000}"/>
    <cellStyle name="Normal 9 2 4 4 2 2" xfId="7860" xr:uid="{00000000-0005-0000-0000-0000771F0000}"/>
    <cellStyle name="Normal 9 2 4 4 2 2 2" xfId="16299" xr:uid="{06922641-F73D-43A4-8154-E7C7AC5908AD}"/>
    <cellStyle name="Normal 9 2 4 4 2 3" xfId="12081" xr:uid="{4C8088BD-EA26-466D-997C-63F9E21DD211}"/>
    <cellStyle name="Normal 9 2 4 4 3" xfId="5715" xr:uid="{00000000-0005-0000-0000-0000781F0000}"/>
    <cellStyle name="Normal 9 2 4 4 3 2" xfId="14154" xr:uid="{C28BAD5D-BA93-4904-9DD9-5BCEF4B27D9B}"/>
    <cellStyle name="Normal 9 2 4 4 4" xfId="9936" xr:uid="{4FE9D794-7445-42F1-9FD8-9A80EF7E6DB2}"/>
    <cellStyle name="Normal 9 2 4 5" xfId="1820" xr:uid="{00000000-0005-0000-0000-0000791F0000}"/>
    <cellStyle name="Normal 9 2 4 5 2" xfId="4050" xr:uid="{00000000-0005-0000-0000-00007A1F0000}"/>
    <cellStyle name="Normal 9 2 4 5 2 2" xfId="8273" xr:uid="{00000000-0005-0000-0000-00007B1F0000}"/>
    <cellStyle name="Normal 9 2 4 5 2 2 2" xfId="16712" xr:uid="{C23A7D26-BEA0-40EA-977B-7D789F15B9A1}"/>
    <cellStyle name="Normal 9 2 4 5 2 3" xfId="12494" xr:uid="{0074D8CA-E1DA-4486-A492-8E007F209EC9}"/>
    <cellStyle name="Normal 9 2 4 5 3" xfId="6128" xr:uid="{00000000-0005-0000-0000-00007C1F0000}"/>
    <cellStyle name="Normal 9 2 4 5 3 2" xfId="14567" xr:uid="{661A8FB9-50FB-4945-AC98-897BAB8E0A38}"/>
    <cellStyle name="Normal 9 2 4 5 4" xfId="10349" xr:uid="{E644F854-48DC-400D-BF49-7F46E3D526EB}"/>
    <cellStyle name="Normal 9 2 4 6" xfId="2234" xr:uid="{00000000-0005-0000-0000-00007D1F0000}"/>
    <cellStyle name="Normal 9 2 4 6 2" xfId="4463" xr:uid="{00000000-0005-0000-0000-00007E1F0000}"/>
    <cellStyle name="Normal 9 2 4 6 2 2" xfId="8686" xr:uid="{00000000-0005-0000-0000-00007F1F0000}"/>
    <cellStyle name="Normal 9 2 4 6 2 2 2" xfId="17125" xr:uid="{DD684507-C6C3-4AFA-9FBC-BB6CC563074E}"/>
    <cellStyle name="Normal 9 2 4 6 2 3" xfId="12907" xr:uid="{D68BC7A9-7AC2-4FD8-A41B-59D34606C830}"/>
    <cellStyle name="Normal 9 2 4 6 3" xfId="6541" xr:uid="{00000000-0005-0000-0000-0000801F0000}"/>
    <cellStyle name="Normal 9 2 4 6 3 2" xfId="14980" xr:uid="{8EC4B539-C937-446D-9756-12CA6AAA2C87}"/>
    <cellStyle name="Normal 9 2 4 6 4" xfId="10762" xr:uid="{AE4E2E6C-EB85-4C39-8164-D5F6D91F5DD3}"/>
    <cellStyle name="Normal 9 2 4 7" xfId="2670" xr:uid="{00000000-0005-0000-0000-0000811F0000}"/>
    <cellStyle name="Normal 9 2 4 7 2" xfId="6954" xr:uid="{00000000-0005-0000-0000-0000821F0000}"/>
    <cellStyle name="Normal 9 2 4 7 2 2" xfId="15393" xr:uid="{3A0F211B-B07D-42E1-9EF3-47A0936CB11D}"/>
    <cellStyle name="Normal 9 2 4 7 3" xfId="11175" xr:uid="{CB10BA33-F825-49BA-AF30-3C9CD408D561}"/>
    <cellStyle name="Normal 9 2 4 8" xfId="4889" xr:uid="{00000000-0005-0000-0000-0000831F0000}"/>
    <cellStyle name="Normal 9 2 4 8 2" xfId="13328" xr:uid="{C6EA0C40-1485-4E81-A45D-49F1BB9891F1}"/>
    <cellStyle name="Normal 9 2 4 9" xfId="9110" xr:uid="{72E09B5A-C1ED-43C4-9BF0-62F2F265F7A8}"/>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2 2 2" xfId="15888" xr:uid="{84FBD6B4-C8D6-4724-AF2E-B745FDC48928}"/>
    <cellStyle name="Normal 9 2 5 2 2 3" xfId="11670" xr:uid="{094ED22B-2BE1-4373-9720-0D87D9AA59C5}"/>
    <cellStyle name="Normal 9 2 5 2 3" xfId="5304" xr:uid="{00000000-0005-0000-0000-0000881F0000}"/>
    <cellStyle name="Normal 9 2 5 2 3 2" xfId="13743" xr:uid="{67DAC4D4-63D5-466A-82F3-2DD1FD37F757}"/>
    <cellStyle name="Normal 9 2 5 2 4" xfId="9525" xr:uid="{D759E1D6-64A4-40E6-A19C-9AD891B26A7B}"/>
    <cellStyle name="Normal 9 2 5 3" xfId="1409" xr:uid="{00000000-0005-0000-0000-0000891F0000}"/>
    <cellStyle name="Normal 9 2 5 3 2" xfId="3639" xr:uid="{00000000-0005-0000-0000-00008A1F0000}"/>
    <cellStyle name="Normal 9 2 5 3 2 2" xfId="7862" xr:uid="{00000000-0005-0000-0000-00008B1F0000}"/>
    <cellStyle name="Normal 9 2 5 3 2 2 2" xfId="16301" xr:uid="{5DC3779D-8A6B-49CE-901C-F12D1D0FB8F9}"/>
    <cellStyle name="Normal 9 2 5 3 2 3" xfId="12083" xr:uid="{BAFEF3B5-FF67-4C8B-9960-BD4B0A761EE2}"/>
    <cellStyle name="Normal 9 2 5 3 3" xfId="5717" xr:uid="{00000000-0005-0000-0000-00008C1F0000}"/>
    <cellStyle name="Normal 9 2 5 3 3 2" xfId="14156" xr:uid="{2F0874D8-EFBA-40E8-903E-43CE4623D1B7}"/>
    <cellStyle name="Normal 9 2 5 3 4" xfId="9938" xr:uid="{08B84929-D2E3-4097-B06D-F6ACB98C4360}"/>
    <cellStyle name="Normal 9 2 5 4" xfId="1822" xr:uid="{00000000-0005-0000-0000-00008D1F0000}"/>
    <cellStyle name="Normal 9 2 5 4 2" xfId="4052" xr:uid="{00000000-0005-0000-0000-00008E1F0000}"/>
    <cellStyle name="Normal 9 2 5 4 2 2" xfId="8275" xr:uid="{00000000-0005-0000-0000-00008F1F0000}"/>
    <cellStyle name="Normal 9 2 5 4 2 2 2" xfId="16714" xr:uid="{9C915FFE-B610-4E4C-B226-8691FAB94DD1}"/>
    <cellStyle name="Normal 9 2 5 4 2 3" xfId="12496" xr:uid="{59882E81-F0D8-4EED-A3F8-5E82561DF38E}"/>
    <cellStyle name="Normal 9 2 5 4 3" xfId="6130" xr:uid="{00000000-0005-0000-0000-0000901F0000}"/>
    <cellStyle name="Normal 9 2 5 4 3 2" xfId="14569" xr:uid="{CA74BA47-A700-449C-8F42-F21D2C115EA2}"/>
    <cellStyle name="Normal 9 2 5 4 4" xfId="10351" xr:uid="{67C88849-8CB3-4108-B3FB-9C66C72A76FB}"/>
    <cellStyle name="Normal 9 2 5 5" xfId="2236" xr:uid="{00000000-0005-0000-0000-0000911F0000}"/>
    <cellStyle name="Normal 9 2 5 5 2" xfId="4465" xr:uid="{00000000-0005-0000-0000-0000921F0000}"/>
    <cellStyle name="Normal 9 2 5 5 2 2" xfId="8688" xr:uid="{00000000-0005-0000-0000-0000931F0000}"/>
    <cellStyle name="Normal 9 2 5 5 2 2 2" xfId="17127" xr:uid="{99E0D59E-5508-46C8-8114-9A4FE77D4C56}"/>
    <cellStyle name="Normal 9 2 5 5 2 3" xfId="12909" xr:uid="{EBB6CF4B-6D94-453B-BC15-B4D5C12C6B61}"/>
    <cellStyle name="Normal 9 2 5 5 3" xfId="6543" xr:uid="{00000000-0005-0000-0000-0000941F0000}"/>
    <cellStyle name="Normal 9 2 5 5 3 2" xfId="14982" xr:uid="{FC88F466-9908-47F3-BBA7-2CD99B855167}"/>
    <cellStyle name="Normal 9 2 5 5 4" xfId="10764" xr:uid="{E8754CF4-27E7-4852-AA45-310A41C6E3AC}"/>
    <cellStyle name="Normal 9 2 5 6" xfId="2672" xr:uid="{00000000-0005-0000-0000-0000951F0000}"/>
    <cellStyle name="Normal 9 2 5 6 2" xfId="6956" xr:uid="{00000000-0005-0000-0000-0000961F0000}"/>
    <cellStyle name="Normal 9 2 5 6 2 2" xfId="15395" xr:uid="{E5F8A70C-0A7E-4A8F-8317-E8007F31F085}"/>
    <cellStyle name="Normal 9 2 5 6 3" xfId="11177" xr:uid="{9AFA4641-BD34-4E86-BCF0-EF060D8444C4}"/>
    <cellStyle name="Normal 9 2 5 7" xfId="4891" xr:uid="{00000000-0005-0000-0000-0000971F0000}"/>
    <cellStyle name="Normal 9 2 5 7 2" xfId="13330" xr:uid="{4D5D9D1F-18CD-42A6-8F57-9A541C2F9174}"/>
    <cellStyle name="Normal 9 2 5 8" xfId="9112" xr:uid="{5E749729-A397-497D-BBA3-E99562A9EE21}"/>
    <cellStyle name="Normal 9 2 6" xfId="978" xr:uid="{00000000-0005-0000-0000-0000981F0000}"/>
    <cellStyle name="Normal 9 2 6 2" xfId="3211" xr:uid="{00000000-0005-0000-0000-0000991F0000}"/>
    <cellStyle name="Normal 9 2 6 2 2" xfId="7434" xr:uid="{00000000-0005-0000-0000-00009A1F0000}"/>
    <cellStyle name="Normal 9 2 6 2 2 2" xfId="15873" xr:uid="{341F6C26-3BA8-4251-BDF3-CFA60F9A4F24}"/>
    <cellStyle name="Normal 9 2 6 2 3" xfId="11655" xr:uid="{11E1A117-66FC-43ED-AABE-E87E411DBCAA}"/>
    <cellStyle name="Normal 9 2 6 3" xfId="5289" xr:uid="{00000000-0005-0000-0000-00009B1F0000}"/>
    <cellStyle name="Normal 9 2 6 3 2" xfId="13728" xr:uid="{AE7633D6-669B-4B99-BD2D-63AB6F48C9DE}"/>
    <cellStyle name="Normal 9 2 6 4" xfId="9510" xr:uid="{401743BD-F09B-4142-B660-9D3E1A19058D}"/>
    <cellStyle name="Normal 9 2 7" xfId="1394" xr:uid="{00000000-0005-0000-0000-00009C1F0000}"/>
    <cellStyle name="Normal 9 2 7 2" xfId="3624" xr:uid="{00000000-0005-0000-0000-00009D1F0000}"/>
    <cellStyle name="Normal 9 2 7 2 2" xfId="7847" xr:uid="{00000000-0005-0000-0000-00009E1F0000}"/>
    <cellStyle name="Normal 9 2 7 2 2 2" xfId="16286" xr:uid="{D9B8D5DD-DA3A-4EEE-A603-DBF5AD89C4DE}"/>
    <cellStyle name="Normal 9 2 7 2 3" xfId="12068" xr:uid="{0F1CCD29-7CB5-4F55-951D-A3EF25DCBC01}"/>
    <cellStyle name="Normal 9 2 7 3" xfId="5702" xr:uid="{00000000-0005-0000-0000-00009F1F0000}"/>
    <cellStyle name="Normal 9 2 7 3 2" xfId="14141" xr:uid="{7645B4AF-EA67-45FF-8BF5-37E75777C3A1}"/>
    <cellStyle name="Normal 9 2 7 4" xfId="9923" xr:uid="{40DEDF7F-6453-4EF8-940B-D29BE0238317}"/>
    <cellStyle name="Normal 9 2 8" xfId="1807" xr:uid="{00000000-0005-0000-0000-0000A01F0000}"/>
    <cellStyle name="Normal 9 2 8 2" xfId="4037" xr:uid="{00000000-0005-0000-0000-0000A11F0000}"/>
    <cellStyle name="Normal 9 2 8 2 2" xfId="8260" xr:uid="{00000000-0005-0000-0000-0000A21F0000}"/>
    <cellStyle name="Normal 9 2 8 2 2 2" xfId="16699" xr:uid="{ABA204D3-6876-408F-BE77-F59910D63DE4}"/>
    <cellStyle name="Normal 9 2 8 2 3" xfId="12481" xr:uid="{18370993-EBBA-4693-9331-0F80CE3BBF52}"/>
    <cellStyle name="Normal 9 2 8 3" xfId="6115" xr:uid="{00000000-0005-0000-0000-0000A31F0000}"/>
    <cellStyle name="Normal 9 2 8 3 2" xfId="14554" xr:uid="{E0DFD3D3-FC89-4BAB-9814-6DF0D5068F0C}"/>
    <cellStyle name="Normal 9 2 8 4" xfId="10336" xr:uid="{3B347E5F-5B6E-4D2D-A61D-784F7016BF46}"/>
    <cellStyle name="Normal 9 2 9" xfId="2221" xr:uid="{00000000-0005-0000-0000-0000A41F0000}"/>
    <cellStyle name="Normal 9 2 9 2" xfId="4450" xr:uid="{00000000-0005-0000-0000-0000A51F0000}"/>
    <cellStyle name="Normal 9 2 9 2 2" xfId="8673" xr:uid="{00000000-0005-0000-0000-0000A61F0000}"/>
    <cellStyle name="Normal 9 2 9 2 2 2" xfId="17112" xr:uid="{78C674FD-1DCC-43C6-9555-4D72BEF5E545}"/>
    <cellStyle name="Normal 9 2 9 2 3" xfId="12894" xr:uid="{E148F45A-2717-4954-9C5D-F4B33AFB2928}"/>
    <cellStyle name="Normal 9 2 9 3" xfId="6528" xr:uid="{00000000-0005-0000-0000-0000A71F0000}"/>
    <cellStyle name="Normal 9 2 9 3 2" xfId="14967" xr:uid="{78A0516D-D4F6-4E20-8174-292F4B07244C}"/>
    <cellStyle name="Normal 9 2 9 4" xfId="10749" xr:uid="{C3A54DEE-74F3-4F19-AAD7-DB030F3DD3E9}"/>
    <cellStyle name="Normal 9 3" xfId="527" xr:uid="{00000000-0005-0000-0000-0000A81F0000}"/>
    <cellStyle name="Normal 9 3 10" xfId="4892" xr:uid="{00000000-0005-0000-0000-0000A91F0000}"/>
    <cellStyle name="Normal 9 3 10 2" xfId="13331" xr:uid="{D0C60855-68DB-42CE-A9CC-E6DF09D466D9}"/>
    <cellStyle name="Normal 9 3 11" xfId="9113" xr:uid="{E18603D5-6174-4006-87F4-228E685EC52E}"/>
    <cellStyle name="Normal 9 3 2" xfId="528" xr:uid="{00000000-0005-0000-0000-0000AA1F0000}"/>
    <cellStyle name="Normal 9 3 2 10" xfId="9114" xr:uid="{5C266310-810D-41C5-B0B8-B441CA28F816}"/>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15892" xr:uid="{E439EA57-B36A-42F3-8E7B-001E2B68864D}"/>
    <cellStyle name="Normal 9 3 2 2 2 2 2 3" xfId="11674" xr:uid="{179BD0A3-F77E-4498-B021-C6EB0D62DF1A}"/>
    <cellStyle name="Normal 9 3 2 2 2 2 3" xfId="5308" xr:uid="{00000000-0005-0000-0000-0000B01F0000}"/>
    <cellStyle name="Normal 9 3 2 2 2 2 3 2" xfId="13747" xr:uid="{4571701C-B8C6-4FCC-9466-82D0C8DC339E}"/>
    <cellStyle name="Normal 9 3 2 2 2 2 4" xfId="9529" xr:uid="{BDD77BCF-577B-4F75-9FF0-49B34F48D364}"/>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2 2" xfId="16305" xr:uid="{F21E8F5B-0C4A-47AB-A599-BAB25B345F56}"/>
    <cellStyle name="Normal 9 3 2 2 2 3 2 3" xfId="12087" xr:uid="{3A7C33A6-D072-416C-8247-56D6816232F1}"/>
    <cellStyle name="Normal 9 3 2 2 2 3 3" xfId="5721" xr:uid="{00000000-0005-0000-0000-0000B41F0000}"/>
    <cellStyle name="Normal 9 3 2 2 2 3 3 2" xfId="14160" xr:uid="{BA547C51-5227-43DC-A06C-96A7F0DA0744}"/>
    <cellStyle name="Normal 9 3 2 2 2 3 4" xfId="9942" xr:uid="{9687F330-ABC5-4655-A324-26865092AA82}"/>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2 2 2" xfId="16718" xr:uid="{E1994BF2-13ED-43FC-8AFE-41A9C055091E}"/>
    <cellStyle name="Normal 9 3 2 2 2 4 2 3" xfId="12500" xr:uid="{2C35F0A2-1B41-4968-B653-D64D7482E627}"/>
    <cellStyle name="Normal 9 3 2 2 2 4 3" xfId="6134" xr:uid="{00000000-0005-0000-0000-0000B81F0000}"/>
    <cellStyle name="Normal 9 3 2 2 2 4 3 2" xfId="14573" xr:uid="{0E10B92C-ED10-41F4-B2F4-7AA2D60E0A0C}"/>
    <cellStyle name="Normal 9 3 2 2 2 4 4" xfId="10355" xr:uid="{EE09855E-875D-4B50-A62E-7D9762AD85C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2 2 2" xfId="17131" xr:uid="{90679FBE-0C47-4D24-AC74-A4A49B52CF99}"/>
    <cellStyle name="Normal 9 3 2 2 2 5 2 3" xfId="12913" xr:uid="{A2825AD8-A536-4188-8114-A8CEDD449ADD}"/>
    <cellStyle name="Normal 9 3 2 2 2 5 3" xfId="6547" xr:uid="{00000000-0005-0000-0000-0000BC1F0000}"/>
    <cellStyle name="Normal 9 3 2 2 2 5 3 2" xfId="14986" xr:uid="{8BED40C6-A895-4F3F-90DE-A873325CBB8A}"/>
    <cellStyle name="Normal 9 3 2 2 2 5 4" xfId="10768" xr:uid="{3E8B8A21-DD29-462A-AC4D-4522CE90D632}"/>
    <cellStyle name="Normal 9 3 2 2 2 6" xfId="2676" xr:uid="{00000000-0005-0000-0000-0000BD1F0000}"/>
    <cellStyle name="Normal 9 3 2 2 2 6 2" xfId="6960" xr:uid="{00000000-0005-0000-0000-0000BE1F0000}"/>
    <cellStyle name="Normal 9 3 2 2 2 6 2 2" xfId="15399" xr:uid="{F82780C1-9A85-4858-8844-EE4146653C5A}"/>
    <cellStyle name="Normal 9 3 2 2 2 6 3" xfId="11181" xr:uid="{65514ABE-1D5E-4E7C-A230-A56BE4443AB7}"/>
    <cellStyle name="Normal 9 3 2 2 2 7" xfId="4895" xr:uid="{00000000-0005-0000-0000-0000BF1F0000}"/>
    <cellStyle name="Normal 9 3 2 2 2 7 2" xfId="13334" xr:uid="{F168A785-D7C0-419E-8818-61744042CDC2}"/>
    <cellStyle name="Normal 9 3 2 2 2 8" xfId="9116" xr:uid="{323C04C6-8C18-4D9B-9B51-FDEA8B3413EE}"/>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15891" xr:uid="{5D7B2FDB-23BA-4444-8561-851910F37612}"/>
    <cellStyle name="Normal 9 3 2 2 3 2 3" xfId="11673" xr:uid="{8370B1F1-EBF1-4CA5-82C3-1E2B7E2DC8EE}"/>
    <cellStyle name="Normal 9 3 2 2 3 3" xfId="5307" xr:uid="{00000000-0005-0000-0000-0000C31F0000}"/>
    <cellStyle name="Normal 9 3 2 2 3 3 2" xfId="13746" xr:uid="{C57A40DA-EFCF-473A-8BAF-9D54B557E0F7}"/>
    <cellStyle name="Normal 9 3 2 2 3 4" xfId="9528" xr:uid="{51D80448-774C-4087-9370-18EACF8066EB}"/>
    <cellStyle name="Normal 9 3 2 2 4" xfId="1412" xr:uid="{00000000-0005-0000-0000-0000C41F0000}"/>
    <cellStyle name="Normal 9 3 2 2 4 2" xfId="3642" xr:uid="{00000000-0005-0000-0000-0000C51F0000}"/>
    <cellStyle name="Normal 9 3 2 2 4 2 2" xfId="7865" xr:uid="{00000000-0005-0000-0000-0000C61F0000}"/>
    <cellStyle name="Normal 9 3 2 2 4 2 2 2" xfId="16304" xr:uid="{FC60FA9D-D986-49A1-8071-5AAB4EFB59B3}"/>
    <cellStyle name="Normal 9 3 2 2 4 2 3" xfId="12086" xr:uid="{1B5FE4F1-50E0-4DE3-BCCF-CF95D5C82CD1}"/>
    <cellStyle name="Normal 9 3 2 2 4 3" xfId="5720" xr:uid="{00000000-0005-0000-0000-0000C71F0000}"/>
    <cellStyle name="Normal 9 3 2 2 4 3 2" xfId="14159" xr:uid="{7E319DAD-D7D3-4A21-9364-3217128A7027}"/>
    <cellStyle name="Normal 9 3 2 2 4 4" xfId="9941" xr:uid="{75FAF479-6C04-43D3-8EF3-D398CE41A183}"/>
    <cellStyle name="Normal 9 3 2 2 5" xfId="1825" xr:uid="{00000000-0005-0000-0000-0000C81F0000}"/>
    <cellStyle name="Normal 9 3 2 2 5 2" xfId="4055" xr:uid="{00000000-0005-0000-0000-0000C91F0000}"/>
    <cellStyle name="Normal 9 3 2 2 5 2 2" xfId="8278" xr:uid="{00000000-0005-0000-0000-0000CA1F0000}"/>
    <cellStyle name="Normal 9 3 2 2 5 2 2 2" xfId="16717" xr:uid="{C77F6B85-E62E-406D-8E64-DCA88C9F1304}"/>
    <cellStyle name="Normal 9 3 2 2 5 2 3" xfId="12499" xr:uid="{5883CD6E-79E0-47EC-88D6-A43177D64444}"/>
    <cellStyle name="Normal 9 3 2 2 5 3" xfId="6133" xr:uid="{00000000-0005-0000-0000-0000CB1F0000}"/>
    <cellStyle name="Normal 9 3 2 2 5 3 2" xfId="14572" xr:uid="{55CB30FF-2E8B-4EAE-A9C7-77D439FFD625}"/>
    <cellStyle name="Normal 9 3 2 2 5 4" xfId="10354" xr:uid="{E0D6B07C-A26E-48DA-8FC7-0AE0CEF3719A}"/>
    <cellStyle name="Normal 9 3 2 2 6" xfId="2239" xr:uid="{00000000-0005-0000-0000-0000CC1F0000}"/>
    <cellStyle name="Normal 9 3 2 2 6 2" xfId="4468" xr:uid="{00000000-0005-0000-0000-0000CD1F0000}"/>
    <cellStyle name="Normal 9 3 2 2 6 2 2" xfId="8691" xr:uid="{00000000-0005-0000-0000-0000CE1F0000}"/>
    <cellStyle name="Normal 9 3 2 2 6 2 2 2" xfId="17130" xr:uid="{ED804E02-8F41-4E51-8D25-C8719B4DBC76}"/>
    <cellStyle name="Normal 9 3 2 2 6 2 3" xfId="12912" xr:uid="{35990881-5AAE-4CB9-B0CD-4AF3057F7489}"/>
    <cellStyle name="Normal 9 3 2 2 6 3" xfId="6546" xr:uid="{00000000-0005-0000-0000-0000CF1F0000}"/>
    <cellStyle name="Normal 9 3 2 2 6 3 2" xfId="14985" xr:uid="{E23E6387-BAF8-4D1F-9059-8AB67889F278}"/>
    <cellStyle name="Normal 9 3 2 2 6 4" xfId="10767" xr:uid="{2432B418-C5D9-40FC-AB19-8EDB838D04E1}"/>
    <cellStyle name="Normal 9 3 2 2 7" xfId="2675" xr:uid="{00000000-0005-0000-0000-0000D01F0000}"/>
    <cellStyle name="Normal 9 3 2 2 7 2" xfId="6959" xr:uid="{00000000-0005-0000-0000-0000D11F0000}"/>
    <cellStyle name="Normal 9 3 2 2 7 2 2" xfId="15398" xr:uid="{42C7C873-274D-4480-974B-E4BACB65E68E}"/>
    <cellStyle name="Normal 9 3 2 2 7 3" xfId="11180" xr:uid="{5BE647A3-2B07-4567-A9D0-4467E97384DC}"/>
    <cellStyle name="Normal 9 3 2 2 8" xfId="4894" xr:uid="{00000000-0005-0000-0000-0000D21F0000}"/>
    <cellStyle name="Normal 9 3 2 2 8 2" xfId="13333" xr:uid="{A3AADC03-0AFA-440F-BDA0-FE545B4E7833}"/>
    <cellStyle name="Normal 9 3 2 2 9" xfId="9115" xr:uid="{18ECF229-62E0-4449-99E1-97E9B6209F83}"/>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15893" xr:uid="{2D200F47-17F1-4B62-80C9-CEF1FDD20846}"/>
    <cellStyle name="Normal 9 3 2 3 2 2 3" xfId="11675" xr:uid="{22981DE7-2CC2-4596-A4E7-D9BEC4EC9985}"/>
    <cellStyle name="Normal 9 3 2 3 2 3" xfId="5309" xr:uid="{00000000-0005-0000-0000-0000D71F0000}"/>
    <cellStyle name="Normal 9 3 2 3 2 3 2" xfId="13748" xr:uid="{4470FF07-108C-4BB7-B8F4-C65A7992B5EC}"/>
    <cellStyle name="Normal 9 3 2 3 2 4" xfId="9530" xr:uid="{170B0425-47E0-4AAF-A269-BC03A23E236B}"/>
    <cellStyle name="Normal 9 3 2 3 3" xfId="1414" xr:uid="{00000000-0005-0000-0000-0000D81F0000}"/>
    <cellStyle name="Normal 9 3 2 3 3 2" xfId="3644" xr:uid="{00000000-0005-0000-0000-0000D91F0000}"/>
    <cellStyle name="Normal 9 3 2 3 3 2 2" xfId="7867" xr:uid="{00000000-0005-0000-0000-0000DA1F0000}"/>
    <cellStyle name="Normal 9 3 2 3 3 2 2 2" xfId="16306" xr:uid="{73D85CC4-3AB2-4CAC-91E8-DD989FFDC398}"/>
    <cellStyle name="Normal 9 3 2 3 3 2 3" xfId="12088" xr:uid="{6050A280-2230-4AEA-9382-93FF11E49379}"/>
    <cellStyle name="Normal 9 3 2 3 3 3" xfId="5722" xr:uid="{00000000-0005-0000-0000-0000DB1F0000}"/>
    <cellStyle name="Normal 9 3 2 3 3 3 2" xfId="14161" xr:uid="{D8ED238C-8313-46DE-90AB-EE75469B4C8F}"/>
    <cellStyle name="Normal 9 3 2 3 3 4" xfId="9943" xr:uid="{D70082BE-CDEB-467C-B724-BA08C04EABD8}"/>
    <cellStyle name="Normal 9 3 2 3 4" xfId="1827" xr:uid="{00000000-0005-0000-0000-0000DC1F0000}"/>
    <cellStyle name="Normal 9 3 2 3 4 2" xfId="4057" xr:uid="{00000000-0005-0000-0000-0000DD1F0000}"/>
    <cellStyle name="Normal 9 3 2 3 4 2 2" xfId="8280" xr:uid="{00000000-0005-0000-0000-0000DE1F0000}"/>
    <cellStyle name="Normal 9 3 2 3 4 2 2 2" xfId="16719" xr:uid="{7C4B9355-314C-468F-B556-84F9EFD8C89B}"/>
    <cellStyle name="Normal 9 3 2 3 4 2 3" xfId="12501" xr:uid="{8696CA18-6CBF-4DC9-894F-F76BA50519CE}"/>
    <cellStyle name="Normal 9 3 2 3 4 3" xfId="6135" xr:uid="{00000000-0005-0000-0000-0000DF1F0000}"/>
    <cellStyle name="Normal 9 3 2 3 4 3 2" xfId="14574" xr:uid="{061BB897-72F9-4CF5-A268-E560B914AFA2}"/>
    <cellStyle name="Normal 9 3 2 3 4 4" xfId="10356" xr:uid="{0EB51F85-AA1D-4BCA-9507-1F9D549AE2A2}"/>
    <cellStyle name="Normal 9 3 2 3 5" xfId="2241" xr:uid="{00000000-0005-0000-0000-0000E01F0000}"/>
    <cellStyle name="Normal 9 3 2 3 5 2" xfId="4470" xr:uid="{00000000-0005-0000-0000-0000E11F0000}"/>
    <cellStyle name="Normal 9 3 2 3 5 2 2" xfId="8693" xr:uid="{00000000-0005-0000-0000-0000E21F0000}"/>
    <cellStyle name="Normal 9 3 2 3 5 2 2 2" xfId="17132" xr:uid="{6E1E1DD5-FD2D-4D9A-AE7A-B67449BE9698}"/>
    <cellStyle name="Normal 9 3 2 3 5 2 3" xfId="12914" xr:uid="{85E6781B-6FB2-465D-8BC9-958D23D9E4F0}"/>
    <cellStyle name="Normal 9 3 2 3 5 3" xfId="6548" xr:uid="{00000000-0005-0000-0000-0000E31F0000}"/>
    <cellStyle name="Normal 9 3 2 3 5 3 2" xfId="14987" xr:uid="{FEBBDF3A-1E68-42CA-8F89-B2819943C64E}"/>
    <cellStyle name="Normal 9 3 2 3 5 4" xfId="10769" xr:uid="{7F667E10-232A-4CF1-A92E-6746681C59B3}"/>
    <cellStyle name="Normal 9 3 2 3 6" xfId="2677" xr:uid="{00000000-0005-0000-0000-0000E41F0000}"/>
    <cellStyle name="Normal 9 3 2 3 6 2" xfId="6961" xr:uid="{00000000-0005-0000-0000-0000E51F0000}"/>
    <cellStyle name="Normal 9 3 2 3 6 2 2" xfId="15400" xr:uid="{8658E2FF-14AC-4F2B-9861-B82527FE3D81}"/>
    <cellStyle name="Normal 9 3 2 3 6 3" xfId="11182" xr:uid="{939DB505-98D0-4E76-A579-8B0E0D53471D}"/>
    <cellStyle name="Normal 9 3 2 3 7" xfId="4896" xr:uid="{00000000-0005-0000-0000-0000E61F0000}"/>
    <cellStyle name="Normal 9 3 2 3 7 2" xfId="13335" xr:uid="{86C434BD-23CA-4A86-83B7-E2781C3EC651}"/>
    <cellStyle name="Normal 9 3 2 3 8" xfId="9117" xr:uid="{3BF2C1AE-2AD3-41D7-A4DF-24231A8C5414}"/>
    <cellStyle name="Normal 9 3 2 4" xfId="995" xr:uid="{00000000-0005-0000-0000-0000E71F0000}"/>
    <cellStyle name="Normal 9 3 2 4 2" xfId="3228" xr:uid="{00000000-0005-0000-0000-0000E81F0000}"/>
    <cellStyle name="Normal 9 3 2 4 2 2" xfId="7451" xr:uid="{00000000-0005-0000-0000-0000E91F0000}"/>
    <cellStyle name="Normal 9 3 2 4 2 2 2" xfId="15890" xr:uid="{04FC537B-36B6-4948-95D5-D3C9D5C6748B}"/>
    <cellStyle name="Normal 9 3 2 4 2 3" xfId="11672" xr:uid="{70985B53-4C23-4129-861D-7D5DA3AAC8D4}"/>
    <cellStyle name="Normal 9 3 2 4 3" xfId="5306" xr:uid="{00000000-0005-0000-0000-0000EA1F0000}"/>
    <cellStyle name="Normal 9 3 2 4 3 2" xfId="13745" xr:uid="{8987B7D4-F77F-4D7A-A8A6-AC9821CED201}"/>
    <cellStyle name="Normal 9 3 2 4 4" xfId="9527" xr:uid="{ECE87D4C-D5C9-4AB0-91F6-DD5E2899A825}"/>
    <cellStyle name="Normal 9 3 2 5" xfId="1411" xr:uid="{00000000-0005-0000-0000-0000EB1F0000}"/>
    <cellStyle name="Normal 9 3 2 5 2" xfId="3641" xr:uid="{00000000-0005-0000-0000-0000EC1F0000}"/>
    <cellStyle name="Normal 9 3 2 5 2 2" xfId="7864" xr:uid="{00000000-0005-0000-0000-0000ED1F0000}"/>
    <cellStyle name="Normal 9 3 2 5 2 2 2" xfId="16303" xr:uid="{7F00A3CF-489B-4792-9312-EB94C5C786E0}"/>
    <cellStyle name="Normal 9 3 2 5 2 3" xfId="12085" xr:uid="{BE3EEEBA-9F6C-4D87-9AF8-F929BDC458F1}"/>
    <cellStyle name="Normal 9 3 2 5 3" xfId="5719" xr:uid="{00000000-0005-0000-0000-0000EE1F0000}"/>
    <cellStyle name="Normal 9 3 2 5 3 2" xfId="14158" xr:uid="{434C7F82-5E1B-43EA-AC0C-912E297050C3}"/>
    <cellStyle name="Normal 9 3 2 5 4" xfId="9940" xr:uid="{847842CF-83B2-4721-BFB5-D0FAEDBE4C26}"/>
    <cellStyle name="Normal 9 3 2 6" xfId="1824" xr:uid="{00000000-0005-0000-0000-0000EF1F0000}"/>
    <cellStyle name="Normal 9 3 2 6 2" xfId="4054" xr:uid="{00000000-0005-0000-0000-0000F01F0000}"/>
    <cellStyle name="Normal 9 3 2 6 2 2" xfId="8277" xr:uid="{00000000-0005-0000-0000-0000F11F0000}"/>
    <cellStyle name="Normal 9 3 2 6 2 2 2" xfId="16716" xr:uid="{3A2DDFE5-8DC1-44C9-8417-B0895DB0601C}"/>
    <cellStyle name="Normal 9 3 2 6 2 3" xfId="12498" xr:uid="{1AF3360F-E80D-4A62-B531-4ADC0AF8AD56}"/>
    <cellStyle name="Normal 9 3 2 6 3" xfId="6132" xr:uid="{00000000-0005-0000-0000-0000F21F0000}"/>
    <cellStyle name="Normal 9 3 2 6 3 2" xfId="14571" xr:uid="{5DC47E65-F903-4A68-9362-F8E14E817017}"/>
    <cellStyle name="Normal 9 3 2 6 4" xfId="10353" xr:uid="{B9356B3E-0514-4336-A70F-884CB9C8FDEF}"/>
    <cellStyle name="Normal 9 3 2 7" xfId="2238" xr:uid="{00000000-0005-0000-0000-0000F31F0000}"/>
    <cellStyle name="Normal 9 3 2 7 2" xfId="4467" xr:uid="{00000000-0005-0000-0000-0000F41F0000}"/>
    <cellStyle name="Normal 9 3 2 7 2 2" xfId="8690" xr:uid="{00000000-0005-0000-0000-0000F51F0000}"/>
    <cellStyle name="Normal 9 3 2 7 2 2 2" xfId="17129" xr:uid="{548FDA3B-6C36-48B0-B03F-7B04F6259952}"/>
    <cellStyle name="Normal 9 3 2 7 2 3" xfId="12911" xr:uid="{F8A51938-4483-485A-A78D-4400CBAD88AE}"/>
    <cellStyle name="Normal 9 3 2 7 3" xfId="6545" xr:uid="{00000000-0005-0000-0000-0000F61F0000}"/>
    <cellStyle name="Normal 9 3 2 7 3 2" xfId="14984" xr:uid="{FA537204-69AB-4366-9CF7-B0F918367273}"/>
    <cellStyle name="Normal 9 3 2 7 4" xfId="10766" xr:uid="{69962664-859A-45AF-8371-192412D25AA5}"/>
    <cellStyle name="Normal 9 3 2 8" xfId="2674" xr:uid="{00000000-0005-0000-0000-0000F71F0000}"/>
    <cellStyle name="Normal 9 3 2 8 2" xfId="6958" xr:uid="{00000000-0005-0000-0000-0000F81F0000}"/>
    <cellStyle name="Normal 9 3 2 8 2 2" xfId="15397" xr:uid="{DB37998A-9E09-4844-93B5-93BD64CF7B76}"/>
    <cellStyle name="Normal 9 3 2 8 3" xfId="11179" xr:uid="{5E7653EE-1D5F-45AD-9F1C-0F897045E3DB}"/>
    <cellStyle name="Normal 9 3 2 9" xfId="4893" xr:uid="{00000000-0005-0000-0000-0000F91F0000}"/>
    <cellStyle name="Normal 9 3 2 9 2" xfId="13332" xr:uid="{B91AB773-88A2-42C8-9864-B6E2E22C9388}"/>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15895" xr:uid="{3B6763B4-70BE-4D84-A0AB-D25B5E602045}"/>
    <cellStyle name="Normal 9 3 3 2 2 2 3" xfId="11677" xr:uid="{8DD8C1AF-9463-4971-BBAE-1C848605171E}"/>
    <cellStyle name="Normal 9 3 3 2 2 3" xfId="5311" xr:uid="{00000000-0005-0000-0000-0000FF1F0000}"/>
    <cellStyle name="Normal 9 3 3 2 2 3 2" xfId="13750" xr:uid="{7DFCBC4D-868C-43D5-AE11-6F7B2D385FE2}"/>
    <cellStyle name="Normal 9 3 3 2 2 4" xfId="9532" xr:uid="{F62E37D4-4BCF-432B-B970-A3935CB59C7A}"/>
    <cellStyle name="Normal 9 3 3 2 3" xfId="1416" xr:uid="{00000000-0005-0000-0000-000000200000}"/>
    <cellStyle name="Normal 9 3 3 2 3 2" xfId="3646" xr:uid="{00000000-0005-0000-0000-000001200000}"/>
    <cellStyle name="Normal 9 3 3 2 3 2 2" xfId="7869" xr:uid="{00000000-0005-0000-0000-000002200000}"/>
    <cellStyle name="Normal 9 3 3 2 3 2 2 2" xfId="16308" xr:uid="{7A6137DE-C865-472F-9328-BAE981620274}"/>
    <cellStyle name="Normal 9 3 3 2 3 2 3" xfId="12090" xr:uid="{C6582CBC-7491-40E0-B6AF-D4C6C00A9BA3}"/>
    <cellStyle name="Normal 9 3 3 2 3 3" xfId="5724" xr:uid="{00000000-0005-0000-0000-000003200000}"/>
    <cellStyle name="Normal 9 3 3 2 3 3 2" xfId="14163" xr:uid="{EDDECA23-4BF1-4383-863A-959B0D059F6B}"/>
    <cellStyle name="Normal 9 3 3 2 3 4" xfId="9945" xr:uid="{E06CEF6A-1D42-4163-9A71-70E43EC86325}"/>
    <cellStyle name="Normal 9 3 3 2 4" xfId="1829" xr:uid="{00000000-0005-0000-0000-000004200000}"/>
    <cellStyle name="Normal 9 3 3 2 4 2" xfId="4059" xr:uid="{00000000-0005-0000-0000-000005200000}"/>
    <cellStyle name="Normal 9 3 3 2 4 2 2" xfId="8282" xr:uid="{00000000-0005-0000-0000-000006200000}"/>
    <cellStyle name="Normal 9 3 3 2 4 2 2 2" xfId="16721" xr:uid="{398C9128-F114-4F09-A53F-025554004B66}"/>
    <cellStyle name="Normal 9 3 3 2 4 2 3" xfId="12503" xr:uid="{F51851A3-7416-48A4-ADDA-308E482144DE}"/>
    <cellStyle name="Normal 9 3 3 2 4 3" xfId="6137" xr:uid="{00000000-0005-0000-0000-000007200000}"/>
    <cellStyle name="Normal 9 3 3 2 4 3 2" xfId="14576" xr:uid="{4D5BD6B8-63E1-4856-AA74-CE796C691531}"/>
    <cellStyle name="Normal 9 3 3 2 4 4" xfId="10358" xr:uid="{3F373CAB-7F1E-45B7-AF6D-5FC48E61B228}"/>
    <cellStyle name="Normal 9 3 3 2 5" xfId="2243" xr:uid="{00000000-0005-0000-0000-000008200000}"/>
    <cellStyle name="Normal 9 3 3 2 5 2" xfId="4472" xr:uid="{00000000-0005-0000-0000-000009200000}"/>
    <cellStyle name="Normal 9 3 3 2 5 2 2" xfId="8695" xr:uid="{00000000-0005-0000-0000-00000A200000}"/>
    <cellStyle name="Normal 9 3 3 2 5 2 2 2" xfId="17134" xr:uid="{A4F2268E-B279-4F83-A2FE-4C0EBC37207A}"/>
    <cellStyle name="Normal 9 3 3 2 5 2 3" xfId="12916" xr:uid="{085939FC-B0B9-45DA-860C-7377AE0D04DC}"/>
    <cellStyle name="Normal 9 3 3 2 5 3" xfId="6550" xr:uid="{00000000-0005-0000-0000-00000B200000}"/>
    <cellStyle name="Normal 9 3 3 2 5 3 2" xfId="14989" xr:uid="{48DFB81D-8286-4B30-8578-C3A8CE0FF43B}"/>
    <cellStyle name="Normal 9 3 3 2 5 4" xfId="10771" xr:uid="{C7FA8216-66BA-4870-8B97-80342A3FC13B}"/>
    <cellStyle name="Normal 9 3 3 2 6" xfId="2679" xr:uid="{00000000-0005-0000-0000-00000C200000}"/>
    <cellStyle name="Normal 9 3 3 2 6 2" xfId="6963" xr:uid="{00000000-0005-0000-0000-00000D200000}"/>
    <cellStyle name="Normal 9 3 3 2 6 2 2" xfId="15402" xr:uid="{C9BA825B-3A7E-4C5D-A704-EF08CCB559AA}"/>
    <cellStyle name="Normal 9 3 3 2 6 3" xfId="11184" xr:uid="{64D7E148-468A-4ECA-BB11-C338CAD88E5C}"/>
    <cellStyle name="Normal 9 3 3 2 7" xfId="4898" xr:uid="{00000000-0005-0000-0000-00000E200000}"/>
    <cellStyle name="Normal 9 3 3 2 7 2" xfId="13337" xr:uid="{9767B5E8-AF8B-4D61-83D1-F8C8E3595659}"/>
    <cellStyle name="Normal 9 3 3 2 8" xfId="9119" xr:uid="{FC136A84-FE6B-45DD-8C19-9408C07F7F04}"/>
    <cellStyle name="Normal 9 3 3 3" xfId="999" xr:uid="{00000000-0005-0000-0000-00000F200000}"/>
    <cellStyle name="Normal 9 3 3 3 2" xfId="3232" xr:uid="{00000000-0005-0000-0000-000010200000}"/>
    <cellStyle name="Normal 9 3 3 3 2 2" xfId="7455" xr:uid="{00000000-0005-0000-0000-000011200000}"/>
    <cellStyle name="Normal 9 3 3 3 2 2 2" xfId="15894" xr:uid="{4B0E566D-DDE5-4C89-998B-849D6763FE54}"/>
    <cellStyle name="Normal 9 3 3 3 2 3" xfId="11676" xr:uid="{7A334685-6273-40DF-8CCE-2DD830FE6D28}"/>
    <cellStyle name="Normal 9 3 3 3 3" xfId="5310" xr:uid="{00000000-0005-0000-0000-000012200000}"/>
    <cellStyle name="Normal 9 3 3 3 3 2" xfId="13749" xr:uid="{FA66C75C-DA06-4C4E-B4FF-6BCBAB8A31D1}"/>
    <cellStyle name="Normal 9 3 3 3 4" xfId="9531" xr:uid="{0011702A-0C0D-4BA9-892B-8781A2734708}"/>
    <cellStyle name="Normal 9 3 3 4" xfId="1415" xr:uid="{00000000-0005-0000-0000-000013200000}"/>
    <cellStyle name="Normal 9 3 3 4 2" xfId="3645" xr:uid="{00000000-0005-0000-0000-000014200000}"/>
    <cellStyle name="Normal 9 3 3 4 2 2" xfId="7868" xr:uid="{00000000-0005-0000-0000-000015200000}"/>
    <cellStyle name="Normal 9 3 3 4 2 2 2" xfId="16307" xr:uid="{6F1D0B39-369E-4627-83E9-D174A8F04E7F}"/>
    <cellStyle name="Normal 9 3 3 4 2 3" xfId="12089" xr:uid="{E003B511-422C-4342-A0BA-4A7FF1C754C1}"/>
    <cellStyle name="Normal 9 3 3 4 3" xfId="5723" xr:uid="{00000000-0005-0000-0000-000016200000}"/>
    <cellStyle name="Normal 9 3 3 4 3 2" xfId="14162" xr:uid="{F591A69B-9AA8-44C9-9D00-586846AD5ADE}"/>
    <cellStyle name="Normal 9 3 3 4 4" xfId="9944" xr:uid="{DF3BA6DC-E29E-4B34-8F33-73E54B7C108C}"/>
    <cellStyle name="Normal 9 3 3 5" xfId="1828" xr:uid="{00000000-0005-0000-0000-000017200000}"/>
    <cellStyle name="Normal 9 3 3 5 2" xfId="4058" xr:uid="{00000000-0005-0000-0000-000018200000}"/>
    <cellStyle name="Normal 9 3 3 5 2 2" xfId="8281" xr:uid="{00000000-0005-0000-0000-000019200000}"/>
    <cellStyle name="Normal 9 3 3 5 2 2 2" xfId="16720" xr:uid="{65D2C1DD-F599-43FB-8135-5B6AB6E97E59}"/>
    <cellStyle name="Normal 9 3 3 5 2 3" xfId="12502" xr:uid="{7A9DE02F-54C7-4E4B-994E-FD1EA43895C5}"/>
    <cellStyle name="Normal 9 3 3 5 3" xfId="6136" xr:uid="{00000000-0005-0000-0000-00001A200000}"/>
    <cellStyle name="Normal 9 3 3 5 3 2" xfId="14575" xr:uid="{253824F2-132F-4DCF-B3B0-7C9F9CCA024E}"/>
    <cellStyle name="Normal 9 3 3 5 4" xfId="10357" xr:uid="{D73B8888-88C2-465C-BCF1-D81392122353}"/>
    <cellStyle name="Normal 9 3 3 6" xfId="2242" xr:uid="{00000000-0005-0000-0000-00001B200000}"/>
    <cellStyle name="Normal 9 3 3 6 2" xfId="4471" xr:uid="{00000000-0005-0000-0000-00001C200000}"/>
    <cellStyle name="Normal 9 3 3 6 2 2" xfId="8694" xr:uid="{00000000-0005-0000-0000-00001D200000}"/>
    <cellStyle name="Normal 9 3 3 6 2 2 2" xfId="17133" xr:uid="{3709A393-94D0-4950-8A32-750285399852}"/>
    <cellStyle name="Normal 9 3 3 6 2 3" xfId="12915" xr:uid="{6AF8CB6A-A02E-4B07-8D22-3C46936C3F42}"/>
    <cellStyle name="Normal 9 3 3 6 3" xfId="6549" xr:uid="{00000000-0005-0000-0000-00001E200000}"/>
    <cellStyle name="Normal 9 3 3 6 3 2" xfId="14988" xr:uid="{8A33A175-2BFD-4F0A-8886-C473240F24CB}"/>
    <cellStyle name="Normal 9 3 3 6 4" xfId="10770" xr:uid="{CA049975-78FB-4D1B-B4B0-234DBCB80F15}"/>
    <cellStyle name="Normal 9 3 3 7" xfId="2678" xr:uid="{00000000-0005-0000-0000-00001F200000}"/>
    <cellStyle name="Normal 9 3 3 7 2" xfId="6962" xr:uid="{00000000-0005-0000-0000-000020200000}"/>
    <cellStyle name="Normal 9 3 3 7 2 2" xfId="15401" xr:uid="{FA7F03CC-DFA4-498D-96A3-17F70F51A5D5}"/>
    <cellStyle name="Normal 9 3 3 7 3" xfId="11183" xr:uid="{E8EAD449-5C35-41B6-A655-C9A7D04ED56D}"/>
    <cellStyle name="Normal 9 3 3 8" xfId="4897" xr:uid="{00000000-0005-0000-0000-000021200000}"/>
    <cellStyle name="Normal 9 3 3 8 2" xfId="13336" xr:uid="{7CC03190-2A10-4EF1-A13E-30CF25DCE2F8}"/>
    <cellStyle name="Normal 9 3 3 9" xfId="9118" xr:uid="{1F1498F8-E21F-449A-9859-B03924608A8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2 2 2" xfId="15896" xr:uid="{6C165755-E3CB-4B4C-A292-C2DD1C178A13}"/>
    <cellStyle name="Normal 9 3 4 2 2 3" xfId="11678" xr:uid="{D1A7FDDC-8992-46F5-B30C-05C706074AAD}"/>
    <cellStyle name="Normal 9 3 4 2 3" xfId="5312" xr:uid="{00000000-0005-0000-0000-000026200000}"/>
    <cellStyle name="Normal 9 3 4 2 3 2" xfId="13751" xr:uid="{120450B2-A808-4195-A6BD-6A0B35A2B2CA}"/>
    <cellStyle name="Normal 9 3 4 2 4" xfId="9533" xr:uid="{DFBC2E5F-5551-4713-AE9A-A088281843BE}"/>
    <cellStyle name="Normal 9 3 4 3" xfId="1417" xr:uid="{00000000-0005-0000-0000-000027200000}"/>
    <cellStyle name="Normal 9 3 4 3 2" xfId="3647" xr:uid="{00000000-0005-0000-0000-000028200000}"/>
    <cellStyle name="Normal 9 3 4 3 2 2" xfId="7870" xr:uid="{00000000-0005-0000-0000-000029200000}"/>
    <cellStyle name="Normal 9 3 4 3 2 2 2" xfId="16309" xr:uid="{C1F392E0-FF5F-4F7C-B7A3-527BD2D824D1}"/>
    <cellStyle name="Normal 9 3 4 3 2 3" xfId="12091" xr:uid="{43FF41C4-D02C-42DD-A2AA-BF06FC3701C7}"/>
    <cellStyle name="Normal 9 3 4 3 3" xfId="5725" xr:uid="{00000000-0005-0000-0000-00002A200000}"/>
    <cellStyle name="Normal 9 3 4 3 3 2" xfId="14164" xr:uid="{E4503EF2-1C9D-47FA-BA0F-F7AD290DEA02}"/>
    <cellStyle name="Normal 9 3 4 3 4" xfId="9946" xr:uid="{07D418C8-375D-44D2-81B7-F540475FB380}"/>
    <cellStyle name="Normal 9 3 4 4" xfId="1830" xr:uid="{00000000-0005-0000-0000-00002B200000}"/>
    <cellStyle name="Normal 9 3 4 4 2" xfId="4060" xr:uid="{00000000-0005-0000-0000-00002C200000}"/>
    <cellStyle name="Normal 9 3 4 4 2 2" xfId="8283" xr:uid="{00000000-0005-0000-0000-00002D200000}"/>
    <cellStyle name="Normal 9 3 4 4 2 2 2" xfId="16722" xr:uid="{0EF5D785-01CE-4BCB-A665-BA17D0C1C548}"/>
    <cellStyle name="Normal 9 3 4 4 2 3" xfId="12504" xr:uid="{DC8A005E-DFDB-468A-9443-0F980ADC95D2}"/>
    <cellStyle name="Normal 9 3 4 4 3" xfId="6138" xr:uid="{00000000-0005-0000-0000-00002E200000}"/>
    <cellStyle name="Normal 9 3 4 4 3 2" xfId="14577" xr:uid="{5C2BDA98-7D99-4ED0-B998-F3A5EBB673B6}"/>
    <cellStyle name="Normal 9 3 4 4 4" xfId="10359" xr:uid="{4A973A08-5327-46B3-8D54-84DAAFA2863B}"/>
    <cellStyle name="Normal 9 3 4 5" xfId="2244" xr:uid="{00000000-0005-0000-0000-00002F200000}"/>
    <cellStyle name="Normal 9 3 4 5 2" xfId="4473" xr:uid="{00000000-0005-0000-0000-000030200000}"/>
    <cellStyle name="Normal 9 3 4 5 2 2" xfId="8696" xr:uid="{00000000-0005-0000-0000-000031200000}"/>
    <cellStyle name="Normal 9 3 4 5 2 2 2" xfId="17135" xr:uid="{74C80ADB-0207-4E4B-933D-E14C9418300F}"/>
    <cellStyle name="Normal 9 3 4 5 2 3" xfId="12917" xr:uid="{714602E9-1B23-419F-B056-B3E30FDEE524}"/>
    <cellStyle name="Normal 9 3 4 5 3" xfId="6551" xr:uid="{00000000-0005-0000-0000-000032200000}"/>
    <cellStyle name="Normal 9 3 4 5 3 2" xfId="14990" xr:uid="{0B3F9EB4-63A6-4239-94C7-E569A3528FB7}"/>
    <cellStyle name="Normal 9 3 4 5 4" xfId="10772" xr:uid="{E63D31FD-0ACF-41E7-9EA4-FF221A507AE7}"/>
    <cellStyle name="Normal 9 3 4 6" xfId="2680" xr:uid="{00000000-0005-0000-0000-000033200000}"/>
    <cellStyle name="Normal 9 3 4 6 2" xfId="6964" xr:uid="{00000000-0005-0000-0000-000034200000}"/>
    <cellStyle name="Normal 9 3 4 6 2 2" xfId="15403" xr:uid="{7CBB2384-9F15-4B3A-817B-5A04C152ED82}"/>
    <cellStyle name="Normal 9 3 4 6 3" xfId="11185" xr:uid="{05232CDC-D5E2-4E40-B64E-3FDCAD26D4CE}"/>
    <cellStyle name="Normal 9 3 4 7" xfId="4899" xr:uid="{00000000-0005-0000-0000-000035200000}"/>
    <cellStyle name="Normal 9 3 4 7 2" xfId="13338" xr:uid="{F5FA002B-C515-4B2E-98F6-D9906D44385A}"/>
    <cellStyle name="Normal 9 3 4 8" xfId="9120" xr:uid="{60026152-8898-4E0A-98A1-89264E461731}"/>
    <cellStyle name="Normal 9 3 5" xfId="994" xr:uid="{00000000-0005-0000-0000-000036200000}"/>
    <cellStyle name="Normal 9 3 5 2" xfId="3227" xr:uid="{00000000-0005-0000-0000-000037200000}"/>
    <cellStyle name="Normal 9 3 5 2 2" xfId="7450" xr:uid="{00000000-0005-0000-0000-000038200000}"/>
    <cellStyle name="Normal 9 3 5 2 2 2" xfId="15889" xr:uid="{C12E912B-563E-4EA3-A67A-5BDE67D4D8A6}"/>
    <cellStyle name="Normal 9 3 5 2 3" xfId="11671" xr:uid="{230FDADC-638F-4FDF-A250-49AB463A8FA7}"/>
    <cellStyle name="Normal 9 3 5 3" xfId="5305" xr:uid="{00000000-0005-0000-0000-000039200000}"/>
    <cellStyle name="Normal 9 3 5 3 2" xfId="13744" xr:uid="{BFC4AF12-1C68-4B94-9DFA-78B6EA6E5092}"/>
    <cellStyle name="Normal 9 3 5 4" xfId="9526" xr:uid="{E00CD8B4-4E1C-4F72-B528-B63860A90957}"/>
    <cellStyle name="Normal 9 3 6" xfId="1410" xr:uid="{00000000-0005-0000-0000-00003A200000}"/>
    <cellStyle name="Normal 9 3 6 2" xfId="3640" xr:uid="{00000000-0005-0000-0000-00003B200000}"/>
    <cellStyle name="Normal 9 3 6 2 2" xfId="7863" xr:uid="{00000000-0005-0000-0000-00003C200000}"/>
    <cellStyle name="Normal 9 3 6 2 2 2" xfId="16302" xr:uid="{856EEE7F-F3D8-4DB6-BC0B-B78401778E4D}"/>
    <cellStyle name="Normal 9 3 6 2 3" xfId="12084" xr:uid="{9C6D41C4-A505-4EAF-89B0-1ECC2A98805B}"/>
    <cellStyle name="Normal 9 3 6 3" xfId="5718" xr:uid="{00000000-0005-0000-0000-00003D200000}"/>
    <cellStyle name="Normal 9 3 6 3 2" xfId="14157" xr:uid="{366B9648-070C-4747-AB5D-FC78E71C3687}"/>
    <cellStyle name="Normal 9 3 6 4" xfId="9939" xr:uid="{16921065-DDE3-4AC9-BC6C-A02EF230F08F}"/>
    <cellStyle name="Normal 9 3 7" xfId="1823" xr:uid="{00000000-0005-0000-0000-00003E200000}"/>
    <cellStyle name="Normal 9 3 7 2" xfId="4053" xr:uid="{00000000-0005-0000-0000-00003F200000}"/>
    <cellStyle name="Normal 9 3 7 2 2" xfId="8276" xr:uid="{00000000-0005-0000-0000-000040200000}"/>
    <cellStyle name="Normal 9 3 7 2 2 2" xfId="16715" xr:uid="{74C5DEA1-16D8-4274-8DFF-594D5BBF54EC}"/>
    <cellStyle name="Normal 9 3 7 2 3" xfId="12497" xr:uid="{8F20A3DD-BEEF-4E07-AA58-66B4D5A6113A}"/>
    <cellStyle name="Normal 9 3 7 3" xfId="6131" xr:uid="{00000000-0005-0000-0000-000041200000}"/>
    <cellStyle name="Normal 9 3 7 3 2" xfId="14570" xr:uid="{273D8034-6BD4-4C83-AD44-647BA59B1D5C}"/>
    <cellStyle name="Normal 9 3 7 4" xfId="10352" xr:uid="{735C0BA4-BB4D-43CB-8366-6895ACEBC48A}"/>
    <cellStyle name="Normal 9 3 8" xfId="2237" xr:uid="{00000000-0005-0000-0000-000042200000}"/>
    <cellStyle name="Normal 9 3 8 2" xfId="4466" xr:uid="{00000000-0005-0000-0000-000043200000}"/>
    <cellStyle name="Normal 9 3 8 2 2" xfId="8689" xr:uid="{00000000-0005-0000-0000-000044200000}"/>
    <cellStyle name="Normal 9 3 8 2 2 2" xfId="17128" xr:uid="{D2FED5ED-5DC3-419A-8007-0BF0837EDF69}"/>
    <cellStyle name="Normal 9 3 8 2 3" xfId="12910" xr:uid="{F60159A9-D8E6-4915-84AA-527402609A41}"/>
    <cellStyle name="Normal 9 3 8 3" xfId="6544" xr:uid="{00000000-0005-0000-0000-000045200000}"/>
    <cellStyle name="Normal 9 3 8 3 2" xfId="14983" xr:uid="{1BE1119E-5368-4F90-B842-E90744613CA2}"/>
    <cellStyle name="Normal 9 3 8 4" xfId="10765" xr:uid="{5329B6E1-9B1D-4FAA-88FA-31BA0ACCD8E7}"/>
    <cellStyle name="Normal 9 3 9" xfId="2673" xr:uid="{00000000-0005-0000-0000-000046200000}"/>
    <cellStyle name="Normal 9 3 9 2" xfId="6957" xr:uid="{00000000-0005-0000-0000-000047200000}"/>
    <cellStyle name="Normal 9 3 9 2 2" xfId="15396" xr:uid="{FAAFF645-94B5-47CC-9025-2A4A203C7079}"/>
    <cellStyle name="Normal 9 3 9 3" xfId="11178" xr:uid="{6AE4E103-6AD3-4AB2-B30E-8D3B18F7CF82}"/>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2 2 2" xfId="15898" xr:uid="{75F1CA48-6B3E-43E0-9A2E-EF398F801657}"/>
    <cellStyle name="Normal 9 5 2 2 2 3" xfId="11680" xr:uid="{4B611D3E-75EE-417F-83BC-47703FFF9DF4}"/>
    <cellStyle name="Normal 9 5 2 2 3" xfId="5314" xr:uid="{00000000-0005-0000-0000-00004F200000}"/>
    <cellStyle name="Normal 9 5 2 2 3 2" xfId="13753" xr:uid="{1450FFB3-D3E3-49AE-81FD-E61889661C35}"/>
    <cellStyle name="Normal 9 5 2 2 4" xfId="9535" xr:uid="{3F07FE8D-F89E-47BB-8E2F-8A17460B647B}"/>
    <cellStyle name="Normal 9 5 2 3" xfId="1419" xr:uid="{00000000-0005-0000-0000-000050200000}"/>
    <cellStyle name="Normal 9 5 2 3 2" xfId="3649" xr:uid="{00000000-0005-0000-0000-000051200000}"/>
    <cellStyle name="Normal 9 5 2 3 2 2" xfId="7872" xr:uid="{00000000-0005-0000-0000-000052200000}"/>
    <cellStyle name="Normal 9 5 2 3 2 2 2" xfId="16311" xr:uid="{089E9FC0-B0C1-45D9-8BA5-7227AE8ECCD6}"/>
    <cellStyle name="Normal 9 5 2 3 2 3" xfId="12093" xr:uid="{D0431552-7F41-4F07-9C1E-D4A3A5FEDD36}"/>
    <cellStyle name="Normal 9 5 2 3 3" xfId="5727" xr:uid="{00000000-0005-0000-0000-000053200000}"/>
    <cellStyle name="Normal 9 5 2 3 3 2" xfId="14166" xr:uid="{D9048006-A071-4B80-9FF6-D7DE222718E7}"/>
    <cellStyle name="Normal 9 5 2 3 4" xfId="9948" xr:uid="{905922D9-6B6B-44A9-A782-96CA1B493877}"/>
    <cellStyle name="Normal 9 5 2 4" xfId="1832" xr:uid="{00000000-0005-0000-0000-000054200000}"/>
    <cellStyle name="Normal 9 5 2 4 2" xfId="4062" xr:uid="{00000000-0005-0000-0000-000055200000}"/>
    <cellStyle name="Normal 9 5 2 4 2 2" xfId="8285" xr:uid="{00000000-0005-0000-0000-000056200000}"/>
    <cellStyle name="Normal 9 5 2 4 2 2 2" xfId="16724" xr:uid="{CEEB12B1-9F7A-48BF-BD86-016F487EEBC4}"/>
    <cellStyle name="Normal 9 5 2 4 2 3" xfId="12506" xr:uid="{5596FC64-EF35-41DF-8091-754DAF46A848}"/>
    <cellStyle name="Normal 9 5 2 4 3" xfId="6140" xr:uid="{00000000-0005-0000-0000-000057200000}"/>
    <cellStyle name="Normal 9 5 2 4 3 2" xfId="14579" xr:uid="{3310E7D4-6E4C-4661-8317-809301C5B16F}"/>
    <cellStyle name="Normal 9 5 2 4 4" xfId="10361" xr:uid="{82BBA277-5F87-4DDC-B409-9C79BA6BF17F}"/>
    <cellStyle name="Normal 9 5 2 5" xfId="2246" xr:uid="{00000000-0005-0000-0000-000058200000}"/>
    <cellStyle name="Normal 9 5 2 5 2" xfId="4475" xr:uid="{00000000-0005-0000-0000-000059200000}"/>
    <cellStyle name="Normal 9 5 2 5 2 2" xfId="8698" xr:uid="{00000000-0005-0000-0000-00005A200000}"/>
    <cellStyle name="Normal 9 5 2 5 2 2 2" xfId="17137" xr:uid="{0593D88D-8DAE-4A0B-B919-69431D9A140F}"/>
    <cellStyle name="Normal 9 5 2 5 2 3" xfId="12919" xr:uid="{270D468C-5FF7-495B-900C-ADB5979B0E51}"/>
    <cellStyle name="Normal 9 5 2 5 3" xfId="6553" xr:uid="{00000000-0005-0000-0000-00005B200000}"/>
    <cellStyle name="Normal 9 5 2 5 3 2" xfId="14992" xr:uid="{851BDA56-709C-472B-BDDA-C7B146317EF3}"/>
    <cellStyle name="Normal 9 5 2 5 4" xfId="10774" xr:uid="{4CA5D4EF-4DB1-4C0B-83A5-B8BF8A6BB794}"/>
    <cellStyle name="Normal 9 5 2 6" xfId="2682" xr:uid="{00000000-0005-0000-0000-00005C200000}"/>
    <cellStyle name="Normal 9 5 2 6 2" xfId="6966" xr:uid="{00000000-0005-0000-0000-00005D200000}"/>
    <cellStyle name="Normal 9 5 2 6 2 2" xfId="15405" xr:uid="{DAE34547-F5EA-4A9D-A84F-C5209B25603C}"/>
    <cellStyle name="Normal 9 5 2 6 3" xfId="11187" xr:uid="{81DDC60F-5F71-40E9-984D-69E53E33158B}"/>
    <cellStyle name="Normal 9 5 2 7" xfId="4901" xr:uid="{00000000-0005-0000-0000-00005E200000}"/>
    <cellStyle name="Normal 9 5 2 7 2" xfId="13340" xr:uid="{BF14725D-6978-4919-865F-DCCD939BD6B8}"/>
    <cellStyle name="Normal 9 5 2 8" xfId="9122" xr:uid="{0EC53701-5B2F-46AE-AD80-C15DDC054322}"/>
    <cellStyle name="Normal 9 5 3" xfId="1003" xr:uid="{00000000-0005-0000-0000-00005F200000}"/>
    <cellStyle name="Normal 9 5 3 2" xfId="3235" xr:uid="{00000000-0005-0000-0000-000060200000}"/>
    <cellStyle name="Normal 9 5 3 2 2" xfId="7458" xr:uid="{00000000-0005-0000-0000-000061200000}"/>
    <cellStyle name="Normal 9 5 3 2 2 2" xfId="15897" xr:uid="{C9CC6415-8A9A-4BFA-AACB-E5A62E00D917}"/>
    <cellStyle name="Normal 9 5 3 2 3" xfId="11679" xr:uid="{758E70D2-A9AA-407E-9433-44E47C525234}"/>
    <cellStyle name="Normal 9 5 3 3" xfId="5313" xr:uid="{00000000-0005-0000-0000-000062200000}"/>
    <cellStyle name="Normal 9 5 3 3 2" xfId="13752" xr:uid="{69860D1C-D4E3-4647-A585-DF8CB028E0A1}"/>
    <cellStyle name="Normal 9 5 3 4" xfId="9534" xr:uid="{FB7227E1-3C4F-4B3B-B8AC-3608D7CD44CF}"/>
    <cellStyle name="Normal 9 5 4" xfId="1418" xr:uid="{00000000-0005-0000-0000-000063200000}"/>
    <cellStyle name="Normal 9 5 4 2" xfId="3648" xr:uid="{00000000-0005-0000-0000-000064200000}"/>
    <cellStyle name="Normal 9 5 4 2 2" xfId="7871" xr:uid="{00000000-0005-0000-0000-000065200000}"/>
    <cellStyle name="Normal 9 5 4 2 2 2" xfId="16310" xr:uid="{46ECC7FF-3526-4818-9F25-BB95F91E5DE6}"/>
    <cellStyle name="Normal 9 5 4 2 3" xfId="12092" xr:uid="{DF221DA6-B2AE-4C14-97E5-5DD47A200E5A}"/>
    <cellStyle name="Normal 9 5 4 3" xfId="5726" xr:uid="{00000000-0005-0000-0000-000066200000}"/>
    <cellStyle name="Normal 9 5 4 3 2" xfId="14165" xr:uid="{A4164791-1E62-4B24-98F2-A47D0642436D}"/>
    <cellStyle name="Normal 9 5 4 4" xfId="9947" xr:uid="{993CAE26-1039-4797-8DDE-05CB954A3268}"/>
    <cellStyle name="Normal 9 5 5" xfId="1831" xr:uid="{00000000-0005-0000-0000-000067200000}"/>
    <cellStyle name="Normal 9 5 5 2" xfId="4061" xr:uid="{00000000-0005-0000-0000-000068200000}"/>
    <cellStyle name="Normal 9 5 5 2 2" xfId="8284" xr:uid="{00000000-0005-0000-0000-000069200000}"/>
    <cellStyle name="Normal 9 5 5 2 2 2" xfId="16723" xr:uid="{1CA61C2E-EDEF-4E5B-997F-EF27542360E3}"/>
    <cellStyle name="Normal 9 5 5 2 3" xfId="12505" xr:uid="{6F2F56AC-40E2-47C3-8BDD-7F497AEB5066}"/>
    <cellStyle name="Normal 9 5 5 3" xfId="6139" xr:uid="{00000000-0005-0000-0000-00006A200000}"/>
    <cellStyle name="Normal 9 5 5 3 2" xfId="14578" xr:uid="{FC0D82FD-95C0-4F95-919F-36386378D885}"/>
    <cellStyle name="Normal 9 5 5 4" xfId="10360" xr:uid="{C740638A-4129-4515-A293-431DDCCE4ADA}"/>
    <cellStyle name="Normal 9 5 6" xfId="2245" xr:uid="{00000000-0005-0000-0000-00006B200000}"/>
    <cellStyle name="Normal 9 5 6 2" xfId="4474" xr:uid="{00000000-0005-0000-0000-00006C200000}"/>
    <cellStyle name="Normal 9 5 6 2 2" xfId="8697" xr:uid="{00000000-0005-0000-0000-00006D200000}"/>
    <cellStyle name="Normal 9 5 6 2 2 2" xfId="17136" xr:uid="{C1EC4E41-DE83-49C7-9907-377E4632588C}"/>
    <cellStyle name="Normal 9 5 6 2 3" xfId="12918" xr:uid="{00C5D959-AAC0-4F58-8F6B-E2450B6218B1}"/>
    <cellStyle name="Normal 9 5 6 3" xfId="6552" xr:uid="{00000000-0005-0000-0000-00006E200000}"/>
    <cellStyle name="Normal 9 5 6 3 2" xfId="14991" xr:uid="{78571F15-68E4-466E-A99E-9ACD4B90532E}"/>
    <cellStyle name="Normal 9 5 6 4" xfId="10773" xr:uid="{41278333-0B70-434A-A591-E22448499E07}"/>
    <cellStyle name="Normal 9 5 7" xfId="2681" xr:uid="{00000000-0005-0000-0000-00006F200000}"/>
    <cellStyle name="Normal 9 5 7 2" xfId="6965" xr:uid="{00000000-0005-0000-0000-000070200000}"/>
    <cellStyle name="Normal 9 5 7 2 2" xfId="15404" xr:uid="{5391DBC6-9692-4861-9FC6-AE5D5C901557}"/>
    <cellStyle name="Normal 9 5 7 3" xfId="11186" xr:uid="{28DFA207-AC60-4629-B036-82F2C5410F15}"/>
    <cellStyle name="Normal 9 5 8" xfId="4900" xr:uid="{00000000-0005-0000-0000-000071200000}"/>
    <cellStyle name="Normal 9 5 8 2" xfId="13339" xr:uid="{345FB4EF-1DCC-407F-AACF-3F7FFFA83721}"/>
    <cellStyle name="Normal 9 5 9" xfId="9121" xr:uid="{CEBFECF7-4F91-4DEB-9DB0-67CC2BB1702E}"/>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2 2 2" xfId="15899" xr:uid="{2C764AC8-D550-4F4B-BFB5-DB78A9889BEF}"/>
    <cellStyle name="Normal 9 6 2 2 3" xfId="11681" xr:uid="{E726F4F8-9B61-4C03-BD06-B4C2B2213DF7}"/>
    <cellStyle name="Normal 9 6 2 3" xfId="5315" xr:uid="{00000000-0005-0000-0000-000076200000}"/>
    <cellStyle name="Normal 9 6 2 3 2" xfId="13754" xr:uid="{1C16618F-9515-4BF7-92BE-C4A0EF43F14F}"/>
    <cellStyle name="Normal 9 6 2 4" xfId="9536" xr:uid="{086A7170-1BA2-48FD-A424-5897D38A2E19}"/>
    <cellStyle name="Normal 9 6 3" xfId="1420" xr:uid="{00000000-0005-0000-0000-000077200000}"/>
    <cellStyle name="Normal 9 6 3 2" xfId="3650" xr:uid="{00000000-0005-0000-0000-000078200000}"/>
    <cellStyle name="Normal 9 6 3 2 2" xfId="7873" xr:uid="{00000000-0005-0000-0000-000079200000}"/>
    <cellStyle name="Normal 9 6 3 2 2 2" xfId="16312" xr:uid="{77DEBA17-3D5A-47E2-9D59-6A3919A036F0}"/>
    <cellStyle name="Normal 9 6 3 2 3" xfId="12094" xr:uid="{D272DB79-8895-420A-83F0-3967E6DB3429}"/>
    <cellStyle name="Normal 9 6 3 3" xfId="5728" xr:uid="{00000000-0005-0000-0000-00007A200000}"/>
    <cellStyle name="Normal 9 6 3 3 2" xfId="14167" xr:uid="{8F47832E-8CB3-4B7F-9B83-D83DC0B5B356}"/>
    <cellStyle name="Normal 9 6 3 4" xfId="9949" xr:uid="{E7112B5D-C4C0-4F2B-8BA6-895B6C04519A}"/>
    <cellStyle name="Normal 9 6 4" xfId="1833" xr:uid="{00000000-0005-0000-0000-00007B200000}"/>
    <cellStyle name="Normal 9 6 4 2" xfId="4063" xr:uid="{00000000-0005-0000-0000-00007C200000}"/>
    <cellStyle name="Normal 9 6 4 2 2" xfId="8286" xr:uid="{00000000-0005-0000-0000-00007D200000}"/>
    <cellStyle name="Normal 9 6 4 2 2 2" xfId="16725" xr:uid="{5CFC0C8B-8991-4BB0-9BE5-319E4D7DD2F5}"/>
    <cellStyle name="Normal 9 6 4 2 3" xfId="12507" xr:uid="{05F0625F-536A-4C44-8D41-EFC5364651B0}"/>
    <cellStyle name="Normal 9 6 4 3" xfId="6141" xr:uid="{00000000-0005-0000-0000-00007E200000}"/>
    <cellStyle name="Normal 9 6 4 3 2" xfId="14580" xr:uid="{17196D26-CC23-4E2F-A79D-06927FC4B1D6}"/>
    <cellStyle name="Normal 9 6 4 4" xfId="10362" xr:uid="{D7C94C58-B202-4E15-9735-3517AF970FF5}"/>
    <cellStyle name="Normal 9 6 5" xfId="2247" xr:uid="{00000000-0005-0000-0000-00007F200000}"/>
    <cellStyle name="Normal 9 6 5 2" xfId="4476" xr:uid="{00000000-0005-0000-0000-000080200000}"/>
    <cellStyle name="Normal 9 6 5 2 2" xfId="8699" xr:uid="{00000000-0005-0000-0000-000081200000}"/>
    <cellStyle name="Normal 9 6 5 2 2 2" xfId="17138" xr:uid="{6723AA10-FC9C-4BDE-BC03-79635A493E42}"/>
    <cellStyle name="Normal 9 6 5 2 3" xfId="12920" xr:uid="{E0058F69-CC98-42D2-B3AB-5CD84AA4C285}"/>
    <cellStyle name="Normal 9 6 5 3" xfId="6554" xr:uid="{00000000-0005-0000-0000-000082200000}"/>
    <cellStyle name="Normal 9 6 5 3 2" xfId="14993" xr:uid="{3CF7B366-161A-4D80-B907-2E26785AB1D2}"/>
    <cellStyle name="Normal 9 6 5 4" xfId="10775" xr:uid="{0E0FC721-0EC3-4FAC-A464-410B0B17CE4A}"/>
    <cellStyle name="Normal 9 6 6" xfId="2683" xr:uid="{00000000-0005-0000-0000-000083200000}"/>
    <cellStyle name="Normal 9 6 6 2" xfId="6967" xr:uid="{00000000-0005-0000-0000-000084200000}"/>
    <cellStyle name="Normal 9 6 6 2 2" xfId="15406" xr:uid="{9B3DF886-DE2D-4E1D-92E1-62986727360D}"/>
    <cellStyle name="Normal 9 6 6 3" xfId="11188" xr:uid="{E4D62B5F-8AF1-4572-9D9D-604C50DD1F4E}"/>
    <cellStyle name="Normal 9 6 7" xfId="4902" xr:uid="{00000000-0005-0000-0000-000085200000}"/>
    <cellStyle name="Normal 9 6 7 2" xfId="13341" xr:uid="{1638CE62-80FC-4A76-9FB3-042835E9B666}"/>
    <cellStyle name="Normal 9 6 8" xfId="9123" xr:uid="{91FD886F-883C-454C-B99C-42960573980F}"/>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0 2 2" xfId="15487" xr:uid="{280D9BB7-348E-4B56-BD1D-756447E2AE8D}"/>
    <cellStyle name="Note 2 2 10 3" xfId="11269" xr:uid="{D0402562-E930-409E-8E68-2E0A63901A21}"/>
    <cellStyle name="Note 2 2 11" xfId="4903" xr:uid="{00000000-0005-0000-0000-000094200000}"/>
    <cellStyle name="Note 2 2 11 2" xfId="13342" xr:uid="{7C881208-25DB-4995-BCB2-E115FDD3F1D0}"/>
    <cellStyle name="Note 2 2 12" xfId="9124" xr:uid="{0D246E14-C0B0-4E01-86C0-60ABAB813723}"/>
    <cellStyle name="Note 2 2 2" xfId="546" xr:uid="{00000000-0005-0000-0000-000095200000}"/>
    <cellStyle name="Note 2 2 2 10" xfId="4904" xr:uid="{00000000-0005-0000-0000-000096200000}"/>
    <cellStyle name="Note 2 2 2 10 2" xfId="13343" xr:uid="{E02146A8-D48A-422B-ABEC-B18303EBFA7F}"/>
    <cellStyle name="Note 2 2 2 11" xfId="9125" xr:uid="{D6F89B63-A5FD-4A1E-AF6C-C2E8D95758CF}"/>
    <cellStyle name="Note 2 2 2 2" xfId="547" xr:uid="{00000000-0005-0000-0000-000097200000}"/>
    <cellStyle name="Note 2 2 2 2 10" xfId="9126" xr:uid="{ADB0EBC1-55D6-4AFF-A509-8FF9A231CB82}"/>
    <cellStyle name="Note 2 2 2 2 2" xfId="1008" xr:uid="{00000000-0005-0000-0000-000098200000}"/>
    <cellStyle name="Note 2 2 2 2 2 2" xfId="3240" xr:uid="{00000000-0005-0000-0000-000099200000}"/>
    <cellStyle name="Note 2 2 2 2 2 2 2" xfId="7463" xr:uid="{00000000-0005-0000-0000-00009A200000}"/>
    <cellStyle name="Note 2 2 2 2 2 2 2 2" xfId="15902" xr:uid="{9261997C-49A6-4A26-9382-E7790B076F6F}"/>
    <cellStyle name="Note 2 2 2 2 2 2 3" xfId="11684" xr:uid="{EE0B7E47-FE53-4007-B50B-C2128E1D63AC}"/>
    <cellStyle name="Note 2 2 2 2 2 3" xfId="5318" xr:uid="{00000000-0005-0000-0000-00009B200000}"/>
    <cellStyle name="Note 2 2 2 2 2 3 2" xfId="13757" xr:uid="{C249F8C5-7CA6-4524-BD97-F65EBF2C3026}"/>
    <cellStyle name="Note 2 2 2 2 2 4" xfId="9539" xr:uid="{F1958071-D47A-48B2-BAF1-E1FCDF3B4D4D}"/>
    <cellStyle name="Note 2 2 2 2 3" xfId="1423" xr:uid="{00000000-0005-0000-0000-00009C200000}"/>
    <cellStyle name="Note 2 2 2 2 3 2" xfId="3653" xr:uid="{00000000-0005-0000-0000-00009D200000}"/>
    <cellStyle name="Note 2 2 2 2 3 2 2" xfId="7876" xr:uid="{00000000-0005-0000-0000-00009E200000}"/>
    <cellStyle name="Note 2 2 2 2 3 2 2 2" xfId="16315" xr:uid="{D9847B40-406F-4B6C-A075-C6FE7DBA07AF}"/>
    <cellStyle name="Note 2 2 2 2 3 2 3" xfId="12097" xr:uid="{044A9DF9-6587-4269-A005-87360CF78AF2}"/>
    <cellStyle name="Note 2 2 2 2 3 3" xfId="5731" xr:uid="{00000000-0005-0000-0000-00009F200000}"/>
    <cellStyle name="Note 2 2 2 2 3 3 2" xfId="14170" xr:uid="{0AF07F03-2D23-4EEA-AF7B-839A6B639A35}"/>
    <cellStyle name="Note 2 2 2 2 3 4" xfId="9952" xr:uid="{477C0A2B-45F2-479E-BDE6-50E9BFD55EE3}"/>
    <cellStyle name="Note 2 2 2 2 4" xfId="1837" xr:uid="{00000000-0005-0000-0000-0000A0200000}"/>
    <cellStyle name="Note 2 2 2 2 4 2" xfId="4066" xr:uid="{00000000-0005-0000-0000-0000A1200000}"/>
    <cellStyle name="Note 2 2 2 2 4 2 2" xfId="8289" xr:uid="{00000000-0005-0000-0000-0000A2200000}"/>
    <cellStyle name="Note 2 2 2 2 4 2 2 2" xfId="16728" xr:uid="{4797238A-D16C-440C-B8EC-9BAE353967F8}"/>
    <cellStyle name="Note 2 2 2 2 4 2 3" xfId="12510" xr:uid="{3E574E9D-60CE-4E7E-90D6-9D1A35199A48}"/>
    <cellStyle name="Note 2 2 2 2 4 3" xfId="6144" xr:uid="{00000000-0005-0000-0000-0000A3200000}"/>
    <cellStyle name="Note 2 2 2 2 4 3 2" xfId="14583" xr:uid="{D24F8543-D360-452D-928B-91CB5E23DB78}"/>
    <cellStyle name="Note 2 2 2 2 4 4" xfId="10365" xr:uid="{F0A845D7-E75F-48B9-B54C-9870CF77842C}"/>
    <cellStyle name="Note 2 2 2 2 5" xfId="2250" xr:uid="{00000000-0005-0000-0000-0000A4200000}"/>
    <cellStyle name="Note 2 2 2 2 5 2" xfId="4479" xr:uid="{00000000-0005-0000-0000-0000A5200000}"/>
    <cellStyle name="Note 2 2 2 2 5 2 2" xfId="8702" xr:uid="{00000000-0005-0000-0000-0000A6200000}"/>
    <cellStyle name="Note 2 2 2 2 5 2 2 2" xfId="17141" xr:uid="{F7FF98B9-CC3F-4939-B4AB-7891D3C6F234}"/>
    <cellStyle name="Note 2 2 2 2 5 2 3" xfId="12923" xr:uid="{3F293DDE-B651-4049-8124-C50CA747AE33}"/>
    <cellStyle name="Note 2 2 2 2 5 3" xfId="6557" xr:uid="{00000000-0005-0000-0000-0000A7200000}"/>
    <cellStyle name="Note 2 2 2 2 5 3 2" xfId="14996" xr:uid="{AFB953D5-8001-476A-BDBE-C4FBC5DD0AAC}"/>
    <cellStyle name="Note 2 2 2 2 5 4" xfId="10778" xr:uid="{03409023-A315-46AA-BA21-C228532FB3CC}"/>
    <cellStyle name="Note 2 2 2 2 6" xfId="2686" xr:uid="{00000000-0005-0000-0000-0000A8200000}"/>
    <cellStyle name="Note 2 2 2 2 6 2" xfId="6970" xr:uid="{00000000-0005-0000-0000-0000A9200000}"/>
    <cellStyle name="Note 2 2 2 2 6 2 2" xfId="15409" xr:uid="{E19A5966-ABA0-4BBC-8F53-03C92E00300C}"/>
    <cellStyle name="Note 2 2 2 2 6 3" xfId="11191" xr:uid="{859CB59E-DC9C-4626-BA42-086C62981E12}"/>
    <cellStyle name="Note 2 2 2 2 7" xfId="2745" xr:uid="{00000000-0005-0000-0000-0000AA200000}"/>
    <cellStyle name="Note 2 2 2 2 8" xfId="2826" xr:uid="{00000000-0005-0000-0000-0000AB200000}"/>
    <cellStyle name="Note 2 2 2 2 8 2" xfId="7050" xr:uid="{00000000-0005-0000-0000-0000AC200000}"/>
    <cellStyle name="Note 2 2 2 2 8 2 2" xfId="15489" xr:uid="{7CCBCA69-DBA9-413B-BEC4-213333D497FA}"/>
    <cellStyle name="Note 2 2 2 2 8 3" xfId="11271" xr:uid="{D1EFC350-0394-458D-BA36-32FB87AFE0CC}"/>
    <cellStyle name="Note 2 2 2 2 9" xfId="4905" xr:uid="{00000000-0005-0000-0000-0000AD200000}"/>
    <cellStyle name="Note 2 2 2 2 9 2" xfId="13344" xr:uid="{6135D373-738B-4757-8344-427F7B9B0C83}"/>
    <cellStyle name="Note 2 2 2 3" xfId="1007" xr:uid="{00000000-0005-0000-0000-0000AE200000}"/>
    <cellStyle name="Note 2 2 2 3 2" xfId="3239" xr:uid="{00000000-0005-0000-0000-0000AF200000}"/>
    <cellStyle name="Note 2 2 2 3 2 2" xfId="7462" xr:uid="{00000000-0005-0000-0000-0000B0200000}"/>
    <cellStyle name="Note 2 2 2 3 2 2 2" xfId="15901" xr:uid="{EE76B932-3455-4AF2-A9EA-116E58A0369F}"/>
    <cellStyle name="Note 2 2 2 3 2 3" xfId="11683" xr:uid="{C508C863-6308-476C-8182-FA02E6BEAC06}"/>
    <cellStyle name="Note 2 2 2 3 3" xfId="5317" xr:uid="{00000000-0005-0000-0000-0000B1200000}"/>
    <cellStyle name="Note 2 2 2 3 3 2" xfId="13756" xr:uid="{E0411222-8738-4859-A414-8BA604A8BE3D}"/>
    <cellStyle name="Note 2 2 2 3 4" xfId="9538" xr:uid="{BE024E65-DDE4-4C59-890B-BC333A90A760}"/>
    <cellStyle name="Note 2 2 2 4" xfId="1422" xr:uid="{00000000-0005-0000-0000-0000B2200000}"/>
    <cellStyle name="Note 2 2 2 4 2" xfId="3652" xr:uid="{00000000-0005-0000-0000-0000B3200000}"/>
    <cellStyle name="Note 2 2 2 4 2 2" xfId="7875" xr:uid="{00000000-0005-0000-0000-0000B4200000}"/>
    <cellStyle name="Note 2 2 2 4 2 2 2" xfId="16314" xr:uid="{E356619A-DACA-41B1-80A8-4A2F7F9340A8}"/>
    <cellStyle name="Note 2 2 2 4 2 3" xfId="12096" xr:uid="{9A11CC2F-0867-4DBA-B869-F9FA8EA93F77}"/>
    <cellStyle name="Note 2 2 2 4 3" xfId="5730" xr:uid="{00000000-0005-0000-0000-0000B5200000}"/>
    <cellStyle name="Note 2 2 2 4 3 2" xfId="14169" xr:uid="{4F954A89-82CC-488F-9803-117BBE68B9D2}"/>
    <cellStyle name="Note 2 2 2 4 4" xfId="9951" xr:uid="{56FA4727-597D-429C-A20E-3A4AABB5AF7D}"/>
    <cellStyle name="Note 2 2 2 5" xfId="1836" xr:uid="{00000000-0005-0000-0000-0000B6200000}"/>
    <cellStyle name="Note 2 2 2 5 2" xfId="4065" xr:uid="{00000000-0005-0000-0000-0000B7200000}"/>
    <cellStyle name="Note 2 2 2 5 2 2" xfId="8288" xr:uid="{00000000-0005-0000-0000-0000B8200000}"/>
    <cellStyle name="Note 2 2 2 5 2 2 2" xfId="16727" xr:uid="{195345EA-F086-4D1B-ADBB-6B0A51AE87A7}"/>
    <cellStyle name="Note 2 2 2 5 2 3" xfId="12509" xr:uid="{23BBE6FB-0F3C-4450-88A9-231889DC091D}"/>
    <cellStyle name="Note 2 2 2 5 3" xfId="6143" xr:uid="{00000000-0005-0000-0000-0000B9200000}"/>
    <cellStyle name="Note 2 2 2 5 3 2" xfId="14582" xr:uid="{5747CEC6-2856-4297-9AF2-290F3AA1F250}"/>
    <cellStyle name="Note 2 2 2 5 4" xfId="10364" xr:uid="{5D67C7BB-D009-4408-BA91-5EB9A761780E}"/>
    <cellStyle name="Note 2 2 2 6" xfId="2249" xr:uid="{00000000-0005-0000-0000-0000BA200000}"/>
    <cellStyle name="Note 2 2 2 6 2" xfId="4478" xr:uid="{00000000-0005-0000-0000-0000BB200000}"/>
    <cellStyle name="Note 2 2 2 6 2 2" xfId="8701" xr:uid="{00000000-0005-0000-0000-0000BC200000}"/>
    <cellStyle name="Note 2 2 2 6 2 2 2" xfId="17140" xr:uid="{22565C65-07A6-4208-B6C8-EBFE01AEEE6B}"/>
    <cellStyle name="Note 2 2 2 6 2 3" xfId="12922" xr:uid="{7417740D-CFC1-4583-A9BC-485907C2B310}"/>
    <cellStyle name="Note 2 2 2 6 3" xfId="6556" xr:uid="{00000000-0005-0000-0000-0000BD200000}"/>
    <cellStyle name="Note 2 2 2 6 3 2" xfId="14995" xr:uid="{26AC65ED-53F1-47AF-8B1B-9A38F6995F1F}"/>
    <cellStyle name="Note 2 2 2 6 4" xfId="10777" xr:uid="{45310734-B2E9-449A-B76D-63FB43838057}"/>
    <cellStyle name="Note 2 2 2 7" xfId="2685" xr:uid="{00000000-0005-0000-0000-0000BE200000}"/>
    <cellStyle name="Note 2 2 2 7 2" xfId="6969" xr:uid="{00000000-0005-0000-0000-0000BF200000}"/>
    <cellStyle name="Note 2 2 2 7 2 2" xfId="15408" xr:uid="{F2625366-38B6-41B7-8EA9-3D21C8D5FC1F}"/>
    <cellStyle name="Note 2 2 2 7 3" xfId="11190" xr:uid="{574519EA-43C6-40E4-9D4D-61660A945ADE}"/>
    <cellStyle name="Note 2 2 2 8" xfId="2744" xr:uid="{00000000-0005-0000-0000-0000C0200000}"/>
    <cellStyle name="Note 2 2 2 9" xfId="2825" xr:uid="{00000000-0005-0000-0000-0000C1200000}"/>
    <cellStyle name="Note 2 2 2 9 2" xfId="7049" xr:uid="{00000000-0005-0000-0000-0000C2200000}"/>
    <cellStyle name="Note 2 2 2 9 2 2" xfId="15488" xr:uid="{F75F0EBD-C39C-4644-A6C3-4C1C9C141881}"/>
    <cellStyle name="Note 2 2 2 9 3" xfId="11270" xr:uid="{6A961C9F-DD4C-4018-850B-838156086D40}"/>
    <cellStyle name="Note 2 2 3" xfId="548" xr:uid="{00000000-0005-0000-0000-0000C3200000}"/>
    <cellStyle name="Note 2 2 3 10" xfId="9127" xr:uid="{D2960189-6BC2-4088-98EE-847D7E40FFE8}"/>
    <cellStyle name="Note 2 2 3 2" xfId="1009" xr:uid="{00000000-0005-0000-0000-0000C4200000}"/>
    <cellStyle name="Note 2 2 3 2 2" xfId="3241" xr:uid="{00000000-0005-0000-0000-0000C5200000}"/>
    <cellStyle name="Note 2 2 3 2 2 2" xfId="7464" xr:uid="{00000000-0005-0000-0000-0000C6200000}"/>
    <cellStyle name="Note 2 2 3 2 2 2 2" xfId="15903" xr:uid="{F3C8F513-F0BE-4C5D-8E78-A5F5127511E4}"/>
    <cellStyle name="Note 2 2 3 2 2 3" xfId="11685" xr:uid="{F956DF1D-A739-4DE4-8E6B-94AA45749F36}"/>
    <cellStyle name="Note 2 2 3 2 3" xfId="5319" xr:uid="{00000000-0005-0000-0000-0000C7200000}"/>
    <cellStyle name="Note 2 2 3 2 3 2" xfId="13758" xr:uid="{D0BE8C93-8AB6-478A-94D2-BE87D28AB57F}"/>
    <cellStyle name="Note 2 2 3 2 4" xfId="9540" xr:uid="{D867CE79-2BDD-467F-98CE-EB580BC1CC61}"/>
    <cellStyle name="Note 2 2 3 3" xfId="1424" xr:uid="{00000000-0005-0000-0000-0000C8200000}"/>
    <cellStyle name="Note 2 2 3 3 2" xfId="3654" xr:uid="{00000000-0005-0000-0000-0000C9200000}"/>
    <cellStyle name="Note 2 2 3 3 2 2" xfId="7877" xr:uid="{00000000-0005-0000-0000-0000CA200000}"/>
    <cellStyle name="Note 2 2 3 3 2 2 2" xfId="16316" xr:uid="{B465424E-60CA-47CC-BA4D-1E1085020D14}"/>
    <cellStyle name="Note 2 2 3 3 2 3" xfId="12098" xr:uid="{16439C20-B29D-44FC-AAB9-A5CBD3FE3218}"/>
    <cellStyle name="Note 2 2 3 3 3" xfId="5732" xr:uid="{00000000-0005-0000-0000-0000CB200000}"/>
    <cellStyle name="Note 2 2 3 3 3 2" xfId="14171" xr:uid="{C1D4DB4B-7C8F-4E51-BE85-A99D7A360247}"/>
    <cellStyle name="Note 2 2 3 3 4" xfId="9953" xr:uid="{3ED1CC0D-E816-4AF2-9FDE-FDFD049935F3}"/>
    <cellStyle name="Note 2 2 3 4" xfId="1838" xr:uid="{00000000-0005-0000-0000-0000CC200000}"/>
    <cellStyle name="Note 2 2 3 4 2" xfId="4067" xr:uid="{00000000-0005-0000-0000-0000CD200000}"/>
    <cellStyle name="Note 2 2 3 4 2 2" xfId="8290" xr:uid="{00000000-0005-0000-0000-0000CE200000}"/>
    <cellStyle name="Note 2 2 3 4 2 2 2" xfId="16729" xr:uid="{963A96E0-7720-4F4C-9A3D-42146256FAA9}"/>
    <cellStyle name="Note 2 2 3 4 2 3" xfId="12511" xr:uid="{43082490-DDF3-430F-A6D9-83ACD13F1451}"/>
    <cellStyle name="Note 2 2 3 4 3" xfId="6145" xr:uid="{00000000-0005-0000-0000-0000CF200000}"/>
    <cellStyle name="Note 2 2 3 4 3 2" xfId="14584" xr:uid="{7393F064-C03E-4FAC-817D-88B854352E49}"/>
    <cellStyle name="Note 2 2 3 4 4" xfId="10366" xr:uid="{5E0D51A9-6F79-4483-BCAE-169FFF63F18C}"/>
    <cellStyle name="Note 2 2 3 5" xfId="2251" xr:uid="{00000000-0005-0000-0000-0000D0200000}"/>
    <cellStyle name="Note 2 2 3 5 2" xfId="4480" xr:uid="{00000000-0005-0000-0000-0000D1200000}"/>
    <cellStyle name="Note 2 2 3 5 2 2" xfId="8703" xr:uid="{00000000-0005-0000-0000-0000D2200000}"/>
    <cellStyle name="Note 2 2 3 5 2 2 2" xfId="17142" xr:uid="{69923162-E1BC-498E-BF59-B7B1168582D2}"/>
    <cellStyle name="Note 2 2 3 5 2 3" xfId="12924" xr:uid="{A1168B67-7271-4AA7-8BD0-2BDB9D1FFFAA}"/>
    <cellStyle name="Note 2 2 3 5 3" xfId="6558" xr:uid="{00000000-0005-0000-0000-0000D3200000}"/>
    <cellStyle name="Note 2 2 3 5 3 2" xfId="14997" xr:uid="{7B1F470D-7552-4461-9DAD-631CCA34B2A4}"/>
    <cellStyle name="Note 2 2 3 5 4" xfId="10779" xr:uid="{939E10AB-7A18-4947-BCEA-62040D332517}"/>
    <cellStyle name="Note 2 2 3 6" xfId="2687" xr:uid="{00000000-0005-0000-0000-0000D4200000}"/>
    <cellStyle name="Note 2 2 3 6 2" xfId="6971" xr:uid="{00000000-0005-0000-0000-0000D5200000}"/>
    <cellStyle name="Note 2 2 3 6 2 2" xfId="15410" xr:uid="{8655278F-C290-4B99-941F-5CA6862630D7}"/>
    <cellStyle name="Note 2 2 3 6 3" xfId="11192" xr:uid="{7038DF76-EDBB-4B97-80C2-5B3137021985}"/>
    <cellStyle name="Note 2 2 3 7" xfId="2746" xr:uid="{00000000-0005-0000-0000-0000D6200000}"/>
    <cellStyle name="Note 2 2 3 8" xfId="2827" xr:uid="{00000000-0005-0000-0000-0000D7200000}"/>
    <cellStyle name="Note 2 2 3 8 2" xfId="7051" xr:uid="{00000000-0005-0000-0000-0000D8200000}"/>
    <cellStyle name="Note 2 2 3 8 2 2" xfId="15490" xr:uid="{8487194F-83FC-45F7-B032-BDDEF482E7BD}"/>
    <cellStyle name="Note 2 2 3 8 3" xfId="11272" xr:uid="{6E918762-0A72-44D8-8DF5-8718045BA1AA}"/>
    <cellStyle name="Note 2 2 3 9" xfId="4906" xr:uid="{00000000-0005-0000-0000-0000D9200000}"/>
    <cellStyle name="Note 2 2 3 9 2" xfId="13345" xr:uid="{A9D67DD7-F5EB-4591-B361-76C4539FF83E}"/>
    <cellStyle name="Note 2 2 4" xfId="1006" xr:uid="{00000000-0005-0000-0000-0000DA200000}"/>
    <cellStyle name="Note 2 2 4 2" xfId="3238" xr:uid="{00000000-0005-0000-0000-0000DB200000}"/>
    <cellStyle name="Note 2 2 4 2 2" xfId="7461" xr:uid="{00000000-0005-0000-0000-0000DC200000}"/>
    <cellStyle name="Note 2 2 4 2 2 2" xfId="15900" xr:uid="{9B34A55F-32FE-4E10-8A32-2A7414EDFC2F}"/>
    <cellStyle name="Note 2 2 4 2 3" xfId="11682" xr:uid="{C6D6FD04-6340-4DFF-A501-07AD15ECAB45}"/>
    <cellStyle name="Note 2 2 4 3" xfId="5316" xr:uid="{00000000-0005-0000-0000-0000DD200000}"/>
    <cellStyle name="Note 2 2 4 3 2" xfId="13755" xr:uid="{EA97113C-B014-4EC8-B0B7-48BD39B8A931}"/>
    <cellStyle name="Note 2 2 4 4" xfId="9537" xr:uid="{E292BFC5-3519-4934-8ABD-7F99EC892B9E}"/>
    <cellStyle name="Note 2 2 5" xfId="1421" xr:uid="{00000000-0005-0000-0000-0000DE200000}"/>
    <cellStyle name="Note 2 2 5 2" xfId="3651" xr:uid="{00000000-0005-0000-0000-0000DF200000}"/>
    <cellStyle name="Note 2 2 5 2 2" xfId="7874" xr:uid="{00000000-0005-0000-0000-0000E0200000}"/>
    <cellStyle name="Note 2 2 5 2 2 2" xfId="16313" xr:uid="{321628EE-DF1E-4375-852F-D6854A6EA865}"/>
    <cellStyle name="Note 2 2 5 2 3" xfId="12095" xr:uid="{A1C75E91-9CB5-437C-89EF-3432E5AADCB7}"/>
    <cellStyle name="Note 2 2 5 3" xfId="5729" xr:uid="{00000000-0005-0000-0000-0000E1200000}"/>
    <cellStyle name="Note 2 2 5 3 2" xfId="14168" xr:uid="{9E6CA9F6-DC99-492B-A13B-C7C3EA6C1DC1}"/>
    <cellStyle name="Note 2 2 5 4" xfId="9950" xr:uid="{92AEF458-8CC7-4F26-AB07-E7FF79F95338}"/>
    <cellStyle name="Note 2 2 6" xfId="1835" xr:uid="{00000000-0005-0000-0000-0000E2200000}"/>
    <cellStyle name="Note 2 2 6 2" xfId="4064" xr:uid="{00000000-0005-0000-0000-0000E3200000}"/>
    <cellStyle name="Note 2 2 6 2 2" xfId="8287" xr:uid="{00000000-0005-0000-0000-0000E4200000}"/>
    <cellStyle name="Note 2 2 6 2 2 2" xfId="16726" xr:uid="{C33D13C5-F1A6-4509-AFAA-E6C41B9C14F3}"/>
    <cellStyle name="Note 2 2 6 2 3" xfId="12508" xr:uid="{00C58A84-3785-49AF-85D8-EB6D7D167B45}"/>
    <cellStyle name="Note 2 2 6 3" xfId="6142" xr:uid="{00000000-0005-0000-0000-0000E5200000}"/>
    <cellStyle name="Note 2 2 6 3 2" xfId="14581" xr:uid="{2242F840-BE98-448A-872F-0FD73994CDB8}"/>
    <cellStyle name="Note 2 2 6 4" xfId="10363" xr:uid="{D4A99692-C927-4658-9136-3BDA30944DBC}"/>
    <cellStyle name="Note 2 2 7" xfId="2248" xr:uid="{00000000-0005-0000-0000-0000E6200000}"/>
    <cellStyle name="Note 2 2 7 2" xfId="4477" xr:uid="{00000000-0005-0000-0000-0000E7200000}"/>
    <cellStyle name="Note 2 2 7 2 2" xfId="8700" xr:uid="{00000000-0005-0000-0000-0000E8200000}"/>
    <cellStyle name="Note 2 2 7 2 2 2" xfId="17139" xr:uid="{5F5AE9FA-9EE7-4898-A80A-41508AF895F9}"/>
    <cellStyle name="Note 2 2 7 2 3" xfId="12921" xr:uid="{B7686C13-6A89-4907-B385-7FE77046922A}"/>
    <cellStyle name="Note 2 2 7 3" xfId="6555" xr:uid="{00000000-0005-0000-0000-0000E9200000}"/>
    <cellStyle name="Note 2 2 7 3 2" xfId="14994" xr:uid="{66E3AB30-374D-430B-B9AB-C6AE1B105361}"/>
    <cellStyle name="Note 2 2 7 4" xfId="10776" xr:uid="{A5A12B77-1575-4828-9384-CD95E19DCEBC}"/>
    <cellStyle name="Note 2 2 8" xfId="2684" xr:uid="{00000000-0005-0000-0000-0000EA200000}"/>
    <cellStyle name="Note 2 2 8 2" xfId="6968" xr:uid="{00000000-0005-0000-0000-0000EB200000}"/>
    <cellStyle name="Note 2 2 8 2 2" xfId="15407" xr:uid="{F9593599-728D-4CA8-B558-A9691BABF8FF}"/>
    <cellStyle name="Note 2 2 8 3" xfId="11189" xr:uid="{19FF2D56-D572-4E81-B298-A3E5BAADB316}"/>
    <cellStyle name="Note 2 2 9" xfId="2743" xr:uid="{00000000-0005-0000-0000-0000EC200000}"/>
    <cellStyle name="Note 2 3" xfId="549" xr:uid="{00000000-0005-0000-0000-0000ED200000}"/>
    <cellStyle name="Note 2 3 10" xfId="4907" xr:uid="{00000000-0005-0000-0000-0000EE200000}"/>
    <cellStyle name="Note 2 3 10 2" xfId="13346" xr:uid="{4D48DD4D-A239-43D0-9358-4FB6F4BA885C}"/>
    <cellStyle name="Note 2 3 11" xfId="9128" xr:uid="{1419D9B8-6C3A-4758-A075-3171665B0D0F}"/>
    <cellStyle name="Note 2 3 2" xfId="550" xr:uid="{00000000-0005-0000-0000-0000EF200000}"/>
    <cellStyle name="Note 2 3 2 10" xfId="9129" xr:uid="{EE590167-DCC6-4230-80DB-35B582EAFCF8}"/>
    <cellStyle name="Note 2 3 2 2" xfId="1011" xr:uid="{00000000-0005-0000-0000-0000F0200000}"/>
    <cellStyle name="Note 2 3 2 2 2" xfId="3243" xr:uid="{00000000-0005-0000-0000-0000F1200000}"/>
    <cellStyle name="Note 2 3 2 2 2 2" xfId="7466" xr:uid="{00000000-0005-0000-0000-0000F2200000}"/>
    <cellStyle name="Note 2 3 2 2 2 2 2" xfId="15905" xr:uid="{46D02E7C-5503-4F9B-A94C-C5F9BBB07C02}"/>
    <cellStyle name="Note 2 3 2 2 2 3" xfId="11687" xr:uid="{803877D6-873F-4850-B0EA-77F85257C8D4}"/>
    <cellStyle name="Note 2 3 2 2 3" xfId="5321" xr:uid="{00000000-0005-0000-0000-0000F3200000}"/>
    <cellStyle name="Note 2 3 2 2 3 2" xfId="13760" xr:uid="{0C309801-E366-4036-8C85-2F7DC11B836D}"/>
    <cellStyle name="Note 2 3 2 2 4" xfId="9542" xr:uid="{826C75E0-D954-4787-8716-0CDA9AB061F9}"/>
    <cellStyle name="Note 2 3 2 3" xfId="1426" xr:uid="{00000000-0005-0000-0000-0000F4200000}"/>
    <cellStyle name="Note 2 3 2 3 2" xfId="3656" xr:uid="{00000000-0005-0000-0000-0000F5200000}"/>
    <cellStyle name="Note 2 3 2 3 2 2" xfId="7879" xr:uid="{00000000-0005-0000-0000-0000F6200000}"/>
    <cellStyle name="Note 2 3 2 3 2 2 2" xfId="16318" xr:uid="{4EB2C1EF-FD46-4A1C-BA56-0692CE39B15F}"/>
    <cellStyle name="Note 2 3 2 3 2 3" xfId="12100" xr:uid="{4F139DA4-4EDC-419B-9C40-D299CF63D13F}"/>
    <cellStyle name="Note 2 3 2 3 3" xfId="5734" xr:uid="{00000000-0005-0000-0000-0000F7200000}"/>
    <cellStyle name="Note 2 3 2 3 3 2" xfId="14173" xr:uid="{4CE5C226-7D2D-4047-ADA0-391C692E0D9F}"/>
    <cellStyle name="Note 2 3 2 3 4" xfId="9955" xr:uid="{D0AF1297-3B7B-4900-A719-B5ED5BF0306F}"/>
    <cellStyle name="Note 2 3 2 4" xfId="1840" xr:uid="{00000000-0005-0000-0000-0000F8200000}"/>
    <cellStyle name="Note 2 3 2 4 2" xfId="4069" xr:uid="{00000000-0005-0000-0000-0000F9200000}"/>
    <cellStyle name="Note 2 3 2 4 2 2" xfId="8292" xr:uid="{00000000-0005-0000-0000-0000FA200000}"/>
    <cellStyle name="Note 2 3 2 4 2 2 2" xfId="16731" xr:uid="{AE4DC61E-23A1-457F-86C5-2B42794F30EF}"/>
    <cellStyle name="Note 2 3 2 4 2 3" xfId="12513" xr:uid="{9682601B-F4D0-4B80-A68B-3D214F2120F5}"/>
    <cellStyle name="Note 2 3 2 4 3" xfId="6147" xr:uid="{00000000-0005-0000-0000-0000FB200000}"/>
    <cellStyle name="Note 2 3 2 4 3 2" xfId="14586" xr:uid="{DC4822C1-EC30-477D-BAA3-E427AB5B5F86}"/>
    <cellStyle name="Note 2 3 2 4 4" xfId="10368" xr:uid="{FA882D74-C606-411C-B169-43E0D5F8FC26}"/>
    <cellStyle name="Note 2 3 2 5" xfId="2253" xr:uid="{00000000-0005-0000-0000-0000FC200000}"/>
    <cellStyle name="Note 2 3 2 5 2" xfId="4482" xr:uid="{00000000-0005-0000-0000-0000FD200000}"/>
    <cellStyle name="Note 2 3 2 5 2 2" xfId="8705" xr:uid="{00000000-0005-0000-0000-0000FE200000}"/>
    <cellStyle name="Note 2 3 2 5 2 2 2" xfId="17144" xr:uid="{93D1F715-93B9-4178-B349-45CACE2B27B3}"/>
    <cellStyle name="Note 2 3 2 5 2 3" xfId="12926" xr:uid="{F00A44FF-3162-40D7-9A09-086BDFBFE86E}"/>
    <cellStyle name="Note 2 3 2 5 3" xfId="6560" xr:uid="{00000000-0005-0000-0000-0000FF200000}"/>
    <cellStyle name="Note 2 3 2 5 3 2" xfId="14999" xr:uid="{CCCAE1DD-FAC1-4D4F-AD6F-7BC8D3E6B5D3}"/>
    <cellStyle name="Note 2 3 2 5 4" xfId="10781" xr:uid="{4CBA2039-7BF2-44C2-9D05-BFF0A4DE9688}"/>
    <cellStyle name="Note 2 3 2 6" xfId="2689" xr:uid="{00000000-0005-0000-0000-000000210000}"/>
    <cellStyle name="Note 2 3 2 6 2" xfId="6973" xr:uid="{00000000-0005-0000-0000-000001210000}"/>
    <cellStyle name="Note 2 3 2 6 2 2" xfId="15412" xr:uid="{F6F8ABDF-CE12-43EA-A6F9-AAA237BA9407}"/>
    <cellStyle name="Note 2 3 2 6 3" xfId="11194" xr:uid="{12DD7000-7240-40BA-BC4C-B154091AAD00}"/>
    <cellStyle name="Note 2 3 2 7" xfId="2748" xr:uid="{00000000-0005-0000-0000-000002210000}"/>
    <cellStyle name="Note 2 3 2 8" xfId="2829" xr:uid="{00000000-0005-0000-0000-000003210000}"/>
    <cellStyle name="Note 2 3 2 8 2" xfId="7053" xr:uid="{00000000-0005-0000-0000-000004210000}"/>
    <cellStyle name="Note 2 3 2 8 2 2" xfId="15492" xr:uid="{B7BD7BC4-B399-4195-8E30-620659801179}"/>
    <cellStyle name="Note 2 3 2 8 3" xfId="11274" xr:uid="{D436721E-D2A3-4056-838B-238AC816255F}"/>
    <cellStyle name="Note 2 3 2 9" xfId="4908" xr:uid="{00000000-0005-0000-0000-000005210000}"/>
    <cellStyle name="Note 2 3 2 9 2" xfId="13347" xr:uid="{F084D47F-1D15-4D48-B3EA-CEBD3042D4AA}"/>
    <cellStyle name="Note 2 3 3" xfId="1010" xr:uid="{00000000-0005-0000-0000-000006210000}"/>
    <cellStyle name="Note 2 3 3 2" xfId="3242" xr:uid="{00000000-0005-0000-0000-000007210000}"/>
    <cellStyle name="Note 2 3 3 2 2" xfId="7465" xr:uid="{00000000-0005-0000-0000-000008210000}"/>
    <cellStyle name="Note 2 3 3 2 2 2" xfId="15904" xr:uid="{4AB188E3-DE27-47E3-AAFC-871CEA436F31}"/>
    <cellStyle name="Note 2 3 3 2 3" xfId="11686" xr:uid="{A07189D2-0463-41E8-B9B6-7A9BD2F65B86}"/>
    <cellStyle name="Note 2 3 3 3" xfId="5320" xr:uid="{00000000-0005-0000-0000-000009210000}"/>
    <cellStyle name="Note 2 3 3 3 2" xfId="13759" xr:uid="{22BF7EDB-A9E9-4C5C-B735-34B165551B14}"/>
    <cellStyle name="Note 2 3 3 4" xfId="9541" xr:uid="{F3F6FB2D-F794-460B-9027-FB52CDCE0A00}"/>
    <cellStyle name="Note 2 3 4" xfId="1425" xr:uid="{00000000-0005-0000-0000-00000A210000}"/>
    <cellStyle name="Note 2 3 4 2" xfId="3655" xr:uid="{00000000-0005-0000-0000-00000B210000}"/>
    <cellStyle name="Note 2 3 4 2 2" xfId="7878" xr:uid="{00000000-0005-0000-0000-00000C210000}"/>
    <cellStyle name="Note 2 3 4 2 2 2" xfId="16317" xr:uid="{C13D3376-2E7E-4870-B5C5-B7174907E5B2}"/>
    <cellStyle name="Note 2 3 4 2 3" xfId="12099" xr:uid="{288895CD-A18A-4757-A0D3-AB362D7A8A04}"/>
    <cellStyle name="Note 2 3 4 3" xfId="5733" xr:uid="{00000000-0005-0000-0000-00000D210000}"/>
    <cellStyle name="Note 2 3 4 3 2" xfId="14172" xr:uid="{6323C6B7-9D08-41A7-A6D5-95084CA255FE}"/>
    <cellStyle name="Note 2 3 4 4" xfId="9954" xr:uid="{2AFC22DC-2FEA-4DAF-83A0-4AF784D8D16B}"/>
    <cellStyle name="Note 2 3 5" xfId="1839" xr:uid="{00000000-0005-0000-0000-00000E210000}"/>
    <cellStyle name="Note 2 3 5 2" xfId="4068" xr:uid="{00000000-0005-0000-0000-00000F210000}"/>
    <cellStyle name="Note 2 3 5 2 2" xfId="8291" xr:uid="{00000000-0005-0000-0000-000010210000}"/>
    <cellStyle name="Note 2 3 5 2 2 2" xfId="16730" xr:uid="{5B1B4B86-11EF-4DD5-8181-F33CB466AFC5}"/>
    <cellStyle name="Note 2 3 5 2 3" xfId="12512" xr:uid="{5E3CA83F-B37C-4EF2-A55A-05B14F52BB74}"/>
    <cellStyle name="Note 2 3 5 3" xfId="6146" xr:uid="{00000000-0005-0000-0000-000011210000}"/>
    <cellStyle name="Note 2 3 5 3 2" xfId="14585" xr:uid="{5123AD28-941B-4FDD-B4E8-D71F65B08EE3}"/>
    <cellStyle name="Note 2 3 5 4" xfId="10367" xr:uid="{745BEC5F-E37E-44D2-95D7-C48335F11B74}"/>
    <cellStyle name="Note 2 3 6" xfId="2252" xr:uid="{00000000-0005-0000-0000-000012210000}"/>
    <cellStyle name="Note 2 3 6 2" xfId="4481" xr:uid="{00000000-0005-0000-0000-000013210000}"/>
    <cellStyle name="Note 2 3 6 2 2" xfId="8704" xr:uid="{00000000-0005-0000-0000-000014210000}"/>
    <cellStyle name="Note 2 3 6 2 2 2" xfId="17143" xr:uid="{8D3D8F5E-C605-4189-ABD7-5ADB93F59D78}"/>
    <cellStyle name="Note 2 3 6 2 3" xfId="12925" xr:uid="{5D89839F-3DBB-4DC2-97CC-852EF01D2F8E}"/>
    <cellStyle name="Note 2 3 6 3" xfId="6559" xr:uid="{00000000-0005-0000-0000-000015210000}"/>
    <cellStyle name="Note 2 3 6 3 2" xfId="14998" xr:uid="{400C86E6-88DC-446F-97D3-4FF304B35D55}"/>
    <cellStyle name="Note 2 3 6 4" xfId="10780" xr:uid="{A25F212D-4B33-4AF9-B7EE-1FDAA3DA5359}"/>
    <cellStyle name="Note 2 3 7" xfId="2688" xr:uid="{00000000-0005-0000-0000-000016210000}"/>
    <cellStyle name="Note 2 3 7 2" xfId="6972" xr:uid="{00000000-0005-0000-0000-000017210000}"/>
    <cellStyle name="Note 2 3 7 2 2" xfId="15411" xr:uid="{7872E400-3291-4CA4-9904-4DBE36B43360}"/>
    <cellStyle name="Note 2 3 7 3" xfId="11193" xr:uid="{99BB7ED8-BE14-4D4A-AB44-90070266E537}"/>
    <cellStyle name="Note 2 3 8" xfId="2747" xr:uid="{00000000-0005-0000-0000-000018210000}"/>
    <cellStyle name="Note 2 3 9" xfId="2828" xr:uid="{00000000-0005-0000-0000-000019210000}"/>
    <cellStyle name="Note 2 3 9 2" xfId="7052" xr:uid="{00000000-0005-0000-0000-00001A210000}"/>
    <cellStyle name="Note 2 3 9 2 2" xfId="15491" xr:uid="{0F750FF9-306E-4858-9529-78D21F337BC3}"/>
    <cellStyle name="Note 2 3 9 3" xfId="11273" xr:uid="{96017CB2-9F94-40A8-A3FC-A0C0532B7445}"/>
    <cellStyle name="Note 2 4" xfId="551" xr:uid="{00000000-0005-0000-0000-00001B210000}"/>
    <cellStyle name="Note 2 4 10" xfId="9130" xr:uid="{1FEEC4DE-14F2-49F6-84C6-247F2B202594}"/>
    <cellStyle name="Note 2 4 2" xfId="1012" xr:uid="{00000000-0005-0000-0000-00001C210000}"/>
    <cellStyle name="Note 2 4 2 2" xfId="3244" xr:uid="{00000000-0005-0000-0000-00001D210000}"/>
    <cellStyle name="Note 2 4 2 2 2" xfId="7467" xr:uid="{00000000-0005-0000-0000-00001E210000}"/>
    <cellStyle name="Note 2 4 2 2 2 2" xfId="15906" xr:uid="{AA0A3869-3935-44C8-96A4-01C7EEB6DEEC}"/>
    <cellStyle name="Note 2 4 2 2 3" xfId="11688" xr:uid="{166381FD-2E22-45EC-9F81-5935A3B86E0A}"/>
    <cellStyle name="Note 2 4 2 3" xfId="5322" xr:uid="{00000000-0005-0000-0000-00001F210000}"/>
    <cellStyle name="Note 2 4 2 3 2" xfId="13761" xr:uid="{4504FA16-09CF-4D64-B675-8B7F19E7C3DE}"/>
    <cellStyle name="Note 2 4 2 4" xfId="9543" xr:uid="{E10A1B20-2EA9-4693-914C-09A929B4BB19}"/>
    <cellStyle name="Note 2 4 3" xfId="1427" xr:uid="{00000000-0005-0000-0000-000020210000}"/>
    <cellStyle name="Note 2 4 3 2" xfId="3657" xr:uid="{00000000-0005-0000-0000-000021210000}"/>
    <cellStyle name="Note 2 4 3 2 2" xfId="7880" xr:uid="{00000000-0005-0000-0000-000022210000}"/>
    <cellStyle name="Note 2 4 3 2 2 2" xfId="16319" xr:uid="{51C98619-7B39-4812-8973-ECF4F0DBEAA8}"/>
    <cellStyle name="Note 2 4 3 2 3" xfId="12101" xr:uid="{8B71C9C2-6B32-476C-BD13-65E58A277915}"/>
    <cellStyle name="Note 2 4 3 3" xfId="5735" xr:uid="{00000000-0005-0000-0000-000023210000}"/>
    <cellStyle name="Note 2 4 3 3 2" xfId="14174" xr:uid="{7F916A27-EB13-401F-84F1-0EE6108A444B}"/>
    <cellStyle name="Note 2 4 3 4" xfId="9956" xr:uid="{D95EC57E-0CD2-42C2-8658-B1B11969C9F9}"/>
    <cellStyle name="Note 2 4 4" xfId="1841" xr:uid="{00000000-0005-0000-0000-000024210000}"/>
    <cellStyle name="Note 2 4 4 2" xfId="4070" xr:uid="{00000000-0005-0000-0000-000025210000}"/>
    <cellStyle name="Note 2 4 4 2 2" xfId="8293" xr:uid="{00000000-0005-0000-0000-000026210000}"/>
    <cellStyle name="Note 2 4 4 2 2 2" xfId="16732" xr:uid="{6B446DED-5931-4DBA-A451-9C269872BF61}"/>
    <cellStyle name="Note 2 4 4 2 3" xfId="12514" xr:uid="{26488B14-C720-4349-B1DA-CF7AD656FC5C}"/>
    <cellStyle name="Note 2 4 4 3" xfId="6148" xr:uid="{00000000-0005-0000-0000-000027210000}"/>
    <cellStyle name="Note 2 4 4 3 2" xfId="14587" xr:uid="{A9FCF2F6-785D-456F-84C7-137DC3735826}"/>
    <cellStyle name="Note 2 4 4 4" xfId="10369" xr:uid="{66C16A5C-3540-4CF0-97D8-7EC1D730125B}"/>
    <cellStyle name="Note 2 4 5" xfId="2254" xr:uid="{00000000-0005-0000-0000-000028210000}"/>
    <cellStyle name="Note 2 4 5 2" xfId="4483" xr:uid="{00000000-0005-0000-0000-000029210000}"/>
    <cellStyle name="Note 2 4 5 2 2" xfId="8706" xr:uid="{00000000-0005-0000-0000-00002A210000}"/>
    <cellStyle name="Note 2 4 5 2 2 2" xfId="17145" xr:uid="{6A6E10D9-0AC1-434E-A5EA-86EF8725112C}"/>
    <cellStyle name="Note 2 4 5 2 3" xfId="12927" xr:uid="{D22A47FE-2A04-489A-BA1D-0EF390DD76E9}"/>
    <cellStyle name="Note 2 4 5 3" xfId="6561" xr:uid="{00000000-0005-0000-0000-00002B210000}"/>
    <cellStyle name="Note 2 4 5 3 2" xfId="15000" xr:uid="{665C6E50-2E3F-4937-8D04-77098AA7ACDF}"/>
    <cellStyle name="Note 2 4 5 4" xfId="10782" xr:uid="{818A24D6-E0A9-4968-B962-9585EE641EE2}"/>
    <cellStyle name="Note 2 4 6" xfId="2690" xr:uid="{00000000-0005-0000-0000-00002C210000}"/>
    <cellStyle name="Note 2 4 6 2" xfId="6974" xr:uid="{00000000-0005-0000-0000-00002D210000}"/>
    <cellStyle name="Note 2 4 6 2 2" xfId="15413" xr:uid="{39D78AEF-DF13-4286-8AA7-79813D4B1542}"/>
    <cellStyle name="Note 2 4 6 3" xfId="11195" xr:uid="{82A94236-49AE-493C-8636-0A35C6A39C39}"/>
    <cellStyle name="Note 2 4 7" xfId="2749" xr:uid="{00000000-0005-0000-0000-00002E210000}"/>
    <cellStyle name="Note 2 4 8" xfId="2830" xr:uid="{00000000-0005-0000-0000-00002F210000}"/>
    <cellStyle name="Note 2 4 8 2" xfId="7054" xr:uid="{00000000-0005-0000-0000-000030210000}"/>
    <cellStyle name="Note 2 4 8 2 2" xfId="15493" xr:uid="{392D5B7E-5D16-4427-8030-E80C1FC24153}"/>
    <cellStyle name="Note 2 4 8 3" xfId="11275" xr:uid="{C3C406AB-00C2-4A49-B2A2-0F343F00D919}"/>
    <cellStyle name="Note 2 4 9" xfId="4909" xr:uid="{00000000-0005-0000-0000-000031210000}"/>
    <cellStyle name="Note 2 4 9 2" xfId="13348" xr:uid="{E8CF842D-39E8-4CC6-A557-94F8EF9CF726}"/>
    <cellStyle name="Note 2 5" xfId="552" xr:uid="{00000000-0005-0000-0000-000032210000}"/>
    <cellStyle name="Note 2 5 10" xfId="9131" xr:uid="{C3F54B3A-148A-450C-AB62-A96199F40E41}"/>
    <cellStyle name="Note 2 5 2" xfId="1013" xr:uid="{00000000-0005-0000-0000-000033210000}"/>
    <cellStyle name="Note 2 5 2 2" xfId="3245" xr:uid="{00000000-0005-0000-0000-000034210000}"/>
    <cellStyle name="Note 2 5 2 2 2" xfId="7468" xr:uid="{00000000-0005-0000-0000-000035210000}"/>
    <cellStyle name="Note 2 5 2 2 2 2" xfId="15907" xr:uid="{DB5751EB-1795-4058-ADDC-1E3BF92D57B0}"/>
    <cellStyle name="Note 2 5 2 2 3" xfId="11689" xr:uid="{1399C765-3630-4A37-AF62-9AEC10E84AA9}"/>
    <cellStyle name="Note 2 5 2 3" xfId="5323" xr:uid="{00000000-0005-0000-0000-000036210000}"/>
    <cellStyle name="Note 2 5 2 3 2" xfId="13762" xr:uid="{8E057FE8-FE4E-47A9-9869-0FFC66C87D84}"/>
    <cellStyle name="Note 2 5 2 4" xfId="9544" xr:uid="{79D79C88-AF13-4FA8-816F-05CFBEBCA592}"/>
    <cellStyle name="Note 2 5 3" xfId="1428" xr:uid="{00000000-0005-0000-0000-000037210000}"/>
    <cellStyle name="Note 2 5 3 2" xfId="3658" xr:uid="{00000000-0005-0000-0000-000038210000}"/>
    <cellStyle name="Note 2 5 3 2 2" xfId="7881" xr:uid="{00000000-0005-0000-0000-000039210000}"/>
    <cellStyle name="Note 2 5 3 2 2 2" xfId="16320" xr:uid="{25B0149E-5C11-4924-8AE5-D2AEE512BBED}"/>
    <cellStyle name="Note 2 5 3 2 3" xfId="12102" xr:uid="{B08174D2-9FD3-4FEC-B26F-99A5489F0CD5}"/>
    <cellStyle name="Note 2 5 3 3" xfId="5736" xr:uid="{00000000-0005-0000-0000-00003A210000}"/>
    <cellStyle name="Note 2 5 3 3 2" xfId="14175" xr:uid="{5C6E0335-2459-489C-8D6E-6E57631BAADD}"/>
    <cellStyle name="Note 2 5 3 4" xfId="9957" xr:uid="{26AD2F03-E8F1-4704-85E2-D3552939D858}"/>
    <cellStyle name="Note 2 5 4" xfId="1842" xr:uid="{00000000-0005-0000-0000-00003B210000}"/>
    <cellStyle name="Note 2 5 4 2" xfId="4071" xr:uid="{00000000-0005-0000-0000-00003C210000}"/>
    <cellStyle name="Note 2 5 4 2 2" xfId="8294" xr:uid="{00000000-0005-0000-0000-00003D210000}"/>
    <cellStyle name="Note 2 5 4 2 2 2" xfId="16733" xr:uid="{63C28C8D-72A5-4345-A01F-FF07AD412D0E}"/>
    <cellStyle name="Note 2 5 4 2 3" xfId="12515" xr:uid="{E0843B54-8E4B-4EC5-8DAA-6A58182C61BC}"/>
    <cellStyle name="Note 2 5 4 3" xfId="6149" xr:uid="{00000000-0005-0000-0000-00003E210000}"/>
    <cellStyle name="Note 2 5 4 3 2" xfId="14588" xr:uid="{2289B338-FA6F-437D-86CA-22C3A857646C}"/>
    <cellStyle name="Note 2 5 4 4" xfId="10370" xr:uid="{1E18081E-F7F4-4168-8969-32C583DAFB80}"/>
    <cellStyle name="Note 2 5 5" xfId="2255" xr:uid="{00000000-0005-0000-0000-00003F210000}"/>
    <cellStyle name="Note 2 5 5 2" xfId="4484" xr:uid="{00000000-0005-0000-0000-000040210000}"/>
    <cellStyle name="Note 2 5 5 2 2" xfId="8707" xr:uid="{00000000-0005-0000-0000-000041210000}"/>
    <cellStyle name="Note 2 5 5 2 2 2" xfId="17146" xr:uid="{9AF8D424-29F7-4F02-AACE-2A3CD6DB13D4}"/>
    <cellStyle name="Note 2 5 5 2 3" xfId="12928" xr:uid="{5B05E57C-41AB-4C85-A425-4FF2FDA305D1}"/>
    <cellStyle name="Note 2 5 5 3" xfId="6562" xr:uid="{00000000-0005-0000-0000-000042210000}"/>
    <cellStyle name="Note 2 5 5 3 2" xfId="15001" xr:uid="{180394F9-3C28-4D5D-8736-621AFECA2DB1}"/>
    <cellStyle name="Note 2 5 5 4" xfId="10783" xr:uid="{28327B8D-F072-4B61-8E39-8736C7F78D49}"/>
    <cellStyle name="Note 2 5 6" xfId="2691" xr:uid="{00000000-0005-0000-0000-000043210000}"/>
    <cellStyle name="Note 2 5 6 2" xfId="6975" xr:uid="{00000000-0005-0000-0000-000044210000}"/>
    <cellStyle name="Note 2 5 6 2 2" xfId="15414" xr:uid="{0F7F7D1B-9F37-4297-85D2-EFD64C251143}"/>
    <cellStyle name="Note 2 5 6 3" xfId="11196" xr:uid="{3220A67A-BA01-4C40-8B9A-C6E19BCC670E}"/>
    <cellStyle name="Note 2 5 7" xfId="2750" xr:uid="{00000000-0005-0000-0000-000045210000}"/>
    <cellStyle name="Note 2 5 8" xfId="2831" xr:uid="{00000000-0005-0000-0000-000046210000}"/>
    <cellStyle name="Note 2 5 8 2" xfId="7055" xr:uid="{00000000-0005-0000-0000-000047210000}"/>
    <cellStyle name="Note 2 5 8 2 2" xfId="15494" xr:uid="{0C4C939A-E552-4534-A5CB-78C35FC87966}"/>
    <cellStyle name="Note 2 5 8 3" xfId="11276" xr:uid="{EF357867-2E88-4A86-B168-4C2050B95B60}"/>
    <cellStyle name="Note 2 5 9" xfId="4910" xr:uid="{00000000-0005-0000-0000-000048210000}"/>
    <cellStyle name="Note 2 5 9 2" xfId="13349" xr:uid="{DE2FA63D-02A2-4A51-BA82-111BA745FC2F}"/>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0 2 2" xfId="15495" xr:uid="{BAE32982-C063-492D-BC07-122CA7DA1ABE}"/>
    <cellStyle name="Note 3 2 10 3" xfId="11277" xr:uid="{C43C1F82-4C53-4B5E-962E-C0D3F76800B6}"/>
    <cellStyle name="Note 3 2 11" xfId="4911" xr:uid="{00000000-0005-0000-0000-00004D210000}"/>
    <cellStyle name="Note 3 2 11 2" xfId="13350" xr:uid="{5240E683-EDF6-4096-A388-D5CF6D371972}"/>
    <cellStyle name="Note 3 2 12" xfId="9132" xr:uid="{5C912633-DD13-4A11-9CE8-E9DA1C478240}"/>
    <cellStyle name="Note 3 2 2" xfId="555" xr:uid="{00000000-0005-0000-0000-00004E210000}"/>
    <cellStyle name="Note 3 2 2 10" xfId="4912" xr:uid="{00000000-0005-0000-0000-00004F210000}"/>
    <cellStyle name="Note 3 2 2 10 2" xfId="13351" xr:uid="{8831EDB1-8EB8-4867-81FE-0B6F3B6581C9}"/>
    <cellStyle name="Note 3 2 2 11" xfId="9133" xr:uid="{48C4A414-E879-4117-B1B0-3220B2941FC4}"/>
    <cellStyle name="Note 3 2 2 2" xfId="556" xr:uid="{00000000-0005-0000-0000-000050210000}"/>
    <cellStyle name="Note 3 2 2 2 10" xfId="9134" xr:uid="{FA528175-E6D8-4970-A41C-AF74190769B0}"/>
    <cellStyle name="Note 3 2 2 2 2" xfId="1016" xr:uid="{00000000-0005-0000-0000-000051210000}"/>
    <cellStyle name="Note 3 2 2 2 2 2" xfId="3248" xr:uid="{00000000-0005-0000-0000-000052210000}"/>
    <cellStyle name="Note 3 2 2 2 2 2 2" xfId="7471" xr:uid="{00000000-0005-0000-0000-000053210000}"/>
    <cellStyle name="Note 3 2 2 2 2 2 2 2" xfId="15910" xr:uid="{152169B3-3350-421F-870A-079BA2717CA2}"/>
    <cellStyle name="Note 3 2 2 2 2 2 3" xfId="11692" xr:uid="{BB5C99CF-A5E6-4665-BED5-740B646518EF}"/>
    <cellStyle name="Note 3 2 2 2 2 3" xfId="5326" xr:uid="{00000000-0005-0000-0000-000054210000}"/>
    <cellStyle name="Note 3 2 2 2 2 3 2" xfId="13765" xr:uid="{3942DAA5-72D7-4F0E-BFE2-6FCF637B0C15}"/>
    <cellStyle name="Note 3 2 2 2 2 4" xfId="9547" xr:uid="{A99DAAF6-F569-41D7-92F1-87C83FBA83B1}"/>
    <cellStyle name="Note 3 2 2 2 3" xfId="1431" xr:uid="{00000000-0005-0000-0000-000055210000}"/>
    <cellStyle name="Note 3 2 2 2 3 2" xfId="3661" xr:uid="{00000000-0005-0000-0000-000056210000}"/>
    <cellStyle name="Note 3 2 2 2 3 2 2" xfId="7884" xr:uid="{00000000-0005-0000-0000-000057210000}"/>
    <cellStyle name="Note 3 2 2 2 3 2 2 2" xfId="16323" xr:uid="{D08DAC51-2A86-4D4D-B9C4-140C0ECC34E8}"/>
    <cellStyle name="Note 3 2 2 2 3 2 3" xfId="12105" xr:uid="{4C48E019-E107-448C-8AD9-792C40C26A7D}"/>
    <cellStyle name="Note 3 2 2 2 3 3" xfId="5739" xr:uid="{00000000-0005-0000-0000-000058210000}"/>
    <cellStyle name="Note 3 2 2 2 3 3 2" xfId="14178" xr:uid="{3ED003DD-E4F8-4330-B069-0A665F6EFDBB}"/>
    <cellStyle name="Note 3 2 2 2 3 4" xfId="9960" xr:uid="{6DE70AD6-6A9A-48A0-B795-D624031D0246}"/>
    <cellStyle name="Note 3 2 2 2 4" xfId="1845" xr:uid="{00000000-0005-0000-0000-000059210000}"/>
    <cellStyle name="Note 3 2 2 2 4 2" xfId="4074" xr:uid="{00000000-0005-0000-0000-00005A210000}"/>
    <cellStyle name="Note 3 2 2 2 4 2 2" xfId="8297" xr:uid="{00000000-0005-0000-0000-00005B210000}"/>
    <cellStyle name="Note 3 2 2 2 4 2 2 2" xfId="16736" xr:uid="{F90EECC8-F985-4C8D-9755-40A438475BA4}"/>
    <cellStyle name="Note 3 2 2 2 4 2 3" xfId="12518" xr:uid="{B4DFF2CA-B660-4ACE-A184-243AF5E96BB5}"/>
    <cellStyle name="Note 3 2 2 2 4 3" xfId="6152" xr:uid="{00000000-0005-0000-0000-00005C210000}"/>
    <cellStyle name="Note 3 2 2 2 4 3 2" xfId="14591" xr:uid="{A720A240-6A2F-4207-8827-05527F6D2A71}"/>
    <cellStyle name="Note 3 2 2 2 4 4" xfId="10373" xr:uid="{FF8FC561-F467-4608-947E-CC34C0CA6691}"/>
    <cellStyle name="Note 3 2 2 2 5" xfId="2258" xr:uid="{00000000-0005-0000-0000-00005D210000}"/>
    <cellStyle name="Note 3 2 2 2 5 2" xfId="4487" xr:uid="{00000000-0005-0000-0000-00005E210000}"/>
    <cellStyle name="Note 3 2 2 2 5 2 2" xfId="8710" xr:uid="{00000000-0005-0000-0000-00005F210000}"/>
    <cellStyle name="Note 3 2 2 2 5 2 2 2" xfId="17149" xr:uid="{48581EC8-6541-4B9C-9745-EA941300731D}"/>
    <cellStyle name="Note 3 2 2 2 5 2 3" xfId="12931" xr:uid="{EA1E3F7F-15C0-46F0-9D96-F14419E49326}"/>
    <cellStyle name="Note 3 2 2 2 5 3" xfId="6565" xr:uid="{00000000-0005-0000-0000-000060210000}"/>
    <cellStyle name="Note 3 2 2 2 5 3 2" xfId="15004" xr:uid="{53D08A52-9619-47FE-AF06-98F099E510AA}"/>
    <cellStyle name="Note 3 2 2 2 5 4" xfId="10786" xr:uid="{77007486-D5BB-4BDE-B794-AACB45F91BF8}"/>
    <cellStyle name="Note 3 2 2 2 6" xfId="2694" xr:uid="{00000000-0005-0000-0000-000061210000}"/>
    <cellStyle name="Note 3 2 2 2 6 2" xfId="6978" xr:uid="{00000000-0005-0000-0000-000062210000}"/>
    <cellStyle name="Note 3 2 2 2 6 2 2" xfId="15417" xr:uid="{52A5BB2A-108C-4740-8A47-1F19A4333B24}"/>
    <cellStyle name="Note 3 2 2 2 6 3" xfId="11199" xr:uid="{4465999E-DC45-4D05-9EB8-B240F1C58736}"/>
    <cellStyle name="Note 3 2 2 2 7" xfId="2753" xr:uid="{00000000-0005-0000-0000-000063210000}"/>
    <cellStyle name="Note 3 2 2 2 8" xfId="2834" xr:uid="{00000000-0005-0000-0000-000064210000}"/>
    <cellStyle name="Note 3 2 2 2 8 2" xfId="7058" xr:uid="{00000000-0005-0000-0000-000065210000}"/>
    <cellStyle name="Note 3 2 2 2 8 2 2" xfId="15497" xr:uid="{2C74D328-DBAB-43DA-A311-7FB8194C7F66}"/>
    <cellStyle name="Note 3 2 2 2 8 3" xfId="11279" xr:uid="{CA038E83-6AD4-4B64-822A-90643E0185C3}"/>
    <cellStyle name="Note 3 2 2 2 9" xfId="4913" xr:uid="{00000000-0005-0000-0000-000066210000}"/>
    <cellStyle name="Note 3 2 2 2 9 2" xfId="13352" xr:uid="{F58E5890-E067-46D8-85DD-5DE9E41E90FE}"/>
    <cellStyle name="Note 3 2 2 3" xfId="1015" xr:uid="{00000000-0005-0000-0000-000067210000}"/>
    <cellStyle name="Note 3 2 2 3 2" xfId="3247" xr:uid="{00000000-0005-0000-0000-000068210000}"/>
    <cellStyle name="Note 3 2 2 3 2 2" xfId="7470" xr:uid="{00000000-0005-0000-0000-000069210000}"/>
    <cellStyle name="Note 3 2 2 3 2 2 2" xfId="15909" xr:uid="{F1410435-D55C-45DA-AA02-AEFC8CC8FFD4}"/>
    <cellStyle name="Note 3 2 2 3 2 3" xfId="11691" xr:uid="{7EC9D408-5C1D-4711-BE20-D0D812F9F0C7}"/>
    <cellStyle name="Note 3 2 2 3 3" xfId="5325" xr:uid="{00000000-0005-0000-0000-00006A210000}"/>
    <cellStyle name="Note 3 2 2 3 3 2" xfId="13764" xr:uid="{7326993A-E5AD-409A-9827-EA119B1225B5}"/>
    <cellStyle name="Note 3 2 2 3 4" xfId="9546" xr:uid="{4E3BEA92-05D5-4F6D-8B89-8368A18F6348}"/>
    <cellStyle name="Note 3 2 2 4" xfId="1430" xr:uid="{00000000-0005-0000-0000-00006B210000}"/>
    <cellStyle name="Note 3 2 2 4 2" xfId="3660" xr:uid="{00000000-0005-0000-0000-00006C210000}"/>
    <cellStyle name="Note 3 2 2 4 2 2" xfId="7883" xr:uid="{00000000-0005-0000-0000-00006D210000}"/>
    <cellStyle name="Note 3 2 2 4 2 2 2" xfId="16322" xr:uid="{D9760EA7-6443-4400-AD5C-424BF07C9702}"/>
    <cellStyle name="Note 3 2 2 4 2 3" xfId="12104" xr:uid="{DD7A0F8F-5D0A-404B-907B-4C054F6D3F27}"/>
    <cellStyle name="Note 3 2 2 4 3" xfId="5738" xr:uid="{00000000-0005-0000-0000-00006E210000}"/>
    <cellStyle name="Note 3 2 2 4 3 2" xfId="14177" xr:uid="{AAD868A3-F126-4A0D-9960-4D5EE4204DE2}"/>
    <cellStyle name="Note 3 2 2 4 4" xfId="9959" xr:uid="{7B6348B1-A215-4ECE-B73B-B2395DC02F31}"/>
    <cellStyle name="Note 3 2 2 5" xfId="1844" xr:uid="{00000000-0005-0000-0000-00006F210000}"/>
    <cellStyle name="Note 3 2 2 5 2" xfId="4073" xr:uid="{00000000-0005-0000-0000-000070210000}"/>
    <cellStyle name="Note 3 2 2 5 2 2" xfId="8296" xr:uid="{00000000-0005-0000-0000-000071210000}"/>
    <cellStyle name="Note 3 2 2 5 2 2 2" xfId="16735" xr:uid="{3311E3CE-492B-46B2-9C5F-4CF6A679C612}"/>
    <cellStyle name="Note 3 2 2 5 2 3" xfId="12517" xr:uid="{BCBE9449-63EB-4645-B712-3E5C41A1BD0E}"/>
    <cellStyle name="Note 3 2 2 5 3" xfId="6151" xr:uid="{00000000-0005-0000-0000-000072210000}"/>
    <cellStyle name="Note 3 2 2 5 3 2" xfId="14590" xr:uid="{A723CB1C-AF9E-4184-AE1F-E76C01AD3EE3}"/>
    <cellStyle name="Note 3 2 2 5 4" xfId="10372" xr:uid="{3DC8DDC5-8FF0-4865-95A5-26CB0DFD8D14}"/>
    <cellStyle name="Note 3 2 2 6" xfId="2257" xr:uid="{00000000-0005-0000-0000-000073210000}"/>
    <cellStyle name="Note 3 2 2 6 2" xfId="4486" xr:uid="{00000000-0005-0000-0000-000074210000}"/>
    <cellStyle name="Note 3 2 2 6 2 2" xfId="8709" xr:uid="{00000000-0005-0000-0000-000075210000}"/>
    <cellStyle name="Note 3 2 2 6 2 2 2" xfId="17148" xr:uid="{CAD492D9-31BC-4613-89C1-544F987DDFA4}"/>
    <cellStyle name="Note 3 2 2 6 2 3" xfId="12930" xr:uid="{196D541E-0261-4FCC-B54E-3764B630B544}"/>
    <cellStyle name="Note 3 2 2 6 3" xfId="6564" xr:uid="{00000000-0005-0000-0000-000076210000}"/>
    <cellStyle name="Note 3 2 2 6 3 2" xfId="15003" xr:uid="{8B9BA290-CA42-4B4A-A517-EA806746B41A}"/>
    <cellStyle name="Note 3 2 2 6 4" xfId="10785" xr:uid="{926C085A-2C8D-420B-BD39-FD4979ADE7C2}"/>
    <cellStyle name="Note 3 2 2 7" xfId="2693" xr:uid="{00000000-0005-0000-0000-000077210000}"/>
    <cellStyle name="Note 3 2 2 7 2" xfId="6977" xr:uid="{00000000-0005-0000-0000-000078210000}"/>
    <cellStyle name="Note 3 2 2 7 2 2" xfId="15416" xr:uid="{24B2D68B-08E4-4A9E-8BAB-B21BCADBF760}"/>
    <cellStyle name="Note 3 2 2 7 3" xfId="11198" xr:uid="{5BFFC8CF-8BDF-4B50-B77A-CCC187231D54}"/>
    <cellStyle name="Note 3 2 2 8" xfId="2752" xr:uid="{00000000-0005-0000-0000-000079210000}"/>
    <cellStyle name="Note 3 2 2 9" xfId="2833" xr:uid="{00000000-0005-0000-0000-00007A210000}"/>
    <cellStyle name="Note 3 2 2 9 2" xfId="7057" xr:uid="{00000000-0005-0000-0000-00007B210000}"/>
    <cellStyle name="Note 3 2 2 9 2 2" xfId="15496" xr:uid="{8C1124C5-942F-4379-9DFE-CCDCCD6B5D19}"/>
    <cellStyle name="Note 3 2 2 9 3" xfId="11278" xr:uid="{A6FEDB55-C537-4FC2-9C54-5197E017178A}"/>
    <cellStyle name="Note 3 2 3" xfId="557" xr:uid="{00000000-0005-0000-0000-00007C210000}"/>
    <cellStyle name="Note 3 2 3 10" xfId="9135" xr:uid="{930E1784-C462-43BD-A689-9EA256A59A6E}"/>
    <cellStyle name="Note 3 2 3 2" xfId="1017" xr:uid="{00000000-0005-0000-0000-00007D210000}"/>
    <cellStyle name="Note 3 2 3 2 2" xfId="3249" xr:uid="{00000000-0005-0000-0000-00007E210000}"/>
    <cellStyle name="Note 3 2 3 2 2 2" xfId="7472" xr:uid="{00000000-0005-0000-0000-00007F210000}"/>
    <cellStyle name="Note 3 2 3 2 2 2 2" xfId="15911" xr:uid="{016A07DF-B3E4-4092-9556-E65F2433C0FA}"/>
    <cellStyle name="Note 3 2 3 2 2 3" xfId="11693" xr:uid="{2477A0A9-0AC4-4338-954F-3FE2DCCCE9D3}"/>
    <cellStyle name="Note 3 2 3 2 3" xfId="5327" xr:uid="{00000000-0005-0000-0000-000080210000}"/>
    <cellStyle name="Note 3 2 3 2 3 2" xfId="13766" xr:uid="{BC620C9A-703C-47A6-AE2E-FAA37889A237}"/>
    <cellStyle name="Note 3 2 3 2 4" xfId="9548" xr:uid="{32184D4A-7FAE-4DB9-9191-9674390D782D}"/>
    <cellStyle name="Note 3 2 3 3" xfId="1432" xr:uid="{00000000-0005-0000-0000-000081210000}"/>
    <cellStyle name="Note 3 2 3 3 2" xfId="3662" xr:uid="{00000000-0005-0000-0000-000082210000}"/>
    <cellStyle name="Note 3 2 3 3 2 2" xfId="7885" xr:uid="{00000000-0005-0000-0000-000083210000}"/>
    <cellStyle name="Note 3 2 3 3 2 2 2" xfId="16324" xr:uid="{75D31F09-49E1-44E4-B2FE-4BCFD37B1B1A}"/>
    <cellStyle name="Note 3 2 3 3 2 3" xfId="12106" xr:uid="{AB129E2F-8DE3-439A-A731-4FA64326939A}"/>
    <cellStyle name="Note 3 2 3 3 3" xfId="5740" xr:uid="{00000000-0005-0000-0000-000084210000}"/>
    <cellStyle name="Note 3 2 3 3 3 2" xfId="14179" xr:uid="{CA43FC65-9827-4580-8A9F-480675857A0A}"/>
    <cellStyle name="Note 3 2 3 3 4" xfId="9961" xr:uid="{E5A41CE6-48FF-41DA-A945-49C589F9B3AA}"/>
    <cellStyle name="Note 3 2 3 4" xfId="1846" xr:uid="{00000000-0005-0000-0000-000085210000}"/>
    <cellStyle name="Note 3 2 3 4 2" xfId="4075" xr:uid="{00000000-0005-0000-0000-000086210000}"/>
    <cellStyle name="Note 3 2 3 4 2 2" xfId="8298" xr:uid="{00000000-0005-0000-0000-000087210000}"/>
    <cellStyle name="Note 3 2 3 4 2 2 2" xfId="16737" xr:uid="{958F6425-DE42-48F8-8BAC-FAD2E1579269}"/>
    <cellStyle name="Note 3 2 3 4 2 3" xfId="12519" xr:uid="{41CC003C-BE37-4181-85EB-F1AB38E1BDE2}"/>
    <cellStyle name="Note 3 2 3 4 3" xfId="6153" xr:uid="{00000000-0005-0000-0000-000088210000}"/>
    <cellStyle name="Note 3 2 3 4 3 2" xfId="14592" xr:uid="{B08CB922-766F-46E8-87A3-445A1659184C}"/>
    <cellStyle name="Note 3 2 3 4 4" xfId="10374" xr:uid="{8E2575EC-6AE5-4359-9686-D3D6B7907993}"/>
    <cellStyle name="Note 3 2 3 5" xfId="2259" xr:uid="{00000000-0005-0000-0000-000089210000}"/>
    <cellStyle name="Note 3 2 3 5 2" xfId="4488" xr:uid="{00000000-0005-0000-0000-00008A210000}"/>
    <cellStyle name="Note 3 2 3 5 2 2" xfId="8711" xr:uid="{00000000-0005-0000-0000-00008B210000}"/>
    <cellStyle name="Note 3 2 3 5 2 2 2" xfId="17150" xr:uid="{A2172AB5-94FF-453C-96C3-3E21836BFDDF}"/>
    <cellStyle name="Note 3 2 3 5 2 3" xfId="12932" xr:uid="{46CEC545-2D71-48DA-9059-5223F616FD2F}"/>
    <cellStyle name="Note 3 2 3 5 3" xfId="6566" xr:uid="{00000000-0005-0000-0000-00008C210000}"/>
    <cellStyle name="Note 3 2 3 5 3 2" xfId="15005" xr:uid="{0979D4BF-9E54-4061-B1BF-2C235EEFE611}"/>
    <cellStyle name="Note 3 2 3 5 4" xfId="10787" xr:uid="{0A6E0585-359E-4E44-81A7-9FBD4960EED9}"/>
    <cellStyle name="Note 3 2 3 6" xfId="2695" xr:uid="{00000000-0005-0000-0000-00008D210000}"/>
    <cellStyle name="Note 3 2 3 6 2" xfId="6979" xr:uid="{00000000-0005-0000-0000-00008E210000}"/>
    <cellStyle name="Note 3 2 3 6 2 2" xfId="15418" xr:uid="{FDD9E09C-5DDD-4AED-AD4B-FBF11CDD93A7}"/>
    <cellStyle name="Note 3 2 3 6 3" xfId="11200" xr:uid="{58037910-6EA1-49C5-913F-BC6D76ACA6C4}"/>
    <cellStyle name="Note 3 2 3 7" xfId="2754" xr:uid="{00000000-0005-0000-0000-00008F210000}"/>
    <cellStyle name="Note 3 2 3 8" xfId="2835" xr:uid="{00000000-0005-0000-0000-000090210000}"/>
    <cellStyle name="Note 3 2 3 8 2" xfId="7059" xr:uid="{00000000-0005-0000-0000-000091210000}"/>
    <cellStyle name="Note 3 2 3 8 2 2" xfId="15498" xr:uid="{A5413F30-B727-4FB9-90A5-4D88F2DAF1E4}"/>
    <cellStyle name="Note 3 2 3 8 3" xfId="11280" xr:uid="{FE7AD30F-239C-49DA-840E-79CC0028A085}"/>
    <cellStyle name="Note 3 2 3 9" xfId="4914" xr:uid="{00000000-0005-0000-0000-000092210000}"/>
    <cellStyle name="Note 3 2 3 9 2" xfId="13353" xr:uid="{5C430B78-F720-4877-B09E-B5497E6C3FAC}"/>
    <cellStyle name="Note 3 2 4" xfId="1014" xr:uid="{00000000-0005-0000-0000-000093210000}"/>
    <cellStyle name="Note 3 2 4 2" xfId="3246" xr:uid="{00000000-0005-0000-0000-000094210000}"/>
    <cellStyle name="Note 3 2 4 2 2" xfId="7469" xr:uid="{00000000-0005-0000-0000-000095210000}"/>
    <cellStyle name="Note 3 2 4 2 2 2" xfId="15908" xr:uid="{1C1DB273-051C-4F2C-85FF-D4D7122AAD83}"/>
    <cellStyle name="Note 3 2 4 2 3" xfId="11690" xr:uid="{0661024B-E8FF-48A5-B4C3-F8F6BFC2B00C}"/>
    <cellStyle name="Note 3 2 4 3" xfId="5324" xr:uid="{00000000-0005-0000-0000-000096210000}"/>
    <cellStyle name="Note 3 2 4 3 2" xfId="13763" xr:uid="{E9540E0C-66B0-48D4-8BCA-9BDDD15170E7}"/>
    <cellStyle name="Note 3 2 4 4" xfId="9545" xr:uid="{F12FA367-09A2-480D-9F8B-7EF620BBE3A9}"/>
    <cellStyle name="Note 3 2 5" xfId="1429" xr:uid="{00000000-0005-0000-0000-000097210000}"/>
    <cellStyle name="Note 3 2 5 2" xfId="3659" xr:uid="{00000000-0005-0000-0000-000098210000}"/>
    <cellStyle name="Note 3 2 5 2 2" xfId="7882" xr:uid="{00000000-0005-0000-0000-000099210000}"/>
    <cellStyle name="Note 3 2 5 2 2 2" xfId="16321" xr:uid="{E45E3913-4934-4015-9BD8-62122CCB0A89}"/>
    <cellStyle name="Note 3 2 5 2 3" xfId="12103" xr:uid="{373223AF-B48D-4D1B-A5BD-B615CB6C0A35}"/>
    <cellStyle name="Note 3 2 5 3" xfId="5737" xr:uid="{00000000-0005-0000-0000-00009A210000}"/>
    <cellStyle name="Note 3 2 5 3 2" xfId="14176" xr:uid="{70FAC99D-CCAF-493F-93AF-45F51A974648}"/>
    <cellStyle name="Note 3 2 5 4" xfId="9958" xr:uid="{E345FEB9-D006-4B04-8E6B-181AA42848DA}"/>
    <cellStyle name="Note 3 2 6" xfId="1843" xr:uid="{00000000-0005-0000-0000-00009B210000}"/>
    <cellStyle name="Note 3 2 6 2" xfId="4072" xr:uid="{00000000-0005-0000-0000-00009C210000}"/>
    <cellStyle name="Note 3 2 6 2 2" xfId="8295" xr:uid="{00000000-0005-0000-0000-00009D210000}"/>
    <cellStyle name="Note 3 2 6 2 2 2" xfId="16734" xr:uid="{93B4BD83-59E3-4264-BAA5-B16E27999B9B}"/>
    <cellStyle name="Note 3 2 6 2 3" xfId="12516" xr:uid="{30720F5C-825F-4495-A705-EDBBC2371F85}"/>
    <cellStyle name="Note 3 2 6 3" xfId="6150" xr:uid="{00000000-0005-0000-0000-00009E210000}"/>
    <cellStyle name="Note 3 2 6 3 2" xfId="14589" xr:uid="{F833338A-6DAC-4095-80EB-834B6481286B}"/>
    <cellStyle name="Note 3 2 6 4" xfId="10371" xr:uid="{A9755D9C-2693-48F3-B683-1481CDA84971}"/>
    <cellStyle name="Note 3 2 7" xfId="2256" xr:uid="{00000000-0005-0000-0000-00009F210000}"/>
    <cellStyle name="Note 3 2 7 2" xfId="4485" xr:uid="{00000000-0005-0000-0000-0000A0210000}"/>
    <cellStyle name="Note 3 2 7 2 2" xfId="8708" xr:uid="{00000000-0005-0000-0000-0000A1210000}"/>
    <cellStyle name="Note 3 2 7 2 2 2" xfId="17147" xr:uid="{196518F5-7E1A-4EE0-A235-366BF5EE74D6}"/>
    <cellStyle name="Note 3 2 7 2 3" xfId="12929" xr:uid="{1245279D-5226-44C7-AFD4-DB7396F58A3B}"/>
    <cellStyle name="Note 3 2 7 3" xfId="6563" xr:uid="{00000000-0005-0000-0000-0000A2210000}"/>
    <cellStyle name="Note 3 2 7 3 2" xfId="15002" xr:uid="{9933194F-C59B-4D17-A43E-3E69A9E3836B}"/>
    <cellStyle name="Note 3 2 7 4" xfId="10784" xr:uid="{5CA4EBA3-0E04-40FF-A349-977E2CA0D8E4}"/>
    <cellStyle name="Note 3 2 8" xfId="2692" xr:uid="{00000000-0005-0000-0000-0000A3210000}"/>
    <cellStyle name="Note 3 2 8 2" xfId="6976" xr:uid="{00000000-0005-0000-0000-0000A4210000}"/>
    <cellStyle name="Note 3 2 8 2 2" xfId="15415" xr:uid="{EF3B147E-9119-4EB8-AB01-1622AC69F021}"/>
    <cellStyle name="Note 3 2 8 3" xfId="11197" xr:uid="{D324DC1F-6329-4945-8A9A-34802B619D53}"/>
    <cellStyle name="Note 3 2 9" xfId="2751" xr:uid="{00000000-0005-0000-0000-0000A5210000}"/>
    <cellStyle name="Note 3 3" xfId="558" xr:uid="{00000000-0005-0000-0000-0000A6210000}"/>
    <cellStyle name="Note 3 3 10" xfId="4915" xr:uid="{00000000-0005-0000-0000-0000A7210000}"/>
    <cellStyle name="Note 3 3 10 2" xfId="13354" xr:uid="{B991C14C-E215-4CDB-B654-5788D95E5000}"/>
    <cellStyle name="Note 3 3 11" xfId="9136" xr:uid="{3E785D0D-6A1A-4A97-BEB1-4A02E7D543E8}"/>
    <cellStyle name="Note 3 3 2" xfId="559" xr:uid="{00000000-0005-0000-0000-0000A8210000}"/>
    <cellStyle name="Note 3 3 2 10" xfId="9137" xr:uid="{839DBA99-4A8D-4FB5-83C5-E39C81E8B2B3}"/>
    <cellStyle name="Note 3 3 2 2" xfId="1019" xr:uid="{00000000-0005-0000-0000-0000A9210000}"/>
    <cellStyle name="Note 3 3 2 2 2" xfId="3251" xr:uid="{00000000-0005-0000-0000-0000AA210000}"/>
    <cellStyle name="Note 3 3 2 2 2 2" xfId="7474" xr:uid="{00000000-0005-0000-0000-0000AB210000}"/>
    <cellStyle name="Note 3 3 2 2 2 2 2" xfId="15913" xr:uid="{48F40DDF-8132-4069-84F5-80A6A782928B}"/>
    <cellStyle name="Note 3 3 2 2 2 3" xfId="11695" xr:uid="{CB2ABE8C-C8B8-44BF-98A7-1558F2115BB1}"/>
    <cellStyle name="Note 3 3 2 2 3" xfId="5329" xr:uid="{00000000-0005-0000-0000-0000AC210000}"/>
    <cellStyle name="Note 3 3 2 2 3 2" xfId="13768" xr:uid="{1BB9B586-7230-48A1-BD41-358684AA54DD}"/>
    <cellStyle name="Note 3 3 2 2 4" xfId="9550" xr:uid="{13A994D3-9F44-455B-9572-17C9413AB6F8}"/>
    <cellStyle name="Note 3 3 2 3" xfId="1434" xr:uid="{00000000-0005-0000-0000-0000AD210000}"/>
    <cellStyle name="Note 3 3 2 3 2" xfId="3664" xr:uid="{00000000-0005-0000-0000-0000AE210000}"/>
    <cellStyle name="Note 3 3 2 3 2 2" xfId="7887" xr:uid="{00000000-0005-0000-0000-0000AF210000}"/>
    <cellStyle name="Note 3 3 2 3 2 2 2" xfId="16326" xr:uid="{A121D5C4-88D6-49EF-A168-5C22C0DE1803}"/>
    <cellStyle name="Note 3 3 2 3 2 3" xfId="12108" xr:uid="{2F57C652-94FE-4AE7-852B-5C99A4FAEF9A}"/>
    <cellStyle name="Note 3 3 2 3 3" xfId="5742" xr:uid="{00000000-0005-0000-0000-0000B0210000}"/>
    <cellStyle name="Note 3 3 2 3 3 2" xfId="14181" xr:uid="{BF3740E2-7F7D-496A-AB49-5E5E1B397107}"/>
    <cellStyle name="Note 3 3 2 3 4" xfId="9963" xr:uid="{ACFA3DF1-FFE7-47FE-84B3-2044DBCE75F9}"/>
    <cellStyle name="Note 3 3 2 4" xfId="1848" xr:uid="{00000000-0005-0000-0000-0000B1210000}"/>
    <cellStyle name="Note 3 3 2 4 2" xfId="4077" xr:uid="{00000000-0005-0000-0000-0000B2210000}"/>
    <cellStyle name="Note 3 3 2 4 2 2" xfId="8300" xr:uid="{00000000-0005-0000-0000-0000B3210000}"/>
    <cellStyle name="Note 3 3 2 4 2 2 2" xfId="16739" xr:uid="{C681DCC4-4F3D-4A15-B72D-AF60D69F38DA}"/>
    <cellStyle name="Note 3 3 2 4 2 3" xfId="12521" xr:uid="{77F6B157-4274-4643-B1AE-4BA166C58D34}"/>
    <cellStyle name="Note 3 3 2 4 3" xfId="6155" xr:uid="{00000000-0005-0000-0000-0000B4210000}"/>
    <cellStyle name="Note 3 3 2 4 3 2" xfId="14594" xr:uid="{3B1D2B48-6CA4-4C7D-A429-E767E527455C}"/>
    <cellStyle name="Note 3 3 2 4 4" xfId="10376" xr:uid="{4CF4E01E-542E-4F7E-89B9-BC737F8D5480}"/>
    <cellStyle name="Note 3 3 2 5" xfId="2261" xr:uid="{00000000-0005-0000-0000-0000B5210000}"/>
    <cellStyle name="Note 3 3 2 5 2" xfId="4490" xr:uid="{00000000-0005-0000-0000-0000B6210000}"/>
    <cellStyle name="Note 3 3 2 5 2 2" xfId="8713" xr:uid="{00000000-0005-0000-0000-0000B7210000}"/>
    <cellStyle name="Note 3 3 2 5 2 2 2" xfId="17152" xr:uid="{884C147F-CBD1-4B77-A63E-B377BBB6B588}"/>
    <cellStyle name="Note 3 3 2 5 2 3" xfId="12934" xr:uid="{9CF4984C-FD07-43A0-8DC3-EC3C96C5AD34}"/>
    <cellStyle name="Note 3 3 2 5 3" xfId="6568" xr:uid="{00000000-0005-0000-0000-0000B8210000}"/>
    <cellStyle name="Note 3 3 2 5 3 2" xfId="15007" xr:uid="{7693B440-D9F6-4AF7-A6F2-2A74908A0428}"/>
    <cellStyle name="Note 3 3 2 5 4" xfId="10789" xr:uid="{E30BC2F2-5FAB-40D4-8706-0DCA095CA01D}"/>
    <cellStyle name="Note 3 3 2 6" xfId="2697" xr:uid="{00000000-0005-0000-0000-0000B9210000}"/>
    <cellStyle name="Note 3 3 2 6 2" xfId="6981" xr:uid="{00000000-0005-0000-0000-0000BA210000}"/>
    <cellStyle name="Note 3 3 2 6 2 2" xfId="15420" xr:uid="{8775876E-9F38-483A-A4B7-3358B46FE6DB}"/>
    <cellStyle name="Note 3 3 2 6 3" xfId="11202" xr:uid="{02F870D5-49E4-4E12-BA4A-5EF678B44608}"/>
    <cellStyle name="Note 3 3 2 7" xfId="2756" xr:uid="{00000000-0005-0000-0000-0000BB210000}"/>
    <cellStyle name="Note 3 3 2 8" xfId="2837" xr:uid="{00000000-0005-0000-0000-0000BC210000}"/>
    <cellStyle name="Note 3 3 2 8 2" xfId="7061" xr:uid="{00000000-0005-0000-0000-0000BD210000}"/>
    <cellStyle name="Note 3 3 2 8 2 2" xfId="15500" xr:uid="{1CFF3CEA-FB83-4D36-86C7-FF33680EB9E7}"/>
    <cellStyle name="Note 3 3 2 8 3" xfId="11282" xr:uid="{0381D1AC-19EA-4E05-91E8-ACC4F8476C04}"/>
    <cellStyle name="Note 3 3 2 9" xfId="4916" xr:uid="{00000000-0005-0000-0000-0000BE210000}"/>
    <cellStyle name="Note 3 3 2 9 2" xfId="13355" xr:uid="{050296D9-AEDC-42B3-B3D6-7A6935303FEE}"/>
    <cellStyle name="Note 3 3 3" xfId="1018" xr:uid="{00000000-0005-0000-0000-0000BF210000}"/>
    <cellStyle name="Note 3 3 3 2" xfId="3250" xr:uid="{00000000-0005-0000-0000-0000C0210000}"/>
    <cellStyle name="Note 3 3 3 2 2" xfId="7473" xr:uid="{00000000-0005-0000-0000-0000C1210000}"/>
    <cellStyle name="Note 3 3 3 2 2 2" xfId="15912" xr:uid="{50C74C0E-3962-4A0E-9DAC-1CC23D00E490}"/>
    <cellStyle name="Note 3 3 3 2 3" xfId="11694" xr:uid="{2E8232BC-8614-4745-A72F-E9CD68AC218B}"/>
    <cellStyle name="Note 3 3 3 3" xfId="5328" xr:uid="{00000000-0005-0000-0000-0000C2210000}"/>
    <cellStyle name="Note 3 3 3 3 2" xfId="13767" xr:uid="{694FD7FA-AD27-45C1-9145-16F35617CB6E}"/>
    <cellStyle name="Note 3 3 3 4" xfId="9549" xr:uid="{4842ACFA-6F35-495A-A602-573434B89E3D}"/>
    <cellStyle name="Note 3 3 4" xfId="1433" xr:uid="{00000000-0005-0000-0000-0000C3210000}"/>
    <cellStyle name="Note 3 3 4 2" xfId="3663" xr:uid="{00000000-0005-0000-0000-0000C4210000}"/>
    <cellStyle name="Note 3 3 4 2 2" xfId="7886" xr:uid="{00000000-0005-0000-0000-0000C5210000}"/>
    <cellStyle name="Note 3 3 4 2 2 2" xfId="16325" xr:uid="{3C9DEBD6-A98A-4493-B779-8AAB0ED8E7ED}"/>
    <cellStyle name="Note 3 3 4 2 3" xfId="12107" xr:uid="{D3B6420B-FCD8-4287-B6CE-1CAAFDA2B45A}"/>
    <cellStyle name="Note 3 3 4 3" xfId="5741" xr:uid="{00000000-0005-0000-0000-0000C6210000}"/>
    <cellStyle name="Note 3 3 4 3 2" xfId="14180" xr:uid="{7A37C60D-BF12-40B8-B944-A78A0844C042}"/>
    <cellStyle name="Note 3 3 4 4" xfId="9962" xr:uid="{7198BC85-F819-4E57-A1A8-C5757E713890}"/>
    <cellStyle name="Note 3 3 5" xfId="1847" xr:uid="{00000000-0005-0000-0000-0000C7210000}"/>
    <cellStyle name="Note 3 3 5 2" xfId="4076" xr:uid="{00000000-0005-0000-0000-0000C8210000}"/>
    <cellStyle name="Note 3 3 5 2 2" xfId="8299" xr:uid="{00000000-0005-0000-0000-0000C9210000}"/>
    <cellStyle name="Note 3 3 5 2 2 2" xfId="16738" xr:uid="{750AF851-392E-47DD-943D-DF4E028BCA57}"/>
    <cellStyle name="Note 3 3 5 2 3" xfId="12520" xr:uid="{613DDB87-7BEA-4758-A5E2-B4BE81F4738B}"/>
    <cellStyle name="Note 3 3 5 3" xfId="6154" xr:uid="{00000000-0005-0000-0000-0000CA210000}"/>
    <cellStyle name="Note 3 3 5 3 2" xfId="14593" xr:uid="{0975A3D9-CF98-4106-8523-91AE88BE526C}"/>
    <cellStyle name="Note 3 3 5 4" xfId="10375" xr:uid="{1B1F7BAB-9074-43C6-A68A-D8B8CCF343E0}"/>
    <cellStyle name="Note 3 3 6" xfId="2260" xr:uid="{00000000-0005-0000-0000-0000CB210000}"/>
    <cellStyle name="Note 3 3 6 2" xfId="4489" xr:uid="{00000000-0005-0000-0000-0000CC210000}"/>
    <cellStyle name="Note 3 3 6 2 2" xfId="8712" xr:uid="{00000000-0005-0000-0000-0000CD210000}"/>
    <cellStyle name="Note 3 3 6 2 2 2" xfId="17151" xr:uid="{D6A6BB5A-B1B0-4835-871E-25A9D5A811E0}"/>
    <cellStyle name="Note 3 3 6 2 3" xfId="12933" xr:uid="{78293B9B-88F3-4609-9090-CDCBF7C27E48}"/>
    <cellStyle name="Note 3 3 6 3" xfId="6567" xr:uid="{00000000-0005-0000-0000-0000CE210000}"/>
    <cellStyle name="Note 3 3 6 3 2" xfId="15006" xr:uid="{3E4524F9-A032-41EF-9E0C-1C36AB8E12E5}"/>
    <cellStyle name="Note 3 3 6 4" xfId="10788" xr:uid="{F55F8AB8-4456-4F84-BAD9-53A451F7992C}"/>
    <cellStyle name="Note 3 3 7" xfId="2696" xr:uid="{00000000-0005-0000-0000-0000CF210000}"/>
    <cellStyle name="Note 3 3 7 2" xfId="6980" xr:uid="{00000000-0005-0000-0000-0000D0210000}"/>
    <cellStyle name="Note 3 3 7 2 2" xfId="15419" xr:uid="{878034B3-2D14-4FD3-9035-742159552889}"/>
    <cellStyle name="Note 3 3 7 3" xfId="11201" xr:uid="{F7159702-1946-4388-80A2-6093E2A703FA}"/>
    <cellStyle name="Note 3 3 8" xfId="2755" xr:uid="{00000000-0005-0000-0000-0000D1210000}"/>
    <cellStyle name="Note 3 3 9" xfId="2836" xr:uid="{00000000-0005-0000-0000-0000D2210000}"/>
    <cellStyle name="Note 3 3 9 2" xfId="7060" xr:uid="{00000000-0005-0000-0000-0000D3210000}"/>
    <cellStyle name="Note 3 3 9 2 2" xfId="15499" xr:uid="{378825E4-01A2-4412-AEA4-DEC776AC48AB}"/>
    <cellStyle name="Note 3 3 9 3" xfId="11281" xr:uid="{C94C707B-C215-4015-B26C-1CADDB513B6F}"/>
    <cellStyle name="Note 3 4" xfId="560" xr:uid="{00000000-0005-0000-0000-0000D4210000}"/>
    <cellStyle name="Note 3 4 10" xfId="9138" xr:uid="{95E4A9BC-1564-479B-9DF8-5A694BB120A3}"/>
    <cellStyle name="Note 3 4 2" xfId="1020" xr:uid="{00000000-0005-0000-0000-0000D5210000}"/>
    <cellStyle name="Note 3 4 2 2" xfId="3252" xr:uid="{00000000-0005-0000-0000-0000D6210000}"/>
    <cellStyle name="Note 3 4 2 2 2" xfId="7475" xr:uid="{00000000-0005-0000-0000-0000D7210000}"/>
    <cellStyle name="Note 3 4 2 2 2 2" xfId="15914" xr:uid="{B93C0131-EA75-4A9D-B1C4-3E8A88D90AC5}"/>
    <cellStyle name="Note 3 4 2 2 3" xfId="11696" xr:uid="{CCFAC829-6F8D-4B81-A0D8-FB9E1DF373F3}"/>
    <cellStyle name="Note 3 4 2 3" xfId="5330" xr:uid="{00000000-0005-0000-0000-0000D8210000}"/>
    <cellStyle name="Note 3 4 2 3 2" xfId="13769" xr:uid="{AA01F946-B7D6-4D3B-BAA4-FB5AE88E1EC2}"/>
    <cellStyle name="Note 3 4 2 4" xfId="9551" xr:uid="{0D0E7ED3-D87B-4C23-8331-293237896413}"/>
    <cellStyle name="Note 3 4 3" xfId="1435" xr:uid="{00000000-0005-0000-0000-0000D9210000}"/>
    <cellStyle name="Note 3 4 3 2" xfId="3665" xr:uid="{00000000-0005-0000-0000-0000DA210000}"/>
    <cellStyle name="Note 3 4 3 2 2" xfId="7888" xr:uid="{00000000-0005-0000-0000-0000DB210000}"/>
    <cellStyle name="Note 3 4 3 2 2 2" xfId="16327" xr:uid="{5417FE69-C8FC-4F14-81C0-97EF493F97D4}"/>
    <cellStyle name="Note 3 4 3 2 3" xfId="12109" xr:uid="{6C8155F5-45C2-40B3-BD7E-32DC6E719EDA}"/>
    <cellStyle name="Note 3 4 3 3" xfId="5743" xr:uid="{00000000-0005-0000-0000-0000DC210000}"/>
    <cellStyle name="Note 3 4 3 3 2" xfId="14182" xr:uid="{EE07515C-7C9D-4A43-BBC1-BE0A2135B9D5}"/>
    <cellStyle name="Note 3 4 3 4" xfId="9964" xr:uid="{69F117F5-F3E4-4AC2-A0D2-E3766FD6CBB9}"/>
    <cellStyle name="Note 3 4 4" xfId="1849" xr:uid="{00000000-0005-0000-0000-0000DD210000}"/>
    <cellStyle name="Note 3 4 4 2" xfId="4078" xr:uid="{00000000-0005-0000-0000-0000DE210000}"/>
    <cellStyle name="Note 3 4 4 2 2" xfId="8301" xr:uid="{00000000-0005-0000-0000-0000DF210000}"/>
    <cellStyle name="Note 3 4 4 2 2 2" xfId="16740" xr:uid="{A601BFD6-816A-4127-8754-0BB6B82E1853}"/>
    <cellStyle name="Note 3 4 4 2 3" xfId="12522" xr:uid="{0485FA57-3CBC-48F6-BEC9-4FEDA5F965FA}"/>
    <cellStyle name="Note 3 4 4 3" xfId="6156" xr:uid="{00000000-0005-0000-0000-0000E0210000}"/>
    <cellStyle name="Note 3 4 4 3 2" xfId="14595" xr:uid="{B6A2B1B8-6275-48D2-AA09-4056B4812872}"/>
    <cellStyle name="Note 3 4 4 4" xfId="10377" xr:uid="{7D3D8CFE-6D3E-41ED-A960-56AAE555E39A}"/>
    <cellStyle name="Note 3 4 5" xfId="2262" xr:uid="{00000000-0005-0000-0000-0000E1210000}"/>
    <cellStyle name="Note 3 4 5 2" xfId="4491" xr:uid="{00000000-0005-0000-0000-0000E2210000}"/>
    <cellStyle name="Note 3 4 5 2 2" xfId="8714" xr:uid="{00000000-0005-0000-0000-0000E3210000}"/>
    <cellStyle name="Note 3 4 5 2 2 2" xfId="17153" xr:uid="{0F364E51-9521-4F26-BF21-61AFAD96F943}"/>
    <cellStyle name="Note 3 4 5 2 3" xfId="12935" xr:uid="{0039A297-E1BB-447D-B3E5-B2F37348BBDC}"/>
    <cellStyle name="Note 3 4 5 3" xfId="6569" xr:uid="{00000000-0005-0000-0000-0000E4210000}"/>
    <cellStyle name="Note 3 4 5 3 2" xfId="15008" xr:uid="{877B6C71-4F0B-49A8-B38D-58EC2713D61E}"/>
    <cellStyle name="Note 3 4 5 4" xfId="10790" xr:uid="{5EC0AD3F-C593-49E0-8260-429A28FF908D}"/>
    <cellStyle name="Note 3 4 6" xfId="2698" xr:uid="{00000000-0005-0000-0000-0000E5210000}"/>
    <cellStyle name="Note 3 4 6 2" xfId="6982" xr:uid="{00000000-0005-0000-0000-0000E6210000}"/>
    <cellStyle name="Note 3 4 6 2 2" xfId="15421" xr:uid="{D591D9CA-F004-4BB8-8169-8A4FA3A3C817}"/>
    <cellStyle name="Note 3 4 6 3" xfId="11203" xr:uid="{55079073-62E0-48DC-9811-D2EDE862D0AF}"/>
    <cellStyle name="Note 3 4 7" xfId="2757" xr:uid="{00000000-0005-0000-0000-0000E7210000}"/>
    <cellStyle name="Note 3 4 8" xfId="2838" xr:uid="{00000000-0005-0000-0000-0000E8210000}"/>
    <cellStyle name="Note 3 4 8 2" xfId="7062" xr:uid="{00000000-0005-0000-0000-0000E9210000}"/>
    <cellStyle name="Note 3 4 8 2 2" xfId="15501" xr:uid="{84F4B587-5AEB-44E6-B5B1-D156B24F8688}"/>
    <cellStyle name="Note 3 4 8 3" xfId="11283" xr:uid="{60E0DF7E-35E8-442E-8D5A-1AA6868651C2}"/>
    <cellStyle name="Note 3 4 9" xfId="4917" xr:uid="{00000000-0005-0000-0000-0000EA210000}"/>
    <cellStyle name="Note 3 4 9 2" xfId="13356" xr:uid="{A5A775B5-E81B-4333-A53B-00D87BEC59D7}"/>
    <cellStyle name="Note 3 5" xfId="561" xr:uid="{00000000-0005-0000-0000-0000EB210000}"/>
    <cellStyle name="Note 3 5 10" xfId="9139" xr:uid="{DC5E4020-385E-413C-ACC7-CDBF9FC67904}"/>
    <cellStyle name="Note 3 5 2" xfId="1021" xr:uid="{00000000-0005-0000-0000-0000EC210000}"/>
    <cellStyle name="Note 3 5 2 2" xfId="3253" xr:uid="{00000000-0005-0000-0000-0000ED210000}"/>
    <cellStyle name="Note 3 5 2 2 2" xfId="7476" xr:uid="{00000000-0005-0000-0000-0000EE210000}"/>
    <cellStyle name="Note 3 5 2 2 2 2" xfId="15915" xr:uid="{D32ACBC3-1CB2-49F5-8851-A1F16D8D4FA5}"/>
    <cellStyle name="Note 3 5 2 2 3" xfId="11697" xr:uid="{B3CC83D1-12FD-401A-9E85-A8EDD35948D2}"/>
    <cellStyle name="Note 3 5 2 3" xfId="5331" xr:uid="{00000000-0005-0000-0000-0000EF210000}"/>
    <cellStyle name="Note 3 5 2 3 2" xfId="13770" xr:uid="{E0D5E6BF-0725-40B5-9220-E9E47F56B432}"/>
    <cellStyle name="Note 3 5 2 4" xfId="9552" xr:uid="{F380F724-6DF1-4262-9590-4C8FB06AF92D}"/>
    <cellStyle name="Note 3 5 3" xfId="1436" xr:uid="{00000000-0005-0000-0000-0000F0210000}"/>
    <cellStyle name="Note 3 5 3 2" xfId="3666" xr:uid="{00000000-0005-0000-0000-0000F1210000}"/>
    <cellStyle name="Note 3 5 3 2 2" xfId="7889" xr:uid="{00000000-0005-0000-0000-0000F2210000}"/>
    <cellStyle name="Note 3 5 3 2 2 2" xfId="16328" xr:uid="{6E23FC9D-ACCD-48A5-9C6D-58F2B9A6F76E}"/>
    <cellStyle name="Note 3 5 3 2 3" xfId="12110" xr:uid="{DC4AAC1C-AA18-4F1A-9518-92334159F1F4}"/>
    <cellStyle name="Note 3 5 3 3" xfId="5744" xr:uid="{00000000-0005-0000-0000-0000F3210000}"/>
    <cellStyle name="Note 3 5 3 3 2" xfId="14183" xr:uid="{76B83FDA-2657-402F-BD44-B357C77E5A3B}"/>
    <cellStyle name="Note 3 5 3 4" xfId="9965" xr:uid="{74A1A20E-357B-40C5-AEB0-E179F03C5641}"/>
    <cellStyle name="Note 3 5 4" xfId="1850" xr:uid="{00000000-0005-0000-0000-0000F4210000}"/>
    <cellStyle name="Note 3 5 4 2" xfId="4079" xr:uid="{00000000-0005-0000-0000-0000F5210000}"/>
    <cellStyle name="Note 3 5 4 2 2" xfId="8302" xr:uid="{00000000-0005-0000-0000-0000F6210000}"/>
    <cellStyle name="Note 3 5 4 2 2 2" xfId="16741" xr:uid="{4972BA8B-604B-4193-8D64-B2F0CD750ADE}"/>
    <cellStyle name="Note 3 5 4 2 3" xfId="12523" xr:uid="{536EBC13-5C7A-49D0-83C0-E0867782AD77}"/>
    <cellStyle name="Note 3 5 4 3" xfId="6157" xr:uid="{00000000-0005-0000-0000-0000F7210000}"/>
    <cellStyle name="Note 3 5 4 3 2" xfId="14596" xr:uid="{37705B08-41EF-4EE4-A92D-FB27117144F6}"/>
    <cellStyle name="Note 3 5 4 4" xfId="10378" xr:uid="{C3E15FE9-0A84-4C6B-BE56-B343C8A8006F}"/>
    <cellStyle name="Note 3 5 5" xfId="2263" xr:uid="{00000000-0005-0000-0000-0000F8210000}"/>
    <cellStyle name="Note 3 5 5 2" xfId="4492" xr:uid="{00000000-0005-0000-0000-0000F9210000}"/>
    <cellStyle name="Note 3 5 5 2 2" xfId="8715" xr:uid="{00000000-0005-0000-0000-0000FA210000}"/>
    <cellStyle name="Note 3 5 5 2 2 2" xfId="17154" xr:uid="{36257B37-DEB0-4407-B6D1-321CF00F031C}"/>
    <cellStyle name="Note 3 5 5 2 3" xfId="12936" xr:uid="{0A0D6E36-A28D-4110-9E50-F55BD52EC712}"/>
    <cellStyle name="Note 3 5 5 3" xfId="6570" xr:uid="{00000000-0005-0000-0000-0000FB210000}"/>
    <cellStyle name="Note 3 5 5 3 2" xfId="15009" xr:uid="{702E482A-73B7-4959-8E21-995C0D11D2E2}"/>
    <cellStyle name="Note 3 5 5 4" xfId="10791" xr:uid="{82DC3781-45DA-490A-8FFE-BD2F50E6BBA2}"/>
    <cellStyle name="Note 3 5 6" xfId="2699" xr:uid="{00000000-0005-0000-0000-0000FC210000}"/>
    <cellStyle name="Note 3 5 6 2" xfId="6983" xr:uid="{00000000-0005-0000-0000-0000FD210000}"/>
    <cellStyle name="Note 3 5 6 2 2" xfId="15422" xr:uid="{9F40555C-9DDD-4D31-88A7-D2711A91B4A3}"/>
    <cellStyle name="Note 3 5 6 3" xfId="11204" xr:uid="{CC7121AA-9ED1-48F1-B72D-758C97E6B316}"/>
    <cellStyle name="Note 3 5 7" xfId="2758" xr:uid="{00000000-0005-0000-0000-0000FE210000}"/>
    <cellStyle name="Note 3 5 8" xfId="2839" xr:uid="{00000000-0005-0000-0000-0000FF210000}"/>
    <cellStyle name="Note 3 5 8 2" xfId="7063" xr:uid="{00000000-0005-0000-0000-000000220000}"/>
    <cellStyle name="Note 3 5 8 2 2" xfId="15502" xr:uid="{01639C93-9E41-41FB-BAF4-77DA0CC3E030}"/>
    <cellStyle name="Note 3 5 8 3" xfId="11284" xr:uid="{5733D0BB-3362-419D-894B-CA137E6F9216}"/>
    <cellStyle name="Note 3 5 9" xfId="4918" xr:uid="{00000000-0005-0000-0000-000001220000}"/>
    <cellStyle name="Note 3 5 9 2" xfId="13357" xr:uid="{53B3B066-B74E-4EC4-AD39-9E16CAE98637}"/>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40" xr:uid="{37C3FC84-DD10-483B-A284-31091E914B2B}"/>
    <cellStyle name="Percent 4" xfId="4502" xr:uid="{00000000-0005-0000-0000-000007220000}"/>
    <cellStyle name="Percent 4 2" xfId="8718" xr:uid="{00000000-0005-0000-0000-000008220000}"/>
    <cellStyle name="Percent 4 2 2" xfId="17157" xr:uid="{468AED8B-F0D8-4472-A9F3-A75BD490CC0D}"/>
    <cellStyle name="Percent 4 3" xfId="8721" xr:uid="{D09CD3FC-D632-4B66-A68A-5CC92F993799}"/>
    <cellStyle name="Percent 4 3 2" xfId="8725" xr:uid="{D57AE941-8E59-43F0-AB73-09B3BCCFA234}"/>
    <cellStyle name="Percent 4 3 2 2" xfId="17163" xr:uid="{4B00E85F-792D-4D8B-A109-DB52B9AC6F99}"/>
    <cellStyle name="Percent 4 3 3" xfId="17160" xr:uid="{C37B80EE-26EF-4589-BB0E-DDC3FC670D7C}"/>
    <cellStyle name="Percent 4 4" xfId="12943" xr:uid="{DF5DB32F-019D-4FD4-A3A5-25537F62FB8A}"/>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0" dataDxfId="109"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08" dataCellStyle="Normal 15">
      <calculatedColumnFormula>IFERROR(MIN(4,MATCH(Application!B714,UnitSizes,0)-1),"")</calculatedColumnFormula>
    </tableColumn>
    <tableColumn id="3" xr3:uid="{3C170205-C158-4CBB-8CF5-9AF725351349}" name="Quantity" dataDxfId="107" dataCellStyle="Normal 15">
      <calculatedColumnFormula>Application!G714</calculatedColumnFormula>
    </tableColumn>
    <tableColumn id="6" xr3:uid="{7C05B4DE-3AC1-47F3-9C25-D16553367CFA}" name="iAMI" dataDxfId="106" dataCellStyle="Percent">
      <calculatedColumnFormula>Application!AC714</calculatedColumnFormula>
    </tableColumn>
    <tableColumn id="7" xr3:uid="{2B6706B4-1A54-4104-A649-2FE0A4FF8E92}" name="AMI" dataDxfId="105" dataCellStyle="Percent">
      <calculatedColumnFormula>IF(Cdlac[[#This Row],[Quantity]]&gt;0,IF(Cdlac[[#This Row],[Federal]],30%,IF($G$36,40%,Cdlac[[#This Row],[iAMI]])),"")</calculatedColumnFormula>
    </tableColumn>
    <tableColumn id="8" xr3:uid="{A8EB42BE-4789-45EE-A11C-67C20CB0D91B}" name="Restricted Rent" dataDxfId="104" dataCellStyle="Normal 15">
      <calculatedColumnFormula array="1">IF(Cdlac[[#This Row],[Quantity]]&gt;0,INDEX(TcacRents,$P$18,Cdlac[[#This Row],[Bedrooms]]+1)*Cdlac[[#This Row],[AMI]],"")</calculatedColumnFormula>
    </tableColumn>
    <tableColumn id="9" xr3:uid="{E7AC364D-B07B-4A38-B74E-DAE64921E290}" name="Fair Market Rent" dataDxfId="103" dataCellStyle="Normal 15">
      <calculatedColumnFormula array="1">IF(Cdlac[[#This Row],[Quantity]]&gt;0,INDEX(HudFmrs,$P$18,Cdlac[[#This Row],[Bedrooms]]+1),"")</calculatedColumnFormula>
    </tableColumn>
    <tableColumn id="10" xr3:uid="{630C504C-0251-4207-88FB-451973BE380A}" name="Delta" dataDxfId="102" dataCellStyle="Normal 15">
      <calculatedColumnFormula>IF(Cdlac[[#This Row],[Quantity]]&gt;0,MAX(0,Cdlac[[#This Row],[Fair Market Rent]]-Cdlac[[#This Row],[Restricted Rent]]),"")</calculatedColumnFormula>
    </tableColumn>
    <tableColumn id="11" xr3:uid="{9C619E83-105C-4EED-A831-1DAB5BB5AC88}" name="Population" dataDxfId="101" dataCellStyle="Normal 15">
      <calculatedColumnFormula>IF(Cdlac[[#This Row],[Quantity]]&gt;0,AND(Application!AK714&lt;&gt;"N/A",Application!AK714&lt;&gt;"")*Cdlac[[#This Row],[Quantity]],"")</calculatedColumnFormula>
    </tableColumn>
    <tableColumn id="4" xr3:uid="{5D52F6BE-992B-4621-8785-ED1E8B62A78F}" name="Federal" dataDxfId="100"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99" dataDxfId="98" headerRowCellStyle="Normal 16 3" dataCellStyle="Normal 16 3">
  <autoFilter ref="BM8:BM13" xr:uid="{EC5E3245-E94C-4732-9264-A1FF7840F5A2}"/>
  <tableColumns count="1">
    <tableColumn id="1" xr3:uid="{65240E69-32D4-48CF-98F7-C12A61079F3B}" name="Construction Type" dataDxfId="97"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352" zoomScaleNormal="100" zoomScaleSheetLayoutView="100" workbookViewId="0">
      <selection activeCell="E14" sqref="E14:AK16"/>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559</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0" t="s">
        <v>2430</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90"/>
    </row>
    <row r="8" spans="1:38">
      <c r="A8" s="218"/>
      <c r="B8" s="218"/>
      <c r="C8" s="219"/>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90"/>
    </row>
    <row r="9" spans="1:38">
      <c r="A9" s="218"/>
      <c r="B9" s="218"/>
      <c r="C9" s="21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0" t="s">
        <v>2431</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90"/>
    </row>
    <row r="12" spans="1:38">
      <c r="A12" s="218"/>
      <c r="B12" s="218"/>
      <c r="C12" s="219"/>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90"/>
    </row>
    <row r="13" spans="1:38">
      <c r="A13" s="218"/>
      <c r="B13" s="218"/>
      <c r="C13" s="219"/>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90"/>
    </row>
    <row r="14" spans="1:38" ht="13.15" customHeight="1">
      <c r="A14" s="218"/>
      <c r="B14" s="218"/>
      <c r="C14" s="219"/>
      <c r="E14" s="1260" t="s">
        <v>2620</v>
      </c>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490"/>
    </row>
    <row r="15" spans="1:38" ht="13.15" customHeight="1">
      <c r="A15" s="218"/>
      <c r="B15" s="218"/>
      <c r="C15" s="219"/>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90"/>
    </row>
    <row r="16" spans="1:38">
      <c r="A16" s="218"/>
      <c r="B16" s="218"/>
      <c r="C16" s="219"/>
      <c r="D16" s="49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0" t="s">
        <v>2432</v>
      </c>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218"/>
    </row>
    <row r="19" spans="1:38">
      <c r="A19" s="218"/>
      <c r="B19" s="218"/>
      <c r="C19" s="219"/>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218"/>
    </row>
    <row r="20" spans="1:38">
      <c r="A20" s="218"/>
      <c r="B20" s="218"/>
      <c r="C20" s="219"/>
      <c r="D20" s="1260"/>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18"/>
    </row>
    <row r="21" spans="1:38" ht="13.15" customHeight="1">
      <c r="A21" s="218"/>
      <c r="B21" s="218"/>
      <c r="C21" s="219"/>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18"/>
    </row>
    <row r="22" spans="1:38">
      <c r="A22" s="218"/>
      <c r="B22" s="218"/>
      <c r="C22" s="219"/>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18"/>
    </row>
    <row r="23" spans="1:38">
      <c r="A23" s="218"/>
      <c r="B23" s="218"/>
      <c r="C23" s="219"/>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18"/>
    </row>
    <row r="24" spans="1:38">
      <c r="A24" s="218"/>
      <c r="B24" s="218"/>
      <c r="C24" s="219"/>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18"/>
    </row>
    <row r="25" spans="1:38">
      <c r="A25" s="218"/>
      <c r="B25" s="218"/>
      <c r="C25" s="219"/>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18"/>
    </row>
    <row r="26" spans="1:38">
      <c r="A26" s="218"/>
      <c r="B26" s="218"/>
      <c r="C26" s="219"/>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18"/>
    </row>
    <row r="27" spans="1:38" ht="11.85" customHeight="1">
      <c r="A27" s="218"/>
      <c r="B27" s="218"/>
      <c r="C27" s="219"/>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18"/>
    </row>
    <row r="28" spans="1:38" ht="13.15" customHeight="1">
      <c r="A28" s="218"/>
      <c r="B28" s="218"/>
      <c r="C28" s="219"/>
      <c r="E28" s="1260" t="s">
        <v>2619</v>
      </c>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18"/>
    </row>
    <row r="29" spans="1:38" ht="13.15" customHeight="1">
      <c r="A29" s="218"/>
      <c r="B29" s="218"/>
      <c r="C29" s="219"/>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218"/>
    </row>
    <row r="30" spans="1:38">
      <c r="A30" s="218"/>
      <c r="B30" s="218"/>
      <c r="C30" s="219"/>
      <c r="D30" s="490"/>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0" t="s">
        <v>2433</v>
      </c>
      <c r="E32" s="1260"/>
      <c r="F32" s="1260"/>
      <c r="G32" s="1260"/>
      <c r="H32" s="1260"/>
      <c r="I32" s="1260"/>
      <c r="J32" s="1260"/>
      <c r="K32" s="1260"/>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18"/>
    </row>
    <row r="33" spans="1:38">
      <c r="A33" s="218"/>
      <c r="B33" s="218"/>
      <c r="C33" s="219"/>
      <c r="D33" s="490"/>
      <c r="E33" s="1261" t="s">
        <v>2615</v>
      </c>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c r="AL33" s="218"/>
    </row>
    <row r="34" spans="1:38">
      <c r="A34" s="4"/>
      <c r="C34" s="2"/>
    </row>
    <row r="35" spans="1:38">
      <c r="A35" s="4"/>
      <c r="D35" s="1272" t="s">
        <v>2611</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c r="A37" s="4"/>
      <c r="D37" s="120"/>
      <c r="E37" s="1267" t="s">
        <v>2440</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c r="A38" s="4"/>
      <c r="D38" s="120"/>
      <c r="E38" s="1267" t="s">
        <v>2441</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0" customFormat="1" ht="13.15" customHeight="1">
      <c r="A42" s="4"/>
      <c r="B42"/>
      <c r="C42" s="2"/>
      <c r="D42" s="4"/>
      <c r="E42" s="4" t="s">
        <v>662</v>
      </c>
      <c r="F42" s="1260" t="s">
        <v>1307</v>
      </c>
    </row>
    <row r="43" spans="1:38" s="1260" customFormat="1" ht="13.15" customHeight="1">
      <c r="A43" s="4"/>
      <c r="B43"/>
      <c r="C43" s="2"/>
      <c r="D43" s="4"/>
      <c r="E43" s="4"/>
    </row>
    <row r="44" spans="1:38">
      <c r="A44" s="4"/>
      <c r="C44" s="2"/>
      <c r="D44" s="4"/>
      <c r="E44" s="4"/>
      <c r="F44" s="35" t="s">
        <v>697</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350</v>
      </c>
      <c r="F45" s="1266" t="s">
        <v>1402</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1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697</v>
      </c>
      <c r="G48" s="3" t="s">
        <v>2434</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351</v>
      </c>
      <c r="F50" s="1260" t="s">
        <v>2435</v>
      </c>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row>
    <row r="52" spans="1:38">
      <c r="A52" s="4"/>
      <c r="C52" s="2"/>
      <c r="D52" s="4"/>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5" t="s">
        <v>1334</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15" customHeight="1">
      <c r="A57" s="218"/>
      <c r="B57" s="218"/>
      <c r="C57" s="219"/>
      <c r="D57" s="219"/>
      <c r="E57" s="218"/>
      <c r="F57" s="220"/>
      <c r="G57" s="513" t="s">
        <v>1336</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584</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518</v>
      </c>
      <c r="G59" s="1265" t="s">
        <v>2436</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1443</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0" t="s">
        <v>1309</v>
      </c>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c r="A67" s="4"/>
      <c r="C67" s="2"/>
      <c r="D67" s="4"/>
      <c r="E67" s="4"/>
      <c r="G67" s="1260"/>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15" customHeight="1">
      <c r="A69" s="4"/>
      <c r="C69" s="2"/>
      <c r="D69" s="4"/>
      <c r="E69" s="4"/>
      <c r="F69" t="s">
        <v>518</v>
      </c>
      <c r="G69" s="1260" t="s">
        <v>1310</v>
      </c>
      <c r="H69" s="1260"/>
      <c r="I69" s="1260"/>
      <c r="J69" s="1260"/>
      <c r="K69" s="1260"/>
      <c r="L69" s="1260"/>
      <c r="M69" s="1260"/>
      <c r="N69" s="1260"/>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row>
    <row r="70" spans="1:37">
      <c r="A70" s="4"/>
      <c r="C70" s="2"/>
      <c r="D70" s="4"/>
      <c r="E70" s="4"/>
      <c r="F70" s="27"/>
      <c r="G70" s="1260"/>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697</v>
      </c>
      <c r="G72" s="1260" t="s">
        <v>1311</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t="s">
        <v>518</v>
      </c>
      <c r="G74" s="1260" t="s">
        <v>1312</v>
      </c>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row>
    <row r="75" spans="1:37">
      <c r="A75" s="4"/>
      <c r="C75" s="2"/>
      <c r="D75" s="4"/>
      <c r="E75" s="4"/>
      <c r="F75" s="8"/>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row>
    <row r="76" spans="1:37">
      <c r="A76" s="4"/>
      <c r="C76" s="2"/>
      <c r="D76" s="4"/>
      <c r="E76" s="4"/>
      <c r="F76" s="8"/>
      <c r="G76" s="120" t="s">
        <v>762</v>
      </c>
      <c r="H76" s="4"/>
      <c r="J76" s="120"/>
      <c r="K76" s="120"/>
      <c r="L76" s="120"/>
      <c r="P76" s="4"/>
      <c r="Q76" s="4"/>
      <c r="R76" s="4"/>
      <c r="S76" s="4"/>
      <c r="T76" s="4"/>
      <c r="U76" s="4"/>
      <c r="V76" s="4"/>
      <c r="W76" s="4"/>
      <c r="X76" s="4"/>
      <c r="Y76" s="4"/>
      <c r="Z76" s="4"/>
      <c r="AA76" s="4"/>
      <c r="AB76" s="4"/>
    </row>
    <row r="77" spans="1:37">
      <c r="A77" s="4"/>
      <c r="C77" s="2"/>
      <c r="D77" s="4"/>
      <c r="E77" s="4"/>
      <c r="F77" s="8"/>
      <c r="G77" s="120" t="s">
        <v>892</v>
      </c>
      <c r="J77" s="120"/>
      <c r="K77" s="120"/>
      <c r="L77" s="120"/>
      <c r="P77" s="4"/>
      <c r="Q77" s="4"/>
      <c r="R77" s="4"/>
      <c r="S77" s="4"/>
      <c r="T77" s="4"/>
      <c r="U77" s="4"/>
      <c r="V77" s="4"/>
      <c r="W77" s="4"/>
      <c r="X77" s="4"/>
      <c r="Y77" s="4"/>
      <c r="Z77" s="4"/>
      <c r="AA77" s="4"/>
      <c r="AB77" s="4"/>
    </row>
    <row r="78" spans="1:37">
      <c r="A78" s="4"/>
      <c r="C78" s="2"/>
      <c r="D78" s="4"/>
      <c r="E78" s="4"/>
      <c r="F78" s="8" t="s">
        <v>280</v>
      </c>
      <c r="G78" s="4" t="s">
        <v>1072</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893</v>
      </c>
      <c r="K79" s="4"/>
      <c r="L79" s="4"/>
      <c r="M79" s="4"/>
      <c r="P79" s="4"/>
      <c r="Q79" s="4"/>
      <c r="R79" s="4"/>
      <c r="S79" s="4"/>
      <c r="T79" s="4"/>
      <c r="U79" s="4"/>
      <c r="V79" s="4"/>
      <c r="W79" s="4"/>
      <c r="X79" s="4"/>
      <c r="Y79" s="4"/>
      <c r="Z79" s="4"/>
      <c r="AA79" s="4"/>
      <c r="AB79" s="4"/>
    </row>
    <row r="80" spans="1:37">
      <c r="A80" s="4"/>
      <c r="C80" s="2"/>
      <c r="D80" s="4"/>
      <c r="E80" s="4"/>
      <c r="F80" s="4"/>
      <c r="G80" s="4" t="s">
        <v>769</v>
      </c>
      <c r="H80" s="4" t="s">
        <v>765</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0" t="s">
        <v>1313</v>
      </c>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c r="F83" s="4"/>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row>
    <row r="84" spans="1:37">
      <c r="A84" s="4"/>
      <c r="C84" s="2"/>
      <c r="D84" s="4"/>
      <c r="E84" s="4"/>
      <c r="F84" s="4"/>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0" t="s">
        <v>1314</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c r="F87" s="4"/>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row>
    <row r="88" spans="1:37">
      <c r="A88" s="4"/>
      <c r="C88" s="2"/>
      <c r="D88" s="4"/>
      <c r="E88" s="4"/>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c r="A89" s="4"/>
      <c r="C89" s="2"/>
      <c r="D89" s="4"/>
      <c r="E89" s="4" t="s">
        <v>264</v>
      </c>
      <c r="F89" t="s">
        <v>894</v>
      </c>
      <c r="G89" s="4"/>
      <c r="L89" s="4"/>
      <c r="M89" s="4"/>
      <c r="P89" s="4"/>
      <c r="Q89" s="4"/>
      <c r="R89" s="4"/>
      <c r="S89" s="4"/>
      <c r="T89" s="4"/>
      <c r="U89" s="4"/>
      <c r="V89" s="4"/>
      <c r="W89" s="4"/>
      <c r="X89" s="4"/>
      <c r="Y89" s="4"/>
      <c r="Z89" s="4"/>
      <c r="AA89" s="4"/>
      <c r="AB89" s="4"/>
    </row>
    <row r="90" spans="1:37">
      <c r="A90" s="4"/>
      <c r="C90" s="2"/>
      <c r="D90" s="4"/>
      <c r="E90" s="4"/>
      <c r="G90" s="1263" t="s">
        <v>1315</v>
      </c>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row>
    <row r="92" spans="1:37">
      <c r="A92" s="4"/>
      <c r="C92" s="2"/>
      <c r="D92" s="4"/>
      <c r="E92" s="4"/>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t="s">
        <v>265</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0" t="s">
        <v>1316</v>
      </c>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row>
    <row r="95" spans="1:37">
      <c r="A95" s="4"/>
      <c r="C95" s="2"/>
      <c r="D95" s="4"/>
      <c r="E95" s="4"/>
      <c r="G95" s="1260"/>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t="s">
        <v>937</v>
      </c>
      <c r="F96" s="218" t="s">
        <v>938</v>
      </c>
      <c r="G96" s="218"/>
      <c r="L96" s="4"/>
      <c r="M96" s="4"/>
      <c r="P96" s="4"/>
      <c r="Q96" s="4"/>
      <c r="R96" s="4"/>
      <c r="S96" s="4"/>
      <c r="T96" s="4"/>
      <c r="U96" s="4"/>
      <c r="V96" s="4"/>
      <c r="W96" s="4"/>
      <c r="X96" s="4"/>
      <c r="Y96" s="4"/>
      <c r="Z96" s="4"/>
      <c r="AA96" s="4"/>
      <c r="AB96" s="4"/>
    </row>
    <row r="97" spans="1:38">
      <c r="A97" s="4"/>
      <c r="C97" s="2"/>
      <c r="D97" s="4"/>
      <c r="E97" s="4"/>
      <c r="G97" s="1260" t="s">
        <v>1317</v>
      </c>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C98" s="2"/>
      <c r="D98" s="4"/>
      <c r="E98" s="4"/>
      <c r="G98" s="1260"/>
      <c r="H98" s="1260"/>
      <c r="I98" s="1260"/>
      <c r="J98" s="1260"/>
      <c r="K98" s="1260"/>
      <c r="L98" s="1260"/>
      <c r="M98" s="1260"/>
      <c r="N98" s="1260"/>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row>
    <row r="99" spans="1:38">
      <c r="A99" s="4"/>
      <c r="C99" s="2"/>
      <c r="D99" s="4"/>
      <c r="E99" s="4"/>
      <c r="G99" s="1260"/>
      <c r="H99" s="1260"/>
      <c r="I99" s="1260"/>
      <c r="J99" s="1260"/>
      <c r="K99" s="1260"/>
      <c r="L99" s="1260"/>
      <c r="M99" s="1260"/>
      <c r="N99" s="1260"/>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row>
    <row r="100" spans="1:38">
      <c r="A100" s="4"/>
      <c r="D100" s="99"/>
      <c r="E100" s="1264" t="s">
        <v>1318</v>
      </c>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c r="AF100" s="1264"/>
      <c r="AG100" s="1264"/>
      <c r="AH100" s="1264"/>
      <c r="AI100" s="1264"/>
      <c r="AJ100" s="1264"/>
      <c r="AK100" s="1264"/>
    </row>
    <row r="101" spans="1:38">
      <c r="A101" s="4"/>
      <c r="D101" s="99"/>
      <c r="E101" s="126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c r="AF101" s="1264"/>
      <c r="AG101" s="1264"/>
      <c r="AH101" s="1264"/>
      <c r="AI101" s="1264"/>
      <c r="AJ101" s="1264"/>
      <c r="AK101" s="126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1329</v>
      </c>
      <c r="H105" s="2"/>
      <c r="I105" s="2"/>
      <c r="K105" s="2"/>
    </row>
    <row r="106" spans="1:38">
      <c r="B106" s="2"/>
      <c r="C106" s="2"/>
      <c r="D106" s="2" t="s">
        <v>209</v>
      </c>
      <c r="E106" s="2" t="s">
        <v>1331</v>
      </c>
      <c r="F106" s="2"/>
      <c r="G106" s="2"/>
      <c r="H106" s="2"/>
      <c r="I106" s="2"/>
      <c r="J106" s="2"/>
      <c r="K106" s="2"/>
      <c r="L106" s="2"/>
      <c r="M106" s="2"/>
    </row>
    <row r="107" spans="1:38">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c r="E111" s="4" t="s">
        <v>114</v>
      </c>
      <c r="F111" s="98" t="s">
        <v>665</v>
      </c>
      <c r="G111" s="2"/>
      <c r="H111" s="2"/>
      <c r="I111" s="2"/>
      <c r="J111" s="2"/>
    </row>
    <row r="112" spans="1:38">
      <c r="E112" s="4"/>
      <c r="F112" t="s">
        <v>666</v>
      </c>
    </row>
    <row r="113" spans="2:16">
      <c r="E113" s="4"/>
    </row>
    <row r="114" spans="2:16">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c r="F119" s="4" t="s">
        <v>1073</v>
      </c>
      <c r="G119" s="4"/>
    </row>
    <row r="120" spans="2:16">
      <c r="F120" s="99" t="s">
        <v>1330</v>
      </c>
      <c r="G120" s="99"/>
    </row>
    <row r="121" spans="2:16">
      <c r="G121" s="99"/>
    </row>
    <row r="122" spans="2:16">
      <c r="E122" s="4" t="s">
        <v>787</v>
      </c>
      <c r="F122" s="98" t="s">
        <v>380</v>
      </c>
    </row>
    <row r="123" spans="2:16">
      <c r="E123" s="4"/>
      <c r="F123" s="4" t="s">
        <v>1064</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962</v>
      </c>
      <c r="F127" s="4"/>
    </row>
    <row r="128" spans="2:16"/>
    <row r="129" spans="4:37">
      <c r="D129" s="2" t="s">
        <v>343</v>
      </c>
      <c r="E129" s="2" t="s">
        <v>586</v>
      </c>
    </row>
    <row r="130" spans="4:37">
      <c r="E130" s="4" t="s">
        <v>962</v>
      </c>
      <c r="F130" s="4"/>
    </row>
    <row r="131" spans="4:37"/>
    <row r="132" spans="4:37">
      <c r="D132" s="2" t="s">
        <v>583</v>
      </c>
      <c r="E132" s="2" t="s">
        <v>736</v>
      </c>
      <c r="G132" s="2"/>
      <c r="H132" s="2"/>
      <c r="I132" s="2"/>
      <c r="J132" s="2"/>
      <c r="K132" s="2"/>
      <c r="L132" s="2"/>
      <c r="M132" s="2"/>
      <c r="N132" s="2"/>
    </row>
    <row r="133" spans="4:37">
      <c r="D133" s="2"/>
      <c r="E133" s="119" t="s">
        <v>1415</v>
      </c>
      <c r="G133" s="2"/>
      <c r="H133" s="2"/>
      <c r="I133" s="2"/>
      <c r="J133" s="2"/>
      <c r="K133" s="2"/>
      <c r="L133" s="2"/>
      <c r="M133" s="2"/>
      <c r="N133" s="2"/>
    </row>
    <row r="134" spans="4:37" ht="12.75" customHeight="1">
      <c r="E134" s="119" t="s">
        <v>1413</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1414</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523</v>
      </c>
      <c r="E137" s="2" t="s">
        <v>526</v>
      </c>
      <c r="F137" s="2"/>
    </row>
    <row r="138" spans="4:37">
      <c r="E138" s="3" t="s">
        <v>1356</v>
      </c>
      <c r="F138" s="4"/>
    </row>
    <row r="139" spans="4:37">
      <c r="F139" s="4"/>
    </row>
    <row r="140" spans="4:37">
      <c r="D140" s="2" t="s">
        <v>305</v>
      </c>
      <c r="E140" s="2" t="s">
        <v>2437</v>
      </c>
      <c r="F140" s="2"/>
      <c r="G140" s="2"/>
      <c r="H140" s="2"/>
    </row>
    <row r="141" spans="4:37">
      <c r="E141" t="s">
        <v>113</v>
      </c>
      <c r="F141" t="s">
        <v>52</v>
      </c>
    </row>
    <row r="142" spans="4:37">
      <c r="E142" t="s">
        <v>114</v>
      </c>
      <c r="F142" t="s">
        <v>475</v>
      </c>
    </row>
    <row r="143" spans="4:37"/>
    <row r="144" spans="4:37">
      <c r="D144" s="2" t="s">
        <v>431</v>
      </c>
      <c r="E144" s="2" t="s">
        <v>2438</v>
      </c>
    </row>
    <row r="145" spans="3:7">
      <c r="E145" s="218" t="s">
        <v>2439</v>
      </c>
      <c r="F145" s="218"/>
    </row>
    <row r="146" spans="3:7"/>
    <row r="147" spans="3:7">
      <c r="C147" s="2" t="s">
        <v>6</v>
      </c>
      <c r="G147" s="2" t="s">
        <v>382</v>
      </c>
    </row>
    <row r="148" spans="3:7">
      <c r="D148" s="2" t="s">
        <v>209</v>
      </c>
      <c r="E148" s="2" t="s">
        <v>136</v>
      </c>
    </row>
    <row r="149" spans="3:7">
      <c r="E149" t="s">
        <v>821</v>
      </c>
    </row>
    <row r="150" spans="3:7"/>
    <row r="151" spans="3:7">
      <c r="D151" s="2" t="s">
        <v>343</v>
      </c>
      <c r="E151" s="2" t="s">
        <v>533</v>
      </c>
      <c r="F151" s="2"/>
    </row>
    <row r="152" spans="3:7">
      <c r="E152" s="4" t="s">
        <v>964</v>
      </c>
      <c r="F152" s="4"/>
    </row>
    <row r="153" spans="3:7"/>
    <row r="154" spans="3:7">
      <c r="D154" s="2" t="s">
        <v>583</v>
      </c>
      <c r="E154" s="2" t="s">
        <v>562</v>
      </c>
    </row>
    <row r="155" spans="3:7">
      <c r="E155" s="4" t="s">
        <v>965</v>
      </c>
    </row>
    <row r="156" spans="3:7">
      <c r="E156" s="4" t="s">
        <v>963</v>
      </c>
      <c r="G156" s="4"/>
    </row>
    <row r="157" spans="3:7"/>
    <row r="158" spans="3:7">
      <c r="D158" s="2" t="s">
        <v>523</v>
      </c>
      <c r="E158" s="2" t="s">
        <v>542</v>
      </c>
    </row>
    <row r="159" spans="3:7">
      <c r="E159" t="s">
        <v>113</v>
      </c>
      <c r="F159" s="4" t="s">
        <v>966</v>
      </c>
    </row>
    <row r="160" spans="3:7">
      <c r="E160" s="4" t="s">
        <v>114</v>
      </c>
      <c r="F160" s="4" t="s">
        <v>967</v>
      </c>
    </row>
    <row r="161" spans="3:20">
      <c r="E161" s="4" t="s">
        <v>120</v>
      </c>
      <c r="F161" t="s">
        <v>737</v>
      </c>
    </row>
    <row r="162" spans="3:20"/>
    <row r="163" spans="3:20">
      <c r="D163" s="2" t="s">
        <v>305</v>
      </c>
      <c r="E163" s="2" t="s">
        <v>383</v>
      </c>
    </row>
    <row r="164" spans="3:20">
      <c r="E164" s="4" t="s">
        <v>968</v>
      </c>
      <c r="F164" s="4"/>
    </row>
    <row r="165" spans="3:20"/>
    <row r="166" spans="3:20">
      <c r="D166" s="2" t="s">
        <v>431</v>
      </c>
      <c r="E166" s="2" t="s">
        <v>173</v>
      </c>
    </row>
    <row r="167" spans="3:20">
      <c r="E167" s="4" t="s">
        <v>970</v>
      </c>
    </row>
    <row r="168" spans="3:20">
      <c r="E168" s="4" t="s">
        <v>969</v>
      </c>
    </row>
    <row r="169" spans="3:20"/>
    <row r="170" spans="3:20">
      <c r="D170" s="2" t="s">
        <v>566</v>
      </c>
      <c r="E170" s="2" t="s">
        <v>631</v>
      </c>
    </row>
    <row r="171" spans="3:20">
      <c r="E171" t="s">
        <v>113</v>
      </c>
      <c r="F171" t="s">
        <v>738</v>
      </c>
    </row>
    <row r="172" spans="3:20">
      <c r="E172" t="s">
        <v>114</v>
      </c>
      <c r="F172" t="s">
        <v>299</v>
      </c>
    </row>
    <row r="173" spans="3:20">
      <c r="F173" s="4"/>
    </row>
    <row r="174" spans="3:20">
      <c r="C174" s="2" t="s">
        <v>7</v>
      </c>
      <c r="E174" s="4"/>
      <c r="G174" s="2" t="s">
        <v>384</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209</v>
      </c>
      <c r="E178" s="2" t="s">
        <v>300</v>
      </c>
      <c r="G178" s="4"/>
      <c r="H178" s="4"/>
      <c r="I178" s="4"/>
      <c r="J178" s="4"/>
      <c r="K178" s="4"/>
      <c r="L178" s="4"/>
      <c r="M178" s="4"/>
      <c r="N178" s="4"/>
    </row>
    <row r="179" spans="2:19">
      <c r="E179" t="s">
        <v>113</v>
      </c>
      <c r="F179" s="4" t="s">
        <v>971</v>
      </c>
    </row>
    <row r="180" spans="2:19">
      <c r="F180" s="120" t="s">
        <v>1287</v>
      </c>
      <c r="I180" s="120"/>
    </row>
    <row r="181" spans="2:19">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c r="D185" s="2" t="s">
        <v>343</v>
      </c>
      <c r="E185" s="2" t="s">
        <v>1065</v>
      </c>
    </row>
    <row r="186" spans="2:19">
      <c r="B186" s="4"/>
      <c r="C186" s="4"/>
      <c r="E186" s="4" t="s">
        <v>721</v>
      </c>
      <c r="F186" s="4"/>
      <c r="I186" s="4"/>
    </row>
    <row r="187" spans="2:19">
      <c r="B187" s="4"/>
      <c r="C187" s="4"/>
      <c r="E187" s="4" t="s">
        <v>1063</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523</v>
      </c>
      <c r="E192" s="2" t="s">
        <v>112</v>
      </c>
    </row>
    <row r="193" spans="2:37">
      <c r="B193" s="4"/>
      <c r="C193" s="2"/>
      <c r="E193" t="s">
        <v>113</v>
      </c>
      <c r="F193" s="4" t="s">
        <v>1074</v>
      </c>
      <c r="G193" s="4"/>
      <c r="H193" s="4"/>
      <c r="I193" s="4"/>
    </row>
    <row r="194" spans="2:37">
      <c r="B194" s="4"/>
      <c r="C194" s="2"/>
      <c r="F194" s="4" t="s">
        <v>662</v>
      </c>
      <c r="G194" s="3" t="s">
        <v>1350</v>
      </c>
    </row>
    <row r="195" spans="2:37">
      <c r="B195" s="4"/>
      <c r="C195" s="4"/>
      <c r="F195" s="4" t="s">
        <v>350</v>
      </c>
      <c r="G195" s="3" t="s">
        <v>1351</v>
      </c>
      <c r="I195" s="4"/>
      <c r="J195" s="4"/>
      <c r="M195" s="4"/>
      <c r="N195" s="4"/>
      <c r="O195" s="4"/>
      <c r="P195" s="4"/>
      <c r="Q195" s="4"/>
      <c r="R195" s="4"/>
      <c r="S195" s="4"/>
    </row>
    <row r="196" spans="2:37">
      <c r="B196" s="4"/>
      <c r="C196" s="4"/>
      <c r="F196" s="4" t="s">
        <v>351</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974</v>
      </c>
      <c r="M202" s="4"/>
      <c r="N202" s="4"/>
      <c r="O202" s="4"/>
      <c r="P202" s="4"/>
      <c r="Q202" s="4"/>
      <c r="R202" s="4"/>
      <c r="S202" s="4"/>
    </row>
    <row r="203" spans="2:37">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c r="B206" s="4"/>
      <c r="C206" s="4"/>
      <c r="D206" s="2"/>
      <c r="E206" s="4" t="s">
        <v>590</v>
      </c>
      <c r="F206" s="4" t="s">
        <v>976</v>
      </c>
      <c r="M206" s="4"/>
      <c r="N206" s="4"/>
      <c r="O206" s="4"/>
      <c r="P206" s="4"/>
      <c r="Q206" s="4"/>
      <c r="R206" s="4"/>
      <c r="S206" s="4"/>
    </row>
    <row r="207" spans="2:37">
      <c r="B207" s="4"/>
      <c r="C207" s="4"/>
      <c r="D207" s="2"/>
      <c r="F207" t="s">
        <v>662</v>
      </c>
      <c r="G207" s="1260" t="s">
        <v>1319</v>
      </c>
      <c r="H207" s="1260"/>
      <c r="I207" s="1260"/>
      <c r="J207" s="1260"/>
      <c r="K207" s="1260"/>
      <c r="L207" s="1260"/>
      <c r="M207" s="1260"/>
      <c r="N207" s="1260"/>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row>
    <row r="208" spans="2:37">
      <c r="B208" s="4"/>
      <c r="C208" s="4"/>
      <c r="D208" s="2"/>
      <c r="G208" s="1260"/>
      <c r="H208" s="1260"/>
      <c r="I208" s="1260"/>
      <c r="J208" s="1260"/>
      <c r="K208" s="1260"/>
      <c r="L208" s="1260"/>
      <c r="M208" s="1260"/>
      <c r="N208" s="1260"/>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row>
    <row r="209" spans="1:38">
      <c r="B209" s="4"/>
      <c r="C209" s="4"/>
      <c r="D209" s="2"/>
      <c r="M209" s="4"/>
      <c r="N209" s="4"/>
      <c r="O209" s="4"/>
      <c r="P209" s="4"/>
      <c r="Q209" s="4"/>
      <c r="R209" s="4"/>
      <c r="S209" s="4"/>
    </row>
    <row r="210" spans="1:38">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461</v>
      </c>
      <c r="I225" s="4"/>
      <c r="J225" s="4"/>
      <c r="K225" s="4"/>
      <c r="M225" s="4"/>
      <c r="N225" s="4"/>
      <c r="O225" s="4"/>
      <c r="P225" s="4"/>
      <c r="Q225" s="4"/>
      <c r="R225" s="4"/>
      <c r="S225" s="4"/>
    </row>
    <row r="226" spans="2:19">
      <c r="B226" s="2"/>
      <c r="E226" s="4" t="s">
        <v>113</v>
      </c>
      <c r="F226" s="4" t="s">
        <v>728</v>
      </c>
      <c r="G226" s="4"/>
      <c r="I226" s="4"/>
      <c r="J226" s="4"/>
      <c r="K226" s="4"/>
      <c r="L226" s="4"/>
      <c r="M226" s="4"/>
      <c r="N226" s="4"/>
      <c r="O226" s="4"/>
      <c r="P226" s="4"/>
      <c r="Q226" s="4"/>
      <c r="R226" s="4"/>
      <c r="S226" s="4"/>
    </row>
    <row r="227" spans="2:19">
      <c r="B227" s="2"/>
      <c r="E227" s="4" t="s">
        <v>114</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729</v>
      </c>
      <c r="G230" s="4"/>
      <c r="I230" s="4"/>
      <c r="J230" s="4"/>
      <c r="K230" s="4"/>
      <c r="L230" s="4"/>
      <c r="M230" s="4"/>
      <c r="N230" s="4"/>
      <c r="O230" s="4"/>
      <c r="P230" s="4"/>
      <c r="Q230" s="4"/>
      <c r="R230" s="4"/>
      <c r="S230" s="4"/>
    </row>
    <row r="231" spans="2:19">
      <c r="B231" s="2"/>
      <c r="E231" s="4"/>
      <c r="F231" s="4" t="s">
        <v>730</v>
      </c>
      <c r="G231" s="4"/>
      <c r="H231" s="4"/>
      <c r="I231" s="4"/>
      <c r="J231" s="4"/>
      <c r="K231" s="4"/>
      <c r="L231" s="4"/>
      <c r="M231" s="4"/>
      <c r="N231" s="4"/>
      <c r="O231" s="4"/>
      <c r="P231" s="4"/>
      <c r="Q231" s="4"/>
      <c r="R231" s="4"/>
      <c r="S231" s="4"/>
    </row>
    <row r="232" spans="2:19">
      <c r="B232" s="2"/>
      <c r="D232" s="4"/>
      <c r="E232" s="4" t="s">
        <v>114</v>
      </c>
      <c r="F232" s="4" t="s">
        <v>689</v>
      </c>
      <c r="G232" s="4"/>
      <c r="I232" s="4"/>
      <c r="J232" s="4"/>
      <c r="K232" s="4"/>
      <c r="L232" s="4"/>
      <c r="M232" s="4"/>
      <c r="N232" s="4"/>
      <c r="O232" s="4"/>
      <c r="P232" s="4"/>
      <c r="Q232" s="4"/>
      <c r="R232" s="4"/>
      <c r="S232" s="4"/>
    </row>
    <row r="233" spans="2:19">
      <c r="B233" s="2"/>
      <c r="E233" s="4" t="s">
        <v>120</v>
      </c>
      <c r="F233" s="98" t="s">
        <v>991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350</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350</v>
      </c>
      <c r="G244" s="136" t="s">
        <v>982</v>
      </c>
      <c r="I244" s="4"/>
      <c r="M244" s="4"/>
      <c r="N244" s="4"/>
      <c r="O244" s="4"/>
      <c r="P244" s="4"/>
      <c r="Q244" s="4"/>
      <c r="R244" s="4"/>
      <c r="S244" s="4"/>
    </row>
    <row r="245" spans="2:21">
      <c r="B245" s="4"/>
      <c r="C245" s="4"/>
      <c r="F245" s="4" t="s">
        <v>351</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662</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1288</v>
      </c>
      <c r="G253" s="4"/>
      <c r="I253" s="120"/>
      <c r="J253" s="4"/>
      <c r="K253" s="4"/>
      <c r="L253" s="4"/>
      <c r="M253" s="4"/>
      <c r="N253" s="4"/>
      <c r="O253" s="4"/>
      <c r="P253" s="4"/>
      <c r="Q253" s="4"/>
      <c r="R253" s="4"/>
      <c r="S253" s="4"/>
      <c r="T253" s="4"/>
      <c r="U253" s="4"/>
    </row>
    <row r="254" spans="2:21">
      <c r="B254" s="2"/>
      <c r="C254" s="2"/>
      <c r="E254" s="4" t="s">
        <v>114</v>
      </c>
      <c r="F254" s="4" t="s">
        <v>977</v>
      </c>
      <c r="I254" s="4"/>
      <c r="J254" s="4"/>
      <c r="K254" s="4"/>
      <c r="L254" s="4"/>
      <c r="M254" s="4"/>
      <c r="N254" s="4"/>
      <c r="O254" s="4"/>
      <c r="P254" s="4"/>
      <c r="Q254" s="4"/>
      <c r="R254" s="4"/>
      <c r="S254" s="4"/>
      <c r="T254" s="4"/>
      <c r="U254" s="4"/>
    </row>
    <row r="255" spans="2:21">
      <c r="B255" s="2"/>
      <c r="C255" s="2"/>
      <c r="E255" s="4"/>
      <c r="F255" s="218" t="s">
        <v>662</v>
      </c>
      <c r="G255" s="218" t="s">
        <v>836</v>
      </c>
      <c r="I255" s="3"/>
      <c r="K255" s="3"/>
      <c r="L255" s="3"/>
      <c r="M255" s="3"/>
      <c r="N255" s="3"/>
      <c r="O255" s="3"/>
      <c r="Q255" s="4"/>
      <c r="R255" s="4"/>
      <c r="S255" s="4"/>
      <c r="T255" s="4"/>
      <c r="U255" s="4"/>
    </row>
    <row r="256" spans="2:21">
      <c r="B256" s="2"/>
      <c r="C256" s="2"/>
      <c r="E256" s="4"/>
      <c r="F256" s="218"/>
      <c r="G256" s="218" t="s">
        <v>837</v>
      </c>
      <c r="I256" s="3"/>
      <c r="K256" s="3"/>
      <c r="L256" s="3"/>
      <c r="M256" s="3"/>
      <c r="N256" s="3"/>
      <c r="O256" s="3"/>
      <c r="P256" s="3"/>
    </row>
    <row r="257" spans="2:21">
      <c r="B257" s="2"/>
      <c r="C257" s="2"/>
      <c r="E257" s="4"/>
      <c r="F257" s="218" t="s">
        <v>350</v>
      </c>
      <c r="G257" s="218" t="s">
        <v>983</v>
      </c>
      <c r="I257" s="4"/>
      <c r="K257" s="4"/>
      <c r="L257" s="4"/>
      <c r="M257" s="4"/>
      <c r="N257" s="4"/>
      <c r="O257" s="4"/>
      <c r="P257" s="3"/>
    </row>
    <row r="258" spans="2:21">
      <c r="B258" s="2"/>
      <c r="C258" s="2"/>
      <c r="E258" s="4"/>
      <c r="F258" s="218"/>
      <c r="G258" s="218" t="s">
        <v>898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828</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829</v>
      </c>
      <c r="I264" s="4"/>
      <c r="J264" s="4"/>
      <c r="K264" s="4"/>
      <c r="L264" s="4"/>
      <c r="M264" s="4"/>
      <c r="N264" s="4"/>
      <c r="O264" s="4"/>
      <c r="P264" s="4"/>
      <c r="Q264" s="4"/>
      <c r="R264" s="4"/>
      <c r="S264" s="4"/>
    </row>
    <row r="265" spans="2:21">
      <c r="B265" s="2"/>
      <c r="C265" s="2"/>
      <c r="E265" s="4" t="s">
        <v>590</v>
      </c>
      <c r="F265" s="218" t="s">
        <v>838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1076</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289</v>
      </c>
      <c r="G270" s="4"/>
    </row>
    <row r="271" spans="2:21">
      <c r="B271" s="2"/>
      <c r="C271" s="2"/>
      <c r="E271" s="4" t="s">
        <v>257</v>
      </c>
      <c r="F271" s="4"/>
      <c r="G271" s="4"/>
      <c r="J271" s="4"/>
      <c r="K271" s="4"/>
      <c r="L271" s="4"/>
      <c r="M271" s="4"/>
      <c r="N271" s="4"/>
    </row>
    <row r="272" spans="2:21">
      <c r="B272" s="2"/>
      <c r="C272" s="2"/>
      <c r="E272" s="4" t="s">
        <v>984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1068</v>
      </c>
      <c r="J275" s="4"/>
      <c r="K275" s="4"/>
      <c r="L275" s="4"/>
      <c r="M275" s="4"/>
      <c r="N275" s="4"/>
      <c r="O275" s="4"/>
      <c r="P275" s="4"/>
      <c r="Q275" s="4"/>
      <c r="R275" s="4"/>
      <c r="S275" s="4"/>
      <c r="T275" s="4"/>
      <c r="U275" s="4"/>
    </row>
    <row r="276" spans="2:21">
      <c r="B276" s="2"/>
      <c r="D276" s="4"/>
      <c r="E276" s="4" t="s">
        <v>978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986</v>
      </c>
      <c r="F285" s="120"/>
      <c r="G285" s="4"/>
      <c r="H285" s="120"/>
      <c r="I285" s="120"/>
      <c r="J285" s="4"/>
      <c r="K285" s="4"/>
      <c r="L285" s="4"/>
      <c r="M285" s="4"/>
      <c r="P285" s="4"/>
      <c r="Q285" s="4"/>
      <c r="R285" s="4"/>
      <c r="S285" s="4"/>
    </row>
    <row r="286" spans="2:21">
      <c r="B286" s="2"/>
      <c r="D286" s="2"/>
      <c r="E286" s="484" t="s">
        <v>897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113</v>
      </c>
      <c r="F289" s="4" t="s">
        <v>568</v>
      </c>
      <c r="G289" s="4"/>
      <c r="O289" s="4"/>
      <c r="P289" s="4"/>
      <c r="Q289" s="4"/>
      <c r="R289" s="4"/>
      <c r="S289" s="4"/>
      <c r="T289" s="4"/>
      <c r="U289" s="4"/>
      <c r="V289" s="4"/>
      <c r="W289" s="4"/>
    </row>
    <row r="290" spans="2:2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569</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662</v>
      </c>
      <c r="G293" s="4" t="s">
        <v>262</v>
      </c>
      <c r="K293" s="4"/>
      <c r="L293" s="4"/>
      <c r="M293" s="4"/>
      <c r="N293" s="4"/>
      <c r="O293" s="4"/>
      <c r="P293" s="4"/>
      <c r="Q293" s="4"/>
      <c r="R293" s="4"/>
      <c r="S293" s="4"/>
      <c r="T293" s="4"/>
      <c r="U293" s="4"/>
      <c r="V293" s="4"/>
      <c r="W293" s="4"/>
    </row>
    <row r="294" spans="2:23">
      <c r="B294" s="2"/>
      <c r="D294" s="4"/>
      <c r="E294" s="4"/>
      <c r="F294" s="4" t="s">
        <v>350</v>
      </c>
      <c r="G294" s="4" t="s">
        <v>979</v>
      </c>
      <c r="H294" s="4"/>
      <c r="K294" s="4"/>
      <c r="L294" s="4"/>
      <c r="M294" s="4"/>
      <c r="N294" s="4"/>
      <c r="O294" s="4"/>
      <c r="P294" s="4"/>
      <c r="Q294" s="4"/>
      <c r="R294" s="4"/>
      <c r="S294" s="4"/>
      <c r="T294" s="4"/>
      <c r="U294" s="4"/>
      <c r="V294" s="4"/>
      <c r="W294" s="4"/>
    </row>
    <row r="295" spans="2:23">
      <c r="B295" s="2"/>
      <c r="D295" s="4"/>
      <c r="E295" s="4"/>
      <c r="F295" s="4" t="s">
        <v>351</v>
      </c>
      <c r="G295" s="4" t="s">
        <v>570</v>
      </c>
      <c r="K295" s="4"/>
      <c r="L295" s="4"/>
      <c r="M295" s="4"/>
      <c r="N295" s="4"/>
      <c r="O295" s="4"/>
      <c r="P295" s="4"/>
      <c r="Q295" s="4"/>
      <c r="R295" s="4"/>
      <c r="S295" s="4"/>
      <c r="T295" s="4"/>
      <c r="U295" s="4"/>
      <c r="V295" s="4"/>
      <c r="W295" s="4"/>
    </row>
    <row r="296" spans="2:23">
      <c r="B296" s="2"/>
      <c r="D296" s="4"/>
      <c r="E296" s="4"/>
      <c r="F296" s="4" t="s">
        <v>447</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590</v>
      </c>
      <c r="F299" s="4" t="s">
        <v>754</v>
      </c>
      <c r="G299" s="4"/>
      <c r="K299" s="4"/>
      <c r="L299" s="4"/>
      <c r="M299" s="4"/>
      <c r="N299" s="4"/>
      <c r="O299" s="4"/>
      <c r="P299" s="4"/>
      <c r="Q299" s="4"/>
      <c r="R299" s="4"/>
      <c r="S299" s="4"/>
      <c r="T299" s="4"/>
      <c r="U299" s="4"/>
      <c r="V299" s="4"/>
      <c r="W299" s="4"/>
    </row>
    <row r="300" spans="2:23">
      <c r="B300" s="2"/>
      <c r="D300" s="4"/>
      <c r="E300" s="4" t="s">
        <v>787</v>
      </c>
      <c r="F300" s="4" t="s">
        <v>761</v>
      </c>
      <c r="G300" s="4"/>
      <c r="K300" s="4"/>
      <c r="L300" s="4"/>
      <c r="M300" s="4"/>
      <c r="N300" s="4"/>
      <c r="O300" s="4"/>
      <c r="P300" s="4"/>
      <c r="Q300" s="4"/>
      <c r="R300" s="4"/>
      <c r="S300" s="4"/>
      <c r="T300" s="4"/>
      <c r="U300" s="4"/>
      <c r="V300" s="4"/>
      <c r="W300" s="4"/>
    </row>
    <row r="301" spans="2:2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291</v>
      </c>
      <c r="G305" s="4"/>
      <c r="H305" s="4"/>
      <c r="I305" s="4"/>
      <c r="J305" s="4"/>
      <c r="K305" s="4"/>
      <c r="L305" s="4"/>
      <c r="M305" s="4"/>
      <c r="N305" s="4"/>
      <c r="O305" s="4"/>
      <c r="P305" s="4"/>
      <c r="Q305" s="4"/>
      <c r="R305" s="4"/>
      <c r="S305" s="4"/>
      <c r="T305" s="4"/>
      <c r="U305" s="4"/>
      <c r="V305" s="4"/>
      <c r="W305" s="4"/>
    </row>
    <row r="306" spans="2:23">
      <c r="B306" s="2"/>
      <c r="D306" s="2"/>
      <c r="E306" s="4" t="s">
        <v>987</v>
      </c>
      <c r="F306" s="4"/>
      <c r="K306" s="4"/>
      <c r="L306" s="4"/>
      <c r="M306" s="4"/>
      <c r="N306" s="4"/>
      <c r="O306" s="4"/>
      <c r="P306" s="4"/>
      <c r="Q306" s="4"/>
      <c r="R306" s="4"/>
      <c r="S306" s="4"/>
      <c r="T306" s="4"/>
      <c r="U306" s="4"/>
      <c r="V306" s="4"/>
      <c r="W306" s="4"/>
    </row>
    <row r="307" spans="2:23">
      <c r="B307" s="2"/>
      <c r="D307" s="2"/>
      <c r="E307" s="4" t="s">
        <v>985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823</v>
      </c>
      <c r="F312" s="4"/>
      <c r="G312" s="4"/>
      <c r="I312" s="4"/>
      <c r="K312" s="4"/>
    </row>
    <row r="313" spans="2:23">
      <c r="B313" s="2"/>
      <c r="D313" s="2"/>
      <c r="E313" s="4" t="s">
        <v>988</v>
      </c>
      <c r="F313" s="4"/>
      <c r="G313" s="4"/>
      <c r="I313" s="4"/>
      <c r="K313" s="4"/>
    </row>
    <row r="314" spans="2:23">
      <c r="B314" s="2"/>
      <c r="D314" s="2"/>
      <c r="E314" s="4" t="s">
        <v>824</v>
      </c>
      <c r="F314" s="4"/>
      <c r="G314" s="4"/>
      <c r="I314" s="4"/>
      <c r="K314" s="4"/>
    </row>
    <row r="315" spans="2:23">
      <c r="B315" s="2"/>
      <c r="D315" s="2"/>
      <c r="G315" s="4"/>
      <c r="I315" s="4"/>
      <c r="K315" s="4"/>
    </row>
    <row r="316" spans="2:23">
      <c r="B316" s="2"/>
      <c r="D316" s="2" t="s">
        <v>343</v>
      </c>
      <c r="E316" s="2" t="s">
        <v>763</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747</v>
      </c>
      <c r="F319" s="3"/>
      <c r="G319" s="4"/>
      <c r="H319" s="4"/>
      <c r="I319" s="4"/>
      <c r="J319" s="4"/>
      <c r="K319" s="4"/>
      <c r="L319" s="4"/>
      <c r="M319" s="4"/>
      <c r="N319" s="4"/>
      <c r="O319" s="4"/>
      <c r="P319" s="4"/>
      <c r="Q319" s="4"/>
      <c r="R319" s="4"/>
      <c r="S319" s="4"/>
    </row>
    <row r="320" spans="2:23">
      <c r="B320" s="2"/>
      <c r="E320" t="s">
        <v>744</v>
      </c>
      <c r="I320" s="4"/>
      <c r="J320" s="4"/>
      <c r="K320" s="4"/>
      <c r="L320" s="4"/>
      <c r="M320" s="4"/>
      <c r="N320" s="4"/>
      <c r="O320" s="4"/>
      <c r="P320" s="4"/>
      <c r="Q320" s="4"/>
      <c r="R320" s="4"/>
      <c r="S320" s="4"/>
    </row>
    <row r="321" spans="1:38">
      <c r="B321" s="2"/>
      <c r="E321" t="s">
        <v>745</v>
      </c>
      <c r="I321" s="4"/>
      <c r="J321" s="4"/>
      <c r="K321" s="4"/>
      <c r="L321" s="4"/>
      <c r="M321" s="4"/>
      <c r="N321" s="4"/>
      <c r="O321" s="4"/>
      <c r="P321" s="4"/>
      <c r="Q321" s="4"/>
      <c r="R321" s="4"/>
      <c r="S321" s="4"/>
    </row>
    <row r="322" spans="1:38">
      <c r="B322" s="2"/>
      <c r="E322" t="s">
        <v>746</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252</v>
      </c>
      <c r="D325" s="2" t="s">
        <v>209</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c r="F328" s="120" t="s">
        <v>1290</v>
      </c>
      <c r="I328" s="120"/>
      <c r="J328" s="4"/>
      <c r="K328" s="4"/>
      <c r="L328" s="4"/>
      <c r="M328" s="4"/>
      <c r="N328" s="4"/>
      <c r="O328" s="4"/>
      <c r="P328" s="4"/>
      <c r="Q328" s="4"/>
      <c r="R328" s="4"/>
      <c r="S328" s="4"/>
    </row>
    <row r="329" spans="1:38">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751</v>
      </c>
      <c r="J335" s="4"/>
      <c r="K335" s="4"/>
      <c r="L335" s="4"/>
      <c r="M335" s="4"/>
      <c r="N335" s="4"/>
      <c r="O335" s="4"/>
      <c r="P335" s="4"/>
      <c r="Q335" s="4"/>
      <c r="R335" s="4"/>
      <c r="S335" s="4"/>
    </row>
    <row r="336" spans="1:38">
      <c r="B336" s="2"/>
      <c r="E336" s="4"/>
      <c r="F336" s="4" t="s">
        <v>752</v>
      </c>
      <c r="J336" s="4"/>
      <c r="K336" s="4"/>
      <c r="L336" s="4"/>
      <c r="M336" s="4"/>
      <c r="N336" s="4"/>
      <c r="O336" s="4"/>
      <c r="P336" s="4"/>
      <c r="Q336" s="4"/>
      <c r="R336" s="4"/>
      <c r="S336" s="4"/>
    </row>
    <row r="337" spans="2:37">
      <c r="B337" s="2"/>
      <c r="E337" s="4"/>
      <c r="F337" s="4" t="s">
        <v>753</v>
      </c>
      <c r="I337" s="4"/>
      <c r="J337" s="4"/>
      <c r="K337" s="4"/>
      <c r="L337" s="4"/>
      <c r="M337" s="4"/>
      <c r="N337" s="4"/>
      <c r="O337" s="4"/>
      <c r="P337" s="4"/>
      <c r="Q337" s="4"/>
      <c r="R337" s="4"/>
      <c r="S337" s="4"/>
    </row>
    <row r="338" spans="2:37">
      <c r="B338" s="2"/>
      <c r="E338" s="4" t="s">
        <v>114</v>
      </c>
      <c r="F338" s="1260" t="s">
        <v>1294</v>
      </c>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E339" s="4"/>
      <c r="F339" s="1260"/>
      <c r="G339" s="1260"/>
      <c r="H339" s="1260"/>
      <c r="I339" s="1260"/>
      <c r="J339" s="1260"/>
      <c r="K339" s="1260"/>
      <c r="L339" s="1260"/>
      <c r="M339" s="1260"/>
      <c r="N339" s="1260"/>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row>
    <row r="340" spans="2:37">
      <c r="B340" s="2"/>
      <c r="E340" s="4"/>
      <c r="F340" s="1260"/>
      <c r="G340" s="1260"/>
      <c r="H340" s="1260"/>
      <c r="I340" s="1260"/>
      <c r="J340" s="1260"/>
      <c r="K340" s="1260"/>
      <c r="L340" s="1260"/>
      <c r="M340" s="1260"/>
      <c r="N340" s="1260"/>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row>
    <row r="341" spans="2:37">
      <c r="B341" s="2"/>
      <c r="F341" s="4"/>
      <c r="H341" s="4"/>
      <c r="I341" s="4"/>
      <c r="J341" s="4"/>
      <c r="K341" s="4"/>
      <c r="L341" s="4"/>
      <c r="M341" s="4"/>
      <c r="N341" s="4"/>
      <c r="O341" s="4"/>
      <c r="P341" s="4"/>
      <c r="Q341" s="4"/>
      <c r="R341" s="4"/>
      <c r="S341" s="4"/>
    </row>
    <row r="342" spans="2:37">
      <c r="B342" s="2"/>
      <c r="C342" s="2" t="s">
        <v>433</v>
      </c>
      <c r="G342" s="2" t="s">
        <v>1375</v>
      </c>
      <c r="I342" s="2"/>
      <c r="J342" s="4"/>
      <c r="K342" s="4"/>
      <c r="L342" s="4"/>
      <c r="M342" s="4"/>
      <c r="N342" s="4"/>
      <c r="O342" s="4"/>
      <c r="P342" s="4"/>
      <c r="Q342" s="4"/>
      <c r="R342" s="4"/>
      <c r="S342" s="4"/>
    </row>
    <row r="343" spans="2:37" ht="13.15" customHeight="1">
      <c r="B343" s="2"/>
      <c r="E343" s="1265" t="s">
        <v>1382</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0" t="s">
        <v>1384</v>
      </c>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c r="F350" s="1260"/>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E351" s="3"/>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E352" s="3" t="s">
        <v>114</v>
      </c>
      <c r="F352" s="1260" t="s">
        <v>1383</v>
      </c>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1260"/>
      <c r="G353" s="1260"/>
      <c r="H353" s="1260"/>
      <c r="I353" s="1260"/>
      <c r="J353" s="1260"/>
      <c r="K353" s="1260"/>
      <c r="L353" s="1260"/>
      <c r="M353" s="1260"/>
      <c r="N353" s="1260"/>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row>
    <row r="354" spans="1:38">
      <c r="B354" s="2"/>
      <c r="F354" s="1260"/>
      <c r="G354" s="1260"/>
      <c r="H354" s="1260"/>
      <c r="I354" s="1260"/>
      <c r="J354" s="1260"/>
      <c r="K354" s="1260"/>
      <c r="L354" s="1260"/>
      <c r="M354" s="1260"/>
      <c r="N354" s="1260"/>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row>
    <row r="355" spans="1:38">
      <c r="B355" s="2"/>
      <c r="F355" s="4"/>
      <c r="H355" s="4"/>
      <c r="I355" s="4"/>
      <c r="J355" s="4"/>
      <c r="K355" s="4"/>
      <c r="L355" s="4"/>
      <c r="M355" s="4"/>
      <c r="N355" s="4"/>
      <c r="O355" s="4"/>
      <c r="P355" s="4"/>
      <c r="Q355" s="4"/>
      <c r="R355" s="4"/>
      <c r="S355" s="4"/>
    </row>
    <row r="356" spans="1:38">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1362</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755</v>
      </c>
      <c r="I361" s="4"/>
      <c r="J361" s="4"/>
      <c r="K361" s="4"/>
      <c r="L361" s="4"/>
      <c r="M361" s="4"/>
      <c r="N361" s="4"/>
      <c r="O361" s="4"/>
      <c r="P361" s="4"/>
      <c r="Q361" s="4"/>
      <c r="R361" s="4"/>
      <c r="S361" s="4"/>
    </row>
    <row r="362" spans="1:38">
      <c r="B362" s="2"/>
      <c r="F362" s="4" t="s">
        <v>756</v>
      </c>
      <c r="I362" s="4"/>
      <c r="J362" s="4"/>
      <c r="K362" s="4"/>
      <c r="L362" s="4"/>
      <c r="M362" s="4"/>
      <c r="N362" s="4"/>
      <c r="O362" s="4"/>
      <c r="P362" s="4"/>
      <c r="Q362" s="4"/>
      <c r="R362" s="4"/>
      <c r="S362" s="4"/>
    </row>
    <row r="363" spans="1:38">
      <c r="B363" s="2"/>
      <c r="F363" s="4" t="s">
        <v>900</v>
      </c>
      <c r="G363" s="4"/>
      <c r="K363" s="4"/>
      <c r="L363" s="4"/>
      <c r="M363" s="4"/>
      <c r="N363" s="4"/>
      <c r="O363" s="4"/>
      <c r="P363" s="4"/>
      <c r="Q363" s="4"/>
      <c r="R363" s="4"/>
      <c r="S363" s="4"/>
    </row>
    <row r="364" spans="1:38">
      <c r="B364" s="2"/>
      <c r="E364" t="s">
        <v>114</v>
      </c>
      <c r="F364" s="4" t="s">
        <v>899</v>
      </c>
      <c r="I364" s="4"/>
      <c r="J364" s="4"/>
      <c r="K364" s="4"/>
      <c r="L364" s="4"/>
      <c r="M364" s="4"/>
      <c r="N364" s="4"/>
      <c r="O364" s="4"/>
      <c r="P364" s="4"/>
      <c r="Q364" s="4"/>
      <c r="R364" s="4"/>
      <c r="S364" s="4"/>
    </row>
    <row r="365" spans="1:38">
      <c r="B365" s="2"/>
      <c r="E365" t="s">
        <v>120</v>
      </c>
      <c r="F365" s="4" t="s">
        <v>757</v>
      </c>
      <c r="I365" s="4"/>
      <c r="J365" s="4"/>
      <c r="K365" s="4"/>
      <c r="L365" s="4"/>
      <c r="M365" s="4"/>
      <c r="N365" s="4"/>
      <c r="O365" s="4"/>
      <c r="P365" s="4"/>
      <c r="Q365" s="4"/>
      <c r="R365" s="4"/>
      <c r="S365" s="4"/>
    </row>
    <row r="366" spans="1:38">
      <c r="B366" s="2"/>
      <c r="F366" s="4" t="s">
        <v>758</v>
      </c>
      <c r="J366" s="4"/>
      <c r="K366" s="4"/>
      <c r="L366" s="4"/>
      <c r="M366" s="4"/>
      <c r="N366" s="4"/>
      <c r="O366" s="4"/>
      <c r="P366" s="4"/>
      <c r="Q366" s="4"/>
      <c r="R366" s="4"/>
      <c r="S366" s="4"/>
    </row>
    <row r="367" spans="1:38">
      <c r="B367" s="2"/>
      <c r="E367" s="1268" t="s">
        <v>1373</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69" customFormat="1">
      <c r="A369"/>
      <c r="B369" s="2"/>
      <c r="C369"/>
      <c r="D369"/>
      <c r="E369" s="1266" t="s">
        <v>1416</v>
      </c>
    </row>
    <row r="370" spans="1:37" s="1269"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577</v>
      </c>
      <c r="J372" s="4"/>
      <c r="K372" s="4"/>
      <c r="L372" s="4"/>
      <c r="M372" s="4"/>
      <c r="N372" s="4"/>
      <c r="O372" s="4"/>
      <c r="P372" s="4"/>
      <c r="Q372" s="4"/>
      <c r="R372" s="4"/>
      <c r="S372" s="4"/>
    </row>
    <row r="373" spans="1:37">
      <c r="B373" s="2"/>
      <c r="E373" s="4" t="s">
        <v>759</v>
      </c>
      <c r="F373" s="4"/>
      <c r="G373" s="4"/>
      <c r="H373" s="4"/>
      <c r="I373" s="4"/>
      <c r="J373" s="4"/>
      <c r="K373" s="4"/>
      <c r="L373" s="4"/>
      <c r="M373" s="4"/>
      <c r="N373" s="4"/>
      <c r="O373" s="4"/>
      <c r="P373" s="4"/>
      <c r="Q373" s="4"/>
      <c r="R373" s="4"/>
      <c r="S373" s="4"/>
    </row>
    <row r="374" spans="1:37">
      <c r="B374" s="2"/>
      <c r="E374" s="4" t="s">
        <v>760</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1292</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1417</v>
      </c>
      <c r="J381" s="3"/>
      <c r="K381" s="3"/>
      <c r="L381" s="3"/>
      <c r="M381" s="3"/>
      <c r="N381" s="3"/>
      <c r="O381" s="3"/>
      <c r="P381" s="3"/>
      <c r="Q381" s="3"/>
      <c r="R381" s="3"/>
      <c r="S381" s="3"/>
    </row>
    <row r="382" spans="1:37">
      <c r="B382" s="2"/>
      <c r="D382" s="2"/>
      <c r="E382" s="3" t="s">
        <v>759</v>
      </c>
      <c r="F382" s="3"/>
      <c r="G382" s="3"/>
      <c r="J382" s="3"/>
      <c r="K382" s="3"/>
      <c r="L382" s="3"/>
      <c r="M382" s="3"/>
      <c r="N382" s="3"/>
      <c r="O382" s="3"/>
      <c r="P382" s="3"/>
      <c r="Q382" s="3"/>
      <c r="R382" s="3"/>
      <c r="S382" s="3"/>
    </row>
    <row r="383" spans="1:37">
      <c r="B383" s="2"/>
      <c r="D383" s="2"/>
      <c r="E383" s="3" t="s">
        <v>1295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0" t="s">
        <v>1427</v>
      </c>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3"/>
      <c r="F389" s="1260"/>
      <c r="G389" s="1260"/>
      <c r="H389" s="1260"/>
      <c r="I389" s="1260"/>
      <c r="J389" s="1260"/>
      <c r="K389" s="1260"/>
      <c r="L389" s="1260"/>
      <c r="M389" s="1260"/>
      <c r="N389" s="1260"/>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row>
    <row r="390" spans="1:38">
      <c r="B390" s="2"/>
      <c r="E390" s="3"/>
      <c r="F390" s="1260"/>
      <c r="G390" s="1260"/>
      <c r="H390" s="1260"/>
      <c r="I390" s="1260"/>
      <c r="J390" s="1260"/>
      <c r="K390" s="1260"/>
      <c r="L390" s="1260"/>
      <c r="M390" s="1260"/>
      <c r="N390" s="1260"/>
      <c r="O390" s="1260"/>
      <c r="P390" s="1260"/>
      <c r="Q390" s="1260"/>
      <c r="R390" s="1260"/>
      <c r="S390" s="1260"/>
      <c r="T390" s="1260"/>
      <c r="U390" s="1260"/>
      <c r="V390" s="1260"/>
      <c r="W390" s="1260"/>
      <c r="X390" s="1260"/>
      <c r="Y390" s="1260"/>
      <c r="Z390" s="1260"/>
      <c r="AA390" s="1260"/>
      <c r="AB390" s="1260"/>
      <c r="AC390" s="1260"/>
      <c r="AD390" s="1260"/>
      <c r="AE390" s="1260"/>
      <c r="AF390" s="1260"/>
      <c r="AG390" s="1260"/>
      <c r="AH390" s="1260"/>
      <c r="AI390" s="1260"/>
      <c r="AJ390" s="1260"/>
      <c r="AK390" s="1260"/>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1433</v>
      </c>
      <c r="F392" s="3"/>
      <c r="G392" s="2"/>
      <c r="I392" s="120"/>
      <c r="J392" s="3"/>
      <c r="K392" s="3"/>
      <c r="L392" s="3"/>
      <c r="M392" s="3"/>
      <c r="N392" s="3"/>
      <c r="O392" s="3"/>
      <c r="P392" s="3"/>
      <c r="Q392" s="3"/>
      <c r="R392" s="3"/>
      <c r="S392" s="3"/>
    </row>
    <row r="393" spans="1:38" ht="13.15" customHeight="1">
      <c r="B393" s="2"/>
      <c r="D393" s="2"/>
      <c r="E393" s="3" t="s">
        <v>1432</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1295</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5703125" style="1204" bestFit="1" customWidth="1"/>
    <col min="71" max="71" width="6.140625" style="1204" bestFit="1" customWidth="1"/>
    <col min="72" max="76" width="5.5703125" style="1204" bestFit="1" customWidth="1"/>
    <col min="77" max="77" width="6.140625" style="1204" bestFit="1" customWidth="1"/>
    <col min="78" max="78" width="5.5703125" style="1204" bestFit="1" customWidth="1"/>
    <col min="79" max="16384" width="2.7109375" style="1204"/>
  </cols>
  <sheetData>
    <row r="1" spans="1:65" ht="15.75" customHeight="1">
      <c r="A1" s="2166" t="s">
        <v>2514</v>
      </c>
      <c r="B1" s="2167"/>
      <c r="C1" s="2167"/>
      <c r="D1" s="2167"/>
      <c r="E1" s="2167"/>
      <c r="F1" s="2167"/>
      <c r="G1" s="2167"/>
      <c r="H1" s="2167"/>
      <c r="I1" s="2167"/>
      <c r="J1" s="2167"/>
      <c r="K1" s="2167"/>
      <c r="L1" s="2167"/>
      <c r="M1" s="2167"/>
      <c r="N1" s="2167"/>
      <c r="O1" s="2167"/>
      <c r="P1" s="2167"/>
      <c r="Q1" s="2167"/>
      <c r="R1" s="2167"/>
      <c r="S1" s="2167"/>
      <c r="T1" s="2167"/>
      <c r="U1" s="2167"/>
      <c r="V1" s="2167"/>
      <c r="W1" s="2167"/>
      <c r="X1" s="2167"/>
      <c r="Y1" s="2167"/>
      <c r="Z1" s="2167"/>
      <c r="AA1" s="2167"/>
      <c r="AB1" s="2167"/>
      <c r="AC1" s="2167"/>
      <c r="AD1" s="2167"/>
      <c r="AE1" s="2167"/>
      <c r="AF1" s="2167"/>
      <c r="AG1" s="2167"/>
      <c r="AH1" s="2167"/>
      <c r="AI1" s="2167"/>
      <c r="AJ1" s="2167"/>
      <c r="AK1" s="2167"/>
      <c r="AL1" s="2167"/>
      <c r="AM1" s="2167"/>
      <c r="AN1" s="2167"/>
      <c r="AO1" s="2167"/>
      <c r="AP1" s="2167"/>
      <c r="AQ1" s="2167"/>
      <c r="AR1" s="2167"/>
      <c r="AS1" s="2167"/>
      <c r="AT1" s="2167"/>
      <c r="AU1" s="2167"/>
      <c r="AV1" s="2167"/>
      <c r="AW1" s="2167"/>
      <c r="AX1" s="2167"/>
      <c r="AY1" s="2167"/>
      <c r="AZ1" s="2167"/>
      <c r="BA1" s="2167"/>
      <c r="BB1" s="2167"/>
      <c r="BC1" s="2167"/>
      <c r="BD1" s="2167"/>
      <c r="BE1" s="2168"/>
    </row>
    <row r="2" spans="1:65" ht="15.75" customHeight="1">
      <c r="A2" s="2169" t="s">
        <v>2562</v>
      </c>
      <c r="B2" s="2170"/>
      <c r="C2" s="2170"/>
      <c r="D2" s="2170"/>
      <c r="E2" s="2170"/>
      <c r="F2" s="2170"/>
      <c r="G2" s="2170"/>
      <c r="H2" s="2170"/>
      <c r="I2" s="2170"/>
      <c r="J2" s="2170"/>
      <c r="K2" s="2170"/>
      <c r="L2" s="2170"/>
      <c r="M2" s="2170"/>
      <c r="N2" s="2170"/>
      <c r="O2" s="2170"/>
      <c r="P2" s="2170"/>
      <c r="Q2" s="2170"/>
      <c r="R2" s="2170"/>
      <c r="S2" s="2170"/>
      <c r="T2" s="2170"/>
      <c r="U2" s="2170"/>
      <c r="V2" s="2170"/>
      <c r="W2" s="2170"/>
      <c r="X2" s="2170"/>
      <c r="Y2" s="2170"/>
      <c r="Z2" s="2170"/>
      <c r="AA2" s="2170"/>
      <c r="AB2" s="2170"/>
      <c r="AC2" s="2170"/>
      <c r="AD2" s="2170"/>
      <c r="AE2" s="2170"/>
      <c r="AF2" s="2170"/>
      <c r="AG2" s="2170"/>
      <c r="AH2" s="2170"/>
      <c r="AI2" s="2170"/>
      <c r="AJ2" s="2170"/>
      <c r="AK2" s="2170"/>
      <c r="AL2" s="2170"/>
      <c r="AM2" s="2170"/>
      <c r="AN2" s="2170"/>
      <c r="AO2" s="2170"/>
      <c r="AP2" s="2170"/>
      <c r="AQ2" s="2170"/>
      <c r="AR2" s="2170"/>
      <c r="AS2" s="2170"/>
      <c r="AT2" s="2170"/>
      <c r="AU2" s="2170"/>
      <c r="AV2" s="2170"/>
      <c r="AW2" s="2170"/>
      <c r="AX2" s="2170"/>
      <c r="AY2" s="2170"/>
      <c r="AZ2" s="2170"/>
      <c r="BA2" s="2170"/>
      <c r="BB2" s="2170"/>
      <c r="BC2" s="2170"/>
      <c r="BD2" s="2170"/>
      <c r="BE2" s="2171"/>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665</v>
      </c>
      <c r="C4" s="1209"/>
      <c r="D4" s="1209"/>
      <c r="E4" s="1209"/>
      <c r="F4" s="1209"/>
      <c r="G4" s="1207"/>
      <c r="H4" s="1207"/>
      <c r="I4" s="1207"/>
      <c r="J4" s="1207"/>
      <c r="K4" s="1207"/>
      <c r="L4" s="2158" t="str">
        <f>IF(Application!H18="","",Application!H18)</f>
        <v xml:space="preserve">Villa Plumosa </v>
      </c>
      <c r="M4" s="2159"/>
      <c r="N4" s="2159"/>
      <c r="O4" s="2159"/>
      <c r="P4" s="2159"/>
      <c r="Q4" s="2159"/>
      <c r="R4" s="2159"/>
      <c r="S4" s="2159"/>
      <c r="T4" s="2159"/>
      <c r="U4" s="2159"/>
      <c r="V4" s="2159"/>
      <c r="W4" s="2159"/>
      <c r="X4" s="2159"/>
      <c r="Y4" s="2159"/>
      <c r="Z4" s="2159"/>
      <c r="AA4" s="2159"/>
      <c r="AB4" s="2159"/>
      <c r="AC4" s="2160"/>
      <c r="AD4" s="1207"/>
      <c r="AE4" s="1207"/>
      <c r="AF4" s="2172" t="s">
        <v>2563</v>
      </c>
      <c r="AG4" s="2172"/>
      <c r="AH4" s="2172"/>
      <c r="AI4" s="2172"/>
      <c r="AJ4" s="2172"/>
      <c r="AK4" s="2172"/>
      <c r="AL4" s="2172"/>
      <c r="AM4" s="2172"/>
      <c r="AN4" s="2172"/>
      <c r="AO4" s="2172"/>
      <c r="AP4" s="2173"/>
      <c r="AQ4" s="2174"/>
      <c r="AR4" s="2174"/>
      <c r="AS4" s="2174"/>
      <c r="AT4" s="2174"/>
      <c r="AU4" s="2174"/>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72" t="s">
        <v>2564</v>
      </c>
      <c r="AG5" s="2172"/>
      <c r="AH5" s="2172"/>
      <c r="AI5" s="2172"/>
      <c r="AJ5" s="2172"/>
      <c r="AK5" s="2172"/>
      <c r="AL5" s="2172"/>
      <c r="AM5" s="2172"/>
      <c r="AN5" s="2172"/>
      <c r="AO5" s="2172"/>
      <c r="AP5" s="2173"/>
      <c r="AQ5" s="2174"/>
      <c r="AR5" s="2174"/>
      <c r="AS5" s="2174"/>
      <c r="AT5" s="2174"/>
      <c r="AU5" s="2174"/>
      <c r="AV5" s="1207"/>
      <c r="AW5" s="1207"/>
      <c r="AX5" s="1207"/>
      <c r="AY5" s="1207"/>
      <c r="AZ5" s="1207"/>
      <c r="BA5" s="1207"/>
      <c r="BB5" s="1207"/>
      <c r="BC5" s="1207"/>
      <c r="BD5" s="1207"/>
      <c r="BE5" s="1208"/>
    </row>
    <row r="6" spans="1:65" ht="15.75" customHeight="1" thickBot="1">
      <c r="A6" s="1206"/>
      <c r="B6" s="1209" t="s">
        <v>1857</v>
      </c>
      <c r="C6" s="1207"/>
      <c r="D6" s="1207"/>
      <c r="E6" s="1207"/>
      <c r="F6" s="1207"/>
      <c r="G6" s="1207"/>
      <c r="H6" s="1207"/>
      <c r="I6" s="1207"/>
      <c r="J6" s="1207"/>
      <c r="K6" s="1207"/>
      <c r="L6" s="2158" t="str">
        <f>IF(Application!H16="","",Application!H16)</f>
        <v>National Community Renaissance of California (NCRC)</v>
      </c>
      <c r="M6" s="2159"/>
      <c r="N6" s="2159"/>
      <c r="O6" s="2159"/>
      <c r="P6" s="2159"/>
      <c r="Q6" s="2159"/>
      <c r="R6" s="2159"/>
      <c r="S6" s="2159"/>
      <c r="T6" s="2159"/>
      <c r="U6" s="2159"/>
      <c r="V6" s="2159"/>
      <c r="W6" s="2159"/>
      <c r="X6" s="2159"/>
      <c r="Y6" s="2159"/>
      <c r="Z6" s="2159"/>
      <c r="AA6" s="2159"/>
      <c r="AB6" s="2159"/>
      <c r="AC6" s="2160"/>
      <c r="AD6" s="1207"/>
      <c r="AE6" s="1207"/>
      <c r="AF6" s="2161" t="s">
        <v>2565</v>
      </c>
      <c r="AG6" s="2161"/>
      <c r="AH6" s="2161"/>
      <c r="AI6" s="2161"/>
      <c r="AJ6" s="2161"/>
      <c r="AK6" s="2161"/>
      <c r="AL6" s="2161"/>
      <c r="AM6" s="2161"/>
      <c r="AN6" s="2161"/>
      <c r="AO6" s="2161"/>
      <c r="AP6" s="2162">
        <v>0</v>
      </c>
      <c r="AQ6" s="2162"/>
      <c r="AR6" s="2162"/>
      <c r="AS6" s="2162"/>
      <c r="AT6" s="2162"/>
      <c r="AU6" s="2162"/>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61" t="s">
        <v>2566</v>
      </c>
      <c r="AG7" s="2161"/>
      <c r="AH7" s="2161"/>
      <c r="AI7" s="2161"/>
      <c r="AJ7" s="2161"/>
      <c r="AK7" s="2161"/>
      <c r="AL7" s="2161"/>
      <c r="AM7" s="2161"/>
      <c r="AN7" s="2161"/>
      <c r="AO7" s="2161"/>
      <c r="AP7" s="2162">
        <v>0</v>
      </c>
      <c r="AQ7" s="2162"/>
      <c r="AR7" s="2162"/>
      <c r="AS7" s="2162"/>
      <c r="AT7" s="2162"/>
      <c r="AU7" s="2162"/>
      <c r="AV7" s="1207"/>
      <c r="AW7" s="1207"/>
      <c r="AX7" s="1207"/>
      <c r="AY7" s="1207"/>
      <c r="AZ7" s="1207"/>
      <c r="BA7" s="1207"/>
      <c r="BB7" s="1207"/>
      <c r="BC7" s="1207"/>
      <c r="BD7" s="1207"/>
      <c r="BE7" s="1208"/>
    </row>
    <row r="8" spans="1:65" thickBot="1">
      <c r="A8" s="1206"/>
      <c r="B8" s="1209" t="s">
        <v>1858</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63" t="str">
        <f>Application!T196</f>
        <v>No</v>
      </c>
      <c r="AC8" s="2164"/>
      <c r="AD8" s="2165"/>
      <c r="AE8" s="1207"/>
      <c r="AF8" s="2161" t="s">
        <v>2567</v>
      </c>
      <c r="AG8" s="2161"/>
      <c r="AH8" s="2161"/>
      <c r="AI8" s="2161"/>
      <c r="AJ8" s="2161"/>
      <c r="AK8" s="2161"/>
      <c r="AL8" s="2161"/>
      <c r="AM8" s="2161"/>
      <c r="AN8" s="2161"/>
      <c r="AO8" s="2161"/>
      <c r="AP8" s="2162" t="s">
        <v>2519</v>
      </c>
      <c r="AQ8" s="2162"/>
      <c r="AR8" s="2162"/>
      <c r="AS8" s="2162"/>
      <c r="AT8" s="2162"/>
      <c r="AU8" s="2162"/>
      <c r="AV8" s="1207"/>
      <c r="AW8" s="1207"/>
      <c r="AX8" s="1207"/>
      <c r="AY8" s="1207"/>
      <c r="AZ8" s="1207"/>
      <c r="BA8" s="1207"/>
      <c r="BB8" s="1207"/>
      <c r="BC8" s="1207"/>
      <c r="BD8" s="1207"/>
      <c r="BE8" s="1208"/>
      <c r="BM8" s="1204" t="s">
        <v>2374</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2568</v>
      </c>
    </row>
    <row r="10" spans="1:65" ht="15">
      <c r="A10" s="1206"/>
      <c r="B10" s="1209" t="s">
        <v>1859</v>
      </c>
      <c r="C10" s="1209"/>
      <c r="D10" s="1209"/>
      <c r="E10" s="1209"/>
      <c r="F10" s="1209"/>
      <c r="G10" s="1209"/>
      <c r="H10" s="1209"/>
      <c r="I10" s="1209"/>
      <c r="J10" s="1209"/>
      <c r="K10" s="1209"/>
      <c r="L10" s="1209"/>
      <c r="M10" s="1207"/>
      <c r="N10" s="2189">
        <f>Application!AO623</f>
        <v>6284216</v>
      </c>
      <c r="O10" s="2189"/>
      <c r="P10" s="2189"/>
      <c r="Q10" s="2189"/>
      <c r="R10" s="2189"/>
      <c r="S10" s="2189"/>
      <c r="T10" s="2189"/>
      <c r="U10" s="1207"/>
      <c r="V10" s="1207"/>
      <c r="W10" s="1207"/>
      <c r="X10" s="2175" t="s">
        <v>2569</v>
      </c>
      <c r="Y10" s="2175"/>
      <c r="Z10" s="2175"/>
      <c r="AA10" s="2175"/>
      <c r="AB10" s="2175"/>
      <c r="AC10" s="2175"/>
      <c r="AD10" s="2175"/>
      <c r="AE10" s="2175"/>
      <c r="AF10" s="2175"/>
      <c r="AG10" s="2175"/>
      <c r="AH10" s="2175"/>
      <c r="AI10" s="2175"/>
      <c r="AJ10" s="2175"/>
      <c r="AK10" s="2175"/>
      <c r="AL10" s="2190">
        <f>Application!W471</f>
        <v>0</v>
      </c>
      <c r="AM10" s="2191"/>
      <c r="AN10" s="2191"/>
      <c r="AO10" s="2191"/>
      <c r="AP10" s="2191"/>
      <c r="AQ10" s="1210"/>
      <c r="AR10" s="1210"/>
      <c r="AS10" s="1210"/>
      <c r="AT10" s="1210"/>
      <c r="AU10" s="1210"/>
      <c r="AV10" s="1210"/>
      <c r="AW10" s="1210"/>
      <c r="AX10" s="1207"/>
      <c r="AY10" s="1207"/>
      <c r="AZ10" s="1207"/>
      <c r="BA10" s="1207"/>
      <c r="BB10" s="1207"/>
      <c r="BC10" s="1207"/>
      <c r="BD10" s="1207"/>
      <c r="BE10" s="1208"/>
      <c r="BM10" s="1204" t="s">
        <v>2570</v>
      </c>
    </row>
    <row r="11" spans="1:65" ht="15">
      <c r="A11" s="1206"/>
      <c r="B11" s="1209" t="s">
        <v>1860</v>
      </c>
      <c r="C11" s="1209"/>
      <c r="D11" s="1209"/>
      <c r="E11" s="1209"/>
      <c r="F11" s="1209"/>
      <c r="G11" s="1209"/>
      <c r="H11" s="1209"/>
      <c r="I11" s="1209"/>
      <c r="J11" s="1209"/>
      <c r="K11" s="1209"/>
      <c r="L11" s="1209"/>
      <c r="M11" s="1207"/>
      <c r="N11" s="2189">
        <f>Application!AA911</f>
        <v>0</v>
      </c>
      <c r="O11" s="2189"/>
      <c r="P11" s="2189"/>
      <c r="Q11" s="2189"/>
      <c r="R11" s="2189"/>
      <c r="S11" s="2189"/>
      <c r="T11" s="2189"/>
      <c r="U11" s="1207"/>
      <c r="V11" s="1207"/>
      <c r="W11" s="1207"/>
      <c r="X11" s="2192" t="s">
        <v>2571</v>
      </c>
      <c r="Y11" s="2192"/>
      <c r="Z11" s="2192"/>
      <c r="AA11" s="2192"/>
      <c r="AB11" s="2192"/>
      <c r="AC11" s="2192"/>
      <c r="AD11" s="2192"/>
      <c r="AE11" s="2192"/>
      <c r="AF11" s="2192"/>
      <c r="AG11" s="2192"/>
      <c r="AH11" s="2192"/>
      <c r="AI11" s="2192"/>
      <c r="AJ11" s="2192"/>
      <c r="AK11" s="2192"/>
      <c r="AL11" s="2176"/>
      <c r="AM11" s="2177"/>
      <c r="AN11" s="2177"/>
      <c r="AO11" s="2177"/>
      <c r="AP11" s="2177"/>
      <c r="AQ11" s="1211"/>
      <c r="AR11" s="1212"/>
      <c r="AS11" s="1210"/>
      <c r="AT11" s="1210"/>
      <c r="AU11" s="1210"/>
      <c r="AV11" s="1210"/>
      <c r="AW11" s="1210"/>
      <c r="AX11" s="1207"/>
      <c r="AY11" s="1207"/>
      <c r="AZ11" s="1207"/>
      <c r="BA11" s="1207"/>
      <c r="BB11" s="1207"/>
      <c r="BC11" s="1207"/>
      <c r="BD11" s="1207"/>
      <c r="BE11" s="1208"/>
      <c r="BM11" s="1204" t="s">
        <v>2519</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75" t="s">
        <v>2572</v>
      </c>
      <c r="Y12" s="2175"/>
      <c r="Z12" s="2175"/>
      <c r="AA12" s="2175"/>
      <c r="AB12" s="2175"/>
      <c r="AC12" s="2175"/>
      <c r="AD12" s="2175"/>
      <c r="AE12" s="2175"/>
      <c r="AF12" s="2175"/>
      <c r="AG12" s="2175"/>
      <c r="AH12" s="2175"/>
      <c r="AI12" s="2175"/>
      <c r="AJ12" s="2175"/>
      <c r="AK12" s="2175"/>
      <c r="AL12" s="2176"/>
      <c r="AM12" s="2177"/>
      <c r="AN12" s="2177"/>
      <c r="AO12" s="2177"/>
      <c r="AP12" s="2177"/>
      <c r="AQ12" s="1210"/>
      <c r="AR12" s="1210"/>
      <c r="AS12" s="1210"/>
      <c r="AT12" s="1210"/>
      <c r="AU12" s="1210"/>
      <c r="AV12" s="1207"/>
      <c r="AW12" s="1207"/>
      <c r="AX12" s="1207"/>
      <c r="AY12" s="1207"/>
      <c r="AZ12" s="1207"/>
      <c r="BA12" s="1207"/>
      <c r="BB12" s="1207"/>
      <c r="BC12" s="1207"/>
      <c r="BD12" s="1207"/>
      <c r="BE12" s="1213"/>
      <c r="BM12" s="1204" t="s">
        <v>2573</v>
      </c>
    </row>
    <row r="13" spans="1:65" thickBot="1">
      <c r="A13" s="1207"/>
      <c r="B13" s="2178" t="s">
        <v>1861</v>
      </c>
      <c r="C13" s="2179"/>
      <c r="D13" s="2179"/>
      <c r="E13" s="2179"/>
      <c r="F13" s="2179"/>
      <c r="G13" s="2179"/>
      <c r="H13" s="2179"/>
      <c r="I13" s="2179"/>
      <c r="J13" s="2179"/>
      <c r="K13" s="2179"/>
      <c r="L13" s="2179"/>
      <c r="M13" s="2179"/>
      <c r="N13" s="2179"/>
      <c r="O13" s="2179"/>
      <c r="P13" s="2180"/>
      <c r="Q13" s="2181" t="s">
        <v>678</v>
      </c>
      <c r="R13" s="2182"/>
      <c r="S13" s="2182"/>
      <c r="T13" s="2183"/>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2574</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184" t="s">
        <v>1862</v>
      </c>
      <c r="C15" s="2185"/>
      <c r="D15" s="2185"/>
      <c r="E15" s="2185"/>
      <c r="F15" s="2185"/>
      <c r="G15" s="2185"/>
      <c r="H15" s="2185"/>
      <c r="I15" s="2185"/>
      <c r="J15" s="2185"/>
      <c r="K15" s="2185"/>
      <c r="L15" s="2185"/>
      <c r="M15" s="2185"/>
      <c r="N15" s="2185"/>
      <c r="O15" s="2185"/>
      <c r="P15" s="2185"/>
      <c r="Q15" s="2185"/>
      <c r="R15" s="2186"/>
      <c r="S15" s="2187" t="str">
        <f>IF(Application!AB214="","",Application!AB214)</f>
        <v/>
      </c>
      <c r="T15" s="2187"/>
      <c r="U15" s="2187"/>
      <c r="V15" s="2187"/>
      <c r="W15" s="2188"/>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193" t="s">
        <v>1863</v>
      </c>
      <c r="C17" s="2194"/>
      <c r="D17" s="2194"/>
      <c r="E17" s="2194"/>
      <c r="F17" s="2194"/>
      <c r="G17" s="2194"/>
      <c r="H17" s="2194"/>
      <c r="I17" s="2194"/>
      <c r="J17" s="2194"/>
      <c r="K17" s="2194"/>
      <c r="L17" s="2194"/>
      <c r="M17" s="2194"/>
      <c r="N17" s="2194"/>
      <c r="O17" s="2194"/>
      <c r="P17" s="2194"/>
      <c r="Q17" s="2194"/>
      <c r="R17" s="2194"/>
      <c r="S17" s="2194"/>
      <c r="T17" s="2194"/>
      <c r="U17" s="2194"/>
      <c r="V17" s="2194"/>
      <c r="W17" s="2194"/>
      <c r="X17" s="2194"/>
      <c r="Y17" s="2194"/>
      <c r="Z17" s="2194"/>
      <c r="AA17" s="2194"/>
      <c r="AB17" s="2194"/>
      <c r="AC17" s="2194"/>
      <c r="AD17" s="2194"/>
      <c r="AE17" s="2194"/>
      <c r="AF17" s="2194"/>
      <c r="AG17" s="2194"/>
      <c r="AH17" s="2194"/>
      <c r="AI17" s="2194"/>
      <c r="AJ17" s="2194"/>
      <c r="AK17" s="2194"/>
      <c r="AL17" s="2194"/>
      <c r="AM17" s="2194"/>
      <c r="AN17" s="2194"/>
      <c r="AO17" s="2194"/>
      <c r="AP17" s="2194"/>
      <c r="AQ17" s="2194"/>
      <c r="AR17" s="2194"/>
      <c r="AS17" s="2194"/>
      <c r="AT17" s="2194"/>
      <c r="AU17" s="2194"/>
      <c r="AV17" s="2194"/>
      <c r="AW17" s="2194"/>
      <c r="AX17" s="2194"/>
      <c r="AY17" s="2195"/>
      <c r="AZ17" s="1207"/>
      <c r="BA17" s="1207"/>
      <c r="BB17" s="1207"/>
      <c r="BC17" s="1207"/>
      <c r="BD17" s="1207"/>
      <c r="BE17" s="1213"/>
      <c r="BF17" s="1205"/>
    </row>
    <row r="18" spans="1:58" ht="15.75" customHeight="1">
      <c r="A18" s="1207"/>
      <c r="B18" s="2196" t="s">
        <v>1864</v>
      </c>
      <c r="C18" s="2197"/>
      <c r="D18" s="2197"/>
      <c r="E18" s="2197"/>
      <c r="F18" s="2197"/>
      <c r="G18" s="2197"/>
      <c r="H18" s="2197"/>
      <c r="I18" s="2198"/>
      <c r="J18" s="2199" t="s">
        <v>1763</v>
      </c>
      <c r="K18" s="2200"/>
      <c r="L18" s="2200"/>
      <c r="M18" s="2200"/>
      <c r="N18" s="2200"/>
      <c r="O18" s="2201"/>
      <c r="P18" s="2199" t="s">
        <v>326</v>
      </c>
      <c r="Q18" s="2200"/>
      <c r="R18" s="2200"/>
      <c r="S18" s="2200"/>
      <c r="T18" s="2200"/>
      <c r="U18" s="2201"/>
      <c r="V18" s="2199" t="s">
        <v>327</v>
      </c>
      <c r="W18" s="2200"/>
      <c r="X18" s="2200"/>
      <c r="Y18" s="2200"/>
      <c r="Z18" s="2200"/>
      <c r="AA18" s="2201"/>
      <c r="AB18" s="2199" t="s">
        <v>164</v>
      </c>
      <c r="AC18" s="2200"/>
      <c r="AD18" s="2200"/>
      <c r="AE18" s="2200"/>
      <c r="AF18" s="2200"/>
      <c r="AG18" s="2201"/>
      <c r="AH18" s="2199" t="s">
        <v>165</v>
      </c>
      <c r="AI18" s="2200"/>
      <c r="AJ18" s="2200"/>
      <c r="AK18" s="2200"/>
      <c r="AL18" s="2200"/>
      <c r="AM18" s="2201"/>
      <c r="AN18" s="2199" t="s">
        <v>166</v>
      </c>
      <c r="AO18" s="2200"/>
      <c r="AP18" s="2200"/>
      <c r="AQ18" s="2200"/>
      <c r="AR18" s="2200"/>
      <c r="AS18" s="2201"/>
      <c r="AT18" s="2199" t="s">
        <v>1865</v>
      </c>
      <c r="AU18" s="2200"/>
      <c r="AV18" s="2200"/>
      <c r="AW18" s="2200"/>
      <c r="AX18" s="2200"/>
      <c r="AY18" s="2202"/>
      <c r="AZ18" s="1207"/>
      <c r="BA18" s="1207"/>
      <c r="BB18" s="1207"/>
      <c r="BC18" s="1207"/>
      <c r="BD18" s="1207"/>
      <c r="BE18" s="1213"/>
    </row>
    <row r="19" spans="1:58" ht="15">
      <c r="A19" s="1207"/>
      <c r="B19" s="2209">
        <v>0.3</v>
      </c>
      <c r="C19" s="2210"/>
      <c r="D19" s="2210"/>
      <c r="E19" s="2210"/>
      <c r="F19" s="2210"/>
      <c r="G19" s="2210"/>
      <c r="H19" s="2210"/>
      <c r="I19" s="2211"/>
      <c r="J19" s="2203">
        <f>SUM(P19:AS19)</f>
        <v>8</v>
      </c>
      <c r="K19" s="2204"/>
      <c r="L19" s="2204"/>
      <c r="M19" s="2204"/>
      <c r="N19" s="2204"/>
      <c r="O19" s="2205"/>
      <c r="P19" s="2203" cm="1">
        <f t="array" ref="P19">SUMPRODUCT((Application!$B$714:$B$738 = 'CalHFA Addendum'!P$18)*(Application!$AC$714:$AC$738 = 'CalHFA Addendum'!$B19),Application!$G$714:$G$738)</f>
        <v>0</v>
      </c>
      <c r="Q19" s="2204"/>
      <c r="R19" s="2204"/>
      <c r="S19" s="2204"/>
      <c r="T19" s="2204"/>
      <c r="U19" s="2205"/>
      <c r="V19" s="2203" cm="1">
        <f t="array" ref="V19">SUMPRODUCT((Application!$B$714:$B$738 = 'CalHFA Addendum'!V$18)*(Application!$AC$714:$AC$738 = 'CalHFA Addendum'!$B19),Application!$G$714:$G$738)</f>
        <v>0</v>
      </c>
      <c r="W19" s="2204"/>
      <c r="X19" s="2204"/>
      <c r="Y19" s="2204"/>
      <c r="Z19" s="2204"/>
      <c r="AA19" s="2205"/>
      <c r="AB19" s="2203" cm="1">
        <f t="array" ref="AB19">SUMPRODUCT((Application!$B$714:$B$738 = 'CalHFA Addendum'!AB$18)*(Application!$AC$714:$AC$738 = 'CalHFA Addendum'!$B19),Application!$G$714:$G$738)</f>
        <v>5</v>
      </c>
      <c r="AC19" s="2204"/>
      <c r="AD19" s="2204"/>
      <c r="AE19" s="2204"/>
      <c r="AF19" s="2204"/>
      <c r="AG19" s="2205"/>
      <c r="AH19" s="2203" cm="1">
        <f t="array" ref="AH19">SUMPRODUCT((Application!$B$714:$B$738 = 'CalHFA Addendum'!AH$18)*(Application!$AC$714:$AC$738 = 'CalHFA Addendum'!$B19),Application!$G$714:$G$738)</f>
        <v>3</v>
      </c>
      <c r="AI19" s="2204"/>
      <c r="AJ19" s="2204"/>
      <c r="AK19" s="2204"/>
      <c r="AL19" s="2204"/>
      <c r="AM19" s="2205"/>
      <c r="AN19" s="2203" cm="1">
        <f t="array" ref="AN19">SUMPRODUCT((Application!$B$714:$B$738 = 'CalHFA Addendum'!AN$18)*(Application!$AC$714:$AC$738 = 'CalHFA Addendum'!$B19),Application!$G$714:$G$738)</f>
        <v>0</v>
      </c>
      <c r="AO19" s="2204"/>
      <c r="AP19" s="2204"/>
      <c r="AQ19" s="2204"/>
      <c r="AR19" s="2204"/>
      <c r="AS19" s="2205"/>
      <c r="AT19" s="2206">
        <f t="shared" ref="AT19:AT28" si="0">J19/$J$29</f>
        <v>0.17777777777777778</v>
      </c>
      <c r="AU19" s="2207"/>
      <c r="AV19" s="2207"/>
      <c r="AW19" s="2207"/>
      <c r="AX19" s="2207"/>
      <c r="AY19" s="2208"/>
      <c r="AZ19" s="1214"/>
      <c r="BA19" s="1207"/>
      <c r="BB19" s="1207"/>
      <c r="BC19" s="1207"/>
      <c r="BD19" s="1207"/>
      <c r="BE19" s="1213"/>
    </row>
    <row r="20" spans="1:58" ht="15" customHeight="1">
      <c r="A20" s="1207"/>
      <c r="B20" s="2209">
        <v>0.4</v>
      </c>
      <c r="C20" s="2210"/>
      <c r="D20" s="2210"/>
      <c r="E20" s="2210"/>
      <c r="F20" s="2210"/>
      <c r="G20" s="2210"/>
      <c r="H20" s="2210"/>
      <c r="I20" s="2211"/>
      <c r="J20" s="2203">
        <f t="shared" ref="J20:J28" si="1">SUM(P20:AS20)</f>
        <v>0</v>
      </c>
      <c r="K20" s="2204"/>
      <c r="L20" s="2204"/>
      <c r="M20" s="2204"/>
      <c r="N20" s="2204"/>
      <c r="O20" s="2205"/>
      <c r="P20" s="2203" cm="1">
        <f t="array" ref="P20">SUMPRODUCT((Application!$B$714:$B$738 = 'CalHFA Addendum'!P$18)*(Application!$AC$714:$AC$738 = 'CalHFA Addendum'!$B20),Application!$G$714:$G$738)</f>
        <v>0</v>
      </c>
      <c r="Q20" s="2204"/>
      <c r="R20" s="2204"/>
      <c r="S20" s="2204"/>
      <c r="T20" s="2204"/>
      <c r="U20" s="2205"/>
      <c r="V20" s="2203" cm="1">
        <f t="array" ref="V20">SUMPRODUCT((Application!$B$714:$B$738 = 'CalHFA Addendum'!V$18)*(Application!$AC$714:$AC$738 = 'CalHFA Addendum'!$B20),Application!$G$714:$G$738)</f>
        <v>0</v>
      </c>
      <c r="W20" s="2204"/>
      <c r="X20" s="2204"/>
      <c r="Y20" s="2204"/>
      <c r="Z20" s="2204"/>
      <c r="AA20" s="2205"/>
      <c r="AB20" s="2203" cm="1">
        <f t="array" ref="AB20">SUMPRODUCT((Application!$B$714:$B$738 = 'CalHFA Addendum'!AB$18)*(Application!$AC$714:$AC$738 = 'CalHFA Addendum'!$B20),Application!$G$714:$G$738)</f>
        <v>0</v>
      </c>
      <c r="AC20" s="2204"/>
      <c r="AD20" s="2204"/>
      <c r="AE20" s="2204"/>
      <c r="AF20" s="2204"/>
      <c r="AG20" s="2205"/>
      <c r="AH20" s="2203" cm="1">
        <f t="array" ref="AH20">SUMPRODUCT((Application!$B$714:$B$738 = 'CalHFA Addendum'!AH$18)*(Application!$AC$714:$AC$738 = 'CalHFA Addendum'!$B20),Application!$G$714:$G$738)</f>
        <v>0</v>
      </c>
      <c r="AI20" s="2204"/>
      <c r="AJ20" s="2204"/>
      <c r="AK20" s="2204"/>
      <c r="AL20" s="2204"/>
      <c r="AM20" s="2205"/>
      <c r="AN20" s="2203" cm="1">
        <f t="array" ref="AN20">SUMPRODUCT((Application!$B$714:$B$738 = 'CalHFA Addendum'!AN$18)*(Application!$AC$714:$AC$738 = 'CalHFA Addendum'!$B20),Application!$G$714:$G$738)</f>
        <v>0</v>
      </c>
      <c r="AO20" s="2204"/>
      <c r="AP20" s="2204"/>
      <c r="AQ20" s="2204"/>
      <c r="AR20" s="2204"/>
      <c r="AS20" s="2205"/>
      <c r="AT20" s="2206">
        <f t="shared" si="0"/>
        <v>0</v>
      </c>
      <c r="AU20" s="2207"/>
      <c r="AV20" s="2207"/>
      <c r="AW20" s="2207"/>
      <c r="AX20" s="2207"/>
      <c r="AY20" s="2208"/>
      <c r="AZ20" s="1207"/>
      <c r="BA20" s="1207"/>
      <c r="BB20" s="1207"/>
      <c r="BC20" s="1207"/>
      <c r="BD20" s="1207"/>
      <c r="BE20" s="1213"/>
    </row>
    <row r="21" spans="1:58" ht="15">
      <c r="A21" s="1207"/>
      <c r="B21" s="2209">
        <v>0.5</v>
      </c>
      <c r="C21" s="2210"/>
      <c r="D21" s="2210"/>
      <c r="E21" s="2210"/>
      <c r="F21" s="2210"/>
      <c r="G21" s="2210"/>
      <c r="H21" s="2210"/>
      <c r="I21" s="2211"/>
      <c r="J21" s="2203">
        <f t="shared" si="1"/>
        <v>23</v>
      </c>
      <c r="K21" s="2204"/>
      <c r="L21" s="2204"/>
      <c r="M21" s="2204"/>
      <c r="N21" s="2204"/>
      <c r="O21" s="2205"/>
      <c r="P21" s="2203" cm="1">
        <f t="array" ref="P21">SUMPRODUCT((Application!$B$714:$B$738 = 'CalHFA Addendum'!P$18)*(Application!$AC$714:$AC$738 = 'CalHFA Addendum'!$B21),Application!$G$714:$G$738)</f>
        <v>0</v>
      </c>
      <c r="Q21" s="2204"/>
      <c r="R21" s="2204"/>
      <c r="S21" s="2204"/>
      <c r="T21" s="2204"/>
      <c r="U21" s="2205"/>
      <c r="V21" s="2203" cm="1">
        <f t="array" ref="V21">SUMPRODUCT((Application!$B$714:$B$738 = 'CalHFA Addendum'!V$18)*(Application!$AC$714:$AC$738 = 'CalHFA Addendum'!$B21),Application!$G$714:$G$738)</f>
        <v>0</v>
      </c>
      <c r="W21" s="2204"/>
      <c r="X21" s="2204"/>
      <c r="Y21" s="2204"/>
      <c r="Z21" s="2204"/>
      <c r="AA21" s="2205"/>
      <c r="AB21" s="2203" cm="1">
        <f t="array" ref="AB21">SUMPRODUCT((Application!$B$714:$B$738 = 'CalHFA Addendum'!AB$18)*(Application!$AC$714:$AC$738 = 'CalHFA Addendum'!$B21),Application!$G$714:$G$738)</f>
        <v>18</v>
      </c>
      <c r="AC21" s="2204"/>
      <c r="AD21" s="2204"/>
      <c r="AE21" s="2204"/>
      <c r="AF21" s="2204"/>
      <c r="AG21" s="2205"/>
      <c r="AH21" s="2203" cm="1">
        <f t="array" ref="AH21">SUMPRODUCT((Application!$B$714:$B$738 = 'CalHFA Addendum'!AH$18)*(Application!$AC$714:$AC$738 = 'CalHFA Addendum'!$B21),Application!$G$714:$G$738)</f>
        <v>5</v>
      </c>
      <c r="AI21" s="2204"/>
      <c r="AJ21" s="2204"/>
      <c r="AK21" s="2204"/>
      <c r="AL21" s="2204"/>
      <c r="AM21" s="2205"/>
      <c r="AN21" s="2203" cm="1">
        <f t="array" ref="AN21">SUMPRODUCT((Application!$B$714:$B$738 = 'CalHFA Addendum'!AN$18)*(Application!$AC$714:$AC$738 = 'CalHFA Addendum'!$B21),Application!$G$714:$G$738)</f>
        <v>0</v>
      </c>
      <c r="AO21" s="2204"/>
      <c r="AP21" s="2204"/>
      <c r="AQ21" s="2204"/>
      <c r="AR21" s="2204"/>
      <c r="AS21" s="2205"/>
      <c r="AT21" s="2206">
        <f t="shared" si="0"/>
        <v>0.51111111111111107</v>
      </c>
      <c r="AU21" s="2207"/>
      <c r="AV21" s="2207"/>
      <c r="AW21" s="2207"/>
      <c r="AX21" s="2207"/>
      <c r="AY21" s="2208"/>
      <c r="AZ21" s="1207"/>
      <c r="BA21" s="1207"/>
      <c r="BB21" s="1207"/>
      <c r="BC21" s="1207"/>
      <c r="BD21" s="1207"/>
      <c r="BE21" s="1213"/>
    </row>
    <row r="22" spans="1:58" ht="15">
      <c r="A22" s="1207"/>
      <c r="B22" s="2209">
        <v>0.6</v>
      </c>
      <c r="C22" s="2210"/>
      <c r="D22" s="2210"/>
      <c r="E22" s="2210"/>
      <c r="F22" s="2210"/>
      <c r="G22" s="2210"/>
      <c r="H22" s="2210"/>
      <c r="I22" s="2211"/>
      <c r="J22" s="2203">
        <f t="shared" si="1"/>
        <v>13</v>
      </c>
      <c r="K22" s="2204"/>
      <c r="L22" s="2204"/>
      <c r="M22" s="2204"/>
      <c r="N22" s="2204"/>
      <c r="O22" s="2205"/>
      <c r="P22" s="2203" cm="1">
        <f t="array" ref="P22">SUMPRODUCT((Application!$B$714:$B$738 = 'CalHFA Addendum'!P$18)*(Application!$AC$714:$AC$738 = 'CalHFA Addendum'!$B22),Application!$G$714:$G$738)</f>
        <v>0</v>
      </c>
      <c r="Q22" s="2204"/>
      <c r="R22" s="2204"/>
      <c r="S22" s="2204"/>
      <c r="T22" s="2204"/>
      <c r="U22" s="2205"/>
      <c r="V22" s="2203" cm="1">
        <f t="array" ref="V22">SUMPRODUCT((Application!$B$714:$B$738 = 'CalHFA Addendum'!V$18)*(Application!$AC$714:$AC$738 = 'CalHFA Addendum'!$B22),Application!$G$714:$G$738)</f>
        <v>0</v>
      </c>
      <c r="W22" s="2204"/>
      <c r="X22" s="2204"/>
      <c r="Y22" s="2204"/>
      <c r="Z22" s="2204"/>
      <c r="AA22" s="2205"/>
      <c r="AB22" s="2203" cm="1">
        <f t="array" ref="AB22">SUMPRODUCT((Application!$B$714:$B$738 = 'CalHFA Addendum'!AB$18)*(Application!$AC$714:$AC$738 = 'CalHFA Addendum'!$B22),Application!$G$714:$G$738)</f>
        <v>10</v>
      </c>
      <c r="AC22" s="2204"/>
      <c r="AD22" s="2204"/>
      <c r="AE22" s="2204"/>
      <c r="AF22" s="2204"/>
      <c r="AG22" s="2205"/>
      <c r="AH22" s="2203" cm="1">
        <f t="array" ref="AH22">SUMPRODUCT((Application!$B$714:$B$738 = 'CalHFA Addendum'!AH$18)*(Application!$AC$714:$AC$738 = 'CalHFA Addendum'!$B22),Application!$G$714:$G$738)</f>
        <v>3</v>
      </c>
      <c r="AI22" s="2204"/>
      <c r="AJ22" s="2204"/>
      <c r="AK22" s="2204"/>
      <c r="AL22" s="2204"/>
      <c r="AM22" s="2205"/>
      <c r="AN22" s="2203" cm="1">
        <f t="array" ref="AN22">SUMPRODUCT((Application!$B$714:$B$738 = 'CalHFA Addendum'!AN$18)*(Application!$AC$714:$AC$738 = 'CalHFA Addendum'!$B22),Application!$G$714:$G$738)</f>
        <v>0</v>
      </c>
      <c r="AO22" s="2204"/>
      <c r="AP22" s="2204"/>
      <c r="AQ22" s="2204"/>
      <c r="AR22" s="2204"/>
      <c r="AS22" s="2205"/>
      <c r="AT22" s="2206">
        <f t="shared" si="0"/>
        <v>0.28888888888888886</v>
      </c>
      <c r="AU22" s="2207"/>
      <c r="AV22" s="2207"/>
      <c r="AW22" s="2207"/>
      <c r="AX22" s="2207"/>
      <c r="AY22" s="2208"/>
      <c r="AZ22" s="1207"/>
      <c r="BA22" s="1207"/>
      <c r="BB22" s="1207"/>
      <c r="BC22" s="1207"/>
      <c r="BD22" s="1207"/>
      <c r="BE22" s="1213"/>
    </row>
    <row r="23" spans="1:58" ht="15">
      <c r="A23" s="1207"/>
      <c r="B23" s="2209">
        <v>0.7</v>
      </c>
      <c r="C23" s="2210"/>
      <c r="D23" s="2210"/>
      <c r="E23" s="2210"/>
      <c r="F23" s="2210"/>
      <c r="G23" s="2210"/>
      <c r="H23" s="2210"/>
      <c r="I23" s="2211"/>
      <c r="J23" s="2203">
        <f t="shared" si="1"/>
        <v>0</v>
      </c>
      <c r="K23" s="2204"/>
      <c r="L23" s="2204"/>
      <c r="M23" s="2204"/>
      <c r="N23" s="2204"/>
      <c r="O23" s="2205"/>
      <c r="P23" s="2203" cm="1">
        <f t="array" ref="P23">SUMPRODUCT((Application!$B$714:$B$738 = 'CalHFA Addendum'!P$18)*(Application!$AC$714:$AC$738 = 'CalHFA Addendum'!$B23),Application!$G$714:$G$738)</f>
        <v>0</v>
      </c>
      <c r="Q23" s="2204"/>
      <c r="R23" s="2204"/>
      <c r="S23" s="2204"/>
      <c r="T23" s="2204"/>
      <c r="U23" s="2205"/>
      <c r="V23" s="2203" cm="1">
        <f t="array" ref="V23">SUMPRODUCT((Application!$B$714:$B$738 = 'CalHFA Addendum'!V$18)*(Application!$AC$714:$AC$738 = 'CalHFA Addendum'!$B23),Application!$G$714:$G$738)</f>
        <v>0</v>
      </c>
      <c r="W23" s="2204"/>
      <c r="X23" s="2204"/>
      <c r="Y23" s="2204"/>
      <c r="Z23" s="2204"/>
      <c r="AA23" s="2205"/>
      <c r="AB23" s="2203" cm="1">
        <f t="array" ref="AB23">SUMPRODUCT((Application!$B$714:$B$738 = 'CalHFA Addendum'!AB$18)*(Application!$AC$714:$AC$738 = 'CalHFA Addendum'!$B23),Application!$G$714:$G$738)</f>
        <v>0</v>
      </c>
      <c r="AC23" s="2204"/>
      <c r="AD23" s="2204"/>
      <c r="AE23" s="2204"/>
      <c r="AF23" s="2204"/>
      <c r="AG23" s="2205"/>
      <c r="AH23" s="2203" cm="1">
        <f t="array" ref="AH23">SUMPRODUCT((Application!$B$714:$B$738 = 'CalHFA Addendum'!AH$18)*(Application!$AC$714:$AC$738 = 'CalHFA Addendum'!$B23),Application!$G$714:$G$738)</f>
        <v>0</v>
      </c>
      <c r="AI23" s="2204"/>
      <c r="AJ23" s="2204"/>
      <c r="AK23" s="2204"/>
      <c r="AL23" s="2204"/>
      <c r="AM23" s="2205"/>
      <c r="AN23" s="2203" cm="1">
        <f t="array" ref="AN23">SUMPRODUCT((Application!$B$714:$B$738 = 'CalHFA Addendum'!AN$18)*(Application!$AC$714:$AC$738 = 'CalHFA Addendum'!$B23),Application!$G$714:$G$738)</f>
        <v>0</v>
      </c>
      <c r="AO23" s="2204"/>
      <c r="AP23" s="2204"/>
      <c r="AQ23" s="2204"/>
      <c r="AR23" s="2204"/>
      <c r="AS23" s="2205"/>
      <c r="AT23" s="2206">
        <f t="shared" si="0"/>
        <v>0</v>
      </c>
      <c r="AU23" s="2207"/>
      <c r="AV23" s="2207"/>
      <c r="AW23" s="2207"/>
      <c r="AX23" s="2207"/>
      <c r="AY23" s="2208"/>
      <c r="AZ23" s="1207"/>
      <c r="BA23" s="1207"/>
      <c r="BB23" s="1207"/>
      <c r="BC23" s="1207"/>
      <c r="BD23" s="1207"/>
      <c r="BE23" s="1213"/>
    </row>
    <row r="24" spans="1:58" ht="15">
      <c r="A24" s="1207"/>
      <c r="B24" s="2209">
        <v>0.8</v>
      </c>
      <c r="C24" s="2210"/>
      <c r="D24" s="2210"/>
      <c r="E24" s="2210"/>
      <c r="F24" s="2210"/>
      <c r="G24" s="2210"/>
      <c r="H24" s="2210"/>
      <c r="I24" s="2211"/>
      <c r="J24" s="2203">
        <f t="shared" si="1"/>
        <v>0</v>
      </c>
      <c r="K24" s="2204"/>
      <c r="L24" s="2204"/>
      <c r="M24" s="2204"/>
      <c r="N24" s="2204"/>
      <c r="O24" s="2205"/>
      <c r="P24" s="2203" cm="1">
        <f t="array" ref="P24">SUMPRODUCT((Application!$B$714:$B$738 = 'CalHFA Addendum'!P$18)*(Application!$AC$714:$AC$738 = 'CalHFA Addendum'!$B24),Application!$G$714:$G$738)</f>
        <v>0</v>
      </c>
      <c r="Q24" s="2204"/>
      <c r="R24" s="2204"/>
      <c r="S24" s="2204"/>
      <c r="T24" s="2204"/>
      <c r="U24" s="2205"/>
      <c r="V24" s="2203" cm="1">
        <f t="array" ref="V24">SUMPRODUCT((Application!$B$714:$B$738 = 'CalHFA Addendum'!V$18)*(Application!$AC$714:$AC$738 = 'CalHFA Addendum'!$B24),Application!$G$714:$G$738)</f>
        <v>0</v>
      </c>
      <c r="W24" s="2204"/>
      <c r="X24" s="2204"/>
      <c r="Y24" s="2204"/>
      <c r="Z24" s="2204"/>
      <c r="AA24" s="2205"/>
      <c r="AB24" s="2203" cm="1">
        <f t="array" ref="AB24">SUMPRODUCT((Application!$B$714:$B$738 = 'CalHFA Addendum'!AB$18)*(Application!$AC$714:$AC$738 = 'CalHFA Addendum'!$B24),Application!$G$714:$G$738)</f>
        <v>0</v>
      </c>
      <c r="AC24" s="2204"/>
      <c r="AD24" s="2204"/>
      <c r="AE24" s="2204"/>
      <c r="AF24" s="2204"/>
      <c r="AG24" s="2205"/>
      <c r="AH24" s="2203" cm="1">
        <f t="array" ref="AH24">SUMPRODUCT((Application!$B$714:$B$738 = 'CalHFA Addendum'!AH$18)*(Application!$AC$714:$AC$738 = 'CalHFA Addendum'!$B24),Application!$G$714:$G$738)</f>
        <v>0</v>
      </c>
      <c r="AI24" s="2204"/>
      <c r="AJ24" s="2204"/>
      <c r="AK24" s="2204"/>
      <c r="AL24" s="2204"/>
      <c r="AM24" s="2205"/>
      <c r="AN24" s="2203" cm="1">
        <f t="array" ref="AN24">SUMPRODUCT((Application!$B$714:$B$738 = 'CalHFA Addendum'!AN$18)*(Application!$AC$714:$AC$738 = 'CalHFA Addendum'!$B24),Application!$G$714:$G$738)</f>
        <v>0</v>
      </c>
      <c r="AO24" s="2204"/>
      <c r="AP24" s="2204"/>
      <c r="AQ24" s="2204"/>
      <c r="AR24" s="2204"/>
      <c r="AS24" s="2205"/>
      <c r="AT24" s="2206">
        <f t="shared" si="0"/>
        <v>0</v>
      </c>
      <c r="AU24" s="2207"/>
      <c r="AV24" s="2207"/>
      <c r="AW24" s="2207"/>
      <c r="AX24" s="2207"/>
      <c r="AY24" s="2208"/>
      <c r="AZ24" s="1207"/>
      <c r="BA24" s="1207"/>
      <c r="BB24" s="1207"/>
      <c r="BC24" s="1207"/>
      <c r="BD24" s="1207"/>
      <c r="BE24" s="1213"/>
    </row>
    <row r="25" spans="1:58" ht="15">
      <c r="A25" s="1207"/>
      <c r="B25" s="2209">
        <v>0.9</v>
      </c>
      <c r="C25" s="2210"/>
      <c r="D25" s="2210"/>
      <c r="E25" s="2210"/>
      <c r="F25" s="2210"/>
      <c r="G25" s="2210"/>
      <c r="H25" s="2210"/>
      <c r="I25" s="2211"/>
      <c r="J25" s="2203">
        <f t="shared" si="1"/>
        <v>0</v>
      </c>
      <c r="K25" s="2204"/>
      <c r="L25" s="2204"/>
      <c r="M25" s="2204"/>
      <c r="N25" s="2204"/>
      <c r="O25" s="2205"/>
      <c r="P25" s="2203" cm="1">
        <f t="array" ref="P25">SUMPRODUCT((Application!$B$714:$B$738 = 'CalHFA Addendum'!P$18)*(Application!$AC$714:$AC$738 = 'CalHFA Addendum'!$B25),Application!$G$714:$G$738)</f>
        <v>0</v>
      </c>
      <c r="Q25" s="2204"/>
      <c r="R25" s="2204"/>
      <c r="S25" s="2204"/>
      <c r="T25" s="2204"/>
      <c r="U25" s="2205"/>
      <c r="V25" s="2203" cm="1">
        <f t="array" ref="V25">SUMPRODUCT((Application!$B$714:$B$738 = 'CalHFA Addendum'!V$18)*(Application!$AC$714:$AC$738 = 'CalHFA Addendum'!$B25),Application!$G$714:$G$738)</f>
        <v>0</v>
      </c>
      <c r="W25" s="2204"/>
      <c r="X25" s="2204"/>
      <c r="Y25" s="2204"/>
      <c r="Z25" s="2204"/>
      <c r="AA25" s="2205"/>
      <c r="AB25" s="2203" cm="1">
        <f t="array" ref="AB25">SUMPRODUCT((Application!$B$714:$B$738 = 'CalHFA Addendum'!AB$18)*(Application!$AC$714:$AC$738 = 'CalHFA Addendum'!$B25),Application!$G$714:$G$738)</f>
        <v>0</v>
      </c>
      <c r="AC25" s="2204"/>
      <c r="AD25" s="2204"/>
      <c r="AE25" s="2204"/>
      <c r="AF25" s="2204"/>
      <c r="AG25" s="2205"/>
      <c r="AH25" s="2203" cm="1">
        <f t="array" ref="AH25">SUMPRODUCT((Application!$B$714:$B$738 = 'CalHFA Addendum'!AH$18)*(Application!$AC$714:$AC$738 = 'CalHFA Addendum'!$B25),Application!$G$714:$G$738)</f>
        <v>0</v>
      </c>
      <c r="AI25" s="2204"/>
      <c r="AJ25" s="2204"/>
      <c r="AK25" s="2204"/>
      <c r="AL25" s="2204"/>
      <c r="AM25" s="2205"/>
      <c r="AN25" s="2203" cm="1">
        <f t="array" ref="AN25">SUMPRODUCT((Application!$B$714:$B$738 = 'CalHFA Addendum'!AN$18)*(Application!$AC$714:$AC$738 = 'CalHFA Addendum'!$B25),Application!$G$714:$G$738)</f>
        <v>0</v>
      </c>
      <c r="AO25" s="2204"/>
      <c r="AP25" s="2204"/>
      <c r="AQ25" s="2204"/>
      <c r="AR25" s="2204"/>
      <c r="AS25" s="2205"/>
      <c r="AT25" s="2206">
        <f t="shared" si="0"/>
        <v>0</v>
      </c>
      <c r="AU25" s="2207"/>
      <c r="AV25" s="2207"/>
      <c r="AW25" s="2207"/>
      <c r="AX25" s="2207"/>
      <c r="AY25" s="2208"/>
      <c r="AZ25" s="1207"/>
      <c r="BA25" s="1207"/>
      <c r="BB25" s="1207"/>
      <c r="BC25" s="1207"/>
      <c r="BD25" s="1207"/>
      <c r="BE25" s="1213"/>
    </row>
    <row r="26" spans="1:58" ht="15">
      <c r="A26" s="1207"/>
      <c r="B26" s="2209">
        <v>1</v>
      </c>
      <c r="C26" s="2210"/>
      <c r="D26" s="2210"/>
      <c r="E26" s="2210"/>
      <c r="F26" s="2210"/>
      <c r="G26" s="2210"/>
      <c r="H26" s="2210"/>
      <c r="I26" s="2211"/>
      <c r="J26" s="2203">
        <f t="shared" si="1"/>
        <v>0</v>
      </c>
      <c r="K26" s="2204"/>
      <c r="L26" s="2204"/>
      <c r="M26" s="2204"/>
      <c r="N26" s="2204"/>
      <c r="O26" s="2205"/>
      <c r="P26" s="2203" cm="1">
        <f t="array" ref="P26">SUMPRODUCT((Application!$B$714:$B$738 = 'CalHFA Addendum'!P$18)*(Application!$AC$714:$AC$738 = 'CalHFA Addendum'!$B26),Application!$G$714:$G$738)</f>
        <v>0</v>
      </c>
      <c r="Q26" s="2204"/>
      <c r="R26" s="2204"/>
      <c r="S26" s="2204"/>
      <c r="T26" s="2204"/>
      <c r="U26" s="2205"/>
      <c r="V26" s="2203" cm="1">
        <f t="array" ref="V26">SUMPRODUCT((Application!$B$714:$B$738 = 'CalHFA Addendum'!V$18)*(Application!$AC$714:$AC$738 = 'CalHFA Addendum'!$B26),Application!$G$714:$G$738)</f>
        <v>0</v>
      </c>
      <c r="W26" s="2204"/>
      <c r="X26" s="2204"/>
      <c r="Y26" s="2204"/>
      <c r="Z26" s="2204"/>
      <c r="AA26" s="2205"/>
      <c r="AB26" s="2203" cm="1">
        <f t="array" ref="AB26">SUMPRODUCT((Application!$B$714:$B$738 = 'CalHFA Addendum'!AB$18)*(Application!$AC$714:$AC$738 = 'CalHFA Addendum'!$B26),Application!$G$714:$G$738)</f>
        <v>0</v>
      </c>
      <c r="AC26" s="2204"/>
      <c r="AD26" s="2204"/>
      <c r="AE26" s="2204"/>
      <c r="AF26" s="2204"/>
      <c r="AG26" s="2205"/>
      <c r="AH26" s="2203" cm="1">
        <f t="array" ref="AH26">SUMPRODUCT((Application!$B$714:$B$738 = 'CalHFA Addendum'!AH$18)*(Application!$AC$714:$AC$738 = 'CalHFA Addendum'!$B26),Application!$G$714:$G$738)</f>
        <v>0</v>
      </c>
      <c r="AI26" s="2204"/>
      <c r="AJ26" s="2204"/>
      <c r="AK26" s="2204"/>
      <c r="AL26" s="2204"/>
      <c r="AM26" s="2205"/>
      <c r="AN26" s="2203" cm="1">
        <f t="array" ref="AN26">SUMPRODUCT((Application!$B$714:$B$738 = 'CalHFA Addendum'!AN$18)*(Application!$AC$714:$AC$738 = 'CalHFA Addendum'!$B26),Application!$G$714:$G$738)</f>
        <v>0</v>
      </c>
      <c r="AO26" s="2204"/>
      <c r="AP26" s="2204"/>
      <c r="AQ26" s="2204"/>
      <c r="AR26" s="2204"/>
      <c r="AS26" s="2205"/>
      <c r="AT26" s="2206">
        <f t="shared" si="0"/>
        <v>0</v>
      </c>
      <c r="AU26" s="2207"/>
      <c r="AV26" s="2207"/>
      <c r="AW26" s="2207"/>
      <c r="AX26" s="2207"/>
      <c r="AY26" s="2208"/>
      <c r="AZ26" s="1207"/>
      <c r="BA26" s="1207"/>
      <c r="BB26" s="1207"/>
      <c r="BC26" s="1207"/>
      <c r="BD26" s="1207"/>
      <c r="BE26" s="1213"/>
    </row>
    <row r="27" spans="1:58" ht="15">
      <c r="A27" s="1207"/>
      <c r="B27" s="2209">
        <v>1.1000000000000001</v>
      </c>
      <c r="C27" s="2210"/>
      <c r="D27" s="2210"/>
      <c r="E27" s="2210"/>
      <c r="F27" s="2210"/>
      <c r="G27" s="2210"/>
      <c r="H27" s="2210"/>
      <c r="I27" s="2211"/>
      <c r="J27" s="2203">
        <f t="shared" si="1"/>
        <v>0</v>
      </c>
      <c r="K27" s="2204"/>
      <c r="L27" s="2204"/>
      <c r="M27" s="2204"/>
      <c r="N27" s="2204"/>
      <c r="O27" s="2205"/>
      <c r="P27" s="2203" cm="1">
        <f t="array" ref="P27">SUMPRODUCT((Application!$B$714:$B$738 = 'CalHFA Addendum'!P$18)*(Application!$AC$714:$AC$738 = 'CalHFA Addendum'!$B27),Application!$G$714:$G$738)</f>
        <v>0</v>
      </c>
      <c r="Q27" s="2204"/>
      <c r="R27" s="2204"/>
      <c r="S27" s="2204"/>
      <c r="T27" s="2204"/>
      <c r="U27" s="2205"/>
      <c r="V27" s="2203" cm="1">
        <f t="array" ref="V27">SUMPRODUCT((Application!$B$714:$B$738 = 'CalHFA Addendum'!V$18)*(Application!$AC$714:$AC$738 = 'CalHFA Addendum'!$B27),Application!$G$714:$G$738)</f>
        <v>0</v>
      </c>
      <c r="W27" s="2204"/>
      <c r="X27" s="2204"/>
      <c r="Y27" s="2204"/>
      <c r="Z27" s="2204"/>
      <c r="AA27" s="2205"/>
      <c r="AB27" s="2203" cm="1">
        <f t="array" ref="AB27">SUMPRODUCT((Application!$B$714:$B$738 = 'CalHFA Addendum'!AB$18)*(Application!$AC$714:$AC$738 = 'CalHFA Addendum'!$B27),Application!$G$714:$G$738)</f>
        <v>0</v>
      </c>
      <c r="AC27" s="2204"/>
      <c r="AD27" s="2204"/>
      <c r="AE27" s="2204"/>
      <c r="AF27" s="2204"/>
      <c r="AG27" s="2205"/>
      <c r="AH27" s="2203" cm="1">
        <f t="array" ref="AH27">SUMPRODUCT((Application!$B$714:$B$738 = 'CalHFA Addendum'!AH$18)*(Application!$AC$714:$AC$738 = 'CalHFA Addendum'!$B27),Application!$G$714:$G$738)</f>
        <v>0</v>
      </c>
      <c r="AI27" s="2204"/>
      <c r="AJ27" s="2204"/>
      <c r="AK27" s="2204"/>
      <c r="AL27" s="2204"/>
      <c r="AM27" s="2205"/>
      <c r="AN27" s="2203" cm="1">
        <f t="array" ref="AN27">SUMPRODUCT((Application!$B$714:$B$738 = 'CalHFA Addendum'!AN$18)*(Application!$AC$714:$AC$738 = 'CalHFA Addendum'!$B27),Application!$G$714:$G$738)</f>
        <v>0</v>
      </c>
      <c r="AO27" s="2204"/>
      <c r="AP27" s="2204"/>
      <c r="AQ27" s="2204"/>
      <c r="AR27" s="2204"/>
      <c r="AS27" s="2205"/>
      <c r="AT27" s="2206">
        <f t="shared" si="0"/>
        <v>0</v>
      </c>
      <c r="AU27" s="2207"/>
      <c r="AV27" s="2207"/>
      <c r="AW27" s="2207"/>
      <c r="AX27" s="2207"/>
      <c r="AY27" s="2208"/>
      <c r="AZ27" s="1207"/>
      <c r="BA27" s="1207"/>
      <c r="BB27" s="1207"/>
      <c r="BC27" s="1207"/>
      <c r="BD27" s="1207"/>
      <c r="BE27" s="1213"/>
    </row>
    <row r="28" spans="1:58" thickBot="1">
      <c r="A28" s="1207"/>
      <c r="B28" s="2212" t="s">
        <v>1866</v>
      </c>
      <c r="C28" s="2213"/>
      <c r="D28" s="2213"/>
      <c r="E28" s="2213"/>
      <c r="F28" s="2213"/>
      <c r="G28" s="2213"/>
      <c r="H28" s="2213"/>
      <c r="I28" s="2214"/>
      <c r="J28" s="2215">
        <f t="shared" si="1"/>
        <v>1</v>
      </c>
      <c r="K28" s="2216"/>
      <c r="L28" s="2216"/>
      <c r="M28" s="2216"/>
      <c r="N28" s="2216"/>
      <c r="O28" s="2217"/>
      <c r="P28" s="2215">
        <f>_xlfn.IFNA(VLOOKUP(P$18,Application!$J$758:$S$761,6,FALSE), 0)</f>
        <v>0</v>
      </c>
      <c r="Q28" s="2216"/>
      <c r="R28" s="2216"/>
      <c r="S28" s="2216"/>
      <c r="T28" s="2216"/>
      <c r="U28" s="2217"/>
      <c r="V28" s="2215">
        <f>_xlfn.IFNA(VLOOKUP(V$18,Application!$J$758:$S$761,6,FALSE), 0)</f>
        <v>0</v>
      </c>
      <c r="W28" s="2216"/>
      <c r="X28" s="2216"/>
      <c r="Y28" s="2216"/>
      <c r="Z28" s="2216"/>
      <c r="AA28" s="2217"/>
      <c r="AB28" s="2215">
        <f>_xlfn.IFNA(VLOOKUP(AB$18,Application!$J$758:$S$761,6,FALSE), 0)</f>
        <v>0</v>
      </c>
      <c r="AC28" s="2216"/>
      <c r="AD28" s="2216"/>
      <c r="AE28" s="2216"/>
      <c r="AF28" s="2216"/>
      <c r="AG28" s="2217"/>
      <c r="AH28" s="2215">
        <f>_xlfn.IFNA(VLOOKUP(AH$18,Application!$J$758:$S$761,6,FALSE), 0)</f>
        <v>1</v>
      </c>
      <c r="AI28" s="2216"/>
      <c r="AJ28" s="2216"/>
      <c r="AK28" s="2216"/>
      <c r="AL28" s="2216"/>
      <c r="AM28" s="2217"/>
      <c r="AN28" s="2215">
        <f>_xlfn.IFNA(VLOOKUP(AN$18,Application!$J$758:$S$761,6,FALSE), 0)</f>
        <v>0</v>
      </c>
      <c r="AO28" s="2216"/>
      <c r="AP28" s="2216"/>
      <c r="AQ28" s="2216"/>
      <c r="AR28" s="2216"/>
      <c r="AS28" s="2217"/>
      <c r="AT28" s="2218">
        <f t="shared" si="0"/>
        <v>2.2222222222222223E-2</v>
      </c>
      <c r="AU28" s="2219"/>
      <c r="AV28" s="2219"/>
      <c r="AW28" s="2219"/>
      <c r="AX28" s="2219"/>
      <c r="AY28" s="2220"/>
      <c r="AZ28" s="1207"/>
      <c r="BA28" s="1207"/>
      <c r="BB28" s="1207"/>
      <c r="BC28" s="1207"/>
      <c r="BD28" s="1207"/>
      <c r="BE28" s="1213"/>
    </row>
    <row r="29" spans="1:58" thickBot="1">
      <c r="A29" s="1207"/>
      <c r="B29" s="2243" t="s">
        <v>1763</v>
      </c>
      <c r="C29" s="2226"/>
      <c r="D29" s="2226"/>
      <c r="E29" s="2226"/>
      <c r="F29" s="2226"/>
      <c r="G29" s="2226"/>
      <c r="H29" s="2226"/>
      <c r="I29" s="2227"/>
      <c r="J29" s="2225">
        <f>SUM(J19:O28)</f>
        <v>45</v>
      </c>
      <c r="K29" s="2226"/>
      <c r="L29" s="2226"/>
      <c r="M29" s="2226"/>
      <c r="N29" s="2226"/>
      <c r="O29" s="2227"/>
      <c r="P29" s="2225">
        <f>SUM(P19:U28)</f>
        <v>0</v>
      </c>
      <c r="Q29" s="2226"/>
      <c r="R29" s="2226"/>
      <c r="S29" s="2226"/>
      <c r="T29" s="2226"/>
      <c r="U29" s="2227"/>
      <c r="V29" s="2225">
        <f>SUM(V19:AA28)</f>
        <v>0</v>
      </c>
      <c r="W29" s="2226"/>
      <c r="X29" s="2226"/>
      <c r="Y29" s="2226"/>
      <c r="Z29" s="2226"/>
      <c r="AA29" s="2227"/>
      <c r="AB29" s="2225">
        <f>SUM(AB19:AG28)</f>
        <v>33</v>
      </c>
      <c r="AC29" s="2226"/>
      <c r="AD29" s="2226"/>
      <c r="AE29" s="2226"/>
      <c r="AF29" s="2226"/>
      <c r="AG29" s="2227"/>
      <c r="AH29" s="2225">
        <f>SUM(AH19:AM28)</f>
        <v>12</v>
      </c>
      <c r="AI29" s="2226"/>
      <c r="AJ29" s="2226"/>
      <c r="AK29" s="2226"/>
      <c r="AL29" s="2226"/>
      <c r="AM29" s="2227"/>
      <c r="AN29" s="2225">
        <f>SUM(AN19:AS28)</f>
        <v>0</v>
      </c>
      <c r="AO29" s="2226"/>
      <c r="AP29" s="2226"/>
      <c r="AQ29" s="2226"/>
      <c r="AR29" s="2226"/>
      <c r="AS29" s="2227"/>
      <c r="AT29" s="2228">
        <f>J29/$J$29</f>
        <v>1</v>
      </c>
      <c r="AU29" s="2229"/>
      <c r="AV29" s="2229"/>
      <c r="AW29" s="2229"/>
      <c r="AX29" s="2229"/>
      <c r="AY29" s="2230"/>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31" t="s">
        <v>1867</v>
      </c>
      <c r="C31" s="2232"/>
      <c r="D31" s="2232"/>
      <c r="E31" s="2232"/>
      <c r="F31" s="2232"/>
      <c r="G31" s="2232"/>
      <c r="H31" s="2232"/>
      <c r="I31" s="2232"/>
      <c r="J31" s="2232"/>
      <c r="K31" s="2232"/>
      <c r="L31" s="2232"/>
      <c r="M31" s="2232"/>
      <c r="N31" s="2232"/>
      <c r="O31" s="2232"/>
      <c r="P31" s="2232"/>
      <c r="Q31" s="2232"/>
      <c r="R31" s="2232"/>
      <c r="S31" s="2232"/>
      <c r="T31" s="2232"/>
      <c r="U31" s="2232"/>
      <c r="V31" s="2232"/>
      <c r="W31" s="2232"/>
      <c r="X31" s="2232"/>
      <c r="Y31" s="2232"/>
      <c r="Z31" s="2232"/>
      <c r="AA31" s="2232"/>
      <c r="AB31" s="2232"/>
      <c r="AC31" s="2232"/>
      <c r="AD31" s="2232"/>
      <c r="AE31" s="2232"/>
      <c r="AF31" s="2232"/>
      <c r="AG31" s="2232"/>
      <c r="AH31" s="2232"/>
      <c r="AI31" s="2232"/>
      <c r="AJ31" s="2232"/>
      <c r="AK31" s="2232"/>
      <c r="AL31" s="2232"/>
      <c r="AM31" s="2232"/>
      <c r="AN31" s="2232"/>
      <c r="AO31" s="2232"/>
      <c r="AP31" s="2232"/>
      <c r="AQ31" s="2232"/>
      <c r="AR31" s="2232"/>
      <c r="AS31" s="2232"/>
      <c r="AT31" s="2232"/>
      <c r="AU31" s="2232"/>
      <c r="AV31" s="2232"/>
      <c r="AW31" s="2232"/>
      <c r="AX31" s="2232"/>
      <c r="AY31" s="2232"/>
      <c r="AZ31" s="2233"/>
      <c r="BA31" s="1207"/>
      <c r="BB31" s="1207"/>
      <c r="BC31" s="1207"/>
      <c r="BD31" s="1207"/>
      <c r="BE31" s="1213"/>
    </row>
    <row r="32" spans="1:58" ht="15">
      <c r="A32" s="1207"/>
      <c r="B32" s="2234" t="s">
        <v>2575</v>
      </c>
      <c r="C32" s="2235"/>
      <c r="D32" s="2235"/>
      <c r="E32" s="2235"/>
      <c r="F32" s="2235"/>
      <c r="G32" s="2235"/>
      <c r="H32" s="2235"/>
      <c r="I32" s="2235"/>
      <c r="J32" s="2237" t="s">
        <v>2576</v>
      </c>
      <c r="K32" s="2238"/>
      <c r="L32" s="2238"/>
      <c r="M32" s="2238"/>
      <c r="N32" s="2237" t="s">
        <v>1868</v>
      </c>
      <c r="O32" s="2238"/>
      <c r="P32" s="2238"/>
      <c r="Q32" s="2238"/>
      <c r="R32" s="2239" t="s">
        <v>1869</v>
      </c>
      <c r="S32" s="2239"/>
      <c r="T32" s="2239"/>
      <c r="U32" s="2239"/>
      <c r="V32" s="2239"/>
      <c r="W32" s="2239"/>
      <c r="X32" s="2239"/>
      <c r="Y32" s="2239"/>
      <c r="Z32" s="2239"/>
      <c r="AA32" s="2239"/>
      <c r="AB32" s="2239"/>
      <c r="AC32" s="2239"/>
      <c r="AD32" s="2239"/>
      <c r="AE32" s="2239"/>
      <c r="AF32" s="2239"/>
      <c r="AG32" s="2239"/>
      <c r="AH32" s="2239"/>
      <c r="AI32" s="2239"/>
      <c r="AJ32" s="2239"/>
      <c r="AK32" s="2239"/>
      <c r="AL32" s="2239"/>
      <c r="AM32" s="2239"/>
      <c r="AN32" s="2239"/>
      <c r="AO32" s="2239"/>
      <c r="AP32" s="2239"/>
      <c r="AQ32" s="2239"/>
      <c r="AR32" s="2239"/>
      <c r="AS32" s="2239"/>
      <c r="AT32" s="2239"/>
      <c r="AU32" s="2239"/>
      <c r="AV32" s="2239"/>
      <c r="AW32" s="2239"/>
      <c r="AX32" s="2239"/>
      <c r="AY32" s="2239"/>
      <c r="AZ32" s="2240"/>
      <c r="BA32" s="1207"/>
      <c r="BB32" s="1207"/>
      <c r="BC32" s="1207"/>
      <c r="BD32" s="1207"/>
      <c r="BE32" s="1213"/>
    </row>
    <row r="33" spans="1:58" ht="15" customHeight="1">
      <c r="A33" s="1207"/>
      <c r="B33" s="2236"/>
      <c r="C33" s="2235"/>
      <c r="D33" s="2235"/>
      <c r="E33" s="2235"/>
      <c r="F33" s="2235"/>
      <c r="G33" s="2235"/>
      <c r="H33" s="2235"/>
      <c r="I33" s="2235"/>
      <c r="J33" s="2238"/>
      <c r="K33" s="2238"/>
      <c r="L33" s="2238"/>
      <c r="M33" s="2238"/>
      <c r="N33" s="2238"/>
      <c r="O33" s="2238"/>
      <c r="P33" s="2238"/>
      <c r="Q33" s="2238"/>
      <c r="R33" s="2241" t="s">
        <v>1870</v>
      </c>
      <c r="S33" s="2237"/>
      <c r="T33" s="2237"/>
      <c r="U33" s="2237"/>
      <c r="V33" s="2237"/>
      <c r="W33" s="2237"/>
      <c r="X33" s="2237"/>
      <c r="Y33" s="2237"/>
      <c r="Z33" s="2237"/>
      <c r="AA33" s="2237"/>
      <c r="AB33" s="2237"/>
      <c r="AC33" s="2237"/>
      <c r="AD33" s="2237"/>
      <c r="AE33" s="2237"/>
      <c r="AF33" s="2237"/>
      <c r="AG33" s="2237"/>
      <c r="AH33" s="2237"/>
      <c r="AI33" s="2237"/>
      <c r="AJ33" s="2237"/>
      <c r="AK33" s="2237"/>
      <c r="AL33" s="2237"/>
      <c r="AM33" s="2237"/>
      <c r="AN33" s="2237"/>
      <c r="AO33" s="2237"/>
      <c r="AP33" s="2237"/>
      <c r="AQ33" s="2237"/>
      <c r="AR33" s="2237"/>
      <c r="AS33" s="2237"/>
      <c r="AT33" s="2237"/>
      <c r="AU33" s="2237"/>
      <c r="AV33" s="2237"/>
      <c r="AW33" s="2237"/>
      <c r="AX33" s="2237"/>
      <c r="AY33" s="2237"/>
      <c r="AZ33" s="2242"/>
      <c r="BA33" s="1214"/>
      <c r="BB33" s="1207"/>
      <c r="BC33" s="1207"/>
      <c r="BD33" s="1207"/>
      <c r="BE33" s="1213"/>
    </row>
    <row r="34" spans="1:58" ht="15.75" customHeight="1">
      <c r="A34" s="1207"/>
      <c r="B34" s="2236"/>
      <c r="C34" s="2235"/>
      <c r="D34" s="2235"/>
      <c r="E34" s="2235"/>
      <c r="F34" s="2235"/>
      <c r="G34" s="2235"/>
      <c r="H34" s="2235"/>
      <c r="I34" s="2235"/>
      <c r="J34" s="2238"/>
      <c r="K34" s="2238"/>
      <c r="L34" s="2238"/>
      <c r="M34" s="2238"/>
      <c r="N34" s="2238"/>
      <c r="O34" s="2238"/>
      <c r="P34" s="2238"/>
      <c r="Q34" s="2238"/>
      <c r="R34" s="2237"/>
      <c r="S34" s="2237"/>
      <c r="T34" s="2237"/>
      <c r="U34" s="2237"/>
      <c r="V34" s="2237"/>
      <c r="W34" s="2237"/>
      <c r="X34" s="2237"/>
      <c r="Y34" s="2237"/>
      <c r="Z34" s="2237"/>
      <c r="AA34" s="2237"/>
      <c r="AB34" s="2237"/>
      <c r="AC34" s="2237"/>
      <c r="AD34" s="2237"/>
      <c r="AE34" s="2237"/>
      <c r="AF34" s="2237"/>
      <c r="AG34" s="2237"/>
      <c r="AH34" s="2237"/>
      <c r="AI34" s="2237"/>
      <c r="AJ34" s="2237"/>
      <c r="AK34" s="2237"/>
      <c r="AL34" s="2237"/>
      <c r="AM34" s="2237"/>
      <c r="AN34" s="2237"/>
      <c r="AO34" s="2237"/>
      <c r="AP34" s="2237"/>
      <c r="AQ34" s="2237"/>
      <c r="AR34" s="2237"/>
      <c r="AS34" s="2237"/>
      <c r="AT34" s="2237"/>
      <c r="AU34" s="2237"/>
      <c r="AV34" s="2237"/>
      <c r="AW34" s="2237"/>
      <c r="AX34" s="2237"/>
      <c r="AY34" s="2237"/>
      <c r="AZ34" s="2242"/>
      <c r="BA34" s="1214"/>
      <c r="BB34" s="1207"/>
      <c r="BC34" s="1207"/>
      <c r="BD34" s="1207"/>
      <c r="BE34" s="1213"/>
    </row>
    <row r="35" spans="1:58" ht="15.75" customHeight="1">
      <c r="A35" s="1207"/>
      <c r="B35" s="2236"/>
      <c r="C35" s="2235"/>
      <c r="D35" s="2235"/>
      <c r="E35" s="2235"/>
      <c r="F35" s="2235"/>
      <c r="G35" s="2235"/>
      <c r="H35" s="2235"/>
      <c r="I35" s="2235"/>
      <c r="J35" s="2238"/>
      <c r="K35" s="2238"/>
      <c r="L35" s="2238"/>
      <c r="M35" s="2238"/>
      <c r="N35" s="2238"/>
      <c r="O35" s="2238"/>
      <c r="P35" s="2238"/>
      <c r="Q35" s="2238"/>
      <c r="R35" s="2221">
        <v>0.3</v>
      </c>
      <c r="S35" s="2221"/>
      <c r="T35" s="2221"/>
      <c r="U35" s="2221"/>
      <c r="V35" s="2221">
        <v>0.4</v>
      </c>
      <c r="W35" s="2221"/>
      <c r="X35" s="2221"/>
      <c r="Y35" s="2221"/>
      <c r="Z35" s="2221">
        <v>0.5</v>
      </c>
      <c r="AA35" s="2221"/>
      <c r="AB35" s="2221"/>
      <c r="AC35" s="2221"/>
      <c r="AD35" s="2221">
        <v>0.6</v>
      </c>
      <c r="AE35" s="2221"/>
      <c r="AF35" s="2221"/>
      <c r="AG35" s="2221"/>
      <c r="AH35" s="2221">
        <v>0.8</v>
      </c>
      <c r="AI35" s="2221"/>
      <c r="AJ35" s="2221"/>
      <c r="AK35" s="2221"/>
      <c r="AL35" s="2222">
        <v>1</v>
      </c>
      <c r="AM35" s="2222"/>
      <c r="AN35" s="2222"/>
      <c r="AO35" s="2223" t="s">
        <v>1871</v>
      </c>
      <c r="AP35" s="2223"/>
      <c r="AQ35" s="2223"/>
      <c r="AR35" s="2223"/>
      <c r="AS35" s="2223"/>
      <c r="AT35" s="2223"/>
      <c r="AU35" s="2223" t="s">
        <v>1872</v>
      </c>
      <c r="AV35" s="2223"/>
      <c r="AW35" s="2223"/>
      <c r="AX35" s="2223"/>
      <c r="AY35" s="2223"/>
      <c r="AZ35" s="2224"/>
      <c r="BA35" s="1214"/>
      <c r="BB35" s="1207"/>
      <c r="BC35" s="1207"/>
      <c r="BD35" s="1207"/>
      <c r="BE35" s="1213"/>
      <c r="BF35" s="1205"/>
    </row>
    <row r="36" spans="1:58" ht="15.75" customHeight="1">
      <c r="A36" s="1207"/>
      <c r="B36" s="2244" t="s">
        <v>1873</v>
      </c>
      <c r="C36" s="2245"/>
      <c r="D36" s="2245"/>
      <c r="E36" s="2245"/>
      <c r="F36" s="2245"/>
      <c r="G36" s="2245"/>
      <c r="H36" s="2245"/>
      <c r="I36" s="2245"/>
      <c r="J36" s="2246" t="s">
        <v>1874</v>
      </c>
      <c r="K36" s="2246"/>
      <c r="L36" s="2246"/>
      <c r="M36" s="2246"/>
      <c r="N36" s="2246">
        <v>55</v>
      </c>
      <c r="O36" s="2246"/>
      <c r="P36" s="2246"/>
      <c r="Q36" s="2246"/>
      <c r="R36" s="2247">
        <v>0</v>
      </c>
      <c r="S36" s="2247"/>
      <c r="T36" s="2247"/>
      <c r="U36" s="2247"/>
      <c r="V36" s="2247">
        <v>0</v>
      </c>
      <c r="W36" s="2247"/>
      <c r="X36" s="2247"/>
      <c r="Y36" s="2247"/>
      <c r="Z36" s="2247">
        <v>10</v>
      </c>
      <c r="AA36" s="2247"/>
      <c r="AB36" s="2247"/>
      <c r="AC36" s="2247"/>
      <c r="AD36" s="2247">
        <v>30</v>
      </c>
      <c r="AE36" s="2247"/>
      <c r="AF36" s="2247"/>
      <c r="AG36" s="2247"/>
      <c r="AH36" s="2247">
        <v>0</v>
      </c>
      <c r="AI36" s="2247"/>
      <c r="AJ36" s="2247"/>
      <c r="AK36" s="2247"/>
      <c r="AL36" s="2247">
        <v>0</v>
      </c>
      <c r="AM36" s="2247"/>
      <c r="AN36" s="2247"/>
      <c r="AO36" s="2248">
        <f>SUM(R36:AN36)</f>
        <v>40</v>
      </c>
      <c r="AP36" s="2248"/>
      <c r="AQ36" s="2248"/>
      <c r="AR36" s="2248"/>
      <c r="AS36" s="2248"/>
      <c r="AT36" s="2248"/>
      <c r="AU36" s="2249">
        <f>AO36/$J$29</f>
        <v>0.88888888888888884</v>
      </c>
      <c r="AV36" s="2249"/>
      <c r="AW36" s="2249"/>
      <c r="AX36" s="2249"/>
      <c r="AY36" s="2249"/>
      <c r="AZ36" s="2250"/>
      <c r="BA36" s="1207"/>
      <c r="BB36" s="1207"/>
      <c r="BC36" s="1207"/>
      <c r="BD36" s="1207"/>
      <c r="BE36" s="1213"/>
      <c r="BF36" s="1205"/>
    </row>
    <row r="37" spans="1:58" ht="15.75" customHeight="1">
      <c r="A37" s="1207"/>
      <c r="B37" s="2244" t="s">
        <v>2577</v>
      </c>
      <c r="C37" s="2245"/>
      <c r="D37" s="2245"/>
      <c r="E37" s="2245"/>
      <c r="F37" s="2245"/>
      <c r="G37" s="2245"/>
      <c r="H37" s="2245"/>
      <c r="I37" s="2245"/>
      <c r="J37" s="2246" t="s">
        <v>1875</v>
      </c>
      <c r="K37" s="2246"/>
      <c r="L37" s="2246"/>
      <c r="M37" s="2246"/>
      <c r="N37" s="2246">
        <v>55</v>
      </c>
      <c r="O37" s="2246"/>
      <c r="P37" s="2246"/>
      <c r="Q37" s="2246"/>
      <c r="R37" s="2247">
        <v>10</v>
      </c>
      <c r="S37" s="2247"/>
      <c r="T37" s="2247"/>
      <c r="U37" s="2247"/>
      <c r="V37" s="2247"/>
      <c r="W37" s="2247"/>
      <c r="X37" s="2247"/>
      <c r="Y37" s="2247"/>
      <c r="Z37" s="2247"/>
      <c r="AA37" s="2247"/>
      <c r="AB37" s="2247"/>
      <c r="AC37" s="2247"/>
      <c r="AD37" s="2247"/>
      <c r="AE37" s="2247"/>
      <c r="AF37" s="2247"/>
      <c r="AG37" s="2247"/>
      <c r="AH37" s="2247"/>
      <c r="AI37" s="2247"/>
      <c r="AJ37" s="2247"/>
      <c r="AK37" s="2247"/>
      <c r="AL37" s="2247"/>
      <c r="AM37" s="2247"/>
      <c r="AN37" s="2247"/>
      <c r="AO37" s="2248">
        <f t="shared" ref="AO37:AO47" si="2">SUM(R37:AN37)</f>
        <v>10</v>
      </c>
      <c r="AP37" s="2248"/>
      <c r="AQ37" s="2248"/>
      <c r="AR37" s="2248"/>
      <c r="AS37" s="2248"/>
      <c r="AT37" s="2248"/>
      <c r="AU37" s="2249">
        <f t="shared" ref="AU37:AU47" si="3">AO37/$J$29</f>
        <v>0.22222222222222221</v>
      </c>
      <c r="AV37" s="2249"/>
      <c r="AW37" s="2249"/>
      <c r="AX37" s="2249"/>
      <c r="AY37" s="2249"/>
      <c r="AZ37" s="2250"/>
      <c r="BA37" s="1207"/>
      <c r="BB37" s="1207"/>
      <c r="BC37" s="1207"/>
      <c r="BD37" s="1207"/>
      <c r="BE37" s="1213"/>
      <c r="BF37" s="1205"/>
    </row>
    <row r="38" spans="1:58" ht="15.75" customHeight="1">
      <c r="A38" s="1207"/>
      <c r="B38" s="2244" t="s">
        <v>2515</v>
      </c>
      <c r="C38" s="2245"/>
      <c r="D38" s="2245"/>
      <c r="E38" s="2245"/>
      <c r="F38" s="2245"/>
      <c r="G38" s="2245"/>
      <c r="H38" s="2245"/>
      <c r="I38" s="2245"/>
      <c r="J38" s="2246" t="s">
        <v>1876</v>
      </c>
      <c r="K38" s="2246"/>
      <c r="L38" s="2246"/>
      <c r="M38" s="2246"/>
      <c r="N38" s="2246">
        <v>55</v>
      </c>
      <c r="O38" s="2246"/>
      <c r="P38" s="2246"/>
      <c r="Q38" s="2246"/>
      <c r="R38" s="2247"/>
      <c r="S38" s="2247"/>
      <c r="T38" s="2247"/>
      <c r="U38" s="2247"/>
      <c r="V38" s="2247"/>
      <c r="W38" s="2247"/>
      <c r="X38" s="2247"/>
      <c r="Y38" s="2247"/>
      <c r="Z38" s="2247"/>
      <c r="AA38" s="2247"/>
      <c r="AB38" s="2247"/>
      <c r="AC38" s="2247"/>
      <c r="AD38" s="2247"/>
      <c r="AE38" s="2247"/>
      <c r="AF38" s="2247"/>
      <c r="AG38" s="2247"/>
      <c r="AH38" s="2247"/>
      <c r="AI38" s="2247"/>
      <c r="AJ38" s="2247"/>
      <c r="AK38" s="2247"/>
      <c r="AL38" s="2247"/>
      <c r="AM38" s="2247"/>
      <c r="AN38" s="2247"/>
      <c r="AO38" s="2248">
        <f t="shared" si="2"/>
        <v>0</v>
      </c>
      <c r="AP38" s="2248"/>
      <c r="AQ38" s="2248"/>
      <c r="AR38" s="2248"/>
      <c r="AS38" s="2248"/>
      <c r="AT38" s="2248"/>
      <c r="AU38" s="2249">
        <f t="shared" si="3"/>
        <v>0</v>
      </c>
      <c r="AV38" s="2249"/>
      <c r="AW38" s="2249"/>
      <c r="AX38" s="2249"/>
      <c r="AY38" s="2249"/>
      <c r="AZ38" s="2250"/>
      <c r="BA38" s="1207"/>
      <c r="BB38" s="1207"/>
      <c r="BC38" s="1207"/>
      <c r="BD38" s="1207"/>
      <c r="BE38" s="1213"/>
      <c r="BF38" s="1205"/>
    </row>
    <row r="39" spans="1:58" ht="15.75" customHeight="1">
      <c r="A39" s="1207"/>
      <c r="B39" s="2244" t="s">
        <v>1877</v>
      </c>
      <c r="C39" s="2245"/>
      <c r="D39" s="2245"/>
      <c r="E39" s="2245"/>
      <c r="F39" s="2245"/>
      <c r="G39" s="2245"/>
      <c r="H39" s="2245"/>
      <c r="I39" s="2245"/>
      <c r="J39" s="2246"/>
      <c r="K39" s="2246"/>
      <c r="L39" s="2246"/>
      <c r="M39" s="2246"/>
      <c r="N39" s="2246"/>
      <c r="O39" s="2246"/>
      <c r="P39" s="2246"/>
      <c r="Q39" s="2246"/>
      <c r="R39" s="2247"/>
      <c r="S39" s="2247"/>
      <c r="T39" s="2247"/>
      <c r="U39" s="2247"/>
      <c r="V39" s="2247"/>
      <c r="W39" s="2247"/>
      <c r="X39" s="2247"/>
      <c r="Y39" s="2247"/>
      <c r="Z39" s="2247"/>
      <c r="AA39" s="2247"/>
      <c r="AB39" s="2247"/>
      <c r="AC39" s="2247"/>
      <c r="AD39" s="2247"/>
      <c r="AE39" s="2247"/>
      <c r="AF39" s="2247"/>
      <c r="AG39" s="2247"/>
      <c r="AH39" s="2247"/>
      <c r="AI39" s="2247"/>
      <c r="AJ39" s="2247"/>
      <c r="AK39" s="2247"/>
      <c r="AL39" s="2247"/>
      <c r="AM39" s="2247"/>
      <c r="AN39" s="2247"/>
      <c r="AO39" s="2248">
        <f t="shared" si="2"/>
        <v>0</v>
      </c>
      <c r="AP39" s="2248"/>
      <c r="AQ39" s="2248"/>
      <c r="AR39" s="2248"/>
      <c r="AS39" s="2248"/>
      <c r="AT39" s="2248"/>
      <c r="AU39" s="2249">
        <f t="shared" si="3"/>
        <v>0</v>
      </c>
      <c r="AV39" s="2249"/>
      <c r="AW39" s="2249"/>
      <c r="AX39" s="2249"/>
      <c r="AY39" s="2249"/>
      <c r="AZ39" s="2250"/>
      <c r="BA39" s="1207"/>
      <c r="BB39" s="1207"/>
      <c r="BC39" s="1207"/>
      <c r="BD39" s="1207"/>
      <c r="BE39" s="1213"/>
    </row>
    <row r="40" spans="1:58" ht="15.75" customHeight="1">
      <c r="A40" s="1207"/>
      <c r="B40" s="2244" t="s">
        <v>1877</v>
      </c>
      <c r="C40" s="2245"/>
      <c r="D40" s="2245"/>
      <c r="E40" s="2245"/>
      <c r="F40" s="2245"/>
      <c r="G40" s="2245"/>
      <c r="H40" s="2245"/>
      <c r="I40" s="2245"/>
      <c r="J40" s="2246"/>
      <c r="K40" s="2246"/>
      <c r="L40" s="2246"/>
      <c r="M40" s="2246"/>
      <c r="N40" s="2246"/>
      <c r="O40" s="2246"/>
      <c r="P40" s="2246"/>
      <c r="Q40" s="2246"/>
      <c r="R40" s="2247"/>
      <c r="S40" s="2247"/>
      <c r="T40" s="2247"/>
      <c r="U40" s="2247"/>
      <c r="V40" s="2247"/>
      <c r="W40" s="2247"/>
      <c r="X40" s="2247"/>
      <c r="Y40" s="2247"/>
      <c r="Z40" s="2247"/>
      <c r="AA40" s="2247"/>
      <c r="AB40" s="2247"/>
      <c r="AC40" s="2247"/>
      <c r="AD40" s="2247"/>
      <c r="AE40" s="2247"/>
      <c r="AF40" s="2247"/>
      <c r="AG40" s="2247"/>
      <c r="AH40" s="2247"/>
      <c r="AI40" s="2247"/>
      <c r="AJ40" s="2247"/>
      <c r="AK40" s="2247"/>
      <c r="AL40" s="2247"/>
      <c r="AM40" s="2247"/>
      <c r="AN40" s="2247"/>
      <c r="AO40" s="2248">
        <f t="shared" si="2"/>
        <v>0</v>
      </c>
      <c r="AP40" s="2248"/>
      <c r="AQ40" s="2248"/>
      <c r="AR40" s="2248"/>
      <c r="AS40" s="2248"/>
      <c r="AT40" s="2248"/>
      <c r="AU40" s="2249">
        <f t="shared" si="3"/>
        <v>0</v>
      </c>
      <c r="AV40" s="2249"/>
      <c r="AW40" s="2249"/>
      <c r="AX40" s="2249"/>
      <c r="AY40" s="2249"/>
      <c r="AZ40" s="2250"/>
      <c r="BA40" s="1207"/>
      <c r="BB40" s="1207"/>
      <c r="BC40" s="1207"/>
      <c r="BD40" s="1207"/>
      <c r="BE40" s="1213"/>
    </row>
    <row r="41" spans="1:58" ht="15.75" customHeight="1">
      <c r="A41" s="1207"/>
      <c r="B41" s="2244" t="s">
        <v>1878</v>
      </c>
      <c r="C41" s="2245"/>
      <c r="D41" s="2245"/>
      <c r="E41" s="2245"/>
      <c r="F41" s="2245"/>
      <c r="G41" s="2245"/>
      <c r="H41" s="2245"/>
      <c r="I41" s="2245"/>
      <c r="J41" s="2246"/>
      <c r="K41" s="2246"/>
      <c r="L41" s="2246"/>
      <c r="M41" s="2246"/>
      <c r="N41" s="2246"/>
      <c r="O41" s="2246"/>
      <c r="P41" s="2246"/>
      <c r="Q41" s="2246"/>
      <c r="R41" s="2247"/>
      <c r="S41" s="2247"/>
      <c r="T41" s="2247"/>
      <c r="U41" s="2247"/>
      <c r="V41" s="2247"/>
      <c r="W41" s="2247"/>
      <c r="X41" s="2247"/>
      <c r="Y41" s="2247"/>
      <c r="Z41" s="2247"/>
      <c r="AA41" s="2247"/>
      <c r="AB41" s="2247"/>
      <c r="AC41" s="2247"/>
      <c r="AD41" s="2247"/>
      <c r="AE41" s="2247"/>
      <c r="AF41" s="2247"/>
      <c r="AG41" s="2247"/>
      <c r="AH41" s="2247"/>
      <c r="AI41" s="2247"/>
      <c r="AJ41" s="2247"/>
      <c r="AK41" s="2247"/>
      <c r="AL41" s="2247"/>
      <c r="AM41" s="2247"/>
      <c r="AN41" s="2247"/>
      <c r="AO41" s="2248">
        <f t="shared" si="2"/>
        <v>0</v>
      </c>
      <c r="AP41" s="2248"/>
      <c r="AQ41" s="2248"/>
      <c r="AR41" s="2248"/>
      <c r="AS41" s="2248"/>
      <c r="AT41" s="2248"/>
      <c r="AU41" s="2249">
        <f t="shared" si="3"/>
        <v>0</v>
      </c>
      <c r="AV41" s="2249"/>
      <c r="AW41" s="2249"/>
      <c r="AX41" s="2249"/>
      <c r="AY41" s="2249"/>
      <c r="AZ41" s="2250"/>
      <c r="BA41" s="1207"/>
      <c r="BB41" s="1207"/>
      <c r="BC41" s="1207"/>
      <c r="BD41" s="1207"/>
      <c r="BE41" s="1213"/>
    </row>
    <row r="42" spans="1:58" ht="15.75" customHeight="1">
      <c r="A42" s="1207"/>
      <c r="B42" s="2244" t="s">
        <v>1878</v>
      </c>
      <c r="C42" s="2245"/>
      <c r="D42" s="2245"/>
      <c r="E42" s="2245"/>
      <c r="F42" s="2245"/>
      <c r="G42" s="2245"/>
      <c r="H42" s="2245"/>
      <c r="I42" s="2245"/>
      <c r="J42" s="2246"/>
      <c r="K42" s="2246"/>
      <c r="L42" s="2246"/>
      <c r="M42" s="2246"/>
      <c r="N42" s="2246"/>
      <c r="O42" s="2246"/>
      <c r="P42" s="2246"/>
      <c r="Q42" s="2246"/>
      <c r="R42" s="2247"/>
      <c r="S42" s="2247"/>
      <c r="T42" s="2247"/>
      <c r="U42" s="2247"/>
      <c r="V42" s="2247"/>
      <c r="W42" s="2247"/>
      <c r="X42" s="2247"/>
      <c r="Y42" s="2247"/>
      <c r="Z42" s="2247"/>
      <c r="AA42" s="2247"/>
      <c r="AB42" s="2247"/>
      <c r="AC42" s="2247"/>
      <c r="AD42" s="2247"/>
      <c r="AE42" s="2247"/>
      <c r="AF42" s="2247"/>
      <c r="AG42" s="2247"/>
      <c r="AH42" s="2247"/>
      <c r="AI42" s="2247"/>
      <c r="AJ42" s="2247"/>
      <c r="AK42" s="2247"/>
      <c r="AL42" s="2247"/>
      <c r="AM42" s="2247"/>
      <c r="AN42" s="2247"/>
      <c r="AO42" s="2248">
        <f t="shared" si="2"/>
        <v>0</v>
      </c>
      <c r="AP42" s="2248"/>
      <c r="AQ42" s="2248"/>
      <c r="AR42" s="2248"/>
      <c r="AS42" s="2248"/>
      <c r="AT42" s="2248"/>
      <c r="AU42" s="2249">
        <f t="shared" si="3"/>
        <v>0</v>
      </c>
      <c r="AV42" s="2249"/>
      <c r="AW42" s="2249"/>
      <c r="AX42" s="2249"/>
      <c r="AY42" s="2249"/>
      <c r="AZ42" s="2250"/>
      <c r="BA42" s="1207"/>
      <c r="BB42" s="1207"/>
      <c r="BC42" s="1207"/>
      <c r="BD42" s="1207"/>
      <c r="BE42" s="1213"/>
    </row>
    <row r="43" spans="1:58" ht="15.75" customHeight="1">
      <c r="A43" s="1207"/>
      <c r="B43" s="2251" t="s">
        <v>1879</v>
      </c>
      <c r="C43" s="2252"/>
      <c r="D43" s="2252"/>
      <c r="E43" s="2252"/>
      <c r="F43" s="2252"/>
      <c r="G43" s="2252"/>
      <c r="H43" s="2252"/>
      <c r="I43" s="2252"/>
      <c r="J43" s="2246"/>
      <c r="K43" s="2246"/>
      <c r="L43" s="2246"/>
      <c r="M43" s="2246"/>
      <c r="N43" s="2246"/>
      <c r="O43" s="2246"/>
      <c r="P43" s="2246"/>
      <c r="Q43" s="2246"/>
      <c r="R43" s="2247"/>
      <c r="S43" s="2247"/>
      <c r="T43" s="2247"/>
      <c r="U43" s="2247"/>
      <c r="V43" s="2247"/>
      <c r="W43" s="2247"/>
      <c r="X43" s="2247"/>
      <c r="Y43" s="2247"/>
      <c r="Z43" s="2247"/>
      <c r="AA43" s="2247"/>
      <c r="AB43" s="2247"/>
      <c r="AC43" s="2247"/>
      <c r="AD43" s="2247"/>
      <c r="AE43" s="2247"/>
      <c r="AF43" s="2247"/>
      <c r="AG43" s="2247"/>
      <c r="AH43" s="2247"/>
      <c r="AI43" s="2247"/>
      <c r="AJ43" s="2247"/>
      <c r="AK43" s="2247"/>
      <c r="AL43" s="2247"/>
      <c r="AM43" s="2247"/>
      <c r="AN43" s="2247"/>
      <c r="AO43" s="2248">
        <f t="shared" si="2"/>
        <v>0</v>
      </c>
      <c r="AP43" s="2248"/>
      <c r="AQ43" s="2248"/>
      <c r="AR43" s="2248"/>
      <c r="AS43" s="2248"/>
      <c r="AT43" s="2248"/>
      <c r="AU43" s="2249">
        <f t="shared" si="3"/>
        <v>0</v>
      </c>
      <c r="AV43" s="2249"/>
      <c r="AW43" s="2249"/>
      <c r="AX43" s="2249"/>
      <c r="AY43" s="2249"/>
      <c r="AZ43" s="2250"/>
      <c r="BA43" s="1207"/>
      <c r="BB43" s="1207"/>
      <c r="BC43" s="1207"/>
      <c r="BD43" s="1207"/>
      <c r="BE43" s="1213"/>
    </row>
    <row r="44" spans="1:58" ht="15.75" customHeight="1">
      <c r="A44" s="1207"/>
      <c r="B44" s="2251" t="s">
        <v>1880</v>
      </c>
      <c r="C44" s="2252"/>
      <c r="D44" s="2252"/>
      <c r="E44" s="2252"/>
      <c r="F44" s="2252"/>
      <c r="G44" s="2252"/>
      <c r="H44" s="2252"/>
      <c r="I44" s="2252"/>
      <c r="J44" s="2246"/>
      <c r="K44" s="2246"/>
      <c r="L44" s="2246"/>
      <c r="M44" s="2246"/>
      <c r="N44" s="2246"/>
      <c r="O44" s="2246"/>
      <c r="P44" s="2246"/>
      <c r="Q44" s="2246"/>
      <c r="R44" s="2247"/>
      <c r="S44" s="2247"/>
      <c r="T44" s="2247"/>
      <c r="U44" s="2247"/>
      <c r="V44" s="2247"/>
      <c r="W44" s="2247"/>
      <c r="X44" s="2247"/>
      <c r="Y44" s="2247"/>
      <c r="Z44" s="2247"/>
      <c r="AA44" s="2247"/>
      <c r="AB44" s="2247"/>
      <c r="AC44" s="2247"/>
      <c r="AD44" s="2247"/>
      <c r="AE44" s="2247"/>
      <c r="AF44" s="2247"/>
      <c r="AG44" s="2247"/>
      <c r="AH44" s="2247"/>
      <c r="AI44" s="2247"/>
      <c r="AJ44" s="2247"/>
      <c r="AK44" s="2247"/>
      <c r="AL44" s="2247"/>
      <c r="AM44" s="2247"/>
      <c r="AN44" s="2247"/>
      <c r="AO44" s="2248">
        <f t="shared" si="2"/>
        <v>0</v>
      </c>
      <c r="AP44" s="2248"/>
      <c r="AQ44" s="2248"/>
      <c r="AR44" s="2248"/>
      <c r="AS44" s="2248"/>
      <c r="AT44" s="2248"/>
      <c r="AU44" s="2249">
        <f t="shared" si="3"/>
        <v>0</v>
      </c>
      <c r="AV44" s="2249"/>
      <c r="AW44" s="2249"/>
      <c r="AX44" s="2249"/>
      <c r="AY44" s="2249"/>
      <c r="AZ44" s="2250"/>
      <c r="BA44" s="1207"/>
      <c r="BB44" s="1207"/>
      <c r="BC44" s="1207"/>
      <c r="BD44" s="1207"/>
      <c r="BE44" s="1213"/>
    </row>
    <row r="45" spans="1:58" ht="15.75" customHeight="1">
      <c r="A45" s="1207"/>
      <c r="B45" s="2251" t="s">
        <v>1881</v>
      </c>
      <c r="C45" s="2252"/>
      <c r="D45" s="2252"/>
      <c r="E45" s="2252"/>
      <c r="F45" s="2252"/>
      <c r="G45" s="2252"/>
      <c r="H45" s="2252"/>
      <c r="I45" s="2252"/>
      <c r="J45" s="2246"/>
      <c r="K45" s="2246"/>
      <c r="L45" s="2246"/>
      <c r="M45" s="2246"/>
      <c r="N45" s="2246"/>
      <c r="O45" s="2246"/>
      <c r="P45" s="2246"/>
      <c r="Q45" s="2246"/>
      <c r="R45" s="2247"/>
      <c r="S45" s="2247"/>
      <c r="T45" s="2247"/>
      <c r="U45" s="2247"/>
      <c r="V45" s="2247"/>
      <c r="W45" s="2247"/>
      <c r="X45" s="2247"/>
      <c r="Y45" s="2247"/>
      <c r="Z45" s="2247"/>
      <c r="AA45" s="2247"/>
      <c r="AB45" s="2247"/>
      <c r="AC45" s="2247"/>
      <c r="AD45" s="2247"/>
      <c r="AE45" s="2247"/>
      <c r="AF45" s="2247"/>
      <c r="AG45" s="2247"/>
      <c r="AH45" s="2247"/>
      <c r="AI45" s="2247"/>
      <c r="AJ45" s="2247"/>
      <c r="AK45" s="2247"/>
      <c r="AL45" s="2247"/>
      <c r="AM45" s="2247"/>
      <c r="AN45" s="2247"/>
      <c r="AO45" s="2248">
        <f t="shared" si="2"/>
        <v>0</v>
      </c>
      <c r="AP45" s="2248"/>
      <c r="AQ45" s="2248"/>
      <c r="AR45" s="2248"/>
      <c r="AS45" s="2248"/>
      <c r="AT45" s="2248"/>
      <c r="AU45" s="2249">
        <f t="shared" si="3"/>
        <v>0</v>
      </c>
      <c r="AV45" s="2249"/>
      <c r="AW45" s="2249"/>
      <c r="AX45" s="2249"/>
      <c r="AY45" s="2249"/>
      <c r="AZ45" s="2250"/>
      <c r="BA45" s="1207"/>
      <c r="BB45" s="1207"/>
      <c r="BC45" s="1207"/>
      <c r="BD45" s="1207"/>
      <c r="BE45" s="1213"/>
    </row>
    <row r="46" spans="1:58" ht="15.75" customHeight="1">
      <c r="A46" s="1207"/>
      <c r="B46" s="2251" t="s">
        <v>1882</v>
      </c>
      <c r="C46" s="2252"/>
      <c r="D46" s="2252"/>
      <c r="E46" s="2252"/>
      <c r="F46" s="2252"/>
      <c r="G46" s="2252"/>
      <c r="H46" s="2252"/>
      <c r="I46" s="2252"/>
      <c r="J46" s="2246"/>
      <c r="K46" s="2246"/>
      <c r="L46" s="2246"/>
      <c r="M46" s="2246"/>
      <c r="N46" s="2246">
        <v>99</v>
      </c>
      <c r="O46" s="2246"/>
      <c r="P46" s="2246"/>
      <c r="Q46" s="2246"/>
      <c r="R46" s="2247"/>
      <c r="S46" s="2247"/>
      <c r="T46" s="2247"/>
      <c r="U46" s="2247"/>
      <c r="V46" s="2247"/>
      <c r="W46" s="2247"/>
      <c r="X46" s="2247"/>
      <c r="Y46" s="2247"/>
      <c r="Z46" s="2247"/>
      <c r="AA46" s="2247"/>
      <c r="AB46" s="2247"/>
      <c r="AC46" s="2247"/>
      <c r="AD46" s="2247"/>
      <c r="AE46" s="2247"/>
      <c r="AF46" s="2247"/>
      <c r="AG46" s="2247"/>
      <c r="AH46" s="2247"/>
      <c r="AI46" s="2247"/>
      <c r="AJ46" s="2247"/>
      <c r="AK46" s="2247"/>
      <c r="AL46" s="2247"/>
      <c r="AM46" s="2247"/>
      <c r="AN46" s="2247"/>
      <c r="AO46" s="2248">
        <f t="shared" si="2"/>
        <v>0</v>
      </c>
      <c r="AP46" s="2248"/>
      <c r="AQ46" s="2248"/>
      <c r="AR46" s="2248"/>
      <c r="AS46" s="2248"/>
      <c r="AT46" s="2248"/>
      <c r="AU46" s="2249">
        <f t="shared" si="3"/>
        <v>0</v>
      </c>
      <c r="AV46" s="2249"/>
      <c r="AW46" s="2249"/>
      <c r="AX46" s="2249"/>
      <c r="AY46" s="2249"/>
      <c r="AZ46" s="2250"/>
      <c r="BA46" s="1207"/>
      <c r="BB46" s="1207"/>
      <c r="BC46" s="1207"/>
      <c r="BD46" s="1207"/>
      <c r="BE46" s="1213"/>
    </row>
    <row r="47" spans="1:58" ht="15.75" customHeight="1" thickBot="1">
      <c r="A47" s="1207"/>
      <c r="B47" s="2255" t="s">
        <v>302</v>
      </c>
      <c r="C47" s="2256"/>
      <c r="D47" s="2256"/>
      <c r="E47" s="2256"/>
      <c r="F47" s="2256"/>
      <c r="G47" s="2256"/>
      <c r="H47" s="2256"/>
      <c r="I47" s="2256"/>
      <c r="J47" s="2257"/>
      <c r="K47" s="2257"/>
      <c r="L47" s="2257"/>
      <c r="M47" s="2257"/>
      <c r="N47" s="2257"/>
      <c r="O47" s="2257"/>
      <c r="P47" s="2257"/>
      <c r="Q47" s="2257"/>
      <c r="R47" s="2258"/>
      <c r="S47" s="2258"/>
      <c r="T47" s="2258"/>
      <c r="U47" s="2258"/>
      <c r="V47" s="2258"/>
      <c r="W47" s="2258"/>
      <c r="X47" s="2258"/>
      <c r="Y47" s="2258"/>
      <c r="Z47" s="2258"/>
      <c r="AA47" s="2258"/>
      <c r="AB47" s="2258"/>
      <c r="AC47" s="2258"/>
      <c r="AD47" s="2258"/>
      <c r="AE47" s="2258"/>
      <c r="AF47" s="2258"/>
      <c r="AG47" s="2258"/>
      <c r="AH47" s="2258"/>
      <c r="AI47" s="2258"/>
      <c r="AJ47" s="2258"/>
      <c r="AK47" s="2258"/>
      <c r="AL47" s="2258"/>
      <c r="AM47" s="2258"/>
      <c r="AN47" s="2258"/>
      <c r="AO47" s="2262">
        <f t="shared" si="2"/>
        <v>0</v>
      </c>
      <c r="AP47" s="2262"/>
      <c r="AQ47" s="2262"/>
      <c r="AR47" s="2262"/>
      <c r="AS47" s="2262"/>
      <c r="AT47" s="2262"/>
      <c r="AU47" s="2253">
        <f t="shared" si="3"/>
        <v>0</v>
      </c>
      <c r="AV47" s="2253"/>
      <c r="AW47" s="2253"/>
      <c r="AX47" s="2253"/>
      <c r="AY47" s="2253"/>
      <c r="AZ47" s="2254"/>
      <c r="BA47" s="1207"/>
      <c r="BB47" s="1207"/>
      <c r="BC47" s="1207"/>
      <c r="BD47" s="1207"/>
      <c r="BE47" s="1213"/>
    </row>
    <row r="48" spans="1:58" ht="15.75" customHeight="1">
      <c r="A48" s="1207"/>
      <c r="B48" s="1215" t="s">
        <v>2578</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2258</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31" t="s">
        <v>1883</v>
      </c>
      <c r="C50" s="2232"/>
      <c r="D50" s="2232"/>
      <c r="E50" s="2232"/>
      <c r="F50" s="2232"/>
      <c r="G50" s="2232"/>
      <c r="H50" s="2232"/>
      <c r="I50" s="2232"/>
      <c r="J50" s="2232"/>
      <c r="K50" s="2232"/>
      <c r="L50" s="2232"/>
      <c r="M50" s="2232"/>
      <c r="N50" s="2232"/>
      <c r="O50" s="2232"/>
      <c r="P50" s="2232"/>
      <c r="Q50" s="2232"/>
      <c r="R50" s="2232"/>
      <c r="S50" s="2232"/>
      <c r="T50" s="2232"/>
      <c r="U50" s="2232"/>
      <c r="V50" s="2232"/>
      <c r="W50" s="2232"/>
      <c r="X50" s="2232"/>
      <c r="Y50" s="2232"/>
      <c r="Z50" s="2232"/>
      <c r="AA50" s="2232"/>
      <c r="AB50" s="2232"/>
      <c r="AC50" s="2232"/>
      <c r="AD50" s="2232"/>
      <c r="AE50" s="2232"/>
      <c r="AF50" s="2232"/>
      <c r="AG50" s="2232"/>
      <c r="AH50" s="2232"/>
      <c r="AI50" s="2232"/>
      <c r="AJ50" s="2232"/>
      <c r="AK50" s="2232"/>
      <c r="AL50" s="2232"/>
      <c r="AM50" s="2232"/>
      <c r="AN50" s="2232"/>
      <c r="AO50" s="2233"/>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59" t="s">
        <v>1884</v>
      </c>
      <c r="C51" s="2260"/>
      <c r="D51" s="2260"/>
      <c r="E51" s="2260"/>
      <c r="F51" s="2260"/>
      <c r="G51" s="2260"/>
      <c r="H51" s="2260"/>
      <c r="I51" s="2260"/>
      <c r="J51" s="2260" t="s">
        <v>2579</v>
      </c>
      <c r="K51" s="2260"/>
      <c r="L51" s="2260"/>
      <c r="M51" s="2260"/>
      <c r="N51" s="2260"/>
      <c r="O51" s="2260"/>
      <c r="P51" s="2260"/>
      <c r="Q51" s="2260"/>
      <c r="R51" s="2241" t="s">
        <v>2580</v>
      </c>
      <c r="S51" s="2241"/>
      <c r="T51" s="2241"/>
      <c r="U51" s="2241"/>
      <c r="V51" s="2241"/>
      <c r="W51" s="2241"/>
      <c r="X51" s="2241"/>
      <c r="Y51" s="2241"/>
      <c r="Z51" s="2241" t="s">
        <v>1885</v>
      </c>
      <c r="AA51" s="2241"/>
      <c r="AB51" s="2241"/>
      <c r="AC51" s="2241"/>
      <c r="AD51" s="2241"/>
      <c r="AE51" s="2241"/>
      <c r="AF51" s="2241"/>
      <c r="AG51" s="2241"/>
      <c r="AH51" s="2241" t="s">
        <v>1886</v>
      </c>
      <c r="AI51" s="2241"/>
      <c r="AJ51" s="2241"/>
      <c r="AK51" s="2241"/>
      <c r="AL51" s="2241"/>
      <c r="AM51" s="2241"/>
      <c r="AN51" s="2241"/>
      <c r="AO51" s="2261"/>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51" t="s">
        <v>2259</v>
      </c>
      <c r="C52" s="2252"/>
      <c r="D52" s="2252"/>
      <c r="E52" s="2252"/>
      <c r="F52" s="2252"/>
      <c r="G52" s="2252"/>
      <c r="H52" s="2252"/>
      <c r="I52" s="2252"/>
      <c r="J52" s="2263">
        <v>0</v>
      </c>
      <c r="K52" s="2263"/>
      <c r="L52" s="2263"/>
      <c r="M52" s="2263"/>
      <c r="N52" s="2263"/>
      <c r="O52" s="2263"/>
      <c r="P52" s="2263"/>
      <c r="Q52" s="2263"/>
      <c r="R52" s="2264">
        <v>0</v>
      </c>
      <c r="S52" s="2264"/>
      <c r="T52" s="2264"/>
      <c r="U52" s="2264"/>
      <c r="V52" s="2264"/>
      <c r="W52" s="2264"/>
      <c r="X52" s="2264"/>
      <c r="Y52" s="2264"/>
      <c r="Z52" s="2265">
        <v>0</v>
      </c>
      <c r="AA52" s="2265"/>
      <c r="AB52" s="2265"/>
      <c r="AC52" s="2265"/>
      <c r="AD52" s="2265"/>
      <c r="AE52" s="2265"/>
      <c r="AF52" s="2265"/>
      <c r="AG52" s="2265"/>
      <c r="AH52" s="2266"/>
      <c r="AI52" s="2266"/>
      <c r="AJ52" s="2266"/>
      <c r="AK52" s="2266"/>
      <c r="AL52" s="2266"/>
      <c r="AM52" s="2266"/>
      <c r="AN52" s="2266"/>
      <c r="AO52" s="2267"/>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51" t="s">
        <v>2260</v>
      </c>
      <c r="C53" s="2252"/>
      <c r="D53" s="2252"/>
      <c r="E53" s="2252"/>
      <c r="F53" s="2252"/>
      <c r="G53" s="2252"/>
      <c r="H53" s="2252"/>
      <c r="I53" s="2252"/>
      <c r="J53" s="2263">
        <v>0</v>
      </c>
      <c r="K53" s="2263"/>
      <c r="L53" s="2263"/>
      <c r="M53" s="2263"/>
      <c r="N53" s="2263"/>
      <c r="O53" s="2263"/>
      <c r="P53" s="2263"/>
      <c r="Q53" s="2263"/>
      <c r="R53" s="2264">
        <v>0</v>
      </c>
      <c r="S53" s="2264"/>
      <c r="T53" s="2264"/>
      <c r="U53" s="2264"/>
      <c r="V53" s="2264"/>
      <c r="W53" s="2264"/>
      <c r="X53" s="2264"/>
      <c r="Y53" s="2264"/>
      <c r="Z53" s="2265">
        <v>0</v>
      </c>
      <c r="AA53" s="2265"/>
      <c r="AB53" s="2265"/>
      <c r="AC53" s="2265"/>
      <c r="AD53" s="2265"/>
      <c r="AE53" s="2265"/>
      <c r="AF53" s="2265"/>
      <c r="AG53" s="2265"/>
      <c r="AH53" s="2266"/>
      <c r="AI53" s="2266"/>
      <c r="AJ53" s="2266"/>
      <c r="AK53" s="2266"/>
      <c r="AL53" s="2266"/>
      <c r="AM53" s="2266"/>
      <c r="AN53" s="2266"/>
      <c r="AO53" s="2267"/>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51"/>
      <c r="C54" s="2252"/>
      <c r="D54" s="2252"/>
      <c r="E54" s="2252"/>
      <c r="F54" s="2252"/>
      <c r="G54" s="2252"/>
      <c r="H54" s="2252"/>
      <c r="I54" s="2252"/>
      <c r="J54" s="2263"/>
      <c r="K54" s="2263"/>
      <c r="L54" s="2263"/>
      <c r="M54" s="2263"/>
      <c r="N54" s="2263"/>
      <c r="O54" s="2263"/>
      <c r="P54" s="2263"/>
      <c r="Q54" s="2263"/>
      <c r="R54" s="2264"/>
      <c r="S54" s="2264"/>
      <c r="T54" s="2264"/>
      <c r="U54" s="2264"/>
      <c r="V54" s="2264"/>
      <c r="W54" s="2264"/>
      <c r="X54" s="2264"/>
      <c r="Y54" s="2264"/>
      <c r="Z54" s="2265"/>
      <c r="AA54" s="2265"/>
      <c r="AB54" s="2265"/>
      <c r="AC54" s="2265"/>
      <c r="AD54" s="2265"/>
      <c r="AE54" s="2265"/>
      <c r="AF54" s="2265"/>
      <c r="AG54" s="2265"/>
      <c r="AH54" s="2266"/>
      <c r="AI54" s="2266"/>
      <c r="AJ54" s="2266"/>
      <c r="AK54" s="2266"/>
      <c r="AL54" s="2266"/>
      <c r="AM54" s="2266"/>
      <c r="AN54" s="2266"/>
      <c r="AO54" s="2267"/>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51"/>
      <c r="C55" s="2252"/>
      <c r="D55" s="2252"/>
      <c r="E55" s="2252"/>
      <c r="F55" s="2252"/>
      <c r="G55" s="2252"/>
      <c r="H55" s="2252"/>
      <c r="I55" s="2252"/>
      <c r="J55" s="2263"/>
      <c r="K55" s="2263"/>
      <c r="L55" s="2263"/>
      <c r="M55" s="2263"/>
      <c r="N55" s="2263"/>
      <c r="O55" s="2263"/>
      <c r="P55" s="2263"/>
      <c r="Q55" s="2263"/>
      <c r="R55" s="2264"/>
      <c r="S55" s="2264"/>
      <c r="T55" s="2264"/>
      <c r="U55" s="2264"/>
      <c r="V55" s="2264"/>
      <c r="W55" s="2264"/>
      <c r="X55" s="2264"/>
      <c r="Y55" s="2264"/>
      <c r="Z55" s="2265"/>
      <c r="AA55" s="2265"/>
      <c r="AB55" s="2265"/>
      <c r="AC55" s="2265"/>
      <c r="AD55" s="2265"/>
      <c r="AE55" s="2265"/>
      <c r="AF55" s="2265"/>
      <c r="AG55" s="2265"/>
      <c r="AH55" s="2266"/>
      <c r="AI55" s="2266"/>
      <c r="AJ55" s="2266"/>
      <c r="AK55" s="2266"/>
      <c r="AL55" s="2266"/>
      <c r="AM55" s="2266"/>
      <c r="AN55" s="2266"/>
      <c r="AO55" s="2267"/>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51"/>
      <c r="C56" s="2252"/>
      <c r="D56" s="2252"/>
      <c r="E56" s="2252"/>
      <c r="F56" s="2252"/>
      <c r="G56" s="2252"/>
      <c r="H56" s="2252"/>
      <c r="I56" s="2252"/>
      <c r="J56" s="2263"/>
      <c r="K56" s="2263"/>
      <c r="L56" s="2263"/>
      <c r="M56" s="2263"/>
      <c r="N56" s="2263"/>
      <c r="O56" s="2263"/>
      <c r="P56" s="2263"/>
      <c r="Q56" s="2263"/>
      <c r="R56" s="2264"/>
      <c r="S56" s="2264"/>
      <c r="T56" s="2264"/>
      <c r="U56" s="2264"/>
      <c r="V56" s="2264"/>
      <c r="W56" s="2264"/>
      <c r="X56" s="2264"/>
      <c r="Y56" s="2264"/>
      <c r="Z56" s="2265"/>
      <c r="AA56" s="2265"/>
      <c r="AB56" s="2265"/>
      <c r="AC56" s="2265"/>
      <c r="AD56" s="2265"/>
      <c r="AE56" s="2265"/>
      <c r="AF56" s="2265"/>
      <c r="AG56" s="2265"/>
      <c r="AH56" s="2266"/>
      <c r="AI56" s="2266"/>
      <c r="AJ56" s="2266"/>
      <c r="AK56" s="2266"/>
      <c r="AL56" s="2266"/>
      <c r="AM56" s="2266"/>
      <c r="AN56" s="2266"/>
      <c r="AO56" s="2267"/>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77" t="s">
        <v>1763</v>
      </c>
      <c r="C57" s="2278"/>
      <c r="D57" s="2278"/>
      <c r="E57" s="2278"/>
      <c r="F57" s="2278"/>
      <c r="G57" s="2278"/>
      <c r="H57" s="2278"/>
      <c r="I57" s="2278"/>
      <c r="J57" s="2278"/>
      <c r="K57" s="2278"/>
      <c r="L57" s="2278"/>
      <c r="M57" s="2278"/>
      <c r="N57" s="2278"/>
      <c r="O57" s="2278"/>
      <c r="P57" s="2278"/>
      <c r="Q57" s="2278"/>
      <c r="R57" s="2279">
        <f>SUM(R52:Y56)</f>
        <v>0</v>
      </c>
      <c r="S57" s="2279"/>
      <c r="T57" s="2279"/>
      <c r="U57" s="2279"/>
      <c r="V57" s="2279"/>
      <c r="W57" s="2279"/>
      <c r="X57" s="2279"/>
      <c r="Y57" s="2279"/>
      <c r="Z57" s="2280">
        <f>SUM(Z52:AG56)</f>
        <v>0</v>
      </c>
      <c r="AA57" s="2280"/>
      <c r="AB57" s="2280"/>
      <c r="AC57" s="2280"/>
      <c r="AD57" s="2280"/>
      <c r="AE57" s="2280"/>
      <c r="AF57" s="2280"/>
      <c r="AG57" s="2280"/>
      <c r="AH57" s="2281"/>
      <c r="AI57" s="2281"/>
      <c r="AJ57" s="2281"/>
      <c r="AK57" s="2281"/>
      <c r="AL57" s="2281"/>
      <c r="AM57" s="2281"/>
      <c r="AN57" s="2281"/>
      <c r="AO57" s="2282"/>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68" t="s">
        <v>1884</v>
      </c>
      <c r="C59" s="2269"/>
      <c r="D59" s="2269"/>
      <c r="E59" s="2269"/>
      <c r="F59" s="2269"/>
      <c r="G59" s="2269"/>
      <c r="H59" s="2269"/>
      <c r="I59" s="2270"/>
      <c r="J59" s="2194" t="s">
        <v>2581</v>
      </c>
      <c r="K59" s="2194"/>
      <c r="L59" s="2194"/>
      <c r="M59" s="2194"/>
      <c r="N59" s="2194"/>
      <c r="O59" s="2194"/>
      <c r="P59" s="2194"/>
      <c r="Q59" s="2194"/>
      <c r="R59" s="2194"/>
      <c r="S59" s="2194"/>
      <c r="T59" s="2194"/>
      <c r="U59" s="2194"/>
      <c r="V59" s="2194"/>
      <c r="W59" s="2194"/>
      <c r="X59" s="2194"/>
      <c r="Y59" s="2194"/>
      <c r="Z59" s="2194"/>
      <c r="AA59" s="2194"/>
      <c r="AB59" s="2194"/>
      <c r="AC59" s="2194"/>
      <c r="AD59" s="2194"/>
      <c r="AE59" s="2194"/>
      <c r="AF59" s="2194"/>
      <c r="AG59" s="2194"/>
      <c r="AH59" s="2194"/>
      <c r="AI59" s="2194"/>
      <c r="AJ59" s="2194"/>
      <c r="AK59" s="2194"/>
      <c r="AL59" s="2194"/>
      <c r="AM59" s="2194"/>
      <c r="AN59" s="2194"/>
      <c r="AO59" s="2194"/>
      <c r="AP59" s="2194"/>
      <c r="AQ59" s="2194"/>
      <c r="AR59" s="2194"/>
      <c r="AS59" s="2194"/>
      <c r="AT59" s="2194"/>
      <c r="AU59" s="2194"/>
      <c r="AV59" s="2194"/>
      <c r="AW59" s="2195"/>
      <c r="AX59" s="1207"/>
      <c r="AY59" s="1207"/>
      <c r="AZ59" s="1207"/>
      <c r="BA59" s="1207"/>
      <c r="BB59" s="1207"/>
      <c r="BC59" s="1207"/>
      <c r="BD59" s="1207"/>
      <c r="BE59" s="1213"/>
    </row>
    <row r="60" spans="1:58" ht="15.75" customHeight="1">
      <c r="A60" s="1207"/>
      <c r="B60" s="2271" t="str">
        <f>IF(B52="", "", B52)</f>
        <v>Services Company 1</v>
      </c>
      <c r="C60" s="2272"/>
      <c r="D60" s="2272"/>
      <c r="E60" s="2272"/>
      <c r="F60" s="2272"/>
      <c r="G60" s="2272"/>
      <c r="H60" s="2272"/>
      <c r="I60" s="2273"/>
      <c r="J60" s="2274"/>
      <c r="K60" s="2275"/>
      <c r="L60" s="2275"/>
      <c r="M60" s="2275"/>
      <c r="N60" s="2275"/>
      <c r="O60" s="2275"/>
      <c r="P60" s="2275"/>
      <c r="Q60" s="2275"/>
      <c r="R60" s="2275"/>
      <c r="S60" s="2275"/>
      <c r="T60" s="2275"/>
      <c r="U60" s="2275"/>
      <c r="V60" s="2275"/>
      <c r="W60" s="2275"/>
      <c r="X60" s="2275"/>
      <c r="Y60" s="2275"/>
      <c r="Z60" s="2275"/>
      <c r="AA60" s="2275"/>
      <c r="AB60" s="2275"/>
      <c r="AC60" s="2275"/>
      <c r="AD60" s="2275"/>
      <c r="AE60" s="2275"/>
      <c r="AF60" s="2275"/>
      <c r="AG60" s="2275"/>
      <c r="AH60" s="2275"/>
      <c r="AI60" s="2275"/>
      <c r="AJ60" s="2275"/>
      <c r="AK60" s="2275"/>
      <c r="AL60" s="2275"/>
      <c r="AM60" s="2275"/>
      <c r="AN60" s="2275"/>
      <c r="AO60" s="2275"/>
      <c r="AP60" s="2275"/>
      <c r="AQ60" s="2275"/>
      <c r="AR60" s="2275"/>
      <c r="AS60" s="2275"/>
      <c r="AT60" s="2275"/>
      <c r="AU60" s="2275"/>
      <c r="AV60" s="2275"/>
      <c r="AW60" s="2276"/>
      <c r="AX60" s="1207"/>
      <c r="AY60" s="1207"/>
      <c r="AZ60" s="1207"/>
      <c r="BA60" s="1207"/>
      <c r="BB60" s="1207"/>
      <c r="BC60" s="1207"/>
      <c r="BD60" s="1207"/>
      <c r="BE60" s="1213"/>
    </row>
    <row r="61" spans="1:58" ht="15.75" customHeight="1">
      <c r="A61" s="1207"/>
      <c r="B61" s="2271" t="str">
        <f>IF(B53="", "", B53)</f>
        <v>Services Company 2</v>
      </c>
      <c r="C61" s="2272"/>
      <c r="D61" s="2272"/>
      <c r="E61" s="2272"/>
      <c r="F61" s="2272"/>
      <c r="G61" s="2272"/>
      <c r="H61" s="2272"/>
      <c r="I61" s="2273"/>
      <c r="J61" s="2274"/>
      <c r="K61" s="2275"/>
      <c r="L61" s="2275"/>
      <c r="M61" s="2275"/>
      <c r="N61" s="2275"/>
      <c r="O61" s="2275"/>
      <c r="P61" s="2275"/>
      <c r="Q61" s="2275"/>
      <c r="R61" s="2275"/>
      <c r="S61" s="2275"/>
      <c r="T61" s="2275"/>
      <c r="U61" s="2275"/>
      <c r="V61" s="2275"/>
      <c r="W61" s="2275"/>
      <c r="X61" s="2275"/>
      <c r="Y61" s="2275"/>
      <c r="Z61" s="2275"/>
      <c r="AA61" s="2275"/>
      <c r="AB61" s="2275"/>
      <c r="AC61" s="2275"/>
      <c r="AD61" s="2275"/>
      <c r="AE61" s="2275"/>
      <c r="AF61" s="2275"/>
      <c r="AG61" s="2275"/>
      <c r="AH61" s="2275"/>
      <c r="AI61" s="2275"/>
      <c r="AJ61" s="2275"/>
      <c r="AK61" s="2275"/>
      <c r="AL61" s="2275"/>
      <c r="AM61" s="2275"/>
      <c r="AN61" s="2275"/>
      <c r="AO61" s="2275"/>
      <c r="AP61" s="2275"/>
      <c r="AQ61" s="2275"/>
      <c r="AR61" s="2275"/>
      <c r="AS61" s="2275"/>
      <c r="AT61" s="2275"/>
      <c r="AU61" s="2275"/>
      <c r="AV61" s="2275"/>
      <c r="AW61" s="2276"/>
      <c r="AX61" s="1207"/>
      <c r="AY61" s="1207"/>
      <c r="AZ61" s="1207"/>
      <c r="BA61" s="1207"/>
      <c r="BB61" s="1207"/>
      <c r="BC61" s="1207"/>
      <c r="BD61" s="1207"/>
      <c r="BE61" s="1213"/>
    </row>
    <row r="62" spans="1:58" ht="15.75" customHeight="1">
      <c r="A62" s="1207"/>
      <c r="B62" s="2271" t="str">
        <f>IF(B54="", "", B54)</f>
        <v/>
      </c>
      <c r="C62" s="2272"/>
      <c r="D62" s="2272"/>
      <c r="E62" s="2272"/>
      <c r="F62" s="2272"/>
      <c r="G62" s="2272"/>
      <c r="H62" s="2272"/>
      <c r="I62" s="2273"/>
      <c r="J62" s="2274"/>
      <c r="K62" s="2275"/>
      <c r="L62" s="2275"/>
      <c r="M62" s="2275"/>
      <c r="N62" s="2275"/>
      <c r="O62" s="2275"/>
      <c r="P62" s="2275"/>
      <c r="Q62" s="2275"/>
      <c r="R62" s="2275"/>
      <c r="S62" s="2275"/>
      <c r="T62" s="2275"/>
      <c r="U62" s="2275"/>
      <c r="V62" s="2275"/>
      <c r="W62" s="2275"/>
      <c r="X62" s="2275"/>
      <c r="Y62" s="2275"/>
      <c r="Z62" s="2275"/>
      <c r="AA62" s="2275"/>
      <c r="AB62" s="2275"/>
      <c r="AC62" s="2275"/>
      <c r="AD62" s="2275"/>
      <c r="AE62" s="2275"/>
      <c r="AF62" s="2275"/>
      <c r="AG62" s="2275"/>
      <c r="AH62" s="2275"/>
      <c r="AI62" s="2275"/>
      <c r="AJ62" s="2275"/>
      <c r="AK62" s="2275"/>
      <c r="AL62" s="2275"/>
      <c r="AM62" s="2275"/>
      <c r="AN62" s="2275"/>
      <c r="AO62" s="2275"/>
      <c r="AP62" s="2275"/>
      <c r="AQ62" s="2275"/>
      <c r="AR62" s="2275"/>
      <c r="AS62" s="2275"/>
      <c r="AT62" s="2275"/>
      <c r="AU62" s="2275"/>
      <c r="AV62" s="2275"/>
      <c r="AW62" s="2276"/>
      <c r="AX62" s="1207"/>
      <c r="AY62" s="1207"/>
      <c r="AZ62" s="1207"/>
      <c r="BA62" s="1207"/>
      <c r="BB62" s="1207"/>
      <c r="BC62" s="1207"/>
      <c r="BD62" s="1207"/>
      <c r="BE62" s="1213"/>
    </row>
    <row r="63" spans="1:58" ht="15.75" customHeight="1">
      <c r="A63" s="1207"/>
      <c r="B63" s="2271" t="str">
        <f>IF(B55="", "", B55)</f>
        <v/>
      </c>
      <c r="C63" s="2272"/>
      <c r="D63" s="2272"/>
      <c r="E63" s="2272"/>
      <c r="F63" s="2272"/>
      <c r="G63" s="2272"/>
      <c r="H63" s="2272"/>
      <c r="I63" s="2273"/>
      <c r="J63" s="2274"/>
      <c r="K63" s="2275"/>
      <c r="L63" s="2275"/>
      <c r="M63" s="2275"/>
      <c r="N63" s="2275"/>
      <c r="O63" s="2275"/>
      <c r="P63" s="2275"/>
      <c r="Q63" s="2275"/>
      <c r="R63" s="2275"/>
      <c r="S63" s="2275"/>
      <c r="T63" s="2275"/>
      <c r="U63" s="2275"/>
      <c r="V63" s="2275"/>
      <c r="W63" s="2275"/>
      <c r="X63" s="2275"/>
      <c r="Y63" s="2275"/>
      <c r="Z63" s="2275"/>
      <c r="AA63" s="2275"/>
      <c r="AB63" s="2275"/>
      <c r="AC63" s="2275"/>
      <c r="AD63" s="2275"/>
      <c r="AE63" s="2275"/>
      <c r="AF63" s="2275"/>
      <c r="AG63" s="2275"/>
      <c r="AH63" s="2275"/>
      <c r="AI63" s="2275"/>
      <c r="AJ63" s="2275"/>
      <c r="AK63" s="2275"/>
      <c r="AL63" s="2275"/>
      <c r="AM63" s="2275"/>
      <c r="AN63" s="2275"/>
      <c r="AO63" s="2275"/>
      <c r="AP63" s="2275"/>
      <c r="AQ63" s="2275"/>
      <c r="AR63" s="2275"/>
      <c r="AS63" s="2275"/>
      <c r="AT63" s="2275"/>
      <c r="AU63" s="2275"/>
      <c r="AV63" s="2275"/>
      <c r="AW63" s="2276"/>
      <c r="AX63" s="1207"/>
      <c r="AY63" s="1207"/>
      <c r="AZ63" s="1207"/>
      <c r="BA63" s="1207"/>
      <c r="BB63" s="1207"/>
      <c r="BC63" s="1207"/>
      <c r="BD63" s="1207"/>
      <c r="BE63" s="1213"/>
    </row>
    <row r="64" spans="1:58" ht="15.75" customHeight="1" thickBot="1">
      <c r="A64" s="1207"/>
      <c r="B64" s="2296" t="str">
        <f>IF(B56="", "", B56)</f>
        <v/>
      </c>
      <c r="C64" s="2297"/>
      <c r="D64" s="2297"/>
      <c r="E64" s="2297"/>
      <c r="F64" s="2297"/>
      <c r="G64" s="2297"/>
      <c r="H64" s="2297"/>
      <c r="I64" s="2298"/>
      <c r="J64" s="2299"/>
      <c r="K64" s="2300"/>
      <c r="L64" s="2300"/>
      <c r="M64" s="2300"/>
      <c r="N64" s="2300"/>
      <c r="O64" s="2300"/>
      <c r="P64" s="2300"/>
      <c r="Q64" s="2300"/>
      <c r="R64" s="2300"/>
      <c r="S64" s="2300"/>
      <c r="T64" s="2300"/>
      <c r="U64" s="2300"/>
      <c r="V64" s="2300"/>
      <c r="W64" s="2300"/>
      <c r="X64" s="2300"/>
      <c r="Y64" s="2300"/>
      <c r="Z64" s="2300"/>
      <c r="AA64" s="2300"/>
      <c r="AB64" s="2300"/>
      <c r="AC64" s="2300"/>
      <c r="AD64" s="2300"/>
      <c r="AE64" s="2300"/>
      <c r="AF64" s="2300"/>
      <c r="AG64" s="2300"/>
      <c r="AH64" s="2300"/>
      <c r="AI64" s="2300"/>
      <c r="AJ64" s="2300"/>
      <c r="AK64" s="2300"/>
      <c r="AL64" s="2300"/>
      <c r="AM64" s="2300"/>
      <c r="AN64" s="2300"/>
      <c r="AO64" s="2300"/>
      <c r="AP64" s="2300"/>
      <c r="AQ64" s="2300"/>
      <c r="AR64" s="2300"/>
      <c r="AS64" s="2300"/>
      <c r="AT64" s="2300"/>
      <c r="AU64" s="2300"/>
      <c r="AV64" s="2300"/>
      <c r="AW64" s="2301"/>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1887</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93" t="s">
        <v>1888</v>
      </c>
      <c r="C68" s="2194"/>
      <c r="D68" s="2194"/>
      <c r="E68" s="2194"/>
      <c r="F68" s="2194"/>
      <c r="G68" s="2194"/>
      <c r="H68" s="2194"/>
      <c r="I68" s="2194"/>
      <c r="J68" s="2194"/>
      <c r="K68" s="2194"/>
      <c r="L68" s="2194"/>
      <c r="M68" s="2194"/>
      <c r="N68" s="2194"/>
      <c r="O68" s="2194"/>
      <c r="P68" s="2194"/>
      <c r="Q68" s="2194"/>
      <c r="R68" s="2194"/>
      <c r="S68" s="2194"/>
      <c r="T68" s="2194"/>
      <c r="U68" s="2194"/>
      <c r="V68" s="2194"/>
      <c r="W68" s="2194"/>
      <c r="X68" s="2194"/>
      <c r="Y68" s="2194"/>
      <c r="Z68" s="2194"/>
      <c r="AA68" s="2195"/>
      <c r="AB68" s="1207"/>
      <c r="AC68" s="2308" t="s">
        <v>1889</v>
      </c>
      <c r="AD68" s="2309"/>
      <c r="AE68" s="2309"/>
      <c r="AF68" s="2309"/>
      <c r="AG68" s="2309"/>
      <c r="AH68" s="2309"/>
      <c r="AI68" s="2309"/>
      <c r="AJ68" s="2309"/>
      <c r="AK68" s="2309"/>
      <c r="AL68" s="2309"/>
      <c r="AM68" s="2309"/>
      <c r="AN68" s="2309"/>
      <c r="AO68" s="2309"/>
      <c r="AP68" s="2309"/>
      <c r="AQ68" s="2309"/>
      <c r="AR68" s="2309"/>
      <c r="AS68" s="2309"/>
      <c r="AT68" s="2309"/>
      <c r="AU68" s="2309"/>
      <c r="AV68" s="2283" t="s">
        <v>678</v>
      </c>
      <c r="AW68" s="2284"/>
      <c r="AX68" s="2284"/>
      <c r="AY68" s="2284"/>
      <c r="AZ68" s="2284"/>
      <c r="BA68" s="2284"/>
      <c r="BB68" s="2284"/>
      <c r="BC68" s="2285"/>
      <c r="BD68" s="1207"/>
      <c r="BE68" s="1213"/>
      <c r="BM68" s="1218" t="s">
        <v>2582</v>
      </c>
    </row>
    <row r="69" spans="1:65" ht="15.75" customHeight="1" thickTop="1" thickBot="1">
      <c r="A69" s="1207"/>
      <c r="B69" s="2286" t="s">
        <v>1890</v>
      </c>
      <c r="C69" s="2287"/>
      <c r="D69" s="2287"/>
      <c r="E69" s="2287"/>
      <c r="F69" s="2287"/>
      <c r="G69" s="2287"/>
      <c r="H69" s="2287"/>
      <c r="I69" s="2287"/>
      <c r="J69" s="2287"/>
      <c r="K69" s="2287"/>
      <c r="L69" s="2287"/>
      <c r="M69" s="2287"/>
      <c r="N69" s="2287"/>
      <c r="O69" s="2288" t="s">
        <v>1891</v>
      </c>
      <c r="P69" s="2289"/>
      <c r="Q69" s="2289"/>
      <c r="R69" s="2289"/>
      <c r="S69" s="2289"/>
      <c r="T69" s="2289"/>
      <c r="U69" s="2289"/>
      <c r="V69" s="2289"/>
      <c r="W69" s="2289"/>
      <c r="X69" s="2289"/>
      <c r="Y69" s="2289"/>
      <c r="Z69" s="2289"/>
      <c r="AA69" s="2290"/>
      <c r="AB69" s="1207"/>
      <c r="AC69" s="2291" t="s">
        <v>1892</v>
      </c>
      <c r="AD69" s="2292"/>
      <c r="AE69" s="2292"/>
      <c r="AF69" s="2292"/>
      <c r="AG69" s="2292"/>
      <c r="AH69" s="2292"/>
      <c r="AI69" s="2292"/>
      <c r="AJ69" s="2292"/>
      <c r="AK69" s="2292"/>
      <c r="AL69" s="2292"/>
      <c r="AM69" s="2292"/>
      <c r="AN69" s="2292"/>
      <c r="AO69" s="2292"/>
      <c r="AP69" s="2292"/>
      <c r="AQ69" s="2292"/>
      <c r="AR69" s="2292"/>
      <c r="AS69" s="2292"/>
      <c r="AT69" s="2292"/>
      <c r="AU69" s="2292"/>
      <c r="AV69" s="2293"/>
      <c r="AW69" s="2294"/>
      <c r="AX69" s="2294"/>
      <c r="AY69" s="2294"/>
      <c r="AZ69" s="2294"/>
      <c r="BA69" s="2294"/>
      <c r="BB69" s="2294"/>
      <c r="BC69" s="2295"/>
      <c r="BD69" s="1207"/>
      <c r="BE69" s="1213"/>
      <c r="BM69" s="1219" t="s">
        <v>554</v>
      </c>
    </row>
    <row r="70" spans="1:65" ht="15.75" customHeight="1">
      <c r="A70" s="1207"/>
      <c r="B70" s="2244" t="s">
        <v>2583</v>
      </c>
      <c r="C70" s="2245"/>
      <c r="D70" s="2245"/>
      <c r="E70" s="2245"/>
      <c r="F70" s="2245"/>
      <c r="G70" s="2245"/>
      <c r="H70" s="2245"/>
      <c r="I70" s="2245"/>
      <c r="J70" s="2245"/>
      <c r="K70" s="2245"/>
      <c r="L70" s="2245"/>
      <c r="M70" s="2245"/>
      <c r="N70" s="2245"/>
      <c r="O70" s="2302">
        <v>0</v>
      </c>
      <c r="P70" s="2302"/>
      <c r="Q70" s="2302"/>
      <c r="R70" s="2302"/>
      <c r="S70" s="2302"/>
      <c r="T70" s="2302"/>
      <c r="U70" s="2302"/>
      <c r="V70" s="2302"/>
      <c r="W70" s="2302"/>
      <c r="X70" s="2302"/>
      <c r="Y70" s="2302"/>
      <c r="Z70" s="2302"/>
      <c r="AA70" s="2303"/>
      <c r="AB70" s="1207"/>
      <c r="AC70" s="2231" t="s">
        <v>1893</v>
      </c>
      <c r="AD70" s="2232"/>
      <c r="AE70" s="2232"/>
      <c r="AF70" s="2304"/>
      <c r="AG70" s="2304"/>
      <c r="AH70" s="2304"/>
      <c r="AI70" s="2304"/>
      <c r="AJ70" s="2304"/>
      <c r="AK70" s="2304"/>
      <c r="AL70" s="2304"/>
      <c r="AM70" s="2304"/>
      <c r="AN70" s="2304"/>
      <c r="AO70" s="2304"/>
      <c r="AP70" s="2304"/>
      <c r="AQ70" s="2304"/>
      <c r="AR70" s="2304"/>
      <c r="AS70" s="2304"/>
      <c r="AT70" s="2304"/>
      <c r="AU70" s="2305"/>
      <c r="AV70" s="1207"/>
      <c r="AW70" s="1207"/>
      <c r="AX70" s="1207"/>
      <c r="AY70" s="1207"/>
      <c r="AZ70" s="1207"/>
      <c r="BA70" s="1207"/>
      <c r="BB70" s="1207"/>
      <c r="BC70" s="1207"/>
      <c r="BD70" s="1207"/>
      <c r="BE70" s="1213"/>
      <c r="BM70" s="1220" t="s">
        <v>678</v>
      </c>
    </row>
    <row r="71" spans="1:65" ht="15.75" customHeight="1" thickBot="1">
      <c r="A71" s="1207"/>
      <c r="B71" s="2244" t="s">
        <v>2584</v>
      </c>
      <c r="C71" s="2245"/>
      <c r="D71" s="2245"/>
      <c r="E71" s="2245"/>
      <c r="F71" s="2245"/>
      <c r="G71" s="2245"/>
      <c r="H71" s="2245"/>
      <c r="I71" s="2245"/>
      <c r="J71" s="2245"/>
      <c r="K71" s="2245"/>
      <c r="L71" s="2245"/>
      <c r="M71" s="2245"/>
      <c r="N71" s="2245"/>
      <c r="O71" s="2302">
        <v>0</v>
      </c>
      <c r="P71" s="2302"/>
      <c r="Q71" s="2302"/>
      <c r="R71" s="2302"/>
      <c r="S71" s="2302"/>
      <c r="T71" s="2302"/>
      <c r="U71" s="2302"/>
      <c r="V71" s="2302"/>
      <c r="W71" s="2302"/>
      <c r="X71" s="2302"/>
      <c r="Y71" s="2302"/>
      <c r="Z71" s="2302"/>
      <c r="AA71" s="2303"/>
      <c r="AB71" s="1207"/>
      <c r="AC71" s="2306" t="s">
        <v>1894</v>
      </c>
      <c r="AD71" s="2307"/>
      <c r="AE71" s="2307"/>
      <c r="AF71" s="2300"/>
      <c r="AG71" s="2300"/>
      <c r="AH71" s="2300"/>
      <c r="AI71" s="2300"/>
      <c r="AJ71" s="2300"/>
      <c r="AK71" s="2300"/>
      <c r="AL71" s="2300"/>
      <c r="AM71" s="2300"/>
      <c r="AN71" s="2300"/>
      <c r="AO71" s="2300"/>
      <c r="AP71" s="2300"/>
      <c r="AQ71" s="2300"/>
      <c r="AR71" s="2300"/>
      <c r="AS71" s="2300"/>
      <c r="AT71" s="2300"/>
      <c r="AU71" s="2301"/>
      <c r="AV71" s="1207"/>
      <c r="AW71" s="1207"/>
      <c r="AX71" s="1207"/>
      <c r="AY71" s="1207"/>
      <c r="AZ71" s="1207"/>
      <c r="BA71" s="1207"/>
      <c r="BB71" s="1207"/>
      <c r="BC71" s="1207"/>
      <c r="BD71" s="1207"/>
      <c r="BE71" s="1213"/>
      <c r="BM71" s="1204" t="s">
        <v>2585</v>
      </c>
    </row>
    <row r="72" spans="1:65" ht="15.75" customHeight="1">
      <c r="A72" s="1207"/>
      <c r="B72" s="2244" t="s">
        <v>2586</v>
      </c>
      <c r="C72" s="2245"/>
      <c r="D72" s="2245"/>
      <c r="E72" s="2245"/>
      <c r="F72" s="2245"/>
      <c r="G72" s="2245"/>
      <c r="H72" s="2245"/>
      <c r="I72" s="2245"/>
      <c r="J72" s="2245"/>
      <c r="K72" s="2245"/>
      <c r="L72" s="2245"/>
      <c r="M72" s="2245"/>
      <c r="N72" s="2245"/>
      <c r="O72" s="2302">
        <v>0</v>
      </c>
      <c r="P72" s="2302"/>
      <c r="Q72" s="2302"/>
      <c r="R72" s="2302"/>
      <c r="S72" s="2302"/>
      <c r="T72" s="2302"/>
      <c r="U72" s="2302"/>
      <c r="V72" s="2302"/>
      <c r="W72" s="2302"/>
      <c r="X72" s="2302"/>
      <c r="Y72" s="2302"/>
      <c r="Z72" s="2302"/>
      <c r="AA72" s="2303"/>
      <c r="AB72" s="1207"/>
      <c r="AC72" s="2310" t="s">
        <v>2587</v>
      </c>
      <c r="AD72" s="2311"/>
      <c r="AE72" s="2311"/>
      <c r="AF72" s="2311"/>
      <c r="AG72" s="2311"/>
      <c r="AH72" s="2311"/>
      <c r="AI72" s="2311"/>
      <c r="AJ72" s="2311"/>
      <c r="AK72" s="2311"/>
      <c r="AL72" s="2311"/>
      <c r="AM72" s="2311"/>
      <c r="AN72" s="2311"/>
      <c r="AO72" s="2311"/>
      <c r="AP72" s="2311"/>
      <c r="AQ72" s="2311"/>
      <c r="AR72" s="2311"/>
      <c r="AS72" s="2311"/>
      <c r="AT72" s="2311"/>
      <c r="AU72" s="2311"/>
      <c r="AV72" s="2232"/>
      <c r="AW72" s="2232"/>
      <c r="AX72" s="2232"/>
      <c r="AY72" s="2232"/>
      <c r="AZ72" s="2232"/>
      <c r="BA72" s="2232"/>
      <c r="BB72" s="2232"/>
      <c r="BC72" s="2233"/>
      <c r="BD72" s="1207"/>
      <c r="BE72" s="1213"/>
    </row>
    <row r="73" spans="1:65" ht="15.75" customHeight="1">
      <c r="A73" s="1207"/>
      <c r="B73" s="2251" t="s">
        <v>2588</v>
      </c>
      <c r="C73" s="2252"/>
      <c r="D73" s="2252"/>
      <c r="E73" s="2252"/>
      <c r="F73" s="2252"/>
      <c r="G73" s="2252"/>
      <c r="H73" s="2252"/>
      <c r="I73" s="2252"/>
      <c r="J73" s="2252"/>
      <c r="K73" s="2252"/>
      <c r="L73" s="2252"/>
      <c r="M73" s="2252"/>
      <c r="N73" s="2252"/>
      <c r="O73" s="2302">
        <v>0</v>
      </c>
      <c r="P73" s="2302"/>
      <c r="Q73" s="2302"/>
      <c r="R73" s="2302"/>
      <c r="S73" s="2302"/>
      <c r="T73" s="2302"/>
      <c r="U73" s="2302"/>
      <c r="V73" s="2302"/>
      <c r="W73" s="2302"/>
      <c r="X73" s="2302"/>
      <c r="Y73" s="2302"/>
      <c r="Z73" s="2302"/>
      <c r="AA73" s="2303"/>
      <c r="AB73" s="1207"/>
      <c r="AC73" s="2312" t="s">
        <v>2261</v>
      </c>
      <c r="AD73" s="2313"/>
      <c r="AE73" s="2313"/>
      <c r="AF73" s="2313"/>
      <c r="AG73" s="2313"/>
      <c r="AH73" s="2313"/>
      <c r="AI73" s="2313"/>
      <c r="AJ73" s="2313"/>
      <c r="AK73" s="2313"/>
      <c r="AL73" s="2313"/>
      <c r="AM73" s="2313"/>
      <c r="AN73" s="2313"/>
      <c r="AO73" s="2313"/>
      <c r="AP73" s="2313"/>
      <c r="AQ73" s="2313"/>
      <c r="AR73" s="2313"/>
      <c r="AS73" s="2313"/>
      <c r="AT73" s="2313"/>
      <c r="AU73" s="2313"/>
      <c r="AV73" s="2313"/>
      <c r="AW73" s="2313"/>
      <c r="AX73" s="2313"/>
      <c r="AY73" s="2313"/>
      <c r="AZ73" s="2313"/>
      <c r="BA73" s="2313"/>
      <c r="BB73" s="2313"/>
      <c r="BC73" s="2314"/>
      <c r="BD73" s="1207"/>
      <c r="BE73" s="1213"/>
    </row>
    <row r="74" spans="1:65" ht="15.75" customHeight="1">
      <c r="A74" s="1207"/>
      <c r="B74" s="2318"/>
      <c r="C74" s="2263"/>
      <c r="D74" s="2263"/>
      <c r="E74" s="2263"/>
      <c r="F74" s="2263"/>
      <c r="G74" s="2263"/>
      <c r="H74" s="2263"/>
      <c r="I74" s="2263"/>
      <c r="J74" s="2263"/>
      <c r="K74" s="2263"/>
      <c r="L74" s="2263"/>
      <c r="M74" s="2263"/>
      <c r="N74" s="2263"/>
      <c r="O74" s="2302"/>
      <c r="P74" s="2302"/>
      <c r="Q74" s="2302"/>
      <c r="R74" s="2302"/>
      <c r="S74" s="2302"/>
      <c r="T74" s="2302"/>
      <c r="U74" s="2302"/>
      <c r="V74" s="2302"/>
      <c r="W74" s="2302"/>
      <c r="X74" s="2302"/>
      <c r="Y74" s="2302"/>
      <c r="Z74" s="2302"/>
      <c r="AA74" s="2303"/>
      <c r="AB74" s="1207"/>
      <c r="AC74" s="2312"/>
      <c r="AD74" s="2313"/>
      <c r="AE74" s="2313"/>
      <c r="AF74" s="2313"/>
      <c r="AG74" s="2313"/>
      <c r="AH74" s="2313"/>
      <c r="AI74" s="2313"/>
      <c r="AJ74" s="2313"/>
      <c r="AK74" s="2313"/>
      <c r="AL74" s="2313"/>
      <c r="AM74" s="2313"/>
      <c r="AN74" s="2313"/>
      <c r="AO74" s="2313"/>
      <c r="AP74" s="2313"/>
      <c r="AQ74" s="2313"/>
      <c r="AR74" s="2313"/>
      <c r="AS74" s="2313"/>
      <c r="AT74" s="2313"/>
      <c r="AU74" s="2313"/>
      <c r="AV74" s="2313"/>
      <c r="AW74" s="2313"/>
      <c r="AX74" s="2313"/>
      <c r="AY74" s="2313"/>
      <c r="AZ74" s="2313"/>
      <c r="BA74" s="2313"/>
      <c r="BB74" s="2313"/>
      <c r="BC74" s="2314"/>
      <c r="BD74" s="1207"/>
      <c r="BE74" s="1213"/>
    </row>
    <row r="75" spans="1:65" ht="15.75" customHeight="1" thickBot="1">
      <c r="A75" s="1207"/>
      <c r="B75" s="2319" t="s">
        <v>125</v>
      </c>
      <c r="C75" s="2320"/>
      <c r="D75" s="2320"/>
      <c r="E75" s="2320"/>
      <c r="F75" s="2320"/>
      <c r="G75" s="2320"/>
      <c r="H75" s="2320"/>
      <c r="I75" s="2320"/>
      <c r="J75" s="2320"/>
      <c r="K75" s="2320"/>
      <c r="L75" s="2320"/>
      <c r="M75" s="2320"/>
      <c r="N75" s="2320"/>
      <c r="O75" s="2321">
        <f>SUM(O70:AA74)</f>
        <v>0</v>
      </c>
      <c r="P75" s="2321"/>
      <c r="Q75" s="2321"/>
      <c r="R75" s="2321"/>
      <c r="S75" s="2321"/>
      <c r="T75" s="2321"/>
      <c r="U75" s="2321"/>
      <c r="V75" s="2321"/>
      <c r="W75" s="2321"/>
      <c r="X75" s="2321"/>
      <c r="Y75" s="2321"/>
      <c r="Z75" s="2321"/>
      <c r="AA75" s="2322"/>
      <c r="AB75" s="1207"/>
      <c r="AC75" s="2312"/>
      <c r="AD75" s="2313"/>
      <c r="AE75" s="2313"/>
      <c r="AF75" s="2313"/>
      <c r="AG75" s="2313"/>
      <c r="AH75" s="2313"/>
      <c r="AI75" s="2313"/>
      <c r="AJ75" s="2313"/>
      <c r="AK75" s="2313"/>
      <c r="AL75" s="2313"/>
      <c r="AM75" s="2313"/>
      <c r="AN75" s="2313"/>
      <c r="AO75" s="2313"/>
      <c r="AP75" s="2313"/>
      <c r="AQ75" s="2313"/>
      <c r="AR75" s="2313"/>
      <c r="AS75" s="2313"/>
      <c r="AT75" s="2313"/>
      <c r="AU75" s="2313"/>
      <c r="AV75" s="2313"/>
      <c r="AW75" s="2313"/>
      <c r="AX75" s="2313"/>
      <c r="AY75" s="2313"/>
      <c r="AZ75" s="2313"/>
      <c r="BA75" s="2313"/>
      <c r="BB75" s="2313"/>
      <c r="BC75" s="2314"/>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12"/>
      <c r="AD76" s="2313"/>
      <c r="AE76" s="2313"/>
      <c r="AF76" s="2313"/>
      <c r="AG76" s="2313"/>
      <c r="AH76" s="2313"/>
      <c r="AI76" s="2313"/>
      <c r="AJ76" s="2313"/>
      <c r="AK76" s="2313"/>
      <c r="AL76" s="2313"/>
      <c r="AM76" s="2313"/>
      <c r="AN76" s="2313"/>
      <c r="AO76" s="2313"/>
      <c r="AP76" s="2313"/>
      <c r="AQ76" s="2313"/>
      <c r="AR76" s="2313"/>
      <c r="AS76" s="2313"/>
      <c r="AT76" s="2313"/>
      <c r="AU76" s="2313"/>
      <c r="AV76" s="2313"/>
      <c r="AW76" s="2313"/>
      <c r="AX76" s="2313"/>
      <c r="AY76" s="2313"/>
      <c r="AZ76" s="2313"/>
      <c r="BA76" s="2313"/>
      <c r="BB76" s="2313"/>
      <c r="BC76" s="2314"/>
      <c r="BD76" s="1207"/>
      <c r="BE76" s="1213"/>
    </row>
    <row r="77" spans="1:65" ht="15.75" customHeight="1" thickBot="1">
      <c r="A77" s="1207"/>
      <c r="B77" s="1221" t="s">
        <v>1895</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15"/>
      <c r="AD77" s="2316"/>
      <c r="AE77" s="2316"/>
      <c r="AF77" s="2316"/>
      <c r="AG77" s="2316"/>
      <c r="AH77" s="2316"/>
      <c r="AI77" s="2316"/>
      <c r="AJ77" s="2316"/>
      <c r="AK77" s="2316"/>
      <c r="AL77" s="2316"/>
      <c r="AM77" s="2316"/>
      <c r="AN77" s="2316"/>
      <c r="AO77" s="2316"/>
      <c r="AP77" s="2316"/>
      <c r="AQ77" s="2316"/>
      <c r="AR77" s="2316"/>
      <c r="AS77" s="2316"/>
      <c r="AT77" s="2316"/>
      <c r="AU77" s="2316"/>
      <c r="AV77" s="2316"/>
      <c r="AW77" s="2316"/>
      <c r="AX77" s="2316"/>
      <c r="AY77" s="2316"/>
      <c r="AZ77" s="2316"/>
      <c r="BA77" s="2316"/>
      <c r="BB77" s="2316"/>
      <c r="BC77" s="2317"/>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23" t="s">
        <v>2244</v>
      </c>
      <c r="C79" s="2324"/>
      <c r="D79" s="2324"/>
      <c r="E79" s="2324"/>
      <c r="F79" s="2324"/>
      <c r="G79" s="2324"/>
      <c r="H79" s="2324"/>
      <c r="I79" s="2324"/>
      <c r="J79" s="2324"/>
      <c r="K79" s="2324"/>
      <c r="L79" s="2324"/>
      <c r="M79" s="2324"/>
      <c r="N79" s="2324"/>
      <c r="O79" s="2324"/>
      <c r="P79" s="2324"/>
      <c r="Q79" s="2324"/>
      <c r="R79" s="2324"/>
      <c r="S79" s="2324"/>
      <c r="T79" s="2324"/>
      <c r="U79" s="2324"/>
      <c r="V79" s="2324"/>
      <c r="W79" s="2324"/>
      <c r="X79" s="2324"/>
      <c r="Y79" s="2324"/>
      <c r="Z79" s="2324"/>
      <c r="AA79" s="2324"/>
      <c r="AB79" s="2324"/>
      <c r="AC79" s="2324"/>
      <c r="AD79" s="2324"/>
      <c r="AE79" s="2324"/>
      <c r="AF79" s="2324"/>
      <c r="AG79" s="2324"/>
      <c r="AH79" s="2325"/>
      <c r="AI79" s="1207"/>
      <c r="AJ79" s="2326" t="s">
        <v>2589</v>
      </c>
      <c r="AK79" s="2327"/>
      <c r="AL79" s="2327"/>
      <c r="AM79" s="2327"/>
      <c r="AN79" s="2327"/>
      <c r="AO79" s="2327"/>
      <c r="AP79" s="2327"/>
      <c r="AQ79" s="2327"/>
      <c r="AR79" s="2327"/>
      <c r="AS79" s="2327"/>
      <c r="AT79" s="2327"/>
      <c r="AU79" s="2327"/>
      <c r="AV79" s="2327"/>
      <c r="AW79" s="2327"/>
      <c r="AX79" s="2327"/>
      <c r="AY79" s="2330" t="s">
        <v>554</v>
      </c>
      <c r="AZ79" s="2330"/>
      <c r="BA79" s="2330"/>
      <c r="BB79" s="2331"/>
      <c r="BC79" s="1207"/>
      <c r="BD79" s="1207"/>
      <c r="BE79" s="1213"/>
    </row>
    <row r="80" spans="1:65" ht="15.75" customHeight="1">
      <c r="A80" s="1207"/>
      <c r="B80" s="2259"/>
      <c r="C80" s="2260"/>
      <c r="D80" s="2260"/>
      <c r="E80" s="2260"/>
      <c r="F80" s="2260"/>
      <c r="G80" s="2260"/>
      <c r="H80" s="2260"/>
      <c r="I80" s="2260" t="s">
        <v>1896</v>
      </c>
      <c r="J80" s="2260"/>
      <c r="K80" s="2260"/>
      <c r="L80" s="2260"/>
      <c r="M80" s="2260"/>
      <c r="N80" s="2260"/>
      <c r="O80" s="2260" t="s">
        <v>1897</v>
      </c>
      <c r="P80" s="2260"/>
      <c r="Q80" s="2260"/>
      <c r="R80" s="2260"/>
      <c r="S80" s="2260"/>
      <c r="T80" s="2260"/>
      <c r="U80" s="2260"/>
      <c r="V80" s="2334" t="s">
        <v>2262</v>
      </c>
      <c r="W80" s="2334"/>
      <c r="X80" s="2334"/>
      <c r="Y80" s="2334"/>
      <c r="Z80" s="2334"/>
      <c r="AA80" s="2334"/>
      <c r="AB80" s="2239" t="s">
        <v>1898</v>
      </c>
      <c r="AC80" s="2239"/>
      <c r="AD80" s="2239"/>
      <c r="AE80" s="2239"/>
      <c r="AF80" s="2239"/>
      <c r="AG80" s="2239"/>
      <c r="AH80" s="2240"/>
      <c r="AI80" s="1207"/>
      <c r="AJ80" s="2328"/>
      <c r="AK80" s="2329"/>
      <c r="AL80" s="2329"/>
      <c r="AM80" s="2329"/>
      <c r="AN80" s="2329"/>
      <c r="AO80" s="2329"/>
      <c r="AP80" s="2329"/>
      <c r="AQ80" s="2329"/>
      <c r="AR80" s="2329"/>
      <c r="AS80" s="2329"/>
      <c r="AT80" s="2329"/>
      <c r="AU80" s="2329"/>
      <c r="AV80" s="2329"/>
      <c r="AW80" s="2329"/>
      <c r="AX80" s="2329"/>
      <c r="AY80" s="2332"/>
      <c r="AZ80" s="2332"/>
      <c r="BA80" s="2332"/>
      <c r="BB80" s="2333"/>
      <c r="BC80" s="1207"/>
      <c r="BD80" s="1207"/>
      <c r="BE80" s="1213"/>
    </row>
    <row r="81" spans="1:57" ht="15.75" customHeight="1">
      <c r="A81" s="1207"/>
      <c r="B81" s="2259"/>
      <c r="C81" s="2260"/>
      <c r="D81" s="2260"/>
      <c r="E81" s="2260"/>
      <c r="F81" s="2260"/>
      <c r="G81" s="2260"/>
      <c r="H81" s="2260"/>
      <c r="I81" s="2260"/>
      <c r="J81" s="2260"/>
      <c r="K81" s="2260"/>
      <c r="L81" s="2260"/>
      <c r="M81" s="2260"/>
      <c r="N81" s="2260"/>
      <c r="O81" s="2260"/>
      <c r="P81" s="2260"/>
      <c r="Q81" s="2260"/>
      <c r="R81" s="2260"/>
      <c r="S81" s="2260"/>
      <c r="T81" s="2260"/>
      <c r="U81" s="2260"/>
      <c r="V81" s="2334"/>
      <c r="W81" s="2334"/>
      <c r="X81" s="2334"/>
      <c r="Y81" s="2334"/>
      <c r="Z81" s="2334"/>
      <c r="AA81" s="2334"/>
      <c r="AB81" s="2239"/>
      <c r="AC81" s="2239"/>
      <c r="AD81" s="2239"/>
      <c r="AE81" s="2239"/>
      <c r="AF81" s="2239"/>
      <c r="AG81" s="2239"/>
      <c r="AH81" s="2240"/>
      <c r="AI81" s="1207"/>
      <c r="AJ81" s="2328"/>
      <c r="AK81" s="2329"/>
      <c r="AL81" s="2329"/>
      <c r="AM81" s="2329"/>
      <c r="AN81" s="2329"/>
      <c r="AO81" s="2329"/>
      <c r="AP81" s="2329"/>
      <c r="AQ81" s="2329"/>
      <c r="AR81" s="2329"/>
      <c r="AS81" s="2329"/>
      <c r="AT81" s="2329"/>
      <c r="AU81" s="2329"/>
      <c r="AV81" s="2329"/>
      <c r="AW81" s="2329"/>
      <c r="AX81" s="2329"/>
      <c r="AY81" s="2332"/>
      <c r="AZ81" s="2332"/>
      <c r="BA81" s="2332"/>
      <c r="BB81" s="2333"/>
      <c r="BC81" s="1207"/>
      <c r="BD81" s="1207"/>
      <c r="BE81" s="1213"/>
    </row>
    <row r="82" spans="1:57" ht="15.75" customHeight="1">
      <c r="A82" s="1207"/>
      <c r="B82" s="2259" t="s">
        <v>2245</v>
      </c>
      <c r="C82" s="2260"/>
      <c r="D82" s="2260"/>
      <c r="E82" s="2260"/>
      <c r="F82" s="2260"/>
      <c r="G82" s="2260"/>
      <c r="H82" s="2260"/>
      <c r="I82" s="2335">
        <v>0</v>
      </c>
      <c r="J82" s="2335"/>
      <c r="K82" s="2335"/>
      <c r="L82" s="2335"/>
      <c r="M82" s="2335"/>
      <c r="N82" s="2335"/>
      <c r="O82" s="2335">
        <v>0</v>
      </c>
      <c r="P82" s="2335"/>
      <c r="Q82" s="2335"/>
      <c r="R82" s="2335"/>
      <c r="S82" s="2335"/>
      <c r="T82" s="2335"/>
      <c r="U82" s="2335"/>
      <c r="V82" s="2335">
        <v>0</v>
      </c>
      <c r="W82" s="2335"/>
      <c r="X82" s="2335"/>
      <c r="Y82" s="2335"/>
      <c r="Z82" s="2335"/>
      <c r="AA82" s="2335"/>
      <c r="AB82" s="2335">
        <v>0</v>
      </c>
      <c r="AC82" s="2335"/>
      <c r="AD82" s="2335"/>
      <c r="AE82" s="2335"/>
      <c r="AF82" s="2335"/>
      <c r="AG82" s="2335"/>
      <c r="AH82" s="2344"/>
      <c r="AI82" s="1207"/>
      <c r="AJ82" s="2328"/>
      <c r="AK82" s="2329"/>
      <c r="AL82" s="2329"/>
      <c r="AM82" s="2329"/>
      <c r="AN82" s="2329"/>
      <c r="AO82" s="2329"/>
      <c r="AP82" s="2329"/>
      <c r="AQ82" s="2329"/>
      <c r="AR82" s="2329"/>
      <c r="AS82" s="2329"/>
      <c r="AT82" s="2329"/>
      <c r="AU82" s="2329"/>
      <c r="AV82" s="2329"/>
      <c r="AW82" s="2329"/>
      <c r="AX82" s="2329"/>
      <c r="AY82" s="2332"/>
      <c r="AZ82" s="2332"/>
      <c r="BA82" s="2332"/>
      <c r="BB82" s="2333"/>
      <c r="BC82" s="1207"/>
      <c r="BD82" s="1207"/>
      <c r="BE82" s="1213"/>
    </row>
    <row r="83" spans="1:57" ht="15.75" customHeight="1">
      <c r="A83" s="1207"/>
      <c r="B83" s="2259" t="s">
        <v>2246</v>
      </c>
      <c r="C83" s="2260"/>
      <c r="D83" s="2260"/>
      <c r="E83" s="2260"/>
      <c r="F83" s="2260"/>
      <c r="G83" s="2260"/>
      <c r="H83" s="2260"/>
      <c r="I83" s="2335">
        <v>0</v>
      </c>
      <c r="J83" s="2335"/>
      <c r="K83" s="2335"/>
      <c r="L83" s="2335"/>
      <c r="M83" s="2335"/>
      <c r="N83" s="2335"/>
      <c r="O83" s="2335">
        <v>0</v>
      </c>
      <c r="P83" s="2335"/>
      <c r="Q83" s="2335"/>
      <c r="R83" s="2335"/>
      <c r="S83" s="2335"/>
      <c r="T83" s="2335"/>
      <c r="U83" s="2335"/>
      <c r="V83" s="2335">
        <v>0</v>
      </c>
      <c r="W83" s="2335"/>
      <c r="X83" s="2335"/>
      <c r="Y83" s="2335"/>
      <c r="Z83" s="2335"/>
      <c r="AA83" s="2335"/>
      <c r="AB83" s="2335">
        <v>0</v>
      </c>
      <c r="AC83" s="2335"/>
      <c r="AD83" s="2335"/>
      <c r="AE83" s="2335"/>
      <c r="AF83" s="2335"/>
      <c r="AG83" s="2335"/>
      <c r="AH83" s="2344"/>
      <c r="AI83" s="1207"/>
      <c r="AJ83" s="2336" t="s">
        <v>2590</v>
      </c>
      <c r="AK83" s="2337"/>
      <c r="AL83" s="2337"/>
      <c r="AM83" s="2337"/>
      <c r="AN83" s="2337"/>
      <c r="AO83" s="2337"/>
      <c r="AP83" s="2337"/>
      <c r="AQ83" s="2337"/>
      <c r="AR83" s="2337"/>
      <c r="AS83" s="2337"/>
      <c r="AT83" s="2337"/>
      <c r="AU83" s="2337"/>
      <c r="AV83" s="2337"/>
      <c r="AW83" s="2337"/>
      <c r="AX83" s="2337"/>
      <c r="AY83" s="2337"/>
      <c r="AZ83" s="2337"/>
      <c r="BA83" s="2337"/>
      <c r="BB83" s="2338"/>
      <c r="BC83" s="1207"/>
      <c r="BD83" s="1207"/>
      <c r="BE83" s="1213"/>
    </row>
    <row r="84" spans="1:57" ht="15.75" customHeight="1" thickBot="1">
      <c r="A84" s="1207"/>
      <c r="B84" s="2277" t="s">
        <v>1899</v>
      </c>
      <c r="C84" s="2278"/>
      <c r="D84" s="2278"/>
      <c r="E84" s="2278"/>
      <c r="F84" s="2278"/>
      <c r="G84" s="2278"/>
      <c r="H84" s="2278"/>
      <c r="I84" s="2342">
        <v>0</v>
      </c>
      <c r="J84" s="2342"/>
      <c r="K84" s="2342"/>
      <c r="L84" s="2342"/>
      <c r="M84" s="2342"/>
      <c r="N84" s="2342"/>
      <c r="O84" s="2342">
        <v>0</v>
      </c>
      <c r="P84" s="2342"/>
      <c r="Q84" s="2342"/>
      <c r="R84" s="2342"/>
      <c r="S84" s="2342"/>
      <c r="T84" s="2342"/>
      <c r="U84" s="2342"/>
      <c r="V84" s="2342">
        <v>0</v>
      </c>
      <c r="W84" s="2342"/>
      <c r="X84" s="2342"/>
      <c r="Y84" s="2342"/>
      <c r="Z84" s="2342"/>
      <c r="AA84" s="2342"/>
      <c r="AB84" s="2342">
        <v>0</v>
      </c>
      <c r="AC84" s="2342"/>
      <c r="AD84" s="2342"/>
      <c r="AE84" s="2342"/>
      <c r="AF84" s="2342"/>
      <c r="AG84" s="2342"/>
      <c r="AH84" s="2343"/>
      <c r="AI84" s="1207"/>
      <c r="AJ84" s="2339"/>
      <c r="AK84" s="2340"/>
      <c r="AL84" s="2340"/>
      <c r="AM84" s="2340"/>
      <c r="AN84" s="2340"/>
      <c r="AO84" s="2340"/>
      <c r="AP84" s="2340"/>
      <c r="AQ84" s="2340"/>
      <c r="AR84" s="2340"/>
      <c r="AS84" s="2340"/>
      <c r="AT84" s="2340"/>
      <c r="AU84" s="2340"/>
      <c r="AV84" s="2340"/>
      <c r="AW84" s="2340"/>
      <c r="AX84" s="2340"/>
      <c r="AY84" s="2340"/>
      <c r="AZ84" s="2340"/>
      <c r="BA84" s="2340"/>
      <c r="BB84" s="2341"/>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1900</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308" t="s">
        <v>1901</v>
      </c>
      <c r="C88" s="2309"/>
      <c r="D88" s="2309"/>
      <c r="E88" s="2309"/>
      <c r="F88" s="2309"/>
      <c r="G88" s="2309"/>
      <c r="H88" s="2309"/>
      <c r="I88" s="2309"/>
      <c r="J88" s="2309"/>
      <c r="K88" s="2309"/>
      <c r="L88" s="2309"/>
      <c r="M88" s="2309"/>
      <c r="N88" s="2309"/>
      <c r="O88" s="2309"/>
      <c r="P88" s="2309"/>
      <c r="Q88" s="2309"/>
      <c r="R88" s="2309"/>
      <c r="S88" s="2309"/>
      <c r="T88" s="2309"/>
      <c r="U88" s="2309"/>
      <c r="V88" s="2309"/>
      <c r="W88" s="2309"/>
      <c r="X88" s="2309"/>
      <c r="Y88" s="2309"/>
      <c r="Z88" s="2309"/>
      <c r="AA88" s="2309"/>
      <c r="AB88" s="2309"/>
      <c r="AC88" s="2309"/>
      <c r="AD88" s="2309"/>
      <c r="AE88" s="2309"/>
      <c r="AF88" s="2309"/>
      <c r="AG88" s="2309"/>
      <c r="AH88" s="2345"/>
      <c r="AI88" s="1207"/>
      <c r="AJ88" s="2326" t="s">
        <v>2591</v>
      </c>
      <c r="AK88" s="2327"/>
      <c r="AL88" s="2327"/>
      <c r="AM88" s="2327"/>
      <c r="AN88" s="2327"/>
      <c r="AO88" s="2327"/>
      <c r="AP88" s="2327"/>
      <c r="AQ88" s="2327"/>
      <c r="AR88" s="2327"/>
      <c r="AS88" s="2327"/>
      <c r="AT88" s="2327"/>
      <c r="AU88" s="2327"/>
      <c r="AV88" s="2327"/>
      <c r="AW88" s="2327"/>
      <c r="AX88" s="2327"/>
      <c r="AY88" s="2330" t="s">
        <v>554</v>
      </c>
      <c r="AZ88" s="2330"/>
      <c r="BA88" s="2330"/>
      <c r="BB88" s="2331"/>
      <c r="BC88" s="1207"/>
      <c r="BD88" s="1207"/>
      <c r="BE88" s="1213"/>
    </row>
    <row r="89" spans="1:57" ht="16.5" customHeight="1">
      <c r="A89" s="1207"/>
      <c r="B89" s="2259"/>
      <c r="C89" s="2260"/>
      <c r="D89" s="2260"/>
      <c r="E89" s="2260"/>
      <c r="F89" s="2260"/>
      <c r="G89" s="2260"/>
      <c r="H89" s="2260"/>
      <c r="I89" s="2260" t="s">
        <v>1896</v>
      </c>
      <c r="J89" s="2260"/>
      <c r="K89" s="2260"/>
      <c r="L89" s="2260"/>
      <c r="M89" s="2260"/>
      <c r="N89" s="2260"/>
      <c r="O89" s="2260" t="s">
        <v>1897</v>
      </c>
      <c r="P89" s="2260"/>
      <c r="Q89" s="2260"/>
      <c r="R89" s="2260"/>
      <c r="S89" s="2260"/>
      <c r="T89" s="2260"/>
      <c r="U89" s="2260"/>
      <c r="V89" s="2334" t="s">
        <v>2262</v>
      </c>
      <c r="W89" s="2334"/>
      <c r="X89" s="2334"/>
      <c r="Y89" s="2334"/>
      <c r="Z89" s="2334"/>
      <c r="AA89" s="2334"/>
      <c r="AB89" s="2239" t="s">
        <v>1898</v>
      </c>
      <c r="AC89" s="2239"/>
      <c r="AD89" s="2239"/>
      <c r="AE89" s="2239"/>
      <c r="AF89" s="2239"/>
      <c r="AG89" s="2239"/>
      <c r="AH89" s="2240"/>
      <c r="AI89" s="1207"/>
      <c r="AJ89" s="2328"/>
      <c r="AK89" s="2329"/>
      <c r="AL89" s="2329"/>
      <c r="AM89" s="2329"/>
      <c r="AN89" s="2329"/>
      <c r="AO89" s="2329"/>
      <c r="AP89" s="2329"/>
      <c r="AQ89" s="2329"/>
      <c r="AR89" s="2329"/>
      <c r="AS89" s="2329"/>
      <c r="AT89" s="2329"/>
      <c r="AU89" s="2329"/>
      <c r="AV89" s="2329"/>
      <c r="AW89" s="2329"/>
      <c r="AX89" s="2329"/>
      <c r="AY89" s="2332"/>
      <c r="AZ89" s="2332"/>
      <c r="BA89" s="2332"/>
      <c r="BB89" s="2333"/>
      <c r="BC89" s="1207"/>
      <c r="BD89" s="1207"/>
      <c r="BE89" s="1213"/>
    </row>
    <row r="90" spans="1:57" ht="16.5" customHeight="1">
      <c r="A90" s="1207"/>
      <c r="B90" s="2259"/>
      <c r="C90" s="2260"/>
      <c r="D90" s="2260"/>
      <c r="E90" s="2260"/>
      <c r="F90" s="2260"/>
      <c r="G90" s="2260"/>
      <c r="H90" s="2260"/>
      <c r="I90" s="2260"/>
      <c r="J90" s="2260"/>
      <c r="K90" s="2260"/>
      <c r="L90" s="2260"/>
      <c r="M90" s="2260"/>
      <c r="N90" s="2260"/>
      <c r="O90" s="2260"/>
      <c r="P90" s="2260"/>
      <c r="Q90" s="2260"/>
      <c r="R90" s="2260"/>
      <c r="S90" s="2260"/>
      <c r="T90" s="2260"/>
      <c r="U90" s="2260"/>
      <c r="V90" s="2334"/>
      <c r="W90" s="2334"/>
      <c r="X90" s="2334"/>
      <c r="Y90" s="2334"/>
      <c r="Z90" s="2334"/>
      <c r="AA90" s="2334"/>
      <c r="AB90" s="2239"/>
      <c r="AC90" s="2239"/>
      <c r="AD90" s="2239"/>
      <c r="AE90" s="2239"/>
      <c r="AF90" s="2239"/>
      <c r="AG90" s="2239"/>
      <c r="AH90" s="2240"/>
      <c r="AI90" s="1207"/>
      <c r="AJ90" s="2328"/>
      <c r="AK90" s="2329"/>
      <c r="AL90" s="2329"/>
      <c r="AM90" s="2329"/>
      <c r="AN90" s="2329"/>
      <c r="AO90" s="2329"/>
      <c r="AP90" s="2329"/>
      <c r="AQ90" s="2329"/>
      <c r="AR90" s="2329"/>
      <c r="AS90" s="2329"/>
      <c r="AT90" s="2329"/>
      <c r="AU90" s="2329"/>
      <c r="AV90" s="2329"/>
      <c r="AW90" s="2329"/>
      <c r="AX90" s="2329"/>
      <c r="AY90" s="2332"/>
      <c r="AZ90" s="2332"/>
      <c r="BA90" s="2332"/>
      <c r="BB90" s="2333"/>
      <c r="BC90" s="1207"/>
      <c r="BD90" s="1207"/>
      <c r="BE90" s="1213"/>
    </row>
    <row r="91" spans="1:57" ht="15.75" customHeight="1">
      <c r="A91" s="1207"/>
      <c r="B91" s="2259" t="s">
        <v>2245</v>
      </c>
      <c r="C91" s="2260"/>
      <c r="D91" s="2260"/>
      <c r="E91" s="2260"/>
      <c r="F91" s="2260"/>
      <c r="G91" s="2260"/>
      <c r="H91" s="2260"/>
      <c r="I91" s="2335">
        <v>0</v>
      </c>
      <c r="J91" s="2335"/>
      <c r="K91" s="2335"/>
      <c r="L91" s="2335"/>
      <c r="M91" s="2335"/>
      <c r="N91" s="2335"/>
      <c r="O91" s="2335">
        <v>0</v>
      </c>
      <c r="P91" s="2335"/>
      <c r="Q91" s="2335"/>
      <c r="R91" s="2335"/>
      <c r="S91" s="2335"/>
      <c r="T91" s="2335"/>
      <c r="U91" s="2335"/>
      <c r="V91" s="2335">
        <v>0</v>
      </c>
      <c r="W91" s="2335"/>
      <c r="X91" s="2335"/>
      <c r="Y91" s="2335"/>
      <c r="Z91" s="2335"/>
      <c r="AA91" s="2335"/>
      <c r="AB91" s="2335">
        <v>0</v>
      </c>
      <c r="AC91" s="2335"/>
      <c r="AD91" s="2335"/>
      <c r="AE91" s="2335"/>
      <c r="AF91" s="2335"/>
      <c r="AG91" s="2335"/>
      <c r="AH91" s="2344"/>
      <c r="AI91" s="1207"/>
      <c r="AJ91" s="2328"/>
      <c r="AK91" s="2329"/>
      <c r="AL91" s="2329"/>
      <c r="AM91" s="2329"/>
      <c r="AN91" s="2329"/>
      <c r="AO91" s="2329"/>
      <c r="AP91" s="2329"/>
      <c r="AQ91" s="2329"/>
      <c r="AR91" s="2329"/>
      <c r="AS91" s="2329"/>
      <c r="AT91" s="2329"/>
      <c r="AU91" s="2329"/>
      <c r="AV91" s="2329"/>
      <c r="AW91" s="2329"/>
      <c r="AX91" s="2329"/>
      <c r="AY91" s="2332"/>
      <c r="AZ91" s="2332"/>
      <c r="BA91" s="2332"/>
      <c r="BB91" s="2333"/>
      <c r="BC91" s="1207"/>
      <c r="BD91" s="1207"/>
      <c r="BE91" s="1213"/>
    </row>
    <row r="92" spans="1:57" ht="15.75" customHeight="1">
      <c r="A92" s="1207"/>
      <c r="B92" s="2259" t="s">
        <v>2246</v>
      </c>
      <c r="C92" s="2260"/>
      <c r="D92" s="2260"/>
      <c r="E92" s="2260"/>
      <c r="F92" s="2260"/>
      <c r="G92" s="2260"/>
      <c r="H92" s="2260"/>
      <c r="I92" s="2335">
        <v>0</v>
      </c>
      <c r="J92" s="2335"/>
      <c r="K92" s="2335"/>
      <c r="L92" s="2335"/>
      <c r="M92" s="2335"/>
      <c r="N92" s="2335"/>
      <c r="O92" s="2335">
        <v>0</v>
      </c>
      <c r="P92" s="2335"/>
      <c r="Q92" s="2335"/>
      <c r="R92" s="2335"/>
      <c r="S92" s="2335"/>
      <c r="T92" s="2335"/>
      <c r="U92" s="2335"/>
      <c r="V92" s="2335">
        <v>0</v>
      </c>
      <c r="W92" s="2335"/>
      <c r="X92" s="2335"/>
      <c r="Y92" s="2335"/>
      <c r="Z92" s="2335"/>
      <c r="AA92" s="2335"/>
      <c r="AB92" s="2335">
        <v>0</v>
      </c>
      <c r="AC92" s="2335"/>
      <c r="AD92" s="2335"/>
      <c r="AE92" s="2335"/>
      <c r="AF92" s="2335"/>
      <c r="AG92" s="2335"/>
      <c r="AH92" s="2344"/>
      <c r="AI92" s="1207"/>
      <c r="AJ92" s="2336" t="s">
        <v>2263</v>
      </c>
      <c r="AK92" s="2337"/>
      <c r="AL92" s="2337"/>
      <c r="AM92" s="2337"/>
      <c r="AN92" s="2337"/>
      <c r="AO92" s="2337"/>
      <c r="AP92" s="2337"/>
      <c r="AQ92" s="2337"/>
      <c r="AR92" s="2337"/>
      <c r="AS92" s="2337"/>
      <c r="AT92" s="2337"/>
      <c r="AU92" s="2337"/>
      <c r="AV92" s="2337"/>
      <c r="AW92" s="2337"/>
      <c r="AX92" s="2337"/>
      <c r="AY92" s="2337"/>
      <c r="AZ92" s="2337"/>
      <c r="BA92" s="2337"/>
      <c r="BB92" s="2338"/>
      <c r="BC92" s="1207"/>
      <c r="BD92" s="1207"/>
      <c r="BE92" s="1213"/>
    </row>
    <row r="93" spans="1:57" ht="15.75" customHeight="1" thickBot="1">
      <c r="A93" s="1207"/>
      <c r="B93" s="2277" t="s">
        <v>1899</v>
      </c>
      <c r="C93" s="2278"/>
      <c r="D93" s="2278"/>
      <c r="E93" s="2278"/>
      <c r="F93" s="2278"/>
      <c r="G93" s="2278"/>
      <c r="H93" s="2278"/>
      <c r="I93" s="2342">
        <v>0</v>
      </c>
      <c r="J93" s="2342"/>
      <c r="K93" s="2342"/>
      <c r="L93" s="2342"/>
      <c r="M93" s="2342"/>
      <c r="N93" s="2342"/>
      <c r="O93" s="2342">
        <v>0</v>
      </c>
      <c r="P93" s="2342"/>
      <c r="Q93" s="2342"/>
      <c r="R93" s="2342"/>
      <c r="S93" s="2342"/>
      <c r="T93" s="2342"/>
      <c r="U93" s="2342"/>
      <c r="V93" s="2342">
        <v>0</v>
      </c>
      <c r="W93" s="2342"/>
      <c r="X93" s="2342"/>
      <c r="Y93" s="2342"/>
      <c r="Z93" s="2342"/>
      <c r="AA93" s="2342"/>
      <c r="AB93" s="2342">
        <v>0</v>
      </c>
      <c r="AC93" s="2342"/>
      <c r="AD93" s="2342"/>
      <c r="AE93" s="2342"/>
      <c r="AF93" s="2342"/>
      <c r="AG93" s="2342"/>
      <c r="AH93" s="2343"/>
      <c r="AI93" s="1207"/>
      <c r="AJ93" s="2339"/>
      <c r="AK93" s="2340"/>
      <c r="AL93" s="2340"/>
      <c r="AM93" s="2340"/>
      <c r="AN93" s="2340"/>
      <c r="AO93" s="2340"/>
      <c r="AP93" s="2340"/>
      <c r="AQ93" s="2340"/>
      <c r="AR93" s="2340"/>
      <c r="AS93" s="2340"/>
      <c r="AT93" s="2340"/>
      <c r="AU93" s="2340"/>
      <c r="AV93" s="2340"/>
      <c r="AW93" s="2340"/>
      <c r="AX93" s="2340"/>
      <c r="AY93" s="2340"/>
      <c r="AZ93" s="2340"/>
      <c r="BA93" s="2340"/>
      <c r="BB93" s="2341"/>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1902</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26" t="s">
        <v>2247</v>
      </c>
      <c r="Y96" s="2327"/>
      <c r="Z96" s="2327"/>
      <c r="AA96" s="2327"/>
      <c r="AB96" s="2327"/>
      <c r="AC96" s="2327"/>
      <c r="AD96" s="2327"/>
      <c r="AE96" s="2327"/>
      <c r="AF96" s="2327"/>
      <c r="AG96" s="2327"/>
      <c r="AH96" s="2327"/>
      <c r="AI96" s="2327"/>
      <c r="AJ96" s="2327"/>
      <c r="AK96" s="2327"/>
      <c r="AL96" s="2327"/>
      <c r="AM96" s="2327"/>
      <c r="AN96" s="2327"/>
      <c r="AO96" s="2327"/>
      <c r="AP96" s="2327"/>
      <c r="AQ96" s="2327"/>
      <c r="AR96" s="2327"/>
      <c r="AS96" s="2327"/>
      <c r="AT96" s="2327"/>
      <c r="AU96" s="2327"/>
      <c r="AV96" s="2327"/>
      <c r="AW96" s="2327"/>
      <c r="AX96" s="2327"/>
      <c r="AY96" s="2327"/>
      <c r="AZ96" s="2327"/>
      <c r="BA96" s="2327"/>
      <c r="BB96" s="2327"/>
      <c r="BC96" s="2327"/>
      <c r="BD96" s="2352"/>
      <c r="BE96" s="1213"/>
    </row>
    <row r="97" spans="1:57" ht="15.75" customHeight="1">
      <c r="A97" s="1207"/>
      <c r="B97" s="2354" t="s">
        <v>1753</v>
      </c>
      <c r="C97" s="2355"/>
      <c r="D97" s="2355"/>
      <c r="E97" s="2355"/>
      <c r="F97" s="2355"/>
      <c r="G97" s="2355"/>
      <c r="H97" s="2355"/>
      <c r="I97" s="2355"/>
      <c r="J97" s="2355"/>
      <c r="K97" s="2355"/>
      <c r="L97" s="2355"/>
      <c r="M97" s="2355"/>
      <c r="N97" s="2355"/>
      <c r="O97" s="2355"/>
      <c r="P97" s="2355"/>
      <c r="Q97" s="2355"/>
      <c r="R97" s="2355"/>
      <c r="S97" s="2355"/>
      <c r="T97" s="2355"/>
      <c r="U97" s="2356"/>
      <c r="V97" s="1207"/>
      <c r="W97" s="1207"/>
      <c r="X97" s="2328"/>
      <c r="Y97" s="2329"/>
      <c r="Z97" s="2329"/>
      <c r="AA97" s="2329"/>
      <c r="AB97" s="2329"/>
      <c r="AC97" s="2329"/>
      <c r="AD97" s="2329"/>
      <c r="AE97" s="2329"/>
      <c r="AF97" s="2329"/>
      <c r="AG97" s="2329"/>
      <c r="AH97" s="2329"/>
      <c r="AI97" s="2329"/>
      <c r="AJ97" s="2329"/>
      <c r="AK97" s="2329"/>
      <c r="AL97" s="2329"/>
      <c r="AM97" s="2329"/>
      <c r="AN97" s="2329"/>
      <c r="AO97" s="2329"/>
      <c r="AP97" s="2329"/>
      <c r="AQ97" s="2329"/>
      <c r="AR97" s="2329"/>
      <c r="AS97" s="2329"/>
      <c r="AT97" s="2329"/>
      <c r="AU97" s="2329"/>
      <c r="AV97" s="2329"/>
      <c r="AW97" s="2329"/>
      <c r="AX97" s="2329"/>
      <c r="AY97" s="2329"/>
      <c r="AZ97" s="2329"/>
      <c r="BA97" s="2329"/>
      <c r="BB97" s="2329"/>
      <c r="BC97" s="2329"/>
      <c r="BD97" s="2353"/>
      <c r="BE97" s="1213"/>
    </row>
    <row r="98" spans="1:57" ht="15.75" customHeight="1">
      <c r="A98" s="1207"/>
      <c r="B98" s="2348"/>
      <c r="C98" s="2349"/>
      <c r="D98" s="2349"/>
      <c r="E98" s="2349"/>
      <c r="F98" s="2349"/>
      <c r="G98" s="2349"/>
      <c r="H98" s="2349"/>
      <c r="I98" s="2260" t="s">
        <v>2248</v>
      </c>
      <c r="J98" s="2260"/>
      <c r="K98" s="2260"/>
      <c r="L98" s="2260"/>
      <c r="M98" s="2260"/>
      <c r="N98" s="2260"/>
      <c r="O98" s="2357" t="s">
        <v>2249</v>
      </c>
      <c r="P98" s="2357"/>
      <c r="Q98" s="2357"/>
      <c r="R98" s="2357"/>
      <c r="S98" s="2357"/>
      <c r="T98" s="2357"/>
      <c r="U98" s="2358"/>
      <c r="V98" s="1207"/>
      <c r="W98" s="1207"/>
      <c r="X98" s="2312" t="s">
        <v>2261</v>
      </c>
      <c r="Y98" s="2313"/>
      <c r="Z98" s="2313"/>
      <c r="AA98" s="2313"/>
      <c r="AB98" s="2313"/>
      <c r="AC98" s="2313"/>
      <c r="AD98" s="2313"/>
      <c r="AE98" s="2313"/>
      <c r="AF98" s="2313"/>
      <c r="AG98" s="2313"/>
      <c r="AH98" s="2313"/>
      <c r="AI98" s="2313"/>
      <c r="AJ98" s="2313"/>
      <c r="AK98" s="2313"/>
      <c r="AL98" s="2313"/>
      <c r="AM98" s="2313"/>
      <c r="AN98" s="2313"/>
      <c r="AO98" s="2313"/>
      <c r="AP98" s="2313"/>
      <c r="AQ98" s="2313"/>
      <c r="AR98" s="2313"/>
      <c r="AS98" s="2313"/>
      <c r="AT98" s="2313"/>
      <c r="AU98" s="2313"/>
      <c r="AV98" s="2313"/>
      <c r="AW98" s="2313"/>
      <c r="AX98" s="2313"/>
      <c r="AY98" s="2313"/>
      <c r="AZ98" s="2313"/>
      <c r="BA98" s="2313"/>
      <c r="BB98" s="2313"/>
      <c r="BC98" s="2313"/>
      <c r="BD98" s="2314"/>
      <c r="BE98" s="1213"/>
    </row>
    <row r="99" spans="1:57" ht="15.75" customHeight="1">
      <c r="A99" s="1207"/>
      <c r="B99" s="2359" t="s">
        <v>2250</v>
      </c>
      <c r="C99" s="2360"/>
      <c r="D99" s="2360"/>
      <c r="E99" s="2360"/>
      <c r="F99" s="2360"/>
      <c r="G99" s="2360"/>
      <c r="H99" s="2360"/>
      <c r="I99" s="2335">
        <v>0</v>
      </c>
      <c r="J99" s="2335"/>
      <c r="K99" s="2335"/>
      <c r="L99" s="2335"/>
      <c r="M99" s="2335"/>
      <c r="N99" s="2335"/>
      <c r="O99" s="2335">
        <v>0</v>
      </c>
      <c r="P99" s="2335"/>
      <c r="Q99" s="2335"/>
      <c r="R99" s="2335"/>
      <c r="S99" s="2335"/>
      <c r="T99" s="2335"/>
      <c r="U99" s="2344"/>
      <c r="V99" s="1207"/>
      <c r="W99" s="1207"/>
      <c r="X99" s="2312"/>
      <c r="Y99" s="2313"/>
      <c r="Z99" s="2313"/>
      <c r="AA99" s="2313"/>
      <c r="AB99" s="2313"/>
      <c r="AC99" s="2313"/>
      <c r="AD99" s="2313"/>
      <c r="AE99" s="2313"/>
      <c r="AF99" s="2313"/>
      <c r="AG99" s="2313"/>
      <c r="AH99" s="2313"/>
      <c r="AI99" s="2313"/>
      <c r="AJ99" s="2313"/>
      <c r="AK99" s="2313"/>
      <c r="AL99" s="2313"/>
      <c r="AM99" s="2313"/>
      <c r="AN99" s="2313"/>
      <c r="AO99" s="2313"/>
      <c r="AP99" s="2313"/>
      <c r="AQ99" s="2313"/>
      <c r="AR99" s="2313"/>
      <c r="AS99" s="2313"/>
      <c r="AT99" s="2313"/>
      <c r="AU99" s="2313"/>
      <c r="AV99" s="2313"/>
      <c r="AW99" s="2313"/>
      <c r="AX99" s="2313"/>
      <c r="AY99" s="2313"/>
      <c r="AZ99" s="2313"/>
      <c r="BA99" s="2313"/>
      <c r="BB99" s="2313"/>
      <c r="BC99" s="2313"/>
      <c r="BD99" s="2314"/>
      <c r="BE99" s="1213"/>
    </row>
    <row r="100" spans="1:57" ht="15.75" customHeight="1" thickBot="1">
      <c r="A100" s="1207"/>
      <c r="B100" s="2361" t="s">
        <v>2251</v>
      </c>
      <c r="C100" s="2362"/>
      <c r="D100" s="2362"/>
      <c r="E100" s="2362"/>
      <c r="F100" s="2362"/>
      <c r="G100" s="2362"/>
      <c r="H100" s="2362"/>
      <c r="I100" s="2342">
        <v>0</v>
      </c>
      <c r="J100" s="2342"/>
      <c r="K100" s="2342"/>
      <c r="L100" s="2342"/>
      <c r="M100" s="2342"/>
      <c r="N100" s="2342"/>
      <c r="O100" s="2346"/>
      <c r="P100" s="2346"/>
      <c r="Q100" s="2346"/>
      <c r="R100" s="2346"/>
      <c r="S100" s="2346"/>
      <c r="T100" s="2346"/>
      <c r="U100" s="2347"/>
      <c r="V100" s="1207"/>
      <c r="W100" s="1207"/>
      <c r="X100" s="2312"/>
      <c r="Y100" s="2313"/>
      <c r="Z100" s="2313"/>
      <c r="AA100" s="2313"/>
      <c r="AB100" s="2313"/>
      <c r="AC100" s="2313"/>
      <c r="AD100" s="2313"/>
      <c r="AE100" s="2313"/>
      <c r="AF100" s="2313"/>
      <c r="AG100" s="2313"/>
      <c r="AH100" s="2313"/>
      <c r="AI100" s="2313"/>
      <c r="AJ100" s="2313"/>
      <c r="AK100" s="2313"/>
      <c r="AL100" s="2313"/>
      <c r="AM100" s="2313"/>
      <c r="AN100" s="2313"/>
      <c r="AO100" s="2313"/>
      <c r="AP100" s="2313"/>
      <c r="AQ100" s="2313"/>
      <c r="AR100" s="2313"/>
      <c r="AS100" s="2313"/>
      <c r="AT100" s="2313"/>
      <c r="AU100" s="2313"/>
      <c r="AV100" s="2313"/>
      <c r="AW100" s="2313"/>
      <c r="AX100" s="2313"/>
      <c r="AY100" s="2313"/>
      <c r="AZ100" s="2313"/>
      <c r="BA100" s="2313"/>
      <c r="BB100" s="2313"/>
      <c r="BC100" s="2313"/>
      <c r="BD100" s="2314"/>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12"/>
      <c r="Y101" s="2313"/>
      <c r="Z101" s="2313"/>
      <c r="AA101" s="2313"/>
      <c r="AB101" s="2313"/>
      <c r="AC101" s="2313"/>
      <c r="AD101" s="2313"/>
      <c r="AE101" s="2313"/>
      <c r="AF101" s="2313"/>
      <c r="AG101" s="2313"/>
      <c r="AH101" s="2313"/>
      <c r="AI101" s="2313"/>
      <c r="AJ101" s="2313"/>
      <c r="AK101" s="2313"/>
      <c r="AL101" s="2313"/>
      <c r="AM101" s="2313"/>
      <c r="AN101" s="2313"/>
      <c r="AO101" s="2313"/>
      <c r="AP101" s="2313"/>
      <c r="AQ101" s="2313"/>
      <c r="AR101" s="2313"/>
      <c r="AS101" s="2313"/>
      <c r="AT101" s="2313"/>
      <c r="AU101" s="2313"/>
      <c r="AV101" s="2313"/>
      <c r="AW101" s="2313"/>
      <c r="AX101" s="2313"/>
      <c r="AY101" s="2313"/>
      <c r="AZ101" s="2313"/>
      <c r="BA101" s="2313"/>
      <c r="BB101" s="2313"/>
      <c r="BC101" s="2313"/>
      <c r="BD101" s="2314"/>
      <c r="BE101" s="1213"/>
    </row>
    <row r="102" spans="1:57" ht="15.75" customHeight="1">
      <c r="A102" s="1207"/>
      <c r="B102" s="1221" t="s">
        <v>1903</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312"/>
      <c r="Y102" s="2313"/>
      <c r="Z102" s="2313"/>
      <c r="AA102" s="2313"/>
      <c r="AB102" s="2313"/>
      <c r="AC102" s="2313"/>
      <c r="AD102" s="2313"/>
      <c r="AE102" s="2313"/>
      <c r="AF102" s="2313"/>
      <c r="AG102" s="2313"/>
      <c r="AH102" s="2313"/>
      <c r="AI102" s="2313"/>
      <c r="AJ102" s="2313"/>
      <c r="AK102" s="2313"/>
      <c r="AL102" s="2313"/>
      <c r="AM102" s="2313"/>
      <c r="AN102" s="2313"/>
      <c r="AO102" s="2313"/>
      <c r="AP102" s="2313"/>
      <c r="AQ102" s="2313"/>
      <c r="AR102" s="2313"/>
      <c r="AS102" s="2313"/>
      <c r="AT102" s="2313"/>
      <c r="AU102" s="2313"/>
      <c r="AV102" s="2313"/>
      <c r="AW102" s="2313"/>
      <c r="AX102" s="2313"/>
      <c r="AY102" s="2313"/>
      <c r="AZ102" s="2313"/>
      <c r="BA102" s="2313"/>
      <c r="BB102" s="2313"/>
      <c r="BC102" s="2313"/>
      <c r="BD102" s="2314"/>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12"/>
      <c r="Y103" s="2313"/>
      <c r="Z103" s="2313"/>
      <c r="AA103" s="2313"/>
      <c r="AB103" s="2313"/>
      <c r="AC103" s="2313"/>
      <c r="AD103" s="2313"/>
      <c r="AE103" s="2313"/>
      <c r="AF103" s="2313"/>
      <c r="AG103" s="2313"/>
      <c r="AH103" s="2313"/>
      <c r="AI103" s="2313"/>
      <c r="AJ103" s="2313"/>
      <c r="AK103" s="2313"/>
      <c r="AL103" s="2313"/>
      <c r="AM103" s="2313"/>
      <c r="AN103" s="2313"/>
      <c r="AO103" s="2313"/>
      <c r="AP103" s="2313"/>
      <c r="AQ103" s="2313"/>
      <c r="AR103" s="2313"/>
      <c r="AS103" s="2313"/>
      <c r="AT103" s="2313"/>
      <c r="AU103" s="2313"/>
      <c r="AV103" s="2313"/>
      <c r="AW103" s="2313"/>
      <c r="AX103" s="2313"/>
      <c r="AY103" s="2313"/>
      <c r="AZ103" s="2313"/>
      <c r="BA103" s="2313"/>
      <c r="BB103" s="2313"/>
      <c r="BC103" s="2313"/>
      <c r="BD103" s="2314"/>
      <c r="BE103" s="1213"/>
    </row>
    <row r="104" spans="1:57" ht="15.75" customHeight="1">
      <c r="A104" s="1207"/>
      <c r="B104" s="2193" t="s">
        <v>1904</v>
      </c>
      <c r="C104" s="2194"/>
      <c r="D104" s="2194"/>
      <c r="E104" s="2194"/>
      <c r="F104" s="2194"/>
      <c r="G104" s="2194"/>
      <c r="H104" s="2194"/>
      <c r="I104" s="2194"/>
      <c r="J104" s="2194"/>
      <c r="K104" s="2194"/>
      <c r="L104" s="2194"/>
      <c r="M104" s="2194"/>
      <c r="N104" s="2194"/>
      <c r="O104" s="2194"/>
      <c r="P104" s="2194"/>
      <c r="Q104" s="2194"/>
      <c r="R104" s="2194"/>
      <c r="S104" s="2194"/>
      <c r="T104" s="2194"/>
      <c r="U104" s="2195"/>
      <c r="V104" s="1207"/>
      <c r="W104" s="1207"/>
      <c r="X104" s="2312"/>
      <c r="Y104" s="2313"/>
      <c r="Z104" s="2313"/>
      <c r="AA104" s="2313"/>
      <c r="AB104" s="2313"/>
      <c r="AC104" s="2313"/>
      <c r="AD104" s="2313"/>
      <c r="AE104" s="2313"/>
      <c r="AF104" s="2313"/>
      <c r="AG104" s="2313"/>
      <c r="AH104" s="2313"/>
      <c r="AI104" s="2313"/>
      <c r="AJ104" s="2313"/>
      <c r="AK104" s="2313"/>
      <c r="AL104" s="2313"/>
      <c r="AM104" s="2313"/>
      <c r="AN104" s="2313"/>
      <c r="AO104" s="2313"/>
      <c r="AP104" s="2313"/>
      <c r="AQ104" s="2313"/>
      <c r="AR104" s="2313"/>
      <c r="AS104" s="2313"/>
      <c r="AT104" s="2313"/>
      <c r="AU104" s="2313"/>
      <c r="AV104" s="2313"/>
      <c r="AW104" s="2313"/>
      <c r="AX104" s="2313"/>
      <c r="AY104" s="2313"/>
      <c r="AZ104" s="2313"/>
      <c r="BA104" s="2313"/>
      <c r="BB104" s="2313"/>
      <c r="BC104" s="2313"/>
      <c r="BD104" s="2314"/>
      <c r="BE104" s="1213"/>
    </row>
    <row r="105" spans="1:57" ht="15.75" customHeight="1">
      <c r="A105" s="1207"/>
      <c r="B105" s="2348"/>
      <c r="C105" s="2349"/>
      <c r="D105" s="2349"/>
      <c r="E105" s="2349"/>
      <c r="F105" s="2349"/>
      <c r="G105" s="2349"/>
      <c r="H105" s="2349"/>
      <c r="I105" s="2350" t="s">
        <v>1897</v>
      </c>
      <c r="J105" s="2350"/>
      <c r="K105" s="2350"/>
      <c r="L105" s="2350"/>
      <c r="M105" s="2350"/>
      <c r="N105" s="2350"/>
      <c r="O105" s="2350"/>
      <c r="P105" s="2350" t="s">
        <v>2262</v>
      </c>
      <c r="Q105" s="2350"/>
      <c r="R105" s="2350"/>
      <c r="S105" s="2350"/>
      <c r="T105" s="2350"/>
      <c r="U105" s="2351"/>
      <c r="V105" s="1207"/>
      <c r="W105" s="1207"/>
      <c r="X105" s="2312"/>
      <c r="Y105" s="2313"/>
      <c r="Z105" s="2313"/>
      <c r="AA105" s="2313"/>
      <c r="AB105" s="2313"/>
      <c r="AC105" s="2313"/>
      <c r="AD105" s="2313"/>
      <c r="AE105" s="2313"/>
      <c r="AF105" s="2313"/>
      <c r="AG105" s="2313"/>
      <c r="AH105" s="2313"/>
      <c r="AI105" s="2313"/>
      <c r="AJ105" s="2313"/>
      <c r="AK105" s="2313"/>
      <c r="AL105" s="2313"/>
      <c r="AM105" s="2313"/>
      <c r="AN105" s="2313"/>
      <c r="AO105" s="2313"/>
      <c r="AP105" s="2313"/>
      <c r="AQ105" s="2313"/>
      <c r="AR105" s="2313"/>
      <c r="AS105" s="2313"/>
      <c r="AT105" s="2313"/>
      <c r="AU105" s="2313"/>
      <c r="AV105" s="2313"/>
      <c r="AW105" s="2313"/>
      <c r="AX105" s="2313"/>
      <c r="AY105" s="2313"/>
      <c r="AZ105" s="2313"/>
      <c r="BA105" s="2313"/>
      <c r="BB105" s="2313"/>
      <c r="BC105" s="2313"/>
      <c r="BD105" s="2314"/>
      <c r="BE105" s="1213"/>
    </row>
    <row r="106" spans="1:57" ht="15.75" customHeight="1">
      <c r="A106" s="1207"/>
      <c r="B106" s="2348"/>
      <c r="C106" s="2349"/>
      <c r="D106" s="2349"/>
      <c r="E106" s="2349"/>
      <c r="F106" s="2349"/>
      <c r="G106" s="2349"/>
      <c r="H106" s="2349"/>
      <c r="I106" s="2350"/>
      <c r="J106" s="2350"/>
      <c r="K106" s="2350"/>
      <c r="L106" s="2350"/>
      <c r="M106" s="2350"/>
      <c r="N106" s="2350"/>
      <c r="O106" s="2350"/>
      <c r="P106" s="2350"/>
      <c r="Q106" s="2350"/>
      <c r="R106" s="2350"/>
      <c r="S106" s="2350"/>
      <c r="T106" s="2350"/>
      <c r="U106" s="2351"/>
      <c r="V106" s="1207"/>
      <c r="W106" s="1207"/>
      <c r="X106" s="2312"/>
      <c r="Y106" s="2313"/>
      <c r="Z106" s="2313"/>
      <c r="AA106" s="2313"/>
      <c r="AB106" s="2313"/>
      <c r="AC106" s="2313"/>
      <c r="AD106" s="2313"/>
      <c r="AE106" s="2313"/>
      <c r="AF106" s="2313"/>
      <c r="AG106" s="2313"/>
      <c r="AH106" s="2313"/>
      <c r="AI106" s="2313"/>
      <c r="AJ106" s="2313"/>
      <c r="AK106" s="2313"/>
      <c r="AL106" s="2313"/>
      <c r="AM106" s="2313"/>
      <c r="AN106" s="2313"/>
      <c r="AO106" s="2313"/>
      <c r="AP106" s="2313"/>
      <c r="AQ106" s="2313"/>
      <c r="AR106" s="2313"/>
      <c r="AS106" s="2313"/>
      <c r="AT106" s="2313"/>
      <c r="AU106" s="2313"/>
      <c r="AV106" s="2313"/>
      <c r="AW106" s="2313"/>
      <c r="AX106" s="2313"/>
      <c r="AY106" s="2313"/>
      <c r="AZ106" s="2313"/>
      <c r="BA106" s="2313"/>
      <c r="BB106" s="2313"/>
      <c r="BC106" s="2313"/>
      <c r="BD106" s="2314"/>
      <c r="BE106" s="1213"/>
    </row>
    <row r="107" spans="1:57" ht="15.75" customHeight="1">
      <c r="A107" s="1207"/>
      <c r="B107" s="2359" t="s">
        <v>2250</v>
      </c>
      <c r="C107" s="2360"/>
      <c r="D107" s="2360"/>
      <c r="E107" s="2360"/>
      <c r="F107" s="2360"/>
      <c r="G107" s="2360"/>
      <c r="H107" s="2360"/>
      <c r="I107" s="2335">
        <v>0</v>
      </c>
      <c r="J107" s="2335"/>
      <c r="K107" s="2335"/>
      <c r="L107" s="2335"/>
      <c r="M107" s="2335"/>
      <c r="N107" s="2335"/>
      <c r="O107" s="2335"/>
      <c r="P107" s="2335">
        <v>0</v>
      </c>
      <c r="Q107" s="2335"/>
      <c r="R107" s="2335"/>
      <c r="S107" s="2335"/>
      <c r="T107" s="2335"/>
      <c r="U107" s="2344"/>
      <c r="V107" s="1207"/>
      <c r="W107" s="1207"/>
      <c r="X107" s="2312"/>
      <c r="Y107" s="2313"/>
      <c r="Z107" s="2313"/>
      <c r="AA107" s="2313"/>
      <c r="AB107" s="2313"/>
      <c r="AC107" s="2313"/>
      <c r="AD107" s="2313"/>
      <c r="AE107" s="2313"/>
      <c r="AF107" s="2313"/>
      <c r="AG107" s="2313"/>
      <c r="AH107" s="2313"/>
      <c r="AI107" s="2313"/>
      <c r="AJ107" s="2313"/>
      <c r="AK107" s="2313"/>
      <c r="AL107" s="2313"/>
      <c r="AM107" s="2313"/>
      <c r="AN107" s="2313"/>
      <c r="AO107" s="2313"/>
      <c r="AP107" s="2313"/>
      <c r="AQ107" s="2313"/>
      <c r="AR107" s="2313"/>
      <c r="AS107" s="2313"/>
      <c r="AT107" s="2313"/>
      <c r="AU107" s="2313"/>
      <c r="AV107" s="2313"/>
      <c r="AW107" s="2313"/>
      <c r="AX107" s="2313"/>
      <c r="AY107" s="2313"/>
      <c r="AZ107" s="2313"/>
      <c r="BA107" s="2313"/>
      <c r="BB107" s="2313"/>
      <c r="BC107" s="2313"/>
      <c r="BD107" s="2314"/>
      <c r="BE107" s="1213"/>
    </row>
    <row r="108" spans="1:57" ht="15.75" customHeight="1" thickBot="1">
      <c r="A108" s="1207"/>
      <c r="B108" s="2361" t="s">
        <v>2251</v>
      </c>
      <c r="C108" s="2362"/>
      <c r="D108" s="2362"/>
      <c r="E108" s="2362"/>
      <c r="F108" s="2362"/>
      <c r="G108" s="2362"/>
      <c r="H108" s="2362"/>
      <c r="I108" s="2342">
        <v>0</v>
      </c>
      <c r="J108" s="2342"/>
      <c r="K108" s="2342"/>
      <c r="L108" s="2342"/>
      <c r="M108" s="2342"/>
      <c r="N108" s="2342"/>
      <c r="O108" s="2342"/>
      <c r="P108" s="2342">
        <v>0</v>
      </c>
      <c r="Q108" s="2342"/>
      <c r="R108" s="2342"/>
      <c r="S108" s="2342"/>
      <c r="T108" s="2342"/>
      <c r="U108" s="2343"/>
      <c r="V108" s="1207"/>
      <c r="W108" s="1207"/>
      <c r="X108" s="2315"/>
      <c r="Y108" s="2316"/>
      <c r="Z108" s="2316"/>
      <c r="AA108" s="2316"/>
      <c r="AB108" s="2316"/>
      <c r="AC108" s="2316"/>
      <c r="AD108" s="2316"/>
      <c r="AE108" s="2316"/>
      <c r="AF108" s="2316"/>
      <c r="AG108" s="2316"/>
      <c r="AH108" s="2316"/>
      <c r="AI108" s="2316"/>
      <c r="AJ108" s="2316"/>
      <c r="AK108" s="2316"/>
      <c r="AL108" s="2316"/>
      <c r="AM108" s="2316"/>
      <c r="AN108" s="2316"/>
      <c r="AO108" s="2316"/>
      <c r="AP108" s="2316"/>
      <c r="AQ108" s="2316"/>
      <c r="AR108" s="2316"/>
      <c r="AS108" s="2316"/>
      <c r="AT108" s="2316"/>
      <c r="AU108" s="2316"/>
      <c r="AV108" s="2316"/>
      <c r="AW108" s="2316"/>
      <c r="AX108" s="2316"/>
      <c r="AY108" s="2316"/>
      <c r="AZ108" s="2316"/>
      <c r="BA108" s="2316"/>
      <c r="BB108" s="2316"/>
      <c r="BC108" s="2316"/>
      <c r="BD108" s="2317"/>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63" t="s">
        <v>1905</v>
      </c>
      <c r="C110" s="2364"/>
      <c r="D110" s="2364"/>
      <c r="E110" s="2364"/>
      <c r="F110" s="2364"/>
      <c r="G110" s="2364"/>
      <c r="H110" s="2364"/>
      <c r="I110" s="2364"/>
      <c r="J110" s="2364"/>
      <c r="K110" s="2364"/>
      <c r="L110" s="2364"/>
      <c r="M110" s="2364"/>
      <c r="N110" s="2364"/>
      <c r="O110" s="2364"/>
      <c r="P110" s="2364"/>
      <c r="Q110" s="2364"/>
      <c r="R110" s="2364"/>
      <c r="S110" s="2364"/>
      <c r="T110" s="2364"/>
      <c r="U110" s="2364"/>
      <c r="V110" s="2364"/>
      <c r="W110" s="2364"/>
      <c r="X110" s="2364"/>
      <c r="Y110" s="2364"/>
      <c r="Z110" s="2364"/>
      <c r="AA110" s="2364"/>
      <c r="AB110" s="2364"/>
      <c r="AC110" s="2364"/>
      <c r="AD110" s="2364"/>
      <c r="AE110" s="2364"/>
      <c r="AF110" s="2364"/>
      <c r="AG110" s="2364"/>
      <c r="AH110" s="2284" t="s">
        <v>554</v>
      </c>
      <c r="AI110" s="2284"/>
      <c r="AJ110" s="2284"/>
      <c r="AK110" s="2284"/>
      <c r="AL110" s="2284"/>
      <c r="AM110" s="2284"/>
      <c r="AN110" s="2284"/>
      <c r="AO110" s="2284"/>
      <c r="AP110" s="2284"/>
      <c r="AQ110" s="2284"/>
      <c r="AR110" s="2284"/>
      <c r="AS110" s="2284"/>
      <c r="AT110" s="2284"/>
      <c r="AU110" s="2284"/>
      <c r="AV110" s="2284"/>
      <c r="AW110" s="2284"/>
      <c r="AX110" s="2285"/>
      <c r="AY110" s="1207"/>
      <c r="AZ110" s="1207"/>
      <c r="BA110" s="1207"/>
      <c r="BB110" s="1207"/>
      <c r="BC110" s="1207"/>
      <c r="BD110" s="1207"/>
      <c r="BE110" s="1213"/>
    </row>
    <row r="111" spans="1:57" ht="15.75" customHeight="1">
      <c r="A111" s="1207"/>
      <c r="B111" s="2365" t="s">
        <v>1906</v>
      </c>
      <c r="C111" s="2366"/>
      <c r="D111" s="2366"/>
      <c r="E111" s="2366"/>
      <c r="F111" s="2366"/>
      <c r="G111" s="2366"/>
      <c r="H111" s="2366"/>
      <c r="I111" s="2366"/>
      <c r="J111" s="2366"/>
      <c r="K111" s="2366"/>
      <c r="L111" s="2366"/>
      <c r="M111" s="2366"/>
      <c r="N111" s="2366"/>
      <c r="O111" s="2366"/>
      <c r="P111" s="2366"/>
      <c r="Q111" s="2366"/>
      <c r="R111" s="2367" t="s">
        <v>2264</v>
      </c>
      <c r="S111" s="2367"/>
      <c r="T111" s="2367"/>
      <c r="U111" s="2367"/>
      <c r="V111" s="2367"/>
      <c r="W111" s="2367"/>
      <c r="X111" s="2367"/>
      <c r="Y111" s="2367"/>
      <c r="Z111" s="2367"/>
      <c r="AA111" s="2367"/>
      <c r="AB111" s="2367"/>
      <c r="AC111" s="2367"/>
      <c r="AD111" s="2367"/>
      <c r="AE111" s="2367"/>
      <c r="AF111" s="2367"/>
      <c r="AG111" s="2367"/>
      <c r="AH111" s="2367"/>
      <c r="AI111" s="2367"/>
      <c r="AJ111" s="2367"/>
      <c r="AK111" s="2367"/>
      <c r="AL111" s="2367"/>
      <c r="AM111" s="2367"/>
      <c r="AN111" s="2367"/>
      <c r="AO111" s="2367"/>
      <c r="AP111" s="2367"/>
      <c r="AQ111" s="2367"/>
      <c r="AR111" s="2367"/>
      <c r="AS111" s="2367"/>
      <c r="AT111" s="2367"/>
      <c r="AU111" s="2367"/>
      <c r="AV111" s="2367"/>
      <c r="AW111" s="2367"/>
      <c r="AX111" s="2368"/>
      <c r="AY111" s="1207"/>
      <c r="AZ111" s="1207"/>
      <c r="BA111" s="1207"/>
      <c r="BB111" s="1207"/>
      <c r="BC111" s="1207" t="s">
        <v>252</v>
      </c>
      <c r="BD111" s="1207"/>
      <c r="BE111" s="1213"/>
    </row>
    <row r="112" spans="1:57" ht="15.75" customHeight="1">
      <c r="A112" s="1207"/>
      <c r="B112" s="2369" t="s">
        <v>2265</v>
      </c>
      <c r="C112" s="2370"/>
      <c r="D112" s="2370"/>
      <c r="E112" s="2370"/>
      <c r="F112" s="2370"/>
      <c r="G112" s="2370"/>
      <c r="H112" s="2370"/>
      <c r="I112" s="2370"/>
      <c r="J112" s="2370"/>
      <c r="K112" s="2370"/>
      <c r="L112" s="2370"/>
      <c r="M112" s="2370"/>
      <c r="N112" s="2370"/>
      <c r="O112" s="2370"/>
      <c r="P112" s="2370"/>
      <c r="Q112" s="2370"/>
      <c r="R112" s="2370"/>
      <c r="S112" s="2370"/>
      <c r="T112" s="2370"/>
      <c r="U112" s="2370"/>
      <c r="V112" s="2370"/>
      <c r="W112" s="2370"/>
      <c r="X112" s="2370"/>
      <c r="Y112" s="2370"/>
      <c r="Z112" s="2370"/>
      <c r="AA112" s="2370"/>
      <c r="AB112" s="2370"/>
      <c r="AC112" s="2370"/>
      <c r="AD112" s="2370"/>
      <c r="AE112" s="2370"/>
      <c r="AF112" s="2370"/>
      <c r="AG112" s="2370"/>
      <c r="AH112" s="2370"/>
      <c r="AI112" s="2370"/>
      <c r="AJ112" s="2370"/>
      <c r="AK112" s="2370"/>
      <c r="AL112" s="2370"/>
      <c r="AM112" s="2370"/>
      <c r="AN112" s="2370"/>
      <c r="AO112" s="2370"/>
      <c r="AP112" s="2370"/>
      <c r="AQ112" s="2370"/>
      <c r="AR112" s="2370"/>
      <c r="AS112" s="2370"/>
      <c r="AT112" s="2370"/>
      <c r="AU112" s="2370"/>
      <c r="AV112" s="2370"/>
      <c r="AW112" s="2370"/>
      <c r="AX112" s="2371"/>
      <c r="AY112" s="1207"/>
      <c r="AZ112" s="1207"/>
      <c r="BA112" s="1207"/>
      <c r="BB112" s="1207"/>
      <c r="BC112" s="1207"/>
      <c r="BD112" s="1207"/>
      <c r="BE112" s="1213"/>
    </row>
    <row r="113" spans="1:57" ht="15.75" customHeight="1">
      <c r="A113" s="1207"/>
      <c r="B113" s="2369"/>
      <c r="C113" s="2370"/>
      <c r="D113" s="2370"/>
      <c r="E113" s="2370"/>
      <c r="F113" s="2370"/>
      <c r="G113" s="2370"/>
      <c r="H113" s="2370"/>
      <c r="I113" s="2370"/>
      <c r="J113" s="2370"/>
      <c r="K113" s="2370"/>
      <c r="L113" s="2370"/>
      <c r="M113" s="2370"/>
      <c r="N113" s="2370"/>
      <c r="O113" s="2370"/>
      <c r="P113" s="2370"/>
      <c r="Q113" s="2370"/>
      <c r="R113" s="2370"/>
      <c r="S113" s="2370"/>
      <c r="T113" s="2370"/>
      <c r="U113" s="2370"/>
      <c r="V113" s="2370"/>
      <c r="W113" s="2370"/>
      <c r="X113" s="2370"/>
      <c r="Y113" s="2370"/>
      <c r="Z113" s="2370"/>
      <c r="AA113" s="2370"/>
      <c r="AB113" s="2370"/>
      <c r="AC113" s="2370"/>
      <c r="AD113" s="2370"/>
      <c r="AE113" s="2370"/>
      <c r="AF113" s="2370"/>
      <c r="AG113" s="2370"/>
      <c r="AH113" s="2370"/>
      <c r="AI113" s="2370"/>
      <c r="AJ113" s="2370"/>
      <c r="AK113" s="2370"/>
      <c r="AL113" s="2370"/>
      <c r="AM113" s="2370"/>
      <c r="AN113" s="2370"/>
      <c r="AO113" s="2370"/>
      <c r="AP113" s="2370"/>
      <c r="AQ113" s="2370"/>
      <c r="AR113" s="2370"/>
      <c r="AS113" s="2370"/>
      <c r="AT113" s="2370"/>
      <c r="AU113" s="2370"/>
      <c r="AV113" s="2370"/>
      <c r="AW113" s="2370"/>
      <c r="AX113" s="2371"/>
      <c r="AY113" s="1207"/>
      <c r="AZ113" s="1207"/>
      <c r="BA113" s="1207"/>
      <c r="BB113" s="1207"/>
      <c r="BC113" s="1207"/>
      <c r="BD113" s="1207"/>
      <c r="BE113" s="1213"/>
    </row>
    <row r="114" spans="1:57" ht="15.75" customHeight="1">
      <c r="A114" s="1207"/>
      <c r="B114" s="2369"/>
      <c r="C114" s="2370"/>
      <c r="D114" s="2370"/>
      <c r="E114" s="2370"/>
      <c r="F114" s="2370"/>
      <c r="G114" s="2370"/>
      <c r="H114" s="2370"/>
      <c r="I114" s="2370"/>
      <c r="J114" s="2370"/>
      <c r="K114" s="2370"/>
      <c r="L114" s="2370"/>
      <c r="M114" s="2370"/>
      <c r="N114" s="2370"/>
      <c r="O114" s="2370"/>
      <c r="P114" s="2370"/>
      <c r="Q114" s="2370"/>
      <c r="R114" s="2370"/>
      <c r="S114" s="2370"/>
      <c r="T114" s="2370"/>
      <c r="U114" s="2370"/>
      <c r="V114" s="2370"/>
      <c r="W114" s="2370"/>
      <c r="X114" s="2370"/>
      <c r="Y114" s="2370"/>
      <c r="Z114" s="2370"/>
      <c r="AA114" s="2370"/>
      <c r="AB114" s="2370"/>
      <c r="AC114" s="2370"/>
      <c r="AD114" s="2370"/>
      <c r="AE114" s="2370"/>
      <c r="AF114" s="2370"/>
      <c r="AG114" s="2370"/>
      <c r="AH114" s="2370"/>
      <c r="AI114" s="2370"/>
      <c r="AJ114" s="2370"/>
      <c r="AK114" s="2370"/>
      <c r="AL114" s="2370"/>
      <c r="AM114" s="2370"/>
      <c r="AN114" s="2370"/>
      <c r="AO114" s="2370"/>
      <c r="AP114" s="2370"/>
      <c r="AQ114" s="2370"/>
      <c r="AR114" s="2370"/>
      <c r="AS114" s="2370"/>
      <c r="AT114" s="2370"/>
      <c r="AU114" s="2370"/>
      <c r="AV114" s="2370"/>
      <c r="AW114" s="2370"/>
      <c r="AX114" s="2371"/>
      <c r="AY114" s="1207"/>
      <c r="AZ114" s="1207"/>
      <c r="BA114" s="1207"/>
      <c r="BB114" s="1207"/>
      <c r="BC114" s="1207"/>
      <c r="BD114" s="1207"/>
      <c r="BE114" s="1213"/>
    </row>
    <row r="115" spans="1:57" ht="15.75" customHeight="1">
      <c r="A115" s="1207"/>
      <c r="B115" s="2369"/>
      <c r="C115" s="2370"/>
      <c r="D115" s="2370"/>
      <c r="E115" s="2370"/>
      <c r="F115" s="2370"/>
      <c r="G115" s="2370"/>
      <c r="H115" s="2370"/>
      <c r="I115" s="2370"/>
      <c r="J115" s="2370"/>
      <c r="K115" s="2370"/>
      <c r="L115" s="2370"/>
      <c r="M115" s="2370"/>
      <c r="N115" s="2370"/>
      <c r="O115" s="2370"/>
      <c r="P115" s="2370"/>
      <c r="Q115" s="2370"/>
      <c r="R115" s="2370"/>
      <c r="S115" s="2370"/>
      <c r="T115" s="2370"/>
      <c r="U115" s="2370"/>
      <c r="V115" s="2370"/>
      <c r="W115" s="2370"/>
      <c r="X115" s="2370"/>
      <c r="Y115" s="2370"/>
      <c r="Z115" s="2370"/>
      <c r="AA115" s="2370"/>
      <c r="AB115" s="2370"/>
      <c r="AC115" s="2370"/>
      <c r="AD115" s="2370"/>
      <c r="AE115" s="2370"/>
      <c r="AF115" s="2370"/>
      <c r="AG115" s="2370"/>
      <c r="AH115" s="2370"/>
      <c r="AI115" s="2370"/>
      <c r="AJ115" s="2370"/>
      <c r="AK115" s="2370"/>
      <c r="AL115" s="2370"/>
      <c r="AM115" s="2370"/>
      <c r="AN115" s="2370"/>
      <c r="AO115" s="2370"/>
      <c r="AP115" s="2370"/>
      <c r="AQ115" s="2370"/>
      <c r="AR115" s="2370"/>
      <c r="AS115" s="2370"/>
      <c r="AT115" s="2370"/>
      <c r="AU115" s="2370"/>
      <c r="AV115" s="2370"/>
      <c r="AW115" s="2370"/>
      <c r="AX115" s="2371"/>
      <c r="AY115" s="1207"/>
      <c r="AZ115" s="1207"/>
      <c r="BA115" s="1207"/>
      <c r="BB115" s="1207"/>
      <c r="BC115" s="1207"/>
      <c r="BD115" s="1207"/>
      <c r="BE115" s="1213"/>
    </row>
    <row r="116" spans="1:57" ht="15.75" customHeight="1">
      <c r="A116" s="1207"/>
      <c r="B116" s="2369"/>
      <c r="C116" s="2370"/>
      <c r="D116" s="2370"/>
      <c r="E116" s="2370"/>
      <c r="F116" s="2370"/>
      <c r="G116" s="2370"/>
      <c r="H116" s="2370"/>
      <c r="I116" s="2370"/>
      <c r="J116" s="2370"/>
      <c r="K116" s="2370"/>
      <c r="L116" s="2370"/>
      <c r="M116" s="2370"/>
      <c r="N116" s="2370"/>
      <c r="O116" s="2370"/>
      <c r="P116" s="2370"/>
      <c r="Q116" s="2370"/>
      <c r="R116" s="2370"/>
      <c r="S116" s="2370"/>
      <c r="T116" s="2370"/>
      <c r="U116" s="2370"/>
      <c r="V116" s="2370"/>
      <c r="W116" s="2370"/>
      <c r="X116" s="2370"/>
      <c r="Y116" s="2370"/>
      <c r="Z116" s="2370"/>
      <c r="AA116" s="2370"/>
      <c r="AB116" s="2370"/>
      <c r="AC116" s="2370"/>
      <c r="AD116" s="2370"/>
      <c r="AE116" s="2370"/>
      <c r="AF116" s="2370"/>
      <c r="AG116" s="2370"/>
      <c r="AH116" s="2370"/>
      <c r="AI116" s="2370"/>
      <c r="AJ116" s="2370"/>
      <c r="AK116" s="2370"/>
      <c r="AL116" s="2370"/>
      <c r="AM116" s="2370"/>
      <c r="AN116" s="2370"/>
      <c r="AO116" s="2370"/>
      <c r="AP116" s="2370"/>
      <c r="AQ116" s="2370"/>
      <c r="AR116" s="2370"/>
      <c r="AS116" s="2370"/>
      <c r="AT116" s="2370"/>
      <c r="AU116" s="2370"/>
      <c r="AV116" s="2370"/>
      <c r="AW116" s="2370"/>
      <c r="AX116" s="2371"/>
      <c r="AY116" s="1207"/>
      <c r="AZ116" s="1207"/>
      <c r="BA116" s="1207"/>
      <c r="BB116" s="1207"/>
      <c r="BC116" s="1207"/>
      <c r="BD116" s="1207"/>
      <c r="BE116" s="1213"/>
    </row>
    <row r="117" spans="1:57" ht="15.75" customHeight="1">
      <c r="A117" s="1207"/>
      <c r="B117" s="2369"/>
      <c r="C117" s="2370"/>
      <c r="D117" s="2370"/>
      <c r="E117" s="2370"/>
      <c r="F117" s="2370"/>
      <c r="G117" s="2370"/>
      <c r="H117" s="2370"/>
      <c r="I117" s="2370"/>
      <c r="J117" s="2370"/>
      <c r="K117" s="2370"/>
      <c r="L117" s="2370"/>
      <c r="M117" s="2370"/>
      <c r="N117" s="2370"/>
      <c r="O117" s="2370"/>
      <c r="P117" s="2370"/>
      <c r="Q117" s="2370"/>
      <c r="R117" s="2370"/>
      <c r="S117" s="2370"/>
      <c r="T117" s="2370"/>
      <c r="U117" s="2370"/>
      <c r="V117" s="2370"/>
      <c r="W117" s="2370"/>
      <c r="X117" s="2370"/>
      <c r="Y117" s="2370"/>
      <c r="Z117" s="2370"/>
      <c r="AA117" s="2370"/>
      <c r="AB117" s="2370"/>
      <c r="AC117" s="2370"/>
      <c r="AD117" s="2370"/>
      <c r="AE117" s="2370"/>
      <c r="AF117" s="2370"/>
      <c r="AG117" s="2370"/>
      <c r="AH117" s="2370"/>
      <c r="AI117" s="2370"/>
      <c r="AJ117" s="2370"/>
      <c r="AK117" s="2370"/>
      <c r="AL117" s="2370"/>
      <c r="AM117" s="2370"/>
      <c r="AN117" s="2370"/>
      <c r="AO117" s="2370"/>
      <c r="AP117" s="2370"/>
      <c r="AQ117" s="2370"/>
      <c r="AR117" s="2370"/>
      <c r="AS117" s="2370"/>
      <c r="AT117" s="2370"/>
      <c r="AU117" s="2370"/>
      <c r="AV117" s="2370"/>
      <c r="AW117" s="2370"/>
      <c r="AX117" s="2371"/>
      <c r="AY117" s="1207"/>
      <c r="AZ117" s="1207"/>
      <c r="BA117" s="1207"/>
      <c r="BB117" s="1207"/>
      <c r="BC117" s="1207"/>
      <c r="BD117" s="1207"/>
      <c r="BE117" s="1213"/>
    </row>
    <row r="118" spans="1:57" ht="15.75" customHeight="1">
      <c r="A118" s="1207"/>
      <c r="B118" s="2369"/>
      <c r="C118" s="2370"/>
      <c r="D118" s="2370"/>
      <c r="E118" s="2370"/>
      <c r="F118" s="2370"/>
      <c r="G118" s="2370"/>
      <c r="H118" s="2370"/>
      <c r="I118" s="2370"/>
      <c r="J118" s="2370"/>
      <c r="K118" s="2370"/>
      <c r="L118" s="2370"/>
      <c r="M118" s="2370"/>
      <c r="N118" s="2370"/>
      <c r="O118" s="2370"/>
      <c r="P118" s="2370"/>
      <c r="Q118" s="2370"/>
      <c r="R118" s="2370"/>
      <c r="S118" s="2370"/>
      <c r="T118" s="2370"/>
      <c r="U118" s="2370"/>
      <c r="V118" s="2370"/>
      <c r="W118" s="2370"/>
      <c r="X118" s="2370"/>
      <c r="Y118" s="2370"/>
      <c r="Z118" s="2370"/>
      <c r="AA118" s="2370"/>
      <c r="AB118" s="2370"/>
      <c r="AC118" s="2370"/>
      <c r="AD118" s="2370"/>
      <c r="AE118" s="2370"/>
      <c r="AF118" s="2370"/>
      <c r="AG118" s="2370"/>
      <c r="AH118" s="2370"/>
      <c r="AI118" s="2370"/>
      <c r="AJ118" s="2370"/>
      <c r="AK118" s="2370"/>
      <c r="AL118" s="2370"/>
      <c r="AM118" s="2370"/>
      <c r="AN118" s="2370"/>
      <c r="AO118" s="2370"/>
      <c r="AP118" s="2370"/>
      <c r="AQ118" s="2370"/>
      <c r="AR118" s="2370"/>
      <c r="AS118" s="2370"/>
      <c r="AT118" s="2370"/>
      <c r="AU118" s="2370"/>
      <c r="AV118" s="2370"/>
      <c r="AW118" s="2370"/>
      <c r="AX118" s="2371"/>
      <c r="AY118" s="1207"/>
      <c r="AZ118" s="1207"/>
      <c r="BA118" s="1207"/>
      <c r="BB118" s="1207"/>
      <c r="BC118" s="1207"/>
      <c r="BD118" s="1207"/>
      <c r="BE118" s="1213"/>
    </row>
    <row r="119" spans="1:57" ht="15.75" customHeight="1">
      <c r="A119" s="1207"/>
      <c r="B119" s="2369"/>
      <c r="C119" s="2370"/>
      <c r="D119" s="2370"/>
      <c r="E119" s="2370"/>
      <c r="F119" s="2370"/>
      <c r="G119" s="2370"/>
      <c r="H119" s="2370"/>
      <c r="I119" s="2370"/>
      <c r="J119" s="2370"/>
      <c r="K119" s="2370"/>
      <c r="L119" s="2370"/>
      <c r="M119" s="2370"/>
      <c r="N119" s="2370"/>
      <c r="O119" s="2370"/>
      <c r="P119" s="2370"/>
      <c r="Q119" s="2370"/>
      <c r="R119" s="2370"/>
      <c r="S119" s="2370"/>
      <c r="T119" s="2370"/>
      <c r="U119" s="2370"/>
      <c r="V119" s="2370"/>
      <c r="W119" s="2370"/>
      <c r="X119" s="2370"/>
      <c r="Y119" s="2370"/>
      <c r="Z119" s="2370"/>
      <c r="AA119" s="2370"/>
      <c r="AB119" s="2370"/>
      <c r="AC119" s="2370"/>
      <c r="AD119" s="2370"/>
      <c r="AE119" s="2370"/>
      <c r="AF119" s="2370"/>
      <c r="AG119" s="2370"/>
      <c r="AH119" s="2370"/>
      <c r="AI119" s="2370"/>
      <c r="AJ119" s="2370"/>
      <c r="AK119" s="2370"/>
      <c r="AL119" s="2370"/>
      <c r="AM119" s="2370"/>
      <c r="AN119" s="2370"/>
      <c r="AO119" s="2370"/>
      <c r="AP119" s="2370"/>
      <c r="AQ119" s="2370"/>
      <c r="AR119" s="2370"/>
      <c r="AS119" s="2370"/>
      <c r="AT119" s="2370"/>
      <c r="AU119" s="2370"/>
      <c r="AV119" s="2370"/>
      <c r="AW119" s="2370"/>
      <c r="AX119" s="2371"/>
      <c r="AY119" s="1207"/>
      <c r="AZ119" s="1207"/>
      <c r="BA119" s="1207"/>
      <c r="BB119" s="1207"/>
      <c r="BC119" s="1207"/>
      <c r="BD119" s="1207"/>
      <c r="BE119" s="1213"/>
    </row>
    <row r="120" spans="1:57" ht="15.75" customHeight="1">
      <c r="A120" s="1207"/>
      <c r="B120" s="2369"/>
      <c r="C120" s="2370"/>
      <c r="D120" s="2370"/>
      <c r="E120" s="2370"/>
      <c r="F120" s="2370"/>
      <c r="G120" s="2370"/>
      <c r="H120" s="2370"/>
      <c r="I120" s="2370"/>
      <c r="J120" s="2370"/>
      <c r="K120" s="2370"/>
      <c r="L120" s="2370"/>
      <c r="M120" s="2370"/>
      <c r="N120" s="2370"/>
      <c r="O120" s="2370"/>
      <c r="P120" s="2370"/>
      <c r="Q120" s="2370"/>
      <c r="R120" s="2370"/>
      <c r="S120" s="2370"/>
      <c r="T120" s="2370"/>
      <c r="U120" s="2370"/>
      <c r="V120" s="2370"/>
      <c r="W120" s="2370"/>
      <c r="X120" s="2370"/>
      <c r="Y120" s="2370"/>
      <c r="Z120" s="2370"/>
      <c r="AA120" s="2370"/>
      <c r="AB120" s="2370"/>
      <c r="AC120" s="2370"/>
      <c r="AD120" s="2370"/>
      <c r="AE120" s="2370"/>
      <c r="AF120" s="2370"/>
      <c r="AG120" s="2370"/>
      <c r="AH120" s="2370"/>
      <c r="AI120" s="2370"/>
      <c r="AJ120" s="2370"/>
      <c r="AK120" s="2370"/>
      <c r="AL120" s="2370"/>
      <c r="AM120" s="2370"/>
      <c r="AN120" s="2370"/>
      <c r="AO120" s="2370"/>
      <c r="AP120" s="2370"/>
      <c r="AQ120" s="2370"/>
      <c r="AR120" s="2370"/>
      <c r="AS120" s="2370"/>
      <c r="AT120" s="2370"/>
      <c r="AU120" s="2370"/>
      <c r="AV120" s="2370"/>
      <c r="AW120" s="2370"/>
      <c r="AX120" s="2371"/>
      <c r="AY120" s="1207"/>
      <c r="AZ120" s="1207"/>
      <c r="BA120" s="1207"/>
      <c r="BB120" s="1207"/>
      <c r="BC120" s="1207"/>
      <c r="BD120" s="1207"/>
      <c r="BE120" s="1213"/>
    </row>
    <row r="121" spans="1:57" ht="15.75" customHeight="1" thickBot="1">
      <c r="A121" s="1207"/>
      <c r="B121" s="2372"/>
      <c r="C121" s="2373"/>
      <c r="D121" s="2373"/>
      <c r="E121" s="2373"/>
      <c r="F121" s="2373"/>
      <c r="G121" s="2373"/>
      <c r="H121" s="2373"/>
      <c r="I121" s="2373"/>
      <c r="J121" s="2373"/>
      <c r="K121" s="2373"/>
      <c r="L121" s="2373"/>
      <c r="M121" s="2373"/>
      <c r="N121" s="2373"/>
      <c r="O121" s="2373"/>
      <c r="P121" s="2373"/>
      <c r="Q121" s="2373"/>
      <c r="R121" s="2373"/>
      <c r="S121" s="2373"/>
      <c r="T121" s="2373"/>
      <c r="U121" s="2373"/>
      <c r="V121" s="2373"/>
      <c r="W121" s="2373"/>
      <c r="X121" s="2373"/>
      <c r="Y121" s="2373"/>
      <c r="Z121" s="2373"/>
      <c r="AA121" s="2373"/>
      <c r="AB121" s="2373"/>
      <c r="AC121" s="2373"/>
      <c r="AD121" s="2373"/>
      <c r="AE121" s="2373"/>
      <c r="AF121" s="2373"/>
      <c r="AG121" s="2373"/>
      <c r="AH121" s="2373"/>
      <c r="AI121" s="2373"/>
      <c r="AJ121" s="2373"/>
      <c r="AK121" s="2373"/>
      <c r="AL121" s="2373"/>
      <c r="AM121" s="2373"/>
      <c r="AN121" s="2373"/>
      <c r="AO121" s="2373"/>
      <c r="AP121" s="2373"/>
      <c r="AQ121" s="2373"/>
      <c r="AR121" s="2373"/>
      <c r="AS121" s="2373"/>
      <c r="AT121" s="2373"/>
      <c r="AU121" s="2373"/>
      <c r="AV121" s="2373"/>
      <c r="AW121" s="2373"/>
      <c r="AX121" s="2374"/>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1907</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2266</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31" t="s">
        <v>1908</v>
      </c>
      <c r="C125" s="2232"/>
      <c r="D125" s="2232"/>
      <c r="E125" s="2232"/>
      <c r="F125" s="2232"/>
      <c r="G125" s="2232"/>
      <c r="H125" s="2232"/>
      <c r="I125" s="2232"/>
      <c r="J125" s="2232"/>
      <c r="K125" s="2232"/>
      <c r="L125" s="2232"/>
      <c r="M125" s="2232"/>
      <c r="N125" s="2232"/>
      <c r="O125" s="2232"/>
      <c r="P125" s="2232"/>
      <c r="Q125" s="2232"/>
      <c r="R125" s="2232"/>
      <c r="S125" s="2232"/>
      <c r="T125" s="2232"/>
      <c r="U125" s="2233"/>
      <c r="V125" s="1207"/>
      <c r="W125" s="1209"/>
      <c r="X125" s="2231" t="s">
        <v>2267</v>
      </c>
      <c r="Y125" s="2232"/>
      <c r="Z125" s="2232"/>
      <c r="AA125" s="2232"/>
      <c r="AB125" s="2232"/>
      <c r="AC125" s="2232"/>
      <c r="AD125" s="2232"/>
      <c r="AE125" s="2232"/>
      <c r="AF125" s="2232"/>
      <c r="AG125" s="2232"/>
      <c r="AH125" s="2232"/>
      <c r="AI125" s="2232"/>
      <c r="AJ125" s="2232"/>
      <c r="AK125" s="2232"/>
      <c r="AL125" s="2232"/>
      <c r="AM125" s="2232"/>
      <c r="AN125" s="2232"/>
      <c r="AO125" s="2232"/>
      <c r="AP125" s="2232"/>
      <c r="AQ125" s="2233"/>
      <c r="AR125" s="1207"/>
      <c r="AS125" s="1207"/>
      <c r="AT125" s="1207"/>
      <c r="AU125" s="1207"/>
      <c r="AV125" s="1207"/>
      <c r="AW125" s="1207"/>
      <c r="AX125" s="1207"/>
      <c r="AY125" s="1207"/>
      <c r="AZ125" s="1207"/>
      <c r="BA125" s="1207"/>
      <c r="BB125" s="1207"/>
      <c r="BC125" s="1207"/>
      <c r="BD125" s="1207"/>
      <c r="BE125" s="1213"/>
    </row>
    <row r="126" spans="1:57" ht="15.75" customHeight="1">
      <c r="A126" s="1207"/>
      <c r="B126" s="2348"/>
      <c r="C126" s="2349"/>
      <c r="D126" s="2349"/>
      <c r="E126" s="2349"/>
      <c r="F126" s="2349"/>
      <c r="G126" s="2349"/>
      <c r="H126" s="2349"/>
      <c r="I126" s="2350" t="s">
        <v>1897</v>
      </c>
      <c r="J126" s="2350"/>
      <c r="K126" s="2350"/>
      <c r="L126" s="2350"/>
      <c r="M126" s="2350"/>
      <c r="N126" s="2350"/>
      <c r="O126" s="2350"/>
      <c r="P126" s="2350" t="s">
        <v>2268</v>
      </c>
      <c r="Q126" s="2350"/>
      <c r="R126" s="2350"/>
      <c r="S126" s="2350"/>
      <c r="T126" s="2350"/>
      <c r="U126" s="2351"/>
      <c r="V126" s="1207"/>
      <c r="W126" s="1207"/>
      <c r="X126" s="2348"/>
      <c r="Y126" s="2349"/>
      <c r="Z126" s="2349"/>
      <c r="AA126" s="2349"/>
      <c r="AB126" s="2349"/>
      <c r="AC126" s="2349"/>
      <c r="AD126" s="2349"/>
      <c r="AE126" s="2350" t="s">
        <v>1897</v>
      </c>
      <c r="AF126" s="2350"/>
      <c r="AG126" s="2350"/>
      <c r="AH126" s="2350"/>
      <c r="AI126" s="2350"/>
      <c r="AJ126" s="2350"/>
      <c r="AK126" s="2350"/>
      <c r="AL126" s="2350" t="s">
        <v>2262</v>
      </c>
      <c r="AM126" s="2350"/>
      <c r="AN126" s="2350"/>
      <c r="AO126" s="2350"/>
      <c r="AP126" s="2350"/>
      <c r="AQ126" s="2351"/>
      <c r="AR126" s="1207"/>
      <c r="AS126" s="1207"/>
      <c r="AT126" s="1207"/>
      <c r="AU126" s="1207"/>
      <c r="AV126" s="1207"/>
      <c r="AW126" s="1207"/>
      <c r="AX126" s="1207"/>
      <c r="AY126" s="1207"/>
      <c r="AZ126" s="1207"/>
      <c r="BA126" s="1207"/>
      <c r="BB126" s="1207"/>
      <c r="BC126" s="1207"/>
      <c r="BD126" s="1207"/>
      <c r="BE126" s="1213"/>
    </row>
    <row r="127" spans="1:57" ht="15.75" customHeight="1">
      <c r="A127" s="1207"/>
      <c r="B127" s="2348"/>
      <c r="C127" s="2349"/>
      <c r="D127" s="2349"/>
      <c r="E127" s="2349"/>
      <c r="F127" s="2349"/>
      <c r="G127" s="2349"/>
      <c r="H127" s="2349"/>
      <c r="I127" s="2350"/>
      <c r="J127" s="2350"/>
      <c r="K127" s="2350"/>
      <c r="L127" s="2350"/>
      <c r="M127" s="2350"/>
      <c r="N127" s="2350"/>
      <c r="O127" s="2350"/>
      <c r="P127" s="2350"/>
      <c r="Q127" s="2350"/>
      <c r="R127" s="2350"/>
      <c r="S127" s="2350"/>
      <c r="T127" s="2350"/>
      <c r="U127" s="2351"/>
      <c r="V127" s="1207"/>
      <c r="W127" s="1207"/>
      <c r="X127" s="2348"/>
      <c r="Y127" s="2349"/>
      <c r="Z127" s="2349"/>
      <c r="AA127" s="2349"/>
      <c r="AB127" s="2349"/>
      <c r="AC127" s="2349"/>
      <c r="AD127" s="2349"/>
      <c r="AE127" s="2350"/>
      <c r="AF127" s="2350"/>
      <c r="AG127" s="2350"/>
      <c r="AH127" s="2350"/>
      <c r="AI127" s="2350"/>
      <c r="AJ127" s="2350"/>
      <c r="AK127" s="2350"/>
      <c r="AL127" s="2350"/>
      <c r="AM127" s="2350"/>
      <c r="AN127" s="2350"/>
      <c r="AO127" s="2350"/>
      <c r="AP127" s="2350"/>
      <c r="AQ127" s="2351"/>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59" t="s">
        <v>2250</v>
      </c>
      <c r="C128" s="2360"/>
      <c r="D128" s="2360"/>
      <c r="E128" s="2360"/>
      <c r="F128" s="2360"/>
      <c r="G128" s="2360"/>
      <c r="H128" s="2360"/>
      <c r="I128" s="2335">
        <v>0</v>
      </c>
      <c r="J128" s="2335"/>
      <c r="K128" s="2335"/>
      <c r="L128" s="2335"/>
      <c r="M128" s="2335"/>
      <c r="N128" s="2335"/>
      <c r="O128" s="2335"/>
      <c r="P128" s="2335">
        <v>0</v>
      </c>
      <c r="Q128" s="2335"/>
      <c r="R128" s="2335"/>
      <c r="S128" s="2335"/>
      <c r="T128" s="2335"/>
      <c r="U128" s="2344"/>
      <c r="V128" s="1207"/>
      <c r="W128" s="1207"/>
      <c r="X128" s="2361" t="s">
        <v>2250</v>
      </c>
      <c r="Y128" s="2362"/>
      <c r="Z128" s="2362"/>
      <c r="AA128" s="2362"/>
      <c r="AB128" s="2362"/>
      <c r="AC128" s="2362"/>
      <c r="AD128" s="2362"/>
      <c r="AE128" s="2342">
        <v>0</v>
      </c>
      <c r="AF128" s="2342"/>
      <c r="AG128" s="2342"/>
      <c r="AH128" s="2342"/>
      <c r="AI128" s="2342"/>
      <c r="AJ128" s="2342"/>
      <c r="AK128" s="2342"/>
      <c r="AL128" s="2342">
        <v>0</v>
      </c>
      <c r="AM128" s="2342"/>
      <c r="AN128" s="2342"/>
      <c r="AO128" s="2342"/>
      <c r="AP128" s="2342"/>
      <c r="AQ128" s="2343"/>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61" t="s">
        <v>2251</v>
      </c>
      <c r="C129" s="2362"/>
      <c r="D129" s="2362"/>
      <c r="E129" s="2362"/>
      <c r="F129" s="2362"/>
      <c r="G129" s="2362"/>
      <c r="H129" s="2362"/>
      <c r="I129" s="2342">
        <v>0</v>
      </c>
      <c r="J129" s="2342"/>
      <c r="K129" s="2342"/>
      <c r="L129" s="2342"/>
      <c r="M129" s="2342"/>
      <c r="N129" s="2342"/>
      <c r="O129" s="2342"/>
      <c r="P129" s="2342">
        <v>0</v>
      </c>
      <c r="Q129" s="2342"/>
      <c r="R129" s="2342"/>
      <c r="S129" s="2342"/>
      <c r="T129" s="2342"/>
      <c r="U129" s="2343"/>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31" t="s">
        <v>2252</v>
      </c>
      <c r="D131" s="2232"/>
      <c r="E131" s="2232"/>
      <c r="F131" s="2232"/>
      <c r="G131" s="2232"/>
      <c r="H131" s="2232"/>
      <c r="I131" s="2232"/>
      <c r="J131" s="2232"/>
      <c r="K131" s="2232"/>
      <c r="L131" s="2232"/>
      <c r="M131" s="2232"/>
      <c r="N131" s="2232"/>
      <c r="O131" s="2232"/>
      <c r="P131" s="2232"/>
      <c r="Q131" s="2232"/>
      <c r="R131" s="2232"/>
      <c r="S131" s="2232"/>
      <c r="T131" s="2232"/>
      <c r="U131" s="2232"/>
      <c r="V131" s="2232"/>
      <c r="W131" s="2232"/>
      <c r="X131" s="2232"/>
      <c r="Y131" s="2232"/>
      <c r="Z131" s="2232"/>
      <c r="AA131" s="2232"/>
      <c r="AB131" s="2232"/>
      <c r="AC131" s="2232"/>
      <c r="AD131" s="2232"/>
      <c r="AE131" s="2232"/>
      <c r="AF131" s="2232"/>
      <c r="AG131" s="2233"/>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48" t="s">
        <v>1909</v>
      </c>
      <c r="D132" s="2349"/>
      <c r="E132" s="2349"/>
      <c r="F132" s="2349"/>
      <c r="G132" s="2349"/>
      <c r="H132" s="2349"/>
      <c r="I132" s="2349"/>
      <c r="J132" s="2349"/>
      <c r="K132" s="2349"/>
      <c r="L132" s="2349"/>
      <c r="M132" s="2349"/>
      <c r="N132" s="2349"/>
      <c r="O132" s="2349"/>
      <c r="P132" s="2349"/>
      <c r="Q132" s="2349" t="s">
        <v>1910</v>
      </c>
      <c r="R132" s="2349"/>
      <c r="S132" s="2349"/>
      <c r="T132" s="2239" t="s">
        <v>2253</v>
      </c>
      <c r="U132" s="2239"/>
      <c r="V132" s="2239"/>
      <c r="W132" s="2239"/>
      <c r="X132" s="2239"/>
      <c r="Y132" s="2239"/>
      <c r="Z132" s="2239"/>
      <c r="AA132" s="2239"/>
      <c r="AB132" s="2349" t="s">
        <v>1911</v>
      </c>
      <c r="AC132" s="2349"/>
      <c r="AD132" s="2349"/>
      <c r="AE132" s="2349"/>
      <c r="AF132" s="2349"/>
      <c r="AG132" s="2380"/>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75" t="s">
        <v>1912</v>
      </c>
      <c r="D133" s="2376"/>
      <c r="E133" s="2376"/>
      <c r="F133" s="2376"/>
      <c r="G133" s="2376"/>
      <c r="H133" s="2376"/>
      <c r="I133" s="2376"/>
      <c r="J133" s="2376"/>
      <c r="K133" s="2376"/>
      <c r="L133" s="2376"/>
      <c r="M133" s="2376"/>
      <c r="N133" s="2376"/>
      <c r="O133" s="2376"/>
      <c r="P133" s="2376"/>
      <c r="Q133" s="2377">
        <v>55</v>
      </c>
      <c r="R133" s="2377"/>
      <c r="S133" s="2377"/>
      <c r="T133" s="2378"/>
      <c r="U133" s="2378"/>
      <c r="V133" s="2378"/>
      <c r="W133" s="2378"/>
      <c r="X133" s="2378"/>
      <c r="Y133" s="2378"/>
      <c r="Z133" s="2378"/>
      <c r="AA133" s="2378"/>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75" t="s">
        <v>1913</v>
      </c>
      <c r="D134" s="2376"/>
      <c r="E134" s="2376"/>
      <c r="F134" s="2376"/>
      <c r="G134" s="2376"/>
      <c r="H134" s="2376"/>
      <c r="I134" s="2376"/>
      <c r="J134" s="2376"/>
      <c r="K134" s="2376"/>
      <c r="L134" s="2376"/>
      <c r="M134" s="2376"/>
      <c r="N134" s="2376"/>
      <c r="O134" s="2376"/>
      <c r="P134" s="2376"/>
      <c r="Q134" s="2377">
        <v>55</v>
      </c>
      <c r="R134" s="2377"/>
      <c r="S134" s="2377"/>
      <c r="T134" s="2379"/>
      <c r="U134" s="2379"/>
      <c r="V134" s="2379"/>
      <c r="W134" s="2379"/>
      <c r="X134" s="2379"/>
      <c r="Y134" s="2379"/>
      <c r="Z134" s="2379"/>
      <c r="AA134" s="2379"/>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75" t="s">
        <v>1914</v>
      </c>
      <c r="D135" s="2376"/>
      <c r="E135" s="2376"/>
      <c r="F135" s="2376"/>
      <c r="G135" s="2376"/>
      <c r="H135" s="2376"/>
      <c r="I135" s="2376"/>
      <c r="J135" s="2376"/>
      <c r="K135" s="2376"/>
      <c r="L135" s="2376"/>
      <c r="M135" s="2376"/>
      <c r="N135" s="2376"/>
      <c r="O135" s="2376"/>
      <c r="P135" s="2376"/>
      <c r="Q135" s="2377">
        <v>55</v>
      </c>
      <c r="R135" s="2377"/>
      <c r="S135" s="2377"/>
      <c r="T135" s="2378"/>
      <c r="U135" s="2378"/>
      <c r="V135" s="2378"/>
      <c r="W135" s="2378"/>
      <c r="X135" s="2378"/>
      <c r="Y135" s="2378"/>
      <c r="Z135" s="2378"/>
      <c r="AA135" s="2378"/>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75" t="s">
        <v>1882</v>
      </c>
      <c r="D136" s="2376"/>
      <c r="E136" s="2376"/>
      <c r="F136" s="2376"/>
      <c r="G136" s="2376"/>
      <c r="H136" s="2376"/>
      <c r="I136" s="2376"/>
      <c r="J136" s="2376"/>
      <c r="K136" s="2376"/>
      <c r="L136" s="2376"/>
      <c r="M136" s="2376"/>
      <c r="N136" s="2376"/>
      <c r="O136" s="2376"/>
      <c r="P136" s="2376"/>
      <c r="Q136" s="2377">
        <v>55</v>
      </c>
      <c r="R136" s="2377"/>
      <c r="S136" s="2377"/>
      <c r="T136" s="2378"/>
      <c r="U136" s="2378"/>
      <c r="V136" s="2378"/>
      <c r="W136" s="2378"/>
      <c r="X136" s="2378"/>
      <c r="Y136" s="2378"/>
      <c r="Z136" s="2378"/>
      <c r="AA136" s="2378"/>
      <c r="AB136" s="2381">
        <v>0</v>
      </c>
      <c r="AC136" s="2381"/>
      <c r="AD136" s="2381"/>
      <c r="AE136" s="2381"/>
      <c r="AF136" s="2381"/>
      <c r="AG136" s="2382"/>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75" t="s">
        <v>171</v>
      </c>
      <c r="D137" s="2376"/>
      <c r="E137" s="2376"/>
      <c r="F137" s="2383" t="s">
        <v>1915</v>
      </c>
      <c r="G137" s="2383"/>
      <c r="H137" s="2383"/>
      <c r="I137" s="2383"/>
      <c r="J137" s="2383"/>
      <c r="K137" s="2383"/>
      <c r="L137" s="2383"/>
      <c r="M137" s="2383"/>
      <c r="N137" s="2383"/>
      <c r="O137" s="2383"/>
      <c r="P137" s="2383"/>
      <c r="Q137" s="2377">
        <v>55</v>
      </c>
      <c r="R137" s="2377"/>
      <c r="S137" s="2377"/>
      <c r="T137" s="2379"/>
      <c r="U137" s="2379"/>
      <c r="V137" s="2379"/>
      <c r="W137" s="2379"/>
      <c r="X137" s="2379"/>
      <c r="Y137" s="2379"/>
      <c r="Z137" s="2379"/>
      <c r="AA137" s="2379"/>
      <c r="AB137" s="2381">
        <v>0</v>
      </c>
      <c r="AC137" s="2381"/>
      <c r="AD137" s="2381"/>
      <c r="AE137" s="2381"/>
      <c r="AF137" s="2381"/>
      <c r="AG137" s="2382"/>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75" t="s">
        <v>171</v>
      </c>
      <c r="D138" s="2376"/>
      <c r="E138" s="2376"/>
      <c r="F138" s="2383" t="s">
        <v>1915</v>
      </c>
      <c r="G138" s="2383"/>
      <c r="H138" s="2383"/>
      <c r="I138" s="2383"/>
      <c r="J138" s="2383"/>
      <c r="K138" s="2383"/>
      <c r="L138" s="2383"/>
      <c r="M138" s="2383"/>
      <c r="N138" s="2383"/>
      <c r="O138" s="2383"/>
      <c r="P138" s="2383"/>
      <c r="Q138" s="2377">
        <v>55</v>
      </c>
      <c r="R138" s="2377"/>
      <c r="S138" s="2377"/>
      <c r="T138" s="2379"/>
      <c r="U138" s="2379"/>
      <c r="V138" s="2379"/>
      <c r="W138" s="2379"/>
      <c r="X138" s="2379"/>
      <c r="Y138" s="2379"/>
      <c r="Z138" s="2379"/>
      <c r="AA138" s="2379"/>
      <c r="AB138" s="2381">
        <v>0</v>
      </c>
      <c r="AC138" s="2381"/>
      <c r="AD138" s="2381"/>
      <c r="AE138" s="2381"/>
      <c r="AF138" s="2381"/>
      <c r="AG138" s="2382"/>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84" t="s">
        <v>171</v>
      </c>
      <c r="D139" s="2385"/>
      <c r="E139" s="2385"/>
      <c r="F139" s="2386" t="s">
        <v>1915</v>
      </c>
      <c r="G139" s="2386"/>
      <c r="H139" s="2386"/>
      <c r="I139" s="2386"/>
      <c r="J139" s="2386"/>
      <c r="K139" s="2386"/>
      <c r="L139" s="2386"/>
      <c r="M139" s="2386"/>
      <c r="N139" s="2386"/>
      <c r="O139" s="2386"/>
      <c r="P139" s="2386"/>
      <c r="Q139" s="2387">
        <v>55</v>
      </c>
      <c r="R139" s="2387"/>
      <c r="S139" s="2387"/>
      <c r="T139" s="2388"/>
      <c r="U139" s="2388"/>
      <c r="V139" s="2388"/>
      <c r="W139" s="2388"/>
      <c r="X139" s="2388"/>
      <c r="Y139" s="2388"/>
      <c r="Z139" s="2388"/>
      <c r="AA139" s="2388"/>
      <c r="AB139" s="2389">
        <v>0</v>
      </c>
      <c r="AC139" s="2389"/>
      <c r="AD139" s="2389"/>
      <c r="AE139" s="2389"/>
      <c r="AF139" s="2389"/>
      <c r="AG139" s="2390"/>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308" t="s">
        <v>1916</v>
      </c>
      <c r="D141" s="2309"/>
      <c r="E141" s="2309"/>
      <c r="F141" s="2309"/>
      <c r="G141" s="2309"/>
      <c r="H141" s="2309"/>
      <c r="I141" s="2309"/>
      <c r="J141" s="2309"/>
      <c r="K141" s="2309"/>
      <c r="L141" s="2309"/>
      <c r="M141" s="2309"/>
      <c r="N141" s="2345"/>
      <c r="O141" s="1207"/>
      <c r="P141" s="2363" t="s">
        <v>1917</v>
      </c>
      <c r="Q141" s="2364"/>
      <c r="R141" s="2364"/>
      <c r="S141" s="2364"/>
      <c r="T141" s="2364"/>
      <c r="U141" s="2364"/>
      <c r="V141" s="2364"/>
      <c r="W141" s="2364"/>
      <c r="X141" s="2364"/>
      <c r="Y141" s="2364"/>
      <c r="Z141" s="2364"/>
      <c r="AA141" s="2364"/>
      <c r="AB141" s="2364"/>
      <c r="AC141" s="2364"/>
      <c r="AD141" s="2364"/>
      <c r="AE141" s="2364"/>
      <c r="AF141" s="2364"/>
      <c r="AG141" s="2364"/>
      <c r="AH141" s="2364"/>
      <c r="AI141" s="2364"/>
      <c r="AJ141" s="2364"/>
      <c r="AK141" s="2364"/>
      <c r="AL141" s="2364"/>
      <c r="AM141" s="2364"/>
      <c r="AN141" s="2364"/>
      <c r="AO141" s="2392"/>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48" t="s">
        <v>1918</v>
      </c>
      <c r="D142" s="2349"/>
      <c r="E142" s="2349"/>
      <c r="F142" s="2349"/>
      <c r="G142" s="2349"/>
      <c r="H142" s="2349"/>
      <c r="I142" s="2349" t="s">
        <v>1919</v>
      </c>
      <c r="J142" s="2349"/>
      <c r="K142" s="2349"/>
      <c r="L142" s="2349"/>
      <c r="M142" s="2349"/>
      <c r="N142" s="2380"/>
      <c r="O142" s="1207"/>
      <c r="P142" s="2312" t="s">
        <v>2261</v>
      </c>
      <c r="Q142" s="2313"/>
      <c r="R142" s="2313"/>
      <c r="S142" s="2313"/>
      <c r="T142" s="2313"/>
      <c r="U142" s="2313"/>
      <c r="V142" s="2313"/>
      <c r="W142" s="2313"/>
      <c r="X142" s="2313"/>
      <c r="Y142" s="2313"/>
      <c r="Z142" s="2313"/>
      <c r="AA142" s="2313"/>
      <c r="AB142" s="2313"/>
      <c r="AC142" s="2313"/>
      <c r="AD142" s="2313"/>
      <c r="AE142" s="2313"/>
      <c r="AF142" s="2313"/>
      <c r="AG142" s="2313"/>
      <c r="AH142" s="2313"/>
      <c r="AI142" s="2313"/>
      <c r="AJ142" s="2313"/>
      <c r="AK142" s="2313"/>
      <c r="AL142" s="2313"/>
      <c r="AM142" s="2313"/>
      <c r="AN142" s="2313"/>
      <c r="AO142" s="2314"/>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18"/>
      <c r="D143" s="2263"/>
      <c r="E143" s="2263"/>
      <c r="F143" s="2263"/>
      <c r="G143" s="2263"/>
      <c r="H143" s="2263"/>
      <c r="I143" s="2378"/>
      <c r="J143" s="2378"/>
      <c r="K143" s="2378"/>
      <c r="L143" s="2378"/>
      <c r="M143" s="2378"/>
      <c r="N143" s="2391"/>
      <c r="O143" s="1207"/>
      <c r="P143" s="2312"/>
      <c r="Q143" s="2313"/>
      <c r="R143" s="2313"/>
      <c r="S143" s="2313"/>
      <c r="T143" s="2313"/>
      <c r="U143" s="2313"/>
      <c r="V143" s="2313"/>
      <c r="W143" s="2313"/>
      <c r="X143" s="2313"/>
      <c r="Y143" s="2313"/>
      <c r="Z143" s="2313"/>
      <c r="AA143" s="2313"/>
      <c r="AB143" s="2313"/>
      <c r="AC143" s="2313"/>
      <c r="AD143" s="2313"/>
      <c r="AE143" s="2313"/>
      <c r="AF143" s="2313"/>
      <c r="AG143" s="2313"/>
      <c r="AH143" s="2313"/>
      <c r="AI143" s="2313"/>
      <c r="AJ143" s="2313"/>
      <c r="AK143" s="2313"/>
      <c r="AL143" s="2313"/>
      <c r="AM143" s="2313"/>
      <c r="AN143" s="2313"/>
      <c r="AO143" s="2314"/>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18"/>
      <c r="D144" s="2263"/>
      <c r="E144" s="2263"/>
      <c r="F144" s="2263"/>
      <c r="G144" s="2263"/>
      <c r="H144" s="2263"/>
      <c r="I144" s="2378"/>
      <c r="J144" s="2378"/>
      <c r="K144" s="2378"/>
      <c r="L144" s="2378"/>
      <c r="M144" s="2378"/>
      <c r="N144" s="2391"/>
      <c r="O144" s="1207"/>
      <c r="P144" s="2312"/>
      <c r="Q144" s="2313"/>
      <c r="R144" s="2313"/>
      <c r="S144" s="2313"/>
      <c r="T144" s="2313"/>
      <c r="U144" s="2313"/>
      <c r="V144" s="2313"/>
      <c r="W144" s="2313"/>
      <c r="X144" s="2313"/>
      <c r="Y144" s="2313"/>
      <c r="Z144" s="2313"/>
      <c r="AA144" s="2313"/>
      <c r="AB144" s="2313"/>
      <c r="AC144" s="2313"/>
      <c r="AD144" s="2313"/>
      <c r="AE144" s="2313"/>
      <c r="AF144" s="2313"/>
      <c r="AG144" s="2313"/>
      <c r="AH144" s="2313"/>
      <c r="AI144" s="2313"/>
      <c r="AJ144" s="2313"/>
      <c r="AK144" s="2313"/>
      <c r="AL144" s="2313"/>
      <c r="AM144" s="2313"/>
      <c r="AN144" s="2313"/>
      <c r="AO144" s="2314"/>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18"/>
      <c r="D145" s="2263"/>
      <c r="E145" s="2263"/>
      <c r="F145" s="2263"/>
      <c r="G145" s="2263"/>
      <c r="H145" s="2263"/>
      <c r="I145" s="2378"/>
      <c r="J145" s="2378"/>
      <c r="K145" s="2378"/>
      <c r="L145" s="2378"/>
      <c r="M145" s="2378"/>
      <c r="N145" s="2391"/>
      <c r="O145" s="1207"/>
      <c r="P145" s="2312"/>
      <c r="Q145" s="2313"/>
      <c r="R145" s="2313"/>
      <c r="S145" s="2313"/>
      <c r="T145" s="2313"/>
      <c r="U145" s="2313"/>
      <c r="V145" s="2313"/>
      <c r="W145" s="2313"/>
      <c r="X145" s="2313"/>
      <c r="Y145" s="2313"/>
      <c r="Z145" s="2313"/>
      <c r="AA145" s="2313"/>
      <c r="AB145" s="2313"/>
      <c r="AC145" s="2313"/>
      <c r="AD145" s="2313"/>
      <c r="AE145" s="2313"/>
      <c r="AF145" s="2313"/>
      <c r="AG145" s="2313"/>
      <c r="AH145" s="2313"/>
      <c r="AI145" s="2313"/>
      <c r="AJ145" s="2313"/>
      <c r="AK145" s="2313"/>
      <c r="AL145" s="2313"/>
      <c r="AM145" s="2313"/>
      <c r="AN145" s="2313"/>
      <c r="AO145" s="2314"/>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18"/>
      <c r="D146" s="2263"/>
      <c r="E146" s="2263"/>
      <c r="F146" s="2263"/>
      <c r="G146" s="2263"/>
      <c r="H146" s="2263"/>
      <c r="I146" s="2378"/>
      <c r="J146" s="2378"/>
      <c r="K146" s="2378"/>
      <c r="L146" s="2378"/>
      <c r="M146" s="2378"/>
      <c r="N146" s="2391"/>
      <c r="O146" s="1207"/>
      <c r="P146" s="2312"/>
      <c r="Q146" s="2313"/>
      <c r="R146" s="2313"/>
      <c r="S146" s="2313"/>
      <c r="T146" s="2313"/>
      <c r="U146" s="2313"/>
      <c r="V146" s="2313"/>
      <c r="W146" s="2313"/>
      <c r="X146" s="2313"/>
      <c r="Y146" s="2313"/>
      <c r="Z146" s="2313"/>
      <c r="AA146" s="2313"/>
      <c r="AB146" s="2313"/>
      <c r="AC146" s="2313"/>
      <c r="AD146" s="2313"/>
      <c r="AE146" s="2313"/>
      <c r="AF146" s="2313"/>
      <c r="AG146" s="2313"/>
      <c r="AH146" s="2313"/>
      <c r="AI146" s="2313"/>
      <c r="AJ146" s="2313"/>
      <c r="AK146" s="2313"/>
      <c r="AL146" s="2313"/>
      <c r="AM146" s="2313"/>
      <c r="AN146" s="2313"/>
      <c r="AO146" s="2314"/>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18"/>
      <c r="D147" s="2263"/>
      <c r="E147" s="2263"/>
      <c r="F147" s="2263"/>
      <c r="G147" s="2263"/>
      <c r="H147" s="2263"/>
      <c r="I147" s="2378"/>
      <c r="J147" s="2378"/>
      <c r="K147" s="2378"/>
      <c r="L147" s="2378"/>
      <c r="M147" s="2378"/>
      <c r="N147" s="2391"/>
      <c r="O147" s="1207"/>
      <c r="P147" s="2312"/>
      <c r="Q147" s="2313"/>
      <c r="R147" s="2313"/>
      <c r="S147" s="2313"/>
      <c r="T147" s="2313"/>
      <c r="U147" s="2313"/>
      <c r="V147" s="2313"/>
      <c r="W147" s="2313"/>
      <c r="X147" s="2313"/>
      <c r="Y147" s="2313"/>
      <c r="Z147" s="2313"/>
      <c r="AA147" s="2313"/>
      <c r="AB147" s="2313"/>
      <c r="AC147" s="2313"/>
      <c r="AD147" s="2313"/>
      <c r="AE147" s="2313"/>
      <c r="AF147" s="2313"/>
      <c r="AG147" s="2313"/>
      <c r="AH147" s="2313"/>
      <c r="AI147" s="2313"/>
      <c r="AJ147" s="2313"/>
      <c r="AK147" s="2313"/>
      <c r="AL147" s="2313"/>
      <c r="AM147" s="2313"/>
      <c r="AN147" s="2313"/>
      <c r="AO147" s="2314"/>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18"/>
      <c r="D148" s="2263"/>
      <c r="E148" s="2263"/>
      <c r="F148" s="2263"/>
      <c r="G148" s="2263"/>
      <c r="H148" s="2263"/>
      <c r="I148" s="2378"/>
      <c r="J148" s="2378"/>
      <c r="K148" s="2378"/>
      <c r="L148" s="2378"/>
      <c r="M148" s="2378"/>
      <c r="N148" s="2391"/>
      <c r="O148" s="1207"/>
      <c r="P148" s="2312"/>
      <c r="Q148" s="2313"/>
      <c r="R148" s="2313"/>
      <c r="S148" s="2313"/>
      <c r="T148" s="2313"/>
      <c r="U148" s="2313"/>
      <c r="V148" s="2313"/>
      <c r="W148" s="2313"/>
      <c r="X148" s="2313"/>
      <c r="Y148" s="2313"/>
      <c r="Z148" s="2313"/>
      <c r="AA148" s="2313"/>
      <c r="AB148" s="2313"/>
      <c r="AC148" s="2313"/>
      <c r="AD148" s="2313"/>
      <c r="AE148" s="2313"/>
      <c r="AF148" s="2313"/>
      <c r="AG148" s="2313"/>
      <c r="AH148" s="2313"/>
      <c r="AI148" s="2313"/>
      <c r="AJ148" s="2313"/>
      <c r="AK148" s="2313"/>
      <c r="AL148" s="2313"/>
      <c r="AM148" s="2313"/>
      <c r="AN148" s="2313"/>
      <c r="AO148" s="2314"/>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400"/>
      <c r="D149" s="2401"/>
      <c r="E149" s="2401"/>
      <c r="F149" s="2401"/>
      <c r="G149" s="2401"/>
      <c r="H149" s="2401"/>
      <c r="I149" s="2402"/>
      <c r="J149" s="2402"/>
      <c r="K149" s="2402"/>
      <c r="L149" s="2402"/>
      <c r="M149" s="2402"/>
      <c r="N149" s="2403"/>
      <c r="O149" s="1207"/>
      <c r="P149" s="2315"/>
      <c r="Q149" s="2316"/>
      <c r="R149" s="2316"/>
      <c r="S149" s="2316"/>
      <c r="T149" s="2316"/>
      <c r="U149" s="2316"/>
      <c r="V149" s="2316"/>
      <c r="W149" s="2316"/>
      <c r="X149" s="2316"/>
      <c r="Y149" s="2316"/>
      <c r="Z149" s="2316"/>
      <c r="AA149" s="2316"/>
      <c r="AB149" s="2316"/>
      <c r="AC149" s="2316"/>
      <c r="AD149" s="2316"/>
      <c r="AE149" s="2316"/>
      <c r="AF149" s="2316"/>
      <c r="AG149" s="2316"/>
      <c r="AH149" s="2316"/>
      <c r="AI149" s="2316"/>
      <c r="AJ149" s="2316"/>
      <c r="AK149" s="2316"/>
      <c r="AL149" s="2316"/>
      <c r="AM149" s="2316"/>
      <c r="AN149" s="2316"/>
      <c r="AO149" s="2317"/>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404" t="s">
        <v>2592</v>
      </c>
      <c r="D151" s="2404"/>
      <c r="E151" s="2404"/>
      <c r="F151" s="2404"/>
      <c r="G151" s="2404"/>
      <c r="H151" s="2404"/>
      <c r="I151" s="2404"/>
      <c r="J151" s="2404"/>
      <c r="K151" s="2404"/>
      <c r="L151" s="2404"/>
      <c r="M151" s="2404"/>
      <c r="N151" s="2404"/>
      <c r="O151" s="2404"/>
      <c r="P151" s="2404"/>
      <c r="Q151" s="2404"/>
      <c r="R151" s="2404"/>
      <c r="S151" s="2404"/>
      <c r="T151" s="2404"/>
      <c r="U151" s="2404"/>
      <c r="V151" s="2404"/>
      <c r="W151" s="2404"/>
      <c r="X151" s="2404"/>
      <c r="Y151" s="2404"/>
      <c r="Z151" s="2404"/>
      <c r="AA151" s="2404"/>
      <c r="AB151" s="2404"/>
      <c r="AC151" s="2404"/>
      <c r="AD151" s="2404"/>
      <c r="AE151" s="2404"/>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404"/>
      <c r="D152" s="2404"/>
      <c r="E152" s="2404"/>
      <c r="F152" s="2404"/>
      <c r="G152" s="2404"/>
      <c r="H152" s="2404"/>
      <c r="I152" s="2404"/>
      <c r="J152" s="2404"/>
      <c r="K152" s="2404"/>
      <c r="L152" s="2404"/>
      <c r="M152" s="2404"/>
      <c r="N152" s="2404"/>
      <c r="O152" s="2404"/>
      <c r="P152" s="2404"/>
      <c r="Q152" s="2404"/>
      <c r="R152" s="2404"/>
      <c r="S152" s="2404"/>
      <c r="T152" s="2404"/>
      <c r="U152" s="2404"/>
      <c r="V152" s="2404"/>
      <c r="W152" s="2404"/>
      <c r="X152" s="2404"/>
      <c r="Y152" s="2404"/>
      <c r="Z152" s="2404"/>
      <c r="AA152" s="2404"/>
      <c r="AB152" s="2404"/>
      <c r="AC152" s="2404"/>
      <c r="AD152" s="2404"/>
      <c r="AE152" s="2404"/>
      <c r="AF152" s="1207"/>
      <c r="AG152" s="1207"/>
      <c r="AH152" s="1227" t="s">
        <v>1921</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308" t="s">
        <v>1909</v>
      </c>
      <c r="D153" s="2309"/>
      <c r="E153" s="2309"/>
      <c r="F153" s="2309"/>
      <c r="G153" s="2309"/>
      <c r="H153" s="2309"/>
      <c r="I153" s="2309"/>
      <c r="J153" s="2309"/>
      <c r="K153" s="2309"/>
      <c r="L153" s="2309"/>
      <c r="M153" s="2309"/>
      <c r="N153" s="2309" t="s">
        <v>1920</v>
      </c>
      <c r="O153" s="2309"/>
      <c r="P153" s="2309"/>
      <c r="Q153" s="2309"/>
      <c r="R153" s="2309"/>
      <c r="S153" s="2309"/>
      <c r="T153" s="2309"/>
      <c r="U153" s="2232" t="s">
        <v>1909</v>
      </c>
      <c r="V153" s="2232"/>
      <c r="W153" s="2232"/>
      <c r="X153" s="2232"/>
      <c r="Y153" s="2232"/>
      <c r="Z153" s="2232"/>
      <c r="AA153" s="2232"/>
      <c r="AB153" s="2232"/>
      <c r="AC153" s="2232"/>
      <c r="AD153" s="2232"/>
      <c r="AE153" s="2233"/>
      <c r="AF153" s="1207"/>
      <c r="AG153" s="1207"/>
      <c r="AH153" s="1233" t="s">
        <v>1922</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93" t="s">
        <v>2593</v>
      </c>
      <c r="D154" s="2394"/>
      <c r="E154" s="2394"/>
      <c r="F154" s="2394"/>
      <c r="G154" s="2394"/>
      <c r="H154" s="2394"/>
      <c r="I154" s="2394"/>
      <c r="J154" s="2394"/>
      <c r="K154" s="2394"/>
      <c r="L154" s="2394"/>
      <c r="M154" s="2394"/>
      <c r="N154" s="2395">
        <f>'Sources and Uses Budget'!B105</f>
        <v>40935554.133391015</v>
      </c>
      <c r="O154" s="2395"/>
      <c r="P154" s="2395"/>
      <c r="Q154" s="2395"/>
      <c r="R154" s="2395"/>
      <c r="S154" s="2395"/>
      <c r="T154" s="2395"/>
      <c r="U154" s="2396"/>
      <c r="V154" s="2396"/>
      <c r="W154" s="2396"/>
      <c r="X154" s="2396"/>
      <c r="Y154" s="2396"/>
      <c r="Z154" s="2396"/>
      <c r="AA154" s="2396"/>
      <c r="AB154" s="2396"/>
      <c r="AC154" s="2396"/>
      <c r="AD154" s="2396"/>
      <c r="AE154" s="2397"/>
      <c r="AF154" s="1207"/>
      <c r="AG154" s="1207"/>
      <c r="AH154" s="1233" t="s">
        <v>2594</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93" t="s">
        <v>2595</v>
      </c>
      <c r="D155" s="2394"/>
      <c r="E155" s="2394"/>
      <c r="F155" s="2394"/>
      <c r="G155" s="2394"/>
      <c r="H155" s="2394"/>
      <c r="I155" s="2394"/>
      <c r="J155" s="2394"/>
      <c r="K155" s="2394"/>
      <c r="L155" s="2394"/>
      <c r="M155" s="2394"/>
      <c r="N155" s="2395">
        <f>N154/J29</f>
        <v>909678.98074202251</v>
      </c>
      <c r="O155" s="2395"/>
      <c r="P155" s="2395"/>
      <c r="Q155" s="2395"/>
      <c r="R155" s="2395"/>
      <c r="S155" s="2395"/>
      <c r="T155" s="2395"/>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98" t="s">
        <v>2596</v>
      </c>
      <c r="D156" s="2399"/>
      <c r="E156" s="2399"/>
      <c r="F156" s="2399"/>
      <c r="G156" s="2399"/>
      <c r="H156" s="2399"/>
      <c r="I156" s="2399"/>
      <c r="J156" s="2399"/>
      <c r="K156" s="2399"/>
      <c r="L156" s="2399"/>
      <c r="M156" s="2399"/>
      <c r="N156" s="2302">
        <v>0</v>
      </c>
      <c r="O156" s="2302"/>
      <c r="P156" s="2302"/>
      <c r="Q156" s="2302"/>
      <c r="R156" s="2302"/>
      <c r="S156" s="2302"/>
      <c r="T156" s="2302"/>
      <c r="U156" s="2275"/>
      <c r="V156" s="2275"/>
      <c r="W156" s="2275"/>
      <c r="X156" s="2275"/>
      <c r="Y156" s="2275"/>
      <c r="Z156" s="2275"/>
      <c r="AA156" s="2275"/>
      <c r="AB156" s="2275"/>
      <c r="AC156" s="2275"/>
      <c r="AD156" s="2275"/>
      <c r="AE156" s="2276"/>
      <c r="AF156" s="1207"/>
      <c r="AG156" s="1207"/>
      <c r="AH156" s="2405" t="s">
        <v>2269</v>
      </c>
      <c r="AI156" s="2406"/>
      <c r="AJ156" s="2406"/>
      <c r="AK156" s="2406"/>
      <c r="AL156" s="2406"/>
      <c r="AM156" s="2406"/>
      <c r="AN156" s="2406"/>
      <c r="AO156" s="2406"/>
      <c r="AP156" s="2406"/>
      <c r="AQ156" s="2406"/>
      <c r="AR156" s="2406"/>
      <c r="AS156" s="2407">
        <f>SUM(AS152:AW154)</f>
        <v>0</v>
      </c>
      <c r="AT156" s="2407"/>
      <c r="AU156" s="2407"/>
      <c r="AV156" s="2407"/>
      <c r="AW156" s="2408"/>
      <c r="AX156" s="1207"/>
      <c r="AY156" s="1207"/>
      <c r="AZ156" s="1207"/>
      <c r="BA156" s="1207"/>
      <c r="BB156" s="1207"/>
      <c r="BC156" s="1207"/>
      <c r="BD156" s="1207"/>
      <c r="BE156" s="1213"/>
    </row>
    <row r="157" spans="1:57" ht="15.75" customHeight="1" thickBot="1">
      <c r="A157" s="1207"/>
      <c r="B157" s="1207"/>
      <c r="C157" s="2393" t="s">
        <v>2597</v>
      </c>
      <c r="D157" s="2394"/>
      <c r="E157" s="2394"/>
      <c r="F157" s="2394"/>
      <c r="G157" s="2394"/>
      <c r="H157" s="2394"/>
      <c r="I157" s="2394"/>
      <c r="J157" s="2394"/>
      <c r="K157" s="2394"/>
      <c r="L157" s="2394"/>
      <c r="M157" s="2394"/>
      <c r="N157" s="2409">
        <f>SUM('Sources and Uses Budget'!B85:B86)</f>
        <v>0</v>
      </c>
      <c r="O157" s="2409"/>
      <c r="P157" s="2409"/>
      <c r="Q157" s="2409"/>
      <c r="R157" s="2409"/>
      <c r="S157" s="2409"/>
      <c r="T157" s="2409"/>
      <c r="U157" s="2275"/>
      <c r="V157" s="2275"/>
      <c r="W157" s="2275"/>
      <c r="X157" s="2275"/>
      <c r="Y157" s="2275"/>
      <c r="Z157" s="2275"/>
      <c r="AA157" s="2275"/>
      <c r="AB157" s="2275"/>
      <c r="AC157" s="2275"/>
      <c r="AD157" s="2275"/>
      <c r="AE157" s="2276"/>
      <c r="AF157" s="1207"/>
      <c r="AG157" s="1207"/>
      <c r="AH157" s="1247" t="s">
        <v>2598</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93" t="s">
        <v>2599</v>
      </c>
      <c r="D158" s="2394"/>
      <c r="E158" s="2394"/>
      <c r="F158" s="2394"/>
      <c r="G158" s="2394"/>
      <c r="H158" s="2394"/>
      <c r="I158" s="2394"/>
      <c r="J158" s="2394"/>
      <c r="K158" s="2394"/>
      <c r="L158" s="2394"/>
      <c r="M158" s="2394"/>
      <c r="N158" s="2409">
        <f>'Sources and Uses Budget'!B8</f>
        <v>1273804</v>
      </c>
      <c r="O158" s="2409"/>
      <c r="P158" s="2409"/>
      <c r="Q158" s="2409"/>
      <c r="R158" s="2409"/>
      <c r="S158" s="2409"/>
      <c r="T158" s="2409"/>
      <c r="U158" s="2275"/>
      <c r="V158" s="2275"/>
      <c r="W158" s="2275"/>
      <c r="X158" s="2275"/>
      <c r="Y158" s="2275"/>
      <c r="Z158" s="2275"/>
      <c r="AA158" s="2275"/>
      <c r="AB158" s="2275"/>
      <c r="AC158" s="2275"/>
      <c r="AD158" s="2275"/>
      <c r="AE158" s="2276"/>
      <c r="AF158" s="1207"/>
      <c r="AG158" s="1207"/>
      <c r="AH158" s="2410" t="s">
        <v>2600</v>
      </c>
      <c r="AI158" s="2411"/>
      <c r="AJ158" s="2411"/>
      <c r="AK158" s="2411"/>
      <c r="AL158" s="2411"/>
      <c r="AM158" s="2411"/>
      <c r="AN158" s="2411"/>
      <c r="AO158" s="2411"/>
      <c r="AP158" s="2411"/>
      <c r="AQ158" s="2411"/>
      <c r="AR158" s="2412"/>
      <c r="AS158" s="2416" t="s">
        <v>2601</v>
      </c>
      <c r="AT158" s="2417"/>
      <c r="AU158" s="2417"/>
      <c r="AV158" s="2417"/>
      <c r="AW158" s="2417"/>
      <c r="AX158" s="2418"/>
      <c r="AY158" s="2417" t="s">
        <v>2602</v>
      </c>
      <c r="AZ158" s="2417"/>
      <c r="BA158" s="2417"/>
      <c r="BB158" s="2417"/>
      <c r="BC158" s="2417"/>
      <c r="BD158" s="2422"/>
      <c r="BE158" s="1213"/>
    </row>
    <row r="159" spans="1:57" ht="15.75" customHeight="1">
      <c r="A159" s="1207"/>
      <c r="B159" s="1207"/>
      <c r="C159" s="2393" t="s">
        <v>2603</v>
      </c>
      <c r="D159" s="2394"/>
      <c r="E159" s="2394"/>
      <c r="F159" s="2394"/>
      <c r="G159" s="2394"/>
      <c r="H159" s="2394"/>
      <c r="I159" s="2394"/>
      <c r="J159" s="2394"/>
      <c r="K159" s="2394"/>
      <c r="L159" s="2394"/>
      <c r="M159" s="2394"/>
      <c r="N159" s="2424">
        <v>0</v>
      </c>
      <c r="O159" s="2424"/>
      <c r="P159" s="2424"/>
      <c r="Q159" s="2424"/>
      <c r="R159" s="2424"/>
      <c r="S159" s="2424"/>
      <c r="T159" s="2424"/>
      <c r="U159" s="2275"/>
      <c r="V159" s="2275"/>
      <c r="W159" s="2275"/>
      <c r="X159" s="2275"/>
      <c r="Y159" s="2275"/>
      <c r="Z159" s="2275"/>
      <c r="AA159" s="2275"/>
      <c r="AB159" s="2275"/>
      <c r="AC159" s="2275"/>
      <c r="AD159" s="2275"/>
      <c r="AE159" s="2276"/>
      <c r="AF159" s="1207"/>
      <c r="AG159" s="1207"/>
      <c r="AH159" s="2413"/>
      <c r="AI159" s="2414"/>
      <c r="AJ159" s="2414"/>
      <c r="AK159" s="2414"/>
      <c r="AL159" s="2414"/>
      <c r="AM159" s="2414"/>
      <c r="AN159" s="2414"/>
      <c r="AO159" s="2414"/>
      <c r="AP159" s="2414"/>
      <c r="AQ159" s="2414"/>
      <c r="AR159" s="2415"/>
      <c r="AS159" s="2419"/>
      <c r="AT159" s="2420"/>
      <c r="AU159" s="2420"/>
      <c r="AV159" s="2420"/>
      <c r="AW159" s="2420"/>
      <c r="AX159" s="2421"/>
      <c r="AY159" s="2420"/>
      <c r="AZ159" s="2420"/>
      <c r="BA159" s="2420"/>
      <c r="BB159" s="2420"/>
      <c r="BC159" s="2420"/>
      <c r="BD159" s="2423"/>
      <c r="BE159" s="1213"/>
    </row>
    <row r="160" spans="1:57" ht="15.75" customHeight="1">
      <c r="A160" s="1207"/>
      <c r="B160" s="1207"/>
      <c r="C160" s="2393" t="s">
        <v>2604</v>
      </c>
      <c r="D160" s="2394"/>
      <c r="E160" s="2394"/>
      <c r="F160" s="2394"/>
      <c r="G160" s="2394"/>
      <c r="H160" s="2394"/>
      <c r="I160" s="2394"/>
      <c r="J160" s="2394"/>
      <c r="K160" s="2394"/>
      <c r="L160" s="2394"/>
      <c r="M160" s="2394"/>
      <c r="N160" s="2424">
        <v>0</v>
      </c>
      <c r="O160" s="2424"/>
      <c r="P160" s="2424"/>
      <c r="Q160" s="2424"/>
      <c r="R160" s="2424"/>
      <c r="S160" s="2424"/>
      <c r="T160" s="2424"/>
      <c r="U160" s="2275"/>
      <c r="V160" s="2275"/>
      <c r="W160" s="2275"/>
      <c r="X160" s="2275"/>
      <c r="Y160" s="2275"/>
      <c r="Z160" s="2275"/>
      <c r="AA160" s="2275"/>
      <c r="AB160" s="2275"/>
      <c r="AC160" s="2275"/>
      <c r="AD160" s="2275"/>
      <c r="AE160" s="2276"/>
      <c r="AF160" s="1207"/>
      <c r="AG160" s="1207"/>
      <c r="AH160" s="2425" t="s">
        <v>2270</v>
      </c>
      <c r="AI160" s="2426"/>
      <c r="AJ160" s="2426"/>
      <c r="AK160" s="2426"/>
      <c r="AL160" s="2426"/>
      <c r="AM160" s="2426"/>
      <c r="AN160" s="2426"/>
      <c r="AO160" s="2426"/>
      <c r="AP160" s="2426"/>
      <c r="AQ160" s="2426"/>
      <c r="AR160" s="2426"/>
      <c r="AS160" s="2427">
        <v>0</v>
      </c>
      <c r="AT160" s="2427"/>
      <c r="AU160" s="2427"/>
      <c r="AV160" s="2427"/>
      <c r="AW160" s="2427"/>
      <c r="AX160" s="2427"/>
      <c r="AY160" s="2427">
        <v>0</v>
      </c>
      <c r="AZ160" s="2427"/>
      <c r="BA160" s="2427"/>
      <c r="BB160" s="2427"/>
      <c r="BC160" s="2427"/>
      <c r="BD160" s="2428"/>
      <c r="BE160" s="1213"/>
    </row>
    <row r="161" spans="1:57" ht="15.75" customHeight="1">
      <c r="A161" s="1207"/>
      <c r="B161" s="1207"/>
      <c r="C161" s="2430" t="s">
        <v>302</v>
      </c>
      <c r="D161" s="2377"/>
      <c r="E161" s="2429" t="s">
        <v>1915</v>
      </c>
      <c r="F161" s="2429"/>
      <c r="G161" s="2429"/>
      <c r="H161" s="2429"/>
      <c r="I161" s="2429"/>
      <c r="J161" s="2429"/>
      <c r="K161" s="2429"/>
      <c r="L161" s="2429"/>
      <c r="M161" s="2429"/>
      <c r="N161" s="2424">
        <v>0</v>
      </c>
      <c r="O161" s="2424"/>
      <c r="P161" s="2424"/>
      <c r="Q161" s="2424"/>
      <c r="R161" s="2424"/>
      <c r="S161" s="2424"/>
      <c r="T161" s="2424"/>
      <c r="U161" s="2275"/>
      <c r="V161" s="2275"/>
      <c r="W161" s="2275"/>
      <c r="X161" s="2275"/>
      <c r="Y161" s="2275"/>
      <c r="Z161" s="2275"/>
      <c r="AA161" s="2275"/>
      <c r="AB161" s="2275"/>
      <c r="AC161" s="2275"/>
      <c r="AD161" s="2275"/>
      <c r="AE161" s="2276"/>
      <c r="AF161" s="1207"/>
      <c r="AG161" s="1207"/>
      <c r="AH161" s="2425" t="s">
        <v>2271</v>
      </c>
      <c r="AI161" s="2426"/>
      <c r="AJ161" s="2426"/>
      <c r="AK161" s="2426"/>
      <c r="AL161" s="2426"/>
      <c r="AM161" s="2426"/>
      <c r="AN161" s="2426"/>
      <c r="AO161" s="2426"/>
      <c r="AP161" s="2426"/>
      <c r="AQ161" s="2426"/>
      <c r="AR161" s="2426"/>
      <c r="AS161" s="2427">
        <v>0</v>
      </c>
      <c r="AT161" s="2427"/>
      <c r="AU161" s="2427"/>
      <c r="AV161" s="2427"/>
      <c r="AW161" s="2427"/>
      <c r="AX161" s="2427"/>
      <c r="AY161" s="2427">
        <v>0</v>
      </c>
      <c r="AZ161" s="2427"/>
      <c r="BA161" s="2427"/>
      <c r="BB161" s="2427"/>
      <c r="BC161" s="2427"/>
      <c r="BD161" s="2428"/>
      <c r="BE161" s="1213"/>
    </row>
    <row r="162" spans="1:57" ht="15.75" customHeight="1">
      <c r="A162" s="1207"/>
      <c r="B162" s="1207"/>
      <c r="C162" s="2318" t="s">
        <v>302</v>
      </c>
      <c r="D162" s="2263"/>
      <c r="E162" s="2429" t="s">
        <v>1915</v>
      </c>
      <c r="F162" s="2429"/>
      <c r="G162" s="2429"/>
      <c r="H162" s="2429"/>
      <c r="I162" s="2429"/>
      <c r="J162" s="2429"/>
      <c r="K162" s="2429"/>
      <c r="L162" s="2429"/>
      <c r="M162" s="2429"/>
      <c r="N162" s="2424">
        <v>0</v>
      </c>
      <c r="O162" s="2424"/>
      <c r="P162" s="2424"/>
      <c r="Q162" s="2424"/>
      <c r="R162" s="2424"/>
      <c r="S162" s="2424"/>
      <c r="T162" s="2424"/>
      <c r="U162" s="2275"/>
      <c r="V162" s="2275"/>
      <c r="W162" s="2275"/>
      <c r="X162" s="2275"/>
      <c r="Y162" s="2275"/>
      <c r="Z162" s="2275"/>
      <c r="AA162" s="2275"/>
      <c r="AB162" s="2275"/>
      <c r="AC162" s="2275"/>
      <c r="AD162" s="2275"/>
      <c r="AE162" s="2276"/>
      <c r="AF162" s="1207"/>
      <c r="AG162" s="1207"/>
      <c r="AH162" s="2425" t="s">
        <v>2272</v>
      </c>
      <c r="AI162" s="2426"/>
      <c r="AJ162" s="2426"/>
      <c r="AK162" s="2426"/>
      <c r="AL162" s="2426"/>
      <c r="AM162" s="2426"/>
      <c r="AN162" s="2426"/>
      <c r="AO162" s="2426"/>
      <c r="AP162" s="2426"/>
      <c r="AQ162" s="2426"/>
      <c r="AR162" s="2426"/>
      <c r="AS162" s="2427">
        <v>0</v>
      </c>
      <c r="AT162" s="2427"/>
      <c r="AU162" s="2427"/>
      <c r="AV162" s="2427"/>
      <c r="AW162" s="2427"/>
      <c r="AX162" s="2427"/>
      <c r="AY162" s="2427">
        <v>0</v>
      </c>
      <c r="AZ162" s="2427"/>
      <c r="BA162" s="2427"/>
      <c r="BB162" s="2427"/>
      <c r="BC162" s="2427"/>
      <c r="BD162" s="2428"/>
      <c r="BE162" s="1213"/>
    </row>
    <row r="163" spans="1:57" ht="15.75" customHeight="1" thickBot="1">
      <c r="A163" s="1207"/>
      <c r="B163" s="1207"/>
      <c r="C163" s="2435" t="s">
        <v>302</v>
      </c>
      <c r="D163" s="2436"/>
      <c r="E163" s="2437" t="s">
        <v>1915</v>
      </c>
      <c r="F163" s="2437"/>
      <c r="G163" s="2437"/>
      <c r="H163" s="2437"/>
      <c r="I163" s="2437"/>
      <c r="J163" s="2437"/>
      <c r="K163" s="2437"/>
      <c r="L163" s="2437"/>
      <c r="M163" s="2438"/>
      <c r="N163" s="2439">
        <v>0</v>
      </c>
      <c r="O163" s="2439"/>
      <c r="P163" s="2439"/>
      <c r="Q163" s="2439"/>
      <c r="R163" s="2439"/>
      <c r="S163" s="2439"/>
      <c r="T163" s="2440"/>
      <c r="U163" s="2441"/>
      <c r="V163" s="2442"/>
      <c r="W163" s="2442"/>
      <c r="X163" s="2442"/>
      <c r="Y163" s="2442"/>
      <c r="Z163" s="2442"/>
      <c r="AA163" s="2442"/>
      <c r="AB163" s="2442"/>
      <c r="AC163" s="2442"/>
      <c r="AD163" s="2442"/>
      <c r="AE163" s="2443"/>
      <c r="AF163" s="1207"/>
      <c r="AG163" s="1207"/>
      <c r="AH163" s="2425" t="s">
        <v>2273</v>
      </c>
      <c r="AI163" s="2426"/>
      <c r="AJ163" s="2426"/>
      <c r="AK163" s="2426"/>
      <c r="AL163" s="2426"/>
      <c r="AM163" s="2426"/>
      <c r="AN163" s="2426"/>
      <c r="AO163" s="2426"/>
      <c r="AP163" s="2426"/>
      <c r="AQ163" s="2426"/>
      <c r="AR163" s="2426"/>
      <c r="AS163" s="2427">
        <v>0</v>
      </c>
      <c r="AT163" s="2427"/>
      <c r="AU163" s="2427"/>
      <c r="AV163" s="2427"/>
      <c r="AW163" s="2427"/>
      <c r="AX163" s="2427"/>
      <c r="AY163" s="2427">
        <v>0</v>
      </c>
      <c r="AZ163" s="2427"/>
      <c r="BA163" s="2427"/>
      <c r="BB163" s="2427"/>
      <c r="BC163" s="2427"/>
      <c r="BD163" s="2428"/>
      <c r="BE163" s="1213"/>
    </row>
    <row r="164" spans="1:57" ht="15.75" customHeight="1">
      <c r="A164" s="1207"/>
      <c r="B164" s="1207"/>
      <c r="C164" s="2431" t="s">
        <v>1923</v>
      </c>
      <c r="D164" s="2432"/>
      <c r="E164" s="2432"/>
      <c r="F164" s="2432"/>
      <c r="G164" s="2432"/>
      <c r="H164" s="2432"/>
      <c r="I164" s="2432"/>
      <c r="J164" s="2432"/>
      <c r="K164" s="2432"/>
      <c r="L164" s="2432"/>
      <c r="M164" s="2432"/>
      <c r="N164" s="2433">
        <f>SUM(N156:T163)</f>
        <v>1273804</v>
      </c>
      <c r="O164" s="2433"/>
      <c r="P164" s="2433"/>
      <c r="Q164" s="2433"/>
      <c r="R164" s="2433"/>
      <c r="S164" s="2433"/>
      <c r="T164" s="2434"/>
      <c r="U164" s="1207"/>
      <c r="V164" s="1207"/>
      <c r="W164" s="1207"/>
      <c r="X164" s="1207"/>
      <c r="Y164" s="1207"/>
      <c r="Z164" s="1207"/>
      <c r="AA164" s="1207"/>
      <c r="AB164" s="1207"/>
      <c r="AC164" s="1207"/>
      <c r="AD164" s="1207"/>
      <c r="AE164" s="1207"/>
      <c r="AF164" s="1207"/>
      <c r="AG164" s="1207"/>
      <c r="AH164" s="2425" t="s">
        <v>2274</v>
      </c>
      <c r="AI164" s="2426"/>
      <c r="AJ164" s="2426"/>
      <c r="AK164" s="2426"/>
      <c r="AL164" s="2426"/>
      <c r="AM164" s="2426"/>
      <c r="AN164" s="2426"/>
      <c r="AO164" s="2426"/>
      <c r="AP164" s="2426"/>
      <c r="AQ164" s="2426"/>
      <c r="AR164" s="2426"/>
      <c r="AS164" s="2427">
        <v>0</v>
      </c>
      <c r="AT164" s="2427"/>
      <c r="AU164" s="2427"/>
      <c r="AV164" s="2427"/>
      <c r="AW164" s="2427"/>
      <c r="AX164" s="2427"/>
      <c r="AY164" s="2427">
        <v>0</v>
      </c>
      <c r="AZ164" s="2427"/>
      <c r="BA164" s="2427"/>
      <c r="BB164" s="2427"/>
      <c r="BC164" s="2427"/>
      <c r="BD164" s="2428"/>
      <c r="BE164" s="1213"/>
    </row>
    <row r="165" spans="1:57" ht="15.75" customHeight="1" thickBot="1">
      <c r="A165" s="1207"/>
      <c r="B165" s="1207"/>
      <c r="C165" s="2457" t="s">
        <v>2605</v>
      </c>
      <c r="D165" s="2458"/>
      <c r="E165" s="2458"/>
      <c r="F165" s="2458"/>
      <c r="G165" s="2458"/>
      <c r="H165" s="2458"/>
      <c r="I165" s="2458"/>
      <c r="J165" s="2458"/>
      <c r="K165" s="2458"/>
      <c r="L165" s="2458"/>
      <c r="M165" s="2458"/>
      <c r="N165" s="2459">
        <f>(N154-N164)/J29</f>
        <v>881372.22518646705</v>
      </c>
      <c r="O165" s="2460"/>
      <c r="P165" s="2460"/>
      <c r="Q165" s="2460"/>
      <c r="R165" s="2460"/>
      <c r="S165" s="2460"/>
      <c r="T165" s="2461"/>
      <c r="U165" s="1214"/>
      <c r="V165" s="1207"/>
      <c r="W165" s="1207"/>
      <c r="X165" s="1207"/>
      <c r="Y165" s="1207"/>
      <c r="Z165" s="1207"/>
      <c r="AA165" s="1207"/>
      <c r="AB165" s="1207"/>
      <c r="AC165" s="1207"/>
      <c r="AD165" s="1207"/>
      <c r="AE165" s="1207"/>
      <c r="AF165" s="1207"/>
      <c r="AG165" s="1207"/>
      <c r="AH165" s="2425" t="s">
        <v>2275</v>
      </c>
      <c r="AI165" s="2426"/>
      <c r="AJ165" s="2426"/>
      <c r="AK165" s="2426"/>
      <c r="AL165" s="2426"/>
      <c r="AM165" s="2426"/>
      <c r="AN165" s="2426"/>
      <c r="AO165" s="2426"/>
      <c r="AP165" s="2426"/>
      <c r="AQ165" s="2426"/>
      <c r="AR165" s="2426"/>
      <c r="AS165" s="2427">
        <v>0</v>
      </c>
      <c r="AT165" s="2427"/>
      <c r="AU165" s="2427"/>
      <c r="AV165" s="2427"/>
      <c r="AW165" s="2427"/>
      <c r="AX165" s="2427"/>
      <c r="AY165" s="2427">
        <v>0</v>
      </c>
      <c r="AZ165" s="2427"/>
      <c r="BA165" s="2427"/>
      <c r="BB165" s="2427"/>
      <c r="BC165" s="2427"/>
      <c r="BD165" s="2428"/>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62" t="s">
        <v>125</v>
      </c>
      <c r="AI166" s="2463"/>
      <c r="AJ166" s="2463"/>
      <c r="AK166" s="2463"/>
      <c r="AL166" s="2463"/>
      <c r="AM166" s="2463"/>
      <c r="AN166" s="2463"/>
      <c r="AO166" s="2463"/>
      <c r="AP166" s="2463"/>
      <c r="AQ166" s="2463"/>
      <c r="AR166" s="2463"/>
      <c r="AS166" s="2464">
        <f>SUM(AS160:AX165)</f>
        <v>0</v>
      </c>
      <c r="AT166" s="2464"/>
      <c r="AU166" s="2464"/>
      <c r="AV166" s="2464"/>
      <c r="AW166" s="2464"/>
      <c r="AX166" s="2464"/>
      <c r="AY166" s="2464">
        <f>SUM(AY160:BD165)</f>
        <v>0</v>
      </c>
      <c r="AZ166" s="2464"/>
      <c r="BA166" s="2464"/>
      <c r="BB166" s="2464"/>
      <c r="BC166" s="2464"/>
      <c r="BD166" s="2465"/>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44" t="s">
        <v>1924</v>
      </c>
      <c r="C168" s="2445"/>
      <c r="D168" s="2445"/>
      <c r="E168" s="2445"/>
      <c r="F168" s="2445"/>
      <c r="G168" s="2445"/>
      <c r="H168" s="2445"/>
      <c r="I168" s="2445"/>
      <c r="J168" s="2445"/>
      <c r="K168" s="2445"/>
      <c r="L168" s="2445"/>
      <c r="M168" s="2445"/>
      <c r="N168" s="2445"/>
      <c r="O168" s="2445"/>
      <c r="P168" s="2445"/>
      <c r="Q168" s="2445"/>
      <c r="R168" s="2445"/>
      <c r="S168" s="2445"/>
      <c r="T168" s="2445"/>
      <c r="U168" s="2445"/>
      <c r="V168" s="2445"/>
      <c r="W168" s="2445"/>
      <c r="X168" s="2445"/>
      <c r="Y168" s="2445"/>
      <c r="Z168" s="2445"/>
      <c r="AA168" s="2445"/>
      <c r="AB168" s="2445"/>
      <c r="AC168" s="2445"/>
      <c r="AD168" s="2445"/>
      <c r="AE168" s="2445"/>
      <c r="AF168" s="2445"/>
      <c r="AG168" s="2445"/>
      <c r="AH168" s="2445"/>
      <c r="AI168" s="2445"/>
      <c r="AJ168" s="2445"/>
      <c r="AK168" s="2445"/>
      <c r="AL168" s="2445"/>
      <c r="AM168" s="2445"/>
      <c r="AN168" s="2445"/>
      <c r="AO168" s="2445"/>
      <c r="AP168" s="2445"/>
      <c r="AQ168" s="2445"/>
      <c r="AR168" s="2445"/>
      <c r="AS168" s="2445"/>
      <c r="AT168" s="2445"/>
      <c r="AU168" s="2445"/>
      <c r="AV168" s="2445"/>
      <c r="AW168" s="2445"/>
      <c r="AX168" s="2445"/>
      <c r="AY168" s="2445"/>
      <c r="AZ168" s="2445"/>
      <c r="BA168" s="2445"/>
      <c r="BB168" s="2445"/>
      <c r="BC168" s="2445"/>
      <c r="BD168" s="2446"/>
      <c r="BE168" s="1213"/>
    </row>
    <row r="169" spans="1:57" ht="15.75" customHeight="1">
      <c r="A169" s="1207"/>
      <c r="B169" s="2447"/>
      <c r="C169" s="2448"/>
      <c r="D169" s="2448"/>
      <c r="E169" s="2448"/>
      <c r="F169" s="2448"/>
      <c r="G169" s="2448"/>
      <c r="H169" s="2448"/>
      <c r="I169" s="2448"/>
      <c r="J169" s="2448"/>
      <c r="K169" s="2448"/>
      <c r="L169" s="2448"/>
      <c r="M169" s="2448"/>
      <c r="N169" s="2448"/>
      <c r="O169" s="2448"/>
      <c r="P169" s="2448"/>
      <c r="Q169" s="2448"/>
      <c r="R169" s="2448"/>
      <c r="S169" s="2448"/>
      <c r="T169" s="2448"/>
      <c r="U169" s="2448"/>
      <c r="V169" s="2448"/>
      <c r="W169" s="2448"/>
      <c r="X169" s="2448"/>
      <c r="Y169" s="2448"/>
      <c r="Z169" s="2448"/>
      <c r="AA169" s="2448"/>
      <c r="AB169" s="2448"/>
      <c r="AC169" s="2448"/>
      <c r="AD169" s="2448"/>
      <c r="AE169" s="2448"/>
      <c r="AF169" s="2448"/>
      <c r="AG169" s="2448"/>
      <c r="AH169" s="2448"/>
      <c r="AI169" s="2448"/>
      <c r="AJ169" s="2448"/>
      <c r="AK169" s="2448"/>
      <c r="AL169" s="2448"/>
      <c r="AM169" s="2448"/>
      <c r="AN169" s="2448"/>
      <c r="AO169" s="2448"/>
      <c r="AP169" s="2448"/>
      <c r="AQ169" s="2448"/>
      <c r="AR169" s="2448"/>
      <c r="AS169" s="2448"/>
      <c r="AT169" s="2448"/>
      <c r="AU169" s="2448"/>
      <c r="AV169" s="2448"/>
      <c r="AW169" s="2448"/>
      <c r="AX169" s="2448"/>
      <c r="AY169" s="2448"/>
      <c r="AZ169" s="2448"/>
      <c r="BA169" s="2448"/>
      <c r="BB169" s="2448"/>
      <c r="BC169" s="2448"/>
      <c r="BD169" s="2449"/>
      <c r="BE169" s="1213"/>
    </row>
    <row r="170" spans="1:57" ht="15.75" customHeight="1">
      <c r="A170" s="1207"/>
      <c r="B170" s="2450" t="s">
        <v>1925</v>
      </c>
      <c r="C170" s="2451"/>
      <c r="D170" s="2451"/>
      <c r="E170" s="2451"/>
      <c r="F170" s="2451"/>
      <c r="G170" s="2451"/>
      <c r="H170" s="2451"/>
      <c r="I170" s="2451"/>
      <c r="J170" s="2451"/>
      <c r="K170" s="2451"/>
      <c r="L170" s="2451"/>
      <c r="M170" s="2451"/>
      <c r="N170" s="2451"/>
      <c r="O170" s="2451"/>
      <c r="P170" s="2451"/>
      <c r="Q170" s="2451"/>
      <c r="R170" s="2451"/>
      <c r="S170" s="2451"/>
      <c r="T170" s="2451"/>
      <c r="U170" s="2451"/>
      <c r="V170" s="2451"/>
      <c r="W170" s="2451"/>
      <c r="X170" s="2451"/>
      <c r="Y170" s="2451"/>
      <c r="Z170" s="2451"/>
      <c r="AA170" s="2451"/>
      <c r="AB170" s="2451"/>
      <c r="AC170" s="2451"/>
      <c r="AD170" s="2451"/>
      <c r="AE170" s="2451"/>
      <c r="AF170" s="2451"/>
      <c r="AG170" s="2451"/>
      <c r="AH170" s="2451"/>
      <c r="AI170" s="2451"/>
      <c r="AJ170" s="2451"/>
      <c r="AK170" s="2451"/>
      <c r="AL170" s="2451"/>
      <c r="AM170" s="2451"/>
      <c r="AN170" s="2451"/>
      <c r="AO170" s="2451"/>
      <c r="AP170" s="2451"/>
      <c r="AQ170" s="2451"/>
      <c r="AR170" s="2451"/>
      <c r="AS170" s="2451"/>
      <c r="AT170" s="2451"/>
      <c r="AU170" s="2451"/>
      <c r="AV170" s="2451"/>
      <c r="AW170" s="2451"/>
      <c r="AX170" s="2451"/>
      <c r="AY170" s="2451"/>
      <c r="AZ170" s="2451"/>
      <c r="BA170" s="2451"/>
      <c r="BB170" s="2451"/>
      <c r="BC170" s="2451"/>
      <c r="BD170" s="2452"/>
      <c r="BE170" s="1213"/>
    </row>
    <row r="171" spans="1:57" ht="15.75" customHeight="1">
      <c r="A171" s="1207"/>
      <c r="B171" s="2450" t="s">
        <v>1926</v>
      </c>
      <c r="C171" s="2451"/>
      <c r="D171" s="2451"/>
      <c r="E171" s="2451"/>
      <c r="F171" s="2451"/>
      <c r="G171" s="2451"/>
      <c r="H171" s="2451"/>
      <c r="I171" s="2451"/>
      <c r="J171" s="2451"/>
      <c r="K171" s="2451"/>
      <c r="L171" s="2451"/>
      <c r="M171" s="2451"/>
      <c r="N171" s="2451"/>
      <c r="O171" s="2451"/>
      <c r="P171" s="2451"/>
      <c r="Q171" s="2451"/>
      <c r="R171" s="2451"/>
      <c r="S171" s="2451"/>
      <c r="T171" s="2451"/>
      <c r="U171" s="2451"/>
      <c r="V171" s="2451"/>
      <c r="W171" s="2451"/>
      <c r="X171" s="2451"/>
      <c r="Y171" s="2451"/>
      <c r="Z171" s="2451"/>
      <c r="AA171" s="2451"/>
      <c r="AB171" s="2451"/>
      <c r="AC171" s="2451"/>
      <c r="AD171" s="2451"/>
      <c r="AE171" s="2451"/>
      <c r="AF171" s="2451"/>
      <c r="AG171" s="2451"/>
      <c r="AH171" s="2451"/>
      <c r="AI171" s="2451"/>
      <c r="AJ171" s="2451"/>
      <c r="AK171" s="2451"/>
      <c r="AL171" s="2451"/>
      <c r="AM171" s="2451"/>
      <c r="AN171" s="2451"/>
      <c r="AO171" s="2451"/>
      <c r="AP171" s="2451"/>
      <c r="AQ171" s="2451"/>
      <c r="AR171" s="2451"/>
      <c r="AS171" s="2451"/>
      <c r="AT171" s="2451"/>
      <c r="AU171" s="2451"/>
      <c r="AV171" s="2451"/>
      <c r="AW171" s="2451"/>
      <c r="AX171" s="2451"/>
      <c r="AY171" s="2451"/>
      <c r="AZ171" s="2451"/>
      <c r="BA171" s="2451"/>
      <c r="BB171" s="2451"/>
      <c r="BC171" s="2451"/>
      <c r="BD171" s="2452"/>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53" t="s">
        <v>1927</v>
      </c>
      <c r="C173" s="2454"/>
      <c r="D173" s="2454"/>
      <c r="E173" s="2454"/>
      <c r="F173" s="2454"/>
      <c r="G173" s="2454"/>
      <c r="H173" s="2454"/>
      <c r="I173" s="2454"/>
      <c r="J173" s="2454"/>
      <c r="K173" s="2454"/>
      <c r="L173" s="2454"/>
      <c r="M173" s="2454"/>
      <c r="N173" s="2454"/>
      <c r="O173" s="2454"/>
      <c r="P173" s="2454"/>
      <c r="Q173" s="2454"/>
      <c r="R173" s="2454"/>
      <c r="S173" s="2454"/>
      <c r="T173" s="2454"/>
      <c r="U173" s="2454"/>
      <c r="V173" s="2454"/>
      <c r="W173" s="2454"/>
      <c r="X173" s="2454"/>
      <c r="Y173" s="2454"/>
      <c r="Z173" s="2454"/>
      <c r="AA173" s="2454"/>
      <c r="AB173" s="2454"/>
      <c r="AC173" s="2454"/>
      <c r="AD173" s="2454"/>
      <c r="AE173" s="2454"/>
      <c r="AF173" s="2454"/>
      <c r="AG173" s="2454"/>
      <c r="AH173" s="2454"/>
      <c r="AI173" s="2454"/>
      <c r="AJ173" s="2454"/>
      <c r="AK173" s="2454"/>
      <c r="AL173" s="2454"/>
      <c r="AM173" s="2454"/>
      <c r="AN173" s="2454"/>
      <c r="AO173" s="2454"/>
      <c r="AP173" s="2454"/>
      <c r="AQ173" s="2454"/>
      <c r="AR173" s="2454"/>
      <c r="AS173" s="2454"/>
      <c r="AT173" s="2454"/>
      <c r="AU173" s="2454"/>
      <c r="AV173" s="2454"/>
      <c r="AW173" s="2454"/>
      <c r="AX173" s="2454"/>
      <c r="AY173" s="2454"/>
      <c r="AZ173" s="2454"/>
      <c r="BA173" s="2454"/>
      <c r="BB173" s="2454"/>
      <c r="BC173" s="2454"/>
      <c r="BD173" s="2455"/>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1928</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56" t="s">
        <v>1929</v>
      </c>
      <c r="I177" s="2456"/>
      <c r="J177" s="2456"/>
      <c r="K177" s="2456"/>
      <c r="L177" s="2456"/>
      <c r="M177" s="2456"/>
      <c r="N177" s="2456"/>
      <c r="O177" s="2456"/>
      <c r="P177" s="2456"/>
      <c r="Q177" s="2456"/>
      <c r="R177" s="2456"/>
      <c r="S177" s="2456"/>
      <c r="T177" s="2456"/>
      <c r="U177" s="2456"/>
      <c r="V177" s="2456"/>
      <c r="W177" s="2456"/>
      <c r="X177" s="2456"/>
      <c r="Y177" s="2456"/>
      <c r="Z177" s="2456"/>
      <c r="AA177" s="2456"/>
      <c r="AB177" s="2456"/>
      <c r="AC177" s="2456"/>
      <c r="AD177" s="2456"/>
      <c r="AE177" s="2456"/>
      <c r="AF177" s="2456"/>
      <c r="AG177" s="2456"/>
      <c r="AH177" s="2456"/>
      <c r="AI177" s="2456"/>
      <c r="AJ177" s="2456"/>
      <c r="AK177" s="2456"/>
      <c r="AL177" s="2456"/>
      <c r="AM177" s="2456"/>
      <c r="AN177" s="2456"/>
      <c r="AO177" s="2456"/>
      <c r="AP177" s="2456"/>
      <c r="AQ177" s="2456"/>
      <c r="AR177" s="2456"/>
      <c r="AS177" s="2456"/>
      <c r="AT177" s="2456"/>
      <c r="AU177" s="2456"/>
      <c r="AV177" s="2456"/>
      <c r="AW177" s="2456"/>
      <c r="AX177" s="2456"/>
      <c r="AY177" s="2456"/>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75" t="s">
        <v>2606</v>
      </c>
      <c r="I179" s="2475"/>
      <c r="J179" s="2475"/>
      <c r="K179" s="2475"/>
      <c r="L179" s="2475"/>
      <c r="M179" s="2475"/>
      <c r="N179" s="2475"/>
      <c r="O179" s="2475"/>
      <c r="P179" s="2475"/>
      <c r="Q179" s="2475"/>
      <c r="R179" s="2475"/>
      <c r="S179" s="2475"/>
      <c r="T179" s="2475"/>
      <c r="U179" s="2475"/>
      <c r="V179" s="2475"/>
      <c r="W179" s="2475"/>
      <c r="X179" s="2475"/>
      <c r="Y179" s="2475"/>
      <c r="Z179" s="2475"/>
      <c r="AA179" s="2475"/>
      <c r="AB179" s="2475"/>
      <c r="AC179" s="2475"/>
      <c r="AD179" s="2475"/>
      <c r="AE179" s="2475"/>
      <c r="AF179" s="2475"/>
      <c r="AG179" s="2475"/>
      <c r="AH179" s="2475"/>
      <c r="AI179" s="2475"/>
      <c r="AJ179" s="2475"/>
      <c r="AK179" s="2475"/>
      <c r="AL179" s="2475"/>
      <c r="AM179" s="2475"/>
      <c r="AN179" s="2475"/>
      <c r="AO179" s="2475"/>
      <c r="AP179" s="2475"/>
      <c r="AQ179" s="2475"/>
      <c r="AR179" s="2475"/>
      <c r="AS179" s="2475"/>
      <c r="AT179" s="2475"/>
      <c r="AU179" s="2475"/>
      <c r="AV179" s="2475"/>
      <c r="AW179" s="2475"/>
      <c r="AX179" s="2475"/>
      <c r="AY179" s="2475"/>
      <c r="AZ179" s="2475"/>
      <c r="BA179" s="1207"/>
      <c r="BB179" s="1207"/>
      <c r="BC179" s="1207"/>
      <c r="BD179" s="1213"/>
      <c r="BE179" s="1213"/>
    </row>
    <row r="180" spans="1:57" ht="15.75" customHeight="1">
      <c r="A180" s="1207"/>
      <c r="B180" s="1206"/>
      <c r="C180" s="1207"/>
      <c r="D180" s="1207"/>
      <c r="E180" s="1207"/>
      <c r="F180" s="1207"/>
      <c r="G180" s="1207"/>
      <c r="H180" s="2475"/>
      <c r="I180" s="2475"/>
      <c r="J180" s="2475"/>
      <c r="K180" s="2475"/>
      <c r="L180" s="2475"/>
      <c r="M180" s="2475"/>
      <c r="N180" s="2475"/>
      <c r="O180" s="2475"/>
      <c r="P180" s="2475"/>
      <c r="Q180" s="2475"/>
      <c r="R180" s="2475"/>
      <c r="S180" s="2475"/>
      <c r="T180" s="2475"/>
      <c r="U180" s="2475"/>
      <c r="V180" s="2475"/>
      <c r="W180" s="2475"/>
      <c r="X180" s="2475"/>
      <c r="Y180" s="2475"/>
      <c r="Z180" s="2475"/>
      <c r="AA180" s="2475"/>
      <c r="AB180" s="2475"/>
      <c r="AC180" s="2475"/>
      <c r="AD180" s="2475"/>
      <c r="AE180" s="2475"/>
      <c r="AF180" s="2475"/>
      <c r="AG180" s="2475"/>
      <c r="AH180" s="2475"/>
      <c r="AI180" s="2475"/>
      <c r="AJ180" s="2475"/>
      <c r="AK180" s="2475"/>
      <c r="AL180" s="2475"/>
      <c r="AM180" s="2475"/>
      <c r="AN180" s="2475"/>
      <c r="AO180" s="2475"/>
      <c r="AP180" s="2475"/>
      <c r="AQ180" s="2475"/>
      <c r="AR180" s="2475"/>
      <c r="AS180" s="2475"/>
      <c r="AT180" s="2475"/>
      <c r="AU180" s="2475"/>
      <c r="AV180" s="2475"/>
      <c r="AW180" s="2475"/>
      <c r="AX180" s="2475"/>
      <c r="AY180" s="2475"/>
      <c r="AZ180" s="2475"/>
      <c r="BA180" s="1207"/>
      <c r="BB180" s="1207"/>
      <c r="BC180" s="1207"/>
      <c r="BD180" s="1213"/>
      <c r="BE180" s="1213"/>
    </row>
    <row r="181" spans="1:57" ht="15.75" customHeight="1">
      <c r="A181" s="1207"/>
      <c r="B181" s="1206"/>
      <c r="C181" s="1207"/>
      <c r="D181" s="1207"/>
      <c r="E181" s="1207"/>
      <c r="F181" s="1207"/>
      <c r="G181" s="1207"/>
      <c r="H181" s="2475"/>
      <c r="I181" s="2475"/>
      <c r="J181" s="2475"/>
      <c r="K181" s="2475"/>
      <c r="L181" s="2475"/>
      <c r="M181" s="2475"/>
      <c r="N181" s="2475"/>
      <c r="O181" s="2475"/>
      <c r="P181" s="2475"/>
      <c r="Q181" s="2475"/>
      <c r="R181" s="2475"/>
      <c r="S181" s="2475"/>
      <c r="T181" s="2475"/>
      <c r="U181" s="2475"/>
      <c r="V181" s="2475"/>
      <c r="W181" s="2475"/>
      <c r="X181" s="2475"/>
      <c r="Y181" s="2475"/>
      <c r="Z181" s="2475"/>
      <c r="AA181" s="2475"/>
      <c r="AB181" s="2475"/>
      <c r="AC181" s="2475"/>
      <c r="AD181" s="2475"/>
      <c r="AE181" s="2475"/>
      <c r="AF181" s="2475"/>
      <c r="AG181" s="2475"/>
      <c r="AH181" s="2475"/>
      <c r="AI181" s="2475"/>
      <c r="AJ181" s="2475"/>
      <c r="AK181" s="2475"/>
      <c r="AL181" s="2475"/>
      <c r="AM181" s="2475"/>
      <c r="AN181" s="2475"/>
      <c r="AO181" s="2475"/>
      <c r="AP181" s="2475"/>
      <c r="AQ181" s="2475"/>
      <c r="AR181" s="2475"/>
      <c r="AS181" s="2475"/>
      <c r="AT181" s="2475"/>
      <c r="AU181" s="2475"/>
      <c r="AV181" s="2475"/>
      <c r="AW181" s="2475"/>
      <c r="AX181" s="2475"/>
      <c r="AY181" s="2475"/>
      <c r="AZ181" s="2475"/>
      <c r="BA181" s="1207"/>
      <c r="BB181" s="1207"/>
      <c r="BC181" s="1207"/>
      <c r="BD181" s="1213"/>
      <c r="BE181" s="1213"/>
    </row>
    <row r="182" spans="1:57" ht="15.75" customHeight="1">
      <c r="A182" s="1207"/>
      <c r="B182" s="1206"/>
      <c r="C182" s="1207"/>
      <c r="D182" s="1207"/>
      <c r="E182" s="1207"/>
      <c r="F182" s="1207"/>
      <c r="G182" s="1207"/>
      <c r="H182" s="2475"/>
      <c r="I182" s="2475"/>
      <c r="J182" s="2475"/>
      <c r="K182" s="2475"/>
      <c r="L182" s="2475"/>
      <c r="M182" s="2475"/>
      <c r="N182" s="2475"/>
      <c r="O182" s="2475"/>
      <c r="P182" s="2475"/>
      <c r="Q182" s="2475"/>
      <c r="R182" s="2475"/>
      <c r="S182" s="2475"/>
      <c r="T182" s="2475"/>
      <c r="U182" s="2475"/>
      <c r="V182" s="2475"/>
      <c r="W182" s="2475"/>
      <c r="X182" s="2475"/>
      <c r="Y182" s="2475"/>
      <c r="Z182" s="2475"/>
      <c r="AA182" s="2475"/>
      <c r="AB182" s="2475"/>
      <c r="AC182" s="2475"/>
      <c r="AD182" s="2475"/>
      <c r="AE182" s="2475"/>
      <c r="AF182" s="2475"/>
      <c r="AG182" s="2475"/>
      <c r="AH182" s="2475"/>
      <c r="AI182" s="2475"/>
      <c r="AJ182" s="2475"/>
      <c r="AK182" s="2475"/>
      <c r="AL182" s="2475"/>
      <c r="AM182" s="2475"/>
      <c r="AN182" s="2475"/>
      <c r="AO182" s="2475"/>
      <c r="AP182" s="2475"/>
      <c r="AQ182" s="2475"/>
      <c r="AR182" s="2475"/>
      <c r="AS182" s="2475"/>
      <c r="AT182" s="2475"/>
      <c r="AU182" s="2475"/>
      <c r="AV182" s="2475"/>
      <c r="AW182" s="2475"/>
      <c r="AX182" s="2475"/>
      <c r="AY182" s="2475"/>
      <c r="AZ182" s="2475"/>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76" t="s">
        <v>1930</v>
      </c>
      <c r="I184" s="2476"/>
      <c r="J184" s="2476"/>
      <c r="K184" s="2476"/>
      <c r="L184" s="2476"/>
      <c r="M184" s="2476"/>
      <c r="N184" s="2476"/>
      <c r="O184" s="2476"/>
      <c r="P184" s="2476"/>
      <c r="Q184" s="2476"/>
      <c r="R184" s="2476"/>
      <c r="S184" s="2476"/>
      <c r="T184" s="2476"/>
      <c r="U184" s="2476"/>
      <c r="V184" s="2476"/>
      <c r="W184" s="2476"/>
      <c r="X184" s="2476"/>
      <c r="Y184" s="2476"/>
      <c r="Z184" s="2476"/>
      <c r="AA184" s="2476"/>
      <c r="AB184" s="2476"/>
      <c r="AC184" s="2476"/>
      <c r="AD184" s="2476"/>
      <c r="AE184" s="2476"/>
      <c r="AF184" s="2476"/>
      <c r="AG184" s="2476"/>
      <c r="AH184" s="2476"/>
      <c r="AI184" s="2476"/>
      <c r="AJ184" s="2476"/>
      <c r="AK184" s="2476"/>
      <c r="AL184" s="2476"/>
      <c r="AM184" s="2476"/>
      <c r="AN184" s="2476"/>
      <c r="AO184" s="2476"/>
      <c r="AP184" s="2476"/>
      <c r="AQ184" s="2476"/>
      <c r="AR184" s="2476"/>
      <c r="AS184" s="2476"/>
      <c r="AT184" s="2476"/>
      <c r="AU184" s="2476"/>
      <c r="AV184" s="2476"/>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66" t="s">
        <v>1931</v>
      </c>
      <c r="I186" s="2466"/>
      <c r="J186" s="2466"/>
      <c r="K186" s="2466"/>
      <c r="L186" s="1222"/>
      <c r="M186" s="1222"/>
      <c r="N186" s="1222"/>
      <c r="O186" s="1222"/>
      <c r="P186" s="1222"/>
      <c r="Q186" s="1222"/>
      <c r="R186" s="1222"/>
      <c r="S186" s="2477"/>
      <c r="T186" s="2473"/>
      <c r="U186" s="2473"/>
      <c r="V186" s="2473"/>
      <c r="W186" s="2473"/>
      <c r="X186" s="2473"/>
      <c r="Y186" s="2473"/>
      <c r="Z186" s="2473"/>
      <c r="AA186" s="2473"/>
      <c r="AB186" s="2473"/>
      <c r="AC186" s="2473"/>
      <c r="AD186" s="2473"/>
      <c r="AE186" s="2473"/>
      <c r="AF186" s="2473"/>
      <c r="AG186" s="2473"/>
      <c r="AH186" s="2473"/>
      <c r="AI186" s="2473"/>
      <c r="AJ186" s="2474"/>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66" t="s">
        <v>1932</v>
      </c>
      <c r="I188" s="2466"/>
      <c r="J188" s="2466"/>
      <c r="K188" s="1255"/>
      <c r="L188" s="1222"/>
      <c r="M188" s="1222"/>
      <c r="N188" s="1222"/>
      <c r="O188" s="1222"/>
      <c r="P188" s="1222"/>
      <c r="Q188" s="1222"/>
      <c r="R188" s="1222"/>
      <c r="S188" s="2467"/>
      <c r="T188" s="2468"/>
      <c r="U188" s="2468"/>
      <c r="V188" s="2468"/>
      <c r="W188" s="2468"/>
      <c r="X188" s="2468"/>
      <c r="Y188" s="2468"/>
      <c r="Z188" s="2468"/>
      <c r="AA188" s="2468"/>
      <c r="AB188" s="2468"/>
      <c r="AC188" s="2468"/>
      <c r="AD188" s="2468"/>
      <c r="AE188" s="2468"/>
      <c r="AF188" s="2468"/>
      <c r="AG188" s="2468"/>
      <c r="AH188" s="2468"/>
      <c r="AI188" s="2468"/>
      <c r="AJ188" s="2469"/>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66" t="s">
        <v>444</v>
      </c>
      <c r="I190" s="2466"/>
      <c r="J190" s="1255"/>
      <c r="K190" s="1255"/>
      <c r="L190" s="1222"/>
      <c r="M190" s="1222"/>
      <c r="N190" s="1222"/>
      <c r="O190" s="1222"/>
      <c r="P190" s="1222"/>
      <c r="Q190" s="1222"/>
      <c r="R190" s="1222"/>
      <c r="S190" s="2467"/>
      <c r="T190" s="2468"/>
      <c r="U190" s="2468"/>
      <c r="V190" s="2468"/>
      <c r="W190" s="2468"/>
      <c r="X190" s="2468"/>
      <c r="Y190" s="2468"/>
      <c r="Z190" s="2468"/>
      <c r="AA190" s="2468"/>
      <c r="AB190" s="2468"/>
      <c r="AC190" s="2468"/>
      <c r="AD190" s="2468"/>
      <c r="AE190" s="2468"/>
      <c r="AF190" s="2468"/>
      <c r="AG190" s="2468"/>
      <c r="AH190" s="2468"/>
      <c r="AI190" s="2468"/>
      <c r="AJ190" s="2469"/>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70" t="s">
        <v>1933</v>
      </c>
      <c r="I192" s="2470"/>
      <c r="J192" s="2470"/>
      <c r="K192" s="2470"/>
      <c r="L192" s="2470"/>
      <c r="M192" s="2470"/>
      <c r="N192" s="2470"/>
      <c r="O192" s="2470"/>
      <c r="P192" s="1222"/>
      <c r="Q192" s="1222"/>
      <c r="R192" s="1222"/>
      <c r="S192" s="2467"/>
      <c r="T192" s="2468"/>
      <c r="U192" s="2468"/>
      <c r="V192" s="2468"/>
      <c r="W192" s="2468"/>
      <c r="X192" s="2468"/>
      <c r="Y192" s="2468"/>
      <c r="Z192" s="2468"/>
      <c r="AA192" s="2468"/>
      <c r="AB192" s="2468"/>
      <c r="AC192" s="2468"/>
      <c r="AD192" s="2468"/>
      <c r="AE192" s="2468"/>
      <c r="AF192" s="2468"/>
      <c r="AG192" s="2468"/>
      <c r="AH192" s="2468"/>
      <c r="AI192" s="2468"/>
      <c r="AJ192" s="2469"/>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71" t="s">
        <v>1934</v>
      </c>
      <c r="I194" s="2471"/>
      <c r="J194" s="1222"/>
      <c r="K194" s="1222"/>
      <c r="L194" s="1222"/>
      <c r="M194" s="1222"/>
      <c r="N194" s="1222"/>
      <c r="O194" s="1222"/>
      <c r="P194" s="1222"/>
      <c r="Q194" s="1222"/>
      <c r="R194" s="1222"/>
      <c r="S194" s="2472"/>
      <c r="T194" s="2473"/>
      <c r="U194" s="2473"/>
      <c r="V194" s="2473"/>
      <c r="W194" s="2473"/>
      <c r="X194" s="2473"/>
      <c r="Y194" s="2473"/>
      <c r="Z194" s="2473"/>
      <c r="AA194" s="2473"/>
      <c r="AB194" s="2473"/>
      <c r="AC194" s="2473"/>
      <c r="AD194" s="2473"/>
      <c r="AE194" s="2473"/>
      <c r="AF194" s="2473"/>
      <c r="AG194" s="2473"/>
      <c r="AH194" s="2473"/>
      <c r="AI194" s="2473"/>
      <c r="AJ194" s="2474"/>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21" zoomScaleNormal="100" zoomScaleSheetLayoutView="100" workbookViewId="0">
      <selection activeCell="AM34" sqref="AM34"/>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509" t="s">
        <v>1444</v>
      </c>
      <c r="B1" s="2509"/>
      <c r="C1" s="2509"/>
      <c r="D1" s="2509"/>
      <c r="E1" s="2509"/>
      <c r="F1" s="2509"/>
      <c r="G1" s="2509"/>
      <c r="H1" s="2509"/>
      <c r="I1" s="2509"/>
      <c r="J1" s="2509"/>
      <c r="K1" s="2509"/>
      <c r="L1" s="2509"/>
      <c r="M1" s="2509"/>
      <c r="N1" s="2509"/>
      <c r="O1" s="2509"/>
      <c r="P1" s="2509"/>
      <c r="Q1" s="2509"/>
      <c r="R1" s="2509"/>
      <c r="S1" s="2509"/>
      <c r="T1" s="2509"/>
      <c r="U1" s="2509"/>
      <c r="V1" s="2509"/>
      <c r="W1" s="2509"/>
      <c r="X1" s="2509"/>
      <c r="Y1" s="2509"/>
      <c r="Z1" s="2509"/>
      <c r="AA1" s="2509"/>
      <c r="AB1" s="2509"/>
      <c r="AC1" s="2509"/>
      <c r="AD1" s="2509"/>
      <c r="AE1" s="2509"/>
      <c r="AF1" s="2509"/>
      <c r="AG1" s="2509"/>
      <c r="AH1" s="2509"/>
      <c r="AI1" s="2509"/>
      <c r="AJ1" s="2509"/>
      <c r="AK1" s="2509"/>
      <c r="AL1" s="2509"/>
      <c r="AM1" s="2509"/>
      <c r="AN1" s="2509"/>
    </row>
    <row r="2" spans="1:40" ht="12.95" customHeight="1" thickBot="1">
      <c r="A2" s="2510"/>
      <c r="B2" s="2510"/>
      <c r="C2" s="2510"/>
      <c r="D2" s="2510"/>
      <c r="E2" s="2510"/>
      <c r="F2" s="2510"/>
      <c r="G2" s="2510"/>
      <c r="H2" s="2510"/>
      <c r="I2" s="2510"/>
      <c r="J2" s="2510"/>
      <c r="K2" s="2510"/>
      <c r="L2" s="2510"/>
      <c r="M2" s="2510"/>
      <c r="N2" s="2510"/>
      <c r="O2" s="2510"/>
      <c r="P2" s="2510"/>
      <c r="Q2" s="2510"/>
      <c r="R2" s="2510"/>
      <c r="S2" s="2510"/>
      <c r="T2" s="2510"/>
      <c r="U2" s="2510"/>
      <c r="V2" s="2510"/>
      <c r="W2" s="2510"/>
      <c r="X2" s="2510"/>
      <c r="Y2" s="2510"/>
      <c r="Z2" s="2510"/>
      <c r="AA2" s="2510"/>
      <c r="AB2" s="2510"/>
      <c r="AC2" s="2510"/>
      <c r="AD2" s="2510"/>
      <c r="AE2" s="2510"/>
      <c r="AF2" s="2510"/>
      <c r="AG2" s="2510"/>
      <c r="AH2" s="2510"/>
      <c r="AI2" s="2510"/>
      <c r="AJ2" s="2510"/>
      <c r="AK2" s="2510"/>
      <c r="AL2" s="2510"/>
      <c r="AM2" s="2510"/>
      <c r="AN2" s="2510"/>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1385</v>
      </c>
    </row>
    <row r="7" spans="1:40" ht="12.95" customHeight="1">
      <c r="B7" s="437"/>
      <c r="C7" s="438"/>
      <c r="D7" s="438"/>
      <c r="E7" s="438"/>
      <c r="F7" s="438"/>
      <c r="G7" s="438"/>
      <c r="H7" s="438"/>
      <c r="I7" s="438"/>
      <c r="J7" s="438"/>
      <c r="K7" s="438"/>
      <c r="L7" s="438"/>
      <c r="M7" s="438"/>
      <c r="N7" s="438"/>
      <c r="O7" s="438"/>
      <c r="P7" s="438"/>
      <c r="Q7" s="438"/>
      <c r="R7" s="438"/>
      <c r="S7" s="438"/>
      <c r="T7" s="2511" t="str">
        <f xml:space="preserve"> IF(T25=100%,'Sources and Basis Breakdown'!G2,'Sources and Basis Breakdown'!F2)</f>
        <v>30% PVC for New Const/
Rehabilitation
DDA/QCT
Building(s)</v>
      </c>
      <c r="U7" s="2511"/>
      <c r="V7" s="2511"/>
      <c r="W7" s="2511"/>
      <c r="X7" s="2511"/>
      <c r="Y7" s="2511" t="str">
        <f>IF(T25=100%," ",'Sources and Basis Breakdown'!G2)</f>
        <v>30% PVC for New Const/
Rehabilitation
NON-DDA/
NON-QCT Building(s)</v>
      </c>
      <c r="Z7" s="2511"/>
      <c r="AA7" s="2511"/>
      <c r="AB7" s="2511"/>
      <c r="AC7" s="2511"/>
      <c r="AD7" s="2511" t="str">
        <f xml:space="preserve"> IF(T25=100%, 'Sources and Basis Breakdown'!J2,'Sources and Basis Breakdown'!I2)</f>
        <v>30% PVC for Acquisition
DDA/QCT Building(s)</v>
      </c>
      <c r="AE7" s="2511"/>
      <c r="AF7" s="2511"/>
      <c r="AG7" s="2511"/>
      <c r="AH7" s="2511"/>
      <c r="AI7" s="2511" t="str">
        <f>IF(T25=100%," ",'Sources and Basis Breakdown'!J2)</f>
        <v>30% PVC for Acquisition
NON-DDA/
NON-QCT Building(s)</v>
      </c>
      <c r="AJ7" s="2511"/>
      <c r="AK7" s="2511"/>
      <c r="AL7" s="2511"/>
      <c r="AM7" s="2511"/>
    </row>
    <row r="8" spans="1:40" ht="12.95" customHeight="1">
      <c r="B8" s="439"/>
      <c r="T8" s="2511"/>
      <c r="U8" s="2511"/>
      <c r="V8" s="2511"/>
      <c r="W8" s="2511"/>
      <c r="X8" s="2511"/>
      <c r="Y8" s="2511"/>
      <c r="Z8" s="2511"/>
      <c r="AA8" s="2511"/>
      <c r="AB8" s="2511"/>
      <c r="AC8" s="2511"/>
      <c r="AD8" s="2511"/>
      <c r="AE8" s="2511"/>
      <c r="AF8" s="2511"/>
      <c r="AG8" s="2511"/>
      <c r="AH8" s="2511"/>
      <c r="AI8" s="2511"/>
      <c r="AJ8" s="2511"/>
      <c r="AK8" s="2511"/>
      <c r="AL8" s="2511"/>
      <c r="AM8" s="2511"/>
    </row>
    <row r="9" spans="1:40" ht="12.95" customHeight="1">
      <c r="B9" s="439"/>
      <c r="T9" s="2511"/>
      <c r="U9" s="2511"/>
      <c r="V9" s="2511"/>
      <c r="W9" s="2511"/>
      <c r="X9" s="2511"/>
      <c r="Y9" s="2511"/>
      <c r="Z9" s="2511"/>
      <c r="AA9" s="2511"/>
      <c r="AB9" s="2511"/>
      <c r="AC9" s="2511"/>
      <c r="AD9" s="2511"/>
      <c r="AE9" s="2511"/>
      <c r="AF9" s="2511"/>
      <c r="AG9" s="2511"/>
      <c r="AH9" s="2511"/>
      <c r="AI9" s="2511"/>
      <c r="AJ9" s="2511"/>
      <c r="AK9" s="2511"/>
      <c r="AL9" s="2511"/>
      <c r="AM9" s="2511"/>
    </row>
    <row r="10" spans="1:40" ht="12.95" customHeight="1">
      <c r="B10" s="440"/>
      <c r="C10" s="441"/>
      <c r="D10" s="441"/>
      <c r="E10" s="441"/>
      <c r="F10" s="441"/>
      <c r="G10" s="441"/>
      <c r="H10" s="441"/>
      <c r="I10" s="441"/>
      <c r="J10" s="441"/>
      <c r="K10" s="441"/>
      <c r="L10" s="441"/>
      <c r="M10" s="441"/>
      <c r="N10" s="441"/>
      <c r="O10" s="441"/>
      <c r="P10" s="441"/>
      <c r="Q10" s="441"/>
      <c r="R10" s="441"/>
      <c r="S10" s="441"/>
      <c r="T10" s="2511"/>
      <c r="U10" s="2511"/>
      <c r="V10" s="2511"/>
      <c r="W10" s="2511"/>
      <c r="X10" s="2511"/>
      <c r="Y10" s="2511"/>
      <c r="Z10" s="2511"/>
      <c r="AA10" s="2511"/>
      <c r="AB10" s="2511"/>
      <c r="AC10" s="2511"/>
      <c r="AD10" s="2511"/>
      <c r="AE10" s="2511"/>
      <c r="AF10" s="2511"/>
      <c r="AG10" s="2511"/>
      <c r="AH10" s="2511"/>
      <c r="AI10" s="2511"/>
      <c r="AJ10" s="2511"/>
      <c r="AK10" s="2511"/>
      <c r="AL10" s="2511"/>
      <c r="AM10" s="2511"/>
    </row>
    <row r="11" spans="1:40" ht="12.95" customHeight="1">
      <c r="B11" s="2490" t="s">
        <v>377</v>
      </c>
      <c r="C11" s="2491"/>
      <c r="D11" s="2491"/>
      <c r="E11" s="2491"/>
      <c r="F11" s="2491"/>
      <c r="G11" s="2491"/>
      <c r="H11" s="2491"/>
      <c r="I11" s="2491"/>
      <c r="J11" s="2491"/>
      <c r="K11" s="2491"/>
      <c r="L11" s="2491"/>
      <c r="M11" s="2491"/>
      <c r="N11" s="2491"/>
      <c r="O11" s="2491"/>
      <c r="P11" s="2491"/>
      <c r="Q11" s="2491"/>
      <c r="R11" s="2491"/>
      <c r="S11" s="2492"/>
      <c r="T11" s="2512">
        <f>IF('Sources and Basis Breakdown'!F107=0,'Sources and Basis Breakdown'!E107,'Sources and Basis Breakdown'!F107)</f>
        <v>12580011</v>
      </c>
      <c r="U11" s="2513"/>
      <c r="V11" s="2513"/>
      <c r="W11" s="2513"/>
      <c r="X11" s="2513"/>
      <c r="Y11" s="2512">
        <f>IF(Y7=" ",0,IF('Sources and Basis Breakdown'!G107+'Sources and Basis Breakdown'!F107='Sources and Basis Breakdown'!E107,'Sources and Basis Breakdown'!G107,0))</f>
        <v>0</v>
      </c>
      <c r="Z11" s="2513"/>
      <c r="AA11" s="2513"/>
      <c r="AB11" s="2513"/>
      <c r="AC11" s="2513"/>
      <c r="AD11" s="2513">
        <f>IF('Sources and Basis Breakdown'!I107=0,'Sources and Basis Breakdown'!H107,'Sources and Basis Breakdown'!I107)</f>
        <v>24669327.899999999</v>
      </c>
      <c r="AE11" s="2513"/>
      <c r="AF11" s="2513"/>
      <c r="AG11" s="2513"/>
      <c r="AH11" s="2513"/>
      <c r="AI11" s="2513">
        <f>IF(Y7=" ",0,IF('Sources and Basis Breakdown'!I107+'Sources and Basis Breakdown'!J107='Sources and Basis Breakdown'!H107,'Sources and Basis Breakdown'!J107,0))</f>
        <v>0</v>
      </c>
      <c r="AJ11" s="2513"/>
      <c r="AK11" s="2513"/>
      <c r="AL11" s="2513"/>
      <c r="AM11" s="2513"/>
    </row>
    <row r="12" spans="1:40" ht="12.95" customHeight="1">
      <c r="B12" s="2505" t="s">
        <v>506</v>
      </c>
      <c r="C12" s="1281"/>
      <c r="D12" s="1281"/>
      <c r="E12" s="1281"/>
      <c r="F12" s="1281"/>
      <c r="G12" s="1281"/>
      <c r="H12" s="1281"/>
      <c r="I12" s="1281"/>
      <c r="J12" s="1281"/>
      <c r="K12" s="1281"/>
      <c r="L12" s="1281"/>
      <c r="M12" s="1281"/>
      <c r="N12" s="1281"/>
      <c r="O12" s="1281"/>
      <c r="P12" s="1281"/>
      <c r="Q12" s="1281"/>
      <c r="R12" s="1281"/>
      <c r="S12" s="2506"/>
      <c r="T12" s="2478"/>
      <c r="U12" s="2479"/>
      <c r="V12" s="2479"/>
      <c r="W12" s="2479"/>
      <c r="X12" s="2480"/>
      <c r="Y12" s="2478"/>
      <c r="Z12" s="2479"/>
      <c r="AA12" s="2479"/>
      <c r="AB12" s="2479"/>
      <c r="AC12" s="2480"/>
      <c r="AD12" s="2478"/>
      <c r="AE12" s="2479"/>
      <c r="AF12" s="2479"/>
      <c r="AG12" s="2479"/>
      <c r="AH12" s="2480"/>
      <c r="AI12" s="2478"/>
      <c r="AJ12" s="2479"/>
      <c r="AK12" s="2479"/>
      <c r="AL12" s="2479"/>
      <c r="AM12" s="2480"/>
    </row>
    <row r="13" spans="1:40" ht="12.95" customHeight="1">
      <c r="B13" s="468"/>
      <c r="C13" s="2507" t="s">
        <v>507</v>
      </c>
      <c r="D13" s="2507"/>
      <c r="E13" s="2507"/>
      <c r="F13" s="2507"/>
      <c r="G13" s="2507"/>
      <c r="H13" s="2507"/>
      <c r="I13" s="2507"/>
      <c r="J13" s="2507"/>
      <c r="K13" s="2507"/>
      <c r="L13" s="2507"/>
      <c r="M13" s="2507"/>
      <c r="N13" s="2507"/>
      <c r="O13" s="2507"/>
      <c r="P13" s="2507"/>
      <c r="Q13" s="2507"/>
      <c r="R13" s="2507"/>
      <c r="S13" s="2508"/>
      <c r="T13" s="2514"/>
      <c r="U13" s="2515"/>
      <c r="V13" s="2515"/>
      <c r="W13" s="2515"/>
      <c r="X13" s="2515"/>
      <c r="Y13" s="2514"/>
      <c r="Z13" s="2515"/>
      <c r="AA13" s="2515"/>
      <c r="AB13" s="2515"/>
      <c r="AC13" s="2515"/>
      <c r="AD13" s="2515"/>
      <c r="AE13" s="2515"/>
      <c r="AF13" s="2515"/>
      <c r="AG13" s="2515"/>
      <c r="AH13" s="2515"/>
      <c r="AI13" s="2515"/>
      <c r="AJ13" s="2515"/>
      <c r="AK13" s="2515"/>
      <c r="AL13" s="2515"/>
      <c r="AM13" s="2515"/>
    </row>
    <row r="14" spans="1:40" ht="12.95" customHeight="1">
      <c r="B14" s="468"/>
      <c r="C14" s="2507" t="s">
        <v>508</v>
      </c>
      <c r="D14" s="2507"/>
      <c r="E14" s="2507"/>
      <c r="F14" s="2507"/>
      <c r="G14" s="2507"/>
      <c r="H14" s="2507"/>
      <c r="I14" s="2507"/>
      <c r="J14" s="2507"/>
      <c r="K14" s="2507"/>
      <c r="L14" s="2507"/>
      <c r="M14" s="2507"/>
      <c r="N14" s="2507"/>
      <c r="O14" s="2507"/>
      <c r="P14" s="2507"/>
      <c r="Q14" s="2507"/>
      <c r="R14" s="2507"/>
      <c r="S14" s="2508"/>
      <c r="T14" s="2481"/>
      <c r="U14" s="2482"/>
      <c r="V14" s="2482"/>
      <c r="W14" s="2482"/>
      <c r="X14" s="2482"/>
      <c r="Y14" s="2481"/>
      <c r="Z14" s="2482"/>
      <c r="AA14" s="2482"/>
      <c r="AB14" s="2482"/>
      <c r="AC14" s="2482"/>
      <c r="AD14" s="2482"/>
      <c r="AE14" s="2482"/>
      <c r="AF14" s="2482"/>
      <c r="AG14" s="2482"/>
      <c r="AH14" s="2482"/>
      <c r="AI14" s="2482"/>
      <c r="AJ14" s="2482"/>
      <c r="AK14" s="2482"/>
      <c r="AL14" s="2482"/>
      <c r="AM14" s="2482"/>
    </row>
    <row r="15" spans="1:40" ht="12.95" customHeight="1">
      <c r="B15" s="468"/>
      <c r="C15" s="2507" t="s">
        <v>509</v>
      </c>
      <c r="D15" s="2507"/>
      <c r="E15" s="2507"/>
      <c r="F15" s="2507"/>
      <c r="G15" s="2507"/>
      <c r="H15" s="2507"/>
      <c r="I15" s="2507"/>
      <c r="J15" s="2507"/>
      <c r="K15" s="2507"/>
      <c r="L15" s="2507"/>
      <c r="M15" s="2507"/>
      <c r="N15" s="2507"/>
      <c r="O15" s="2507"/>
      <c r="P15" s="2507"/>
      <c r="Q15" s="2507"/>
      <c r="R15" s="2507"/>
      <c r="S15" s="2508"/>
      <c r="T15" s="2481"/>
      <c r="U15" s="2482"/>
      <c r="V15" s="2482"/>
      <c r="W15" s="2482"/>
      <c r="X15" s="2482"/>
      <c r="Y15" s="2481"/>
      <c r="Z15" s="2482"/>
      <c r="AA15" s="2482"/>
      <c r="AB15" s="2482"/>
      <c r="AC15" s="2482"/>
      <c r="AD15" s="2482"/>
      <c r="AE15" s="2482"/>
      <c r="AF15" s="2482"/>
      <c r="AG15" s="2482"/>
      <c r="AH15" s="2482"/>
      <c r="AI15" s="2482"/>
      <c r="AJ15" s="2482"/>
      <c r="AK15" s="2482"/>
      <c r="AL15" s="2482"/>
      <c r="AM15" s="2482"/>
    </row>
    <row r="16" spans="1:40" ht="12.95" customHeight="1">
      <c r="B16" s="468"/>
      <c r="C16" s="2507" t="s">
        <v>830</v>
      </c>
      <c r="D16" s="2507"/>
      <c r="E16" s="2507"/>
      <c r="F16" s="2507"/>
      <c r="G16" s="2507"/>
      <c r="H16" s="2507"/>
      <c r="I16" s="2507"/>
      <c r="J16" s="2507"/>
      <c r="K16" s="2507"/>
      <c r="L16" s="2507"/>
      <c r="M16" s="2507"/>
      <c r="N16" s="2507"/>
      <c r="O16" s="2507"/>
      <c r="P16" s="2507"/>
      <c r="Q16" s="2507"/>
      <c r="R16" s="2507"/>
      <c r="S16" s="2508"/>
      <c r="T16" s="2481"/>
      <c r="U16" s="2482"/>
      <c r="V16" s="2482"/>
      <c r="W16" s="2482"/>
      <c r="X16" s="2482"/>
      <c r="Y16" s="2481"/>
      <c r="Z16" s="2482"/>
      <c r="AA16" s="2482"/>
      <c r="AB16" s="2482"/>
      <c r="AC16" s="2482"/>
      <c r="AD16" s="2482"/>
      <c r="AE16" s="2482"/>
      <c r="AF16" s="2482"/>
      <c r="AG16" s="2482"/>
      <c r="AH16" s="2482"/>
      <c r="AI16" s="2482"/>
      <c r="AJ16" s="2482"/>
      <c r="AK16" s="2482"/>
      <c r="AL16" s="2482"/>
      <c r="AM16" s="2482"/>
    </row>
    <row r="17" spans="1:40" ht="12.95" customHeight="1">
      <c r="B17" s="468"/>
      <c r="C17" s="2507" t="s">
        <v>510</v>
      </c>
      <c r="D17" s="2507"/>
      <c r="E17" s="2507"/>
      <c r="F17" s="2507"/>
      <c r="G17" s="2507"/>
      <c r="H17" s="2507"/>
      <c r="I17" s="2507"/>
      <c r="J17" s="2507"/>
      <c r="K17" s="2507"/>
      <c r="L17" s="2507"/>
      <c r="M17" s="2507"/>
      <c r="N17" s="2507"/>
      <c r="O17" s="2507"/>
      <c r="P17" s="2507"/>
      <c r="Q17" s="2507"/>
      <c r="R17" s="2507"/>
      <c r="S17" s="2508"/>
      <c r="T17" s="2481"/>
      <c r="U17" s="2482"/>
      <c r="V17" s="2482"/>
      <c r="W17" s="2482"/>
      <c r="X17" s="2482"/>
      <c r="Y17" s="2481"/>
      <c r="Z17" s="2482"/>
      <c r="AA17" s="2482"/>
      <c r="AB17" s="2482"/>
      <c r="AC17" s="2482"/>
      <c r="AD17" s="2482"/>
      <c r="AE17" s="2482"/>
      <c r="AF17" s="2482"/>
      <c r="AG17" s="2482"/>
      <c r="AH17" s="2482"/>
      <c r="AI17" s="2482"/>
      <c r="AJ17" s="2482"/>
      <c r="AK17" s="2482"/>
      <c r="AL17" s="2482"/>
      <c r="AM17" s="2482"/>
    </row>
    <row r="18" spans="1:40" ht="12.95" customHeight="1">
      <c r="A18"/>
      <c r="B18" s="1203"/>
      <c r="C18" s="1676" t="s">
        <v>1000</v>
      </c>
      <c r="D18" s="1676"/>
      <c r="E18" s="1676"/>
      <c r="F18" s="1676"/>
      <c r="G18" s="1676"/>
      <c r="H18" s="1676"/>
      <c r="I18" s="1676"/>
      <c r="J18" s="1676"/>
      <c r="K18" s="1676"/>
      <c r="L18" s="1676"/>
      <c r="M18" s="1676"/>
      <c r="N18" s="1676"/>
      <c r="O18" s="1676"/>
      <c r="P18" s="1676"/>
      <c r="Q18" s="1676"/>
      <c r="R18" s="1676"/>
      <c r="S18" s="1677"/>
      <c r="T18" s="2481"/>
      <c r="U18" s="2482"/>
      <c r="V18" s="2482"/>
      <c r="W18" s="2482"/>
      <c r="X18" s="2482"/>
      <c r="Y18" s="2481"/>
      <c r="Z18" s="2482"/>
      <c r="AA18" s="2482"/>
      <c r="AB18" s="2482"/>
      <c r="AC18" s="2482"/>
      <c r="AD18" s="2482"/>
      <c r="AE18" s="2482"/>
      <c r="AF18" s="2482"/>
      <c r="AG18" s="2482"/>
      <c r="AH18" s="2482"/>
      <c r="AI18" s="2482"/>
      <c r="AJ18" s="2482"/>
      <c r="AK18" s="2482"/>
      <c r="AL18" s="2482"/>
      <c r="AM18" s="2482"/>
    </row>
    <row r="19" spans="1:40" ht="12.95" customHeight="1">
      <c r="B19" s="1203"/>
      <c r="C19" s="1676" t="s">
        <v>1000</v>
      </c>
      <c r="D19" s="1676"/>
      <c r="E19" s="1676"/>
      <c r="F19" s="1676"/>
      <c r="G19" s="1676"/>
      <c r="H19" s="1676"/>
      <c r="I19" s="1676"/>
      <c r="J19" s="1676"/>
      <c r="K19" s="1676"/>
      <c r="L19" s="1676"/>
      <c r="M19" s="1676"/>
      <c r="N19" s="1676"/>
      <c r="O19" s="1676"/>
      <c r="P19" s="1676"/>
      <c r="Q19" s="1676"/>
      <c r="R19" s="1676"/>
      <c r="S19" s="1677"/>
      <c r="T19" s="2481"/>
      <c r="U19" s="2482"/>
      <c r="V19" s="2482"/>
      <c r="W19" s="2482"/>
      <c r="X19" s="2482"/>
      <c r="Y19" s="2481"/>
      <c r="Z19" s="2482"/>
      <c r="AA19" s="2482"/>
      <c r="AB19" s="2482"/>
      <c r="AC19" s="2482"/>
      <c r="AD19" s="2482"/>
      <c r="AE19" s="2482"/>
      <c r="AF19" s="2482"/>
      <c r="AG19" s="2482"/>
      <c r="AH19" s="2482"/>
      <c r="AI19" s="2482"/>
      <c r="AJ19" s="2482"/>
      <c r="AK19" s="2482"/>
      <c r="AL19" s="2482"/>
      <c r="AM19" s="2482"/>
    </row>
    <row r="20" spans="1:40" ht="12.95" customHeight="1">
      <c r="B20" s="2490" t="s">
        <v>511</v>
      </c>
      <c r="C20" s="2491"/>
      <c r="D20" s="2491"/>
      <c r="E20" s="2491"/>
      <c r="F20" s="2491"/>
      <c r="G20" s="2491"/>
      <c r="H20" s="2491"/>
      <c r="I20" s="2491"/>
      <c r="J20" s="2491"/>
      <c r="K20" s="2491"/>
      <c r="L20" s="2491"/>
      <c r="M20" s="2491"/>
      <c r="N20" s="2491"/>
      <c r="O20" s="2491"/>
      <c r="P20" s="2491"/>
      <c r="Q20" s="2491"/>
      <c r="R20" s="2491"/>
      <c r="S20" s="2492"/>
      <c r="T20" s="2483">
        <f>SUM(T13:X19)</f>
        <v>0</v>
      </c>
      <c r="U20" s="2484"/>
      <c r="V20" s="2484"/>
      <c r="W20" s="2484"/>
      <c r="X20" s="2484"/>
      <c r="Y20" s="2483">
        <f>SUM(Y13:AC19)</f>
        <v>0</v>
      </c>
      <c r="Z20" s="2484"/>
      <c r="AA20" s="2484"/>
      <c r="AB20" s="2484"/>
      <c r="AC20" s="2484"/>
      <c r="AD20" s="2485">
        <f>SUM(AD13:AH19)</f>
        <v>0</v>
      </c>
      <c r="AE20" s="2486"/>
      <c r="AF20" s="2486"/>
      <c r="AG20" s="2486"/>
      <c r="AH20" s="2483"/>
      <c r="AI20" s="2485">
        <f>SUM(AI13:AM19)</f>
        <v>0</v>
      </c>
      <c r="AJ20" s="2486"/>
      <c r="AK20" s="2486"/>
      <c r="AL20" s="2486"/>
      <c r="AM20" s="2483"/>
    </row>
    <row r="21" spans="1:40" ht="12.95" customHeight="1">
      <c r="B21" s="2490" t="s">
        <v>1421</v>
      </c>
      <c r="C21" s="2491"/>
      <c r="D21" s="2491"/>
      <c r="E21" s="2491"/>
      <c r="F21" s="2491"/>
      <c r="G21" s="2491"/>
      <c r="H21" s="2491"/>
      <c r="I21" s="2491"/>
      <c r="J21" s="2491"/>
      <c r="K21" s="2491"/>
      <c r="L21" s="2491"/>
      <c r="M21" s="2491"/>
      <c r="N21" s="2491"/>
      <c r="O21" s="2491"/>
      <c r="P21" s="2491"/>
      <c r="Q21" s="2491"/>
      <c r="R21" s="2491"/>
      <c r="S21" s="2492"/>
      <c r="T21" s="2481"/>
      <c r="U21" s="2482"/>
      <c r="V21" s="2482"/>
      <c r="W21" s="2482"/>
      <c r="X21" s="2482"/>
      <c r="Y21" s="2481"/>
      <c r="Z21" s="2482"/>
      <c r="AA21" s="2482"/>
      <c r="AB21" s="2482"/>
      <c r="AC21" s="2482"/>
      <c r="AD21" s="2478"/>
      <c r="AE21" s="2479"/>
      <c r="AF21" s="2479"/>
      <c r="AG21" s="2479"/>
      <c r="AH21" s="2480"/>
      <c r="AI21" s="2478"/>
      <c r="AJ21" s="2479"/>
      <c r="AK21" s="2479"/>
      <c r="AL21" s="2479"/>
      <c r="AM21" s="2480"/>
    </row>
    <row r="22" spans="1:40" ht="12.95" customHeight="1">
      <c r="B22" s="2490" t="s">
        <v>512</v>
      </c>
      <c r="C22" s="2491"/>
      <c r="D22" s="2491"/>
      <c r="E22" s="2491"/>
      <c r="F22" s="2491"/>
      <c r="G22" s="2491"/>
      <c r="H22" s="2491"/>
      <c r="I22" s="2491"/>
      <c r="J22" s="2491"/>
      <c r="K22" s="2491"/>
      <c r="L22" s="2491"/>
      <c r="M22" s="2491"/>
      <c r="N22" s="2491"/>
      <c r="O22" s="2491"/>
      <c r="P22" s="2491"/>
      <c r="Q22" s="2491"/>
      <c r="R22" s="2491"/>
      <c r="S22" s="2492"/>
      <c r="T22" s="2516">
        <f>(ABS(T20)+ABS(T21))*-1</f>
        <v>0</v>
      </c>
      <c r="U22" s="2517"/>
      <c r="V22" s="2517"/>
      <c r="W22" s="2517"/>
      <c r="X22" s="2517"/>
      <c r="Y22" s="2516">
        <f>(Y20+Y21)*-1</f>
        <v>0</v>
      </c>
      <c r="Z22" s="2517"/>
      <c r="AA22" s="2517"/>
      <c r="AB22" s="2517"/>
      <c r="AC22" s="2517"/>
      <c r="AD22" s="2518">
        <f>(AD20)*-1</f>
        <v>0</v>
      </c>
      <c r="AE22" s="2519"/>
      <c r="AF22" s="2519"/>
      <c r="AG22" s="2519"/>
      <c r="AH22" s="2516"/>
      <c r="AI22" s="2518">
        <f>(AI20)*-1</f>
        <v>0</v>
      </c>
      <c r="AJ22" s="2519"/>
      <c r="AK22" s="2519"/>
      <c r="AL22" s="2519"/>
      <c r="AM22" s="2516"/>
    </row>
    <row r="23" spans="1:40" ht="12.95" customHeight="1">
      <c r="B23" s="2490" t="s">
        <v>513</v>
      </c>
      <c r="C23" s="2491"/>
      <c r="D23" s="2491"/>
      <c r="E23" s="2491"/>
      <c r="F23" s="2491"/>
      <c r="G23" s="2491"/>
      <c r="H23" s="2491"/>
      <c r="I23" s="2491"/>
      <c r="J23" s="2491"/>
      <c r="K23" s="2491"/>
      <c r="L23" s="2491"/>
      <c r="M23" s="2491"/>
      <c r="N23" s="2491"/>
      <c r="O23" s="2491"/>
      <c r="P23" s="2491"/>
      <c r="Q23" s="2491"/>
      <c r="R23" s="2491"/>
      <c r="S23" s="2492"/>
      <c r="T23" s="2483">
        <f>T11+T22</f>
        <v>12580011</v>
      </c>
      <c r="U23" s="2484"/>
      <c r="V23" s="2484"/>
      <c r="W23" s="2484"/>
      <c r="X23" s="2484"/>
      <c r="Y23" s="2483">
        <f>Y11+Y22</f>
        <v>0</v>
      </c>
      <c r="Z23" s="2484"/>
      <c r="AA23" s="2484"/>
      <c r="AB23" s="2484"/>
      <c r="AC23" s="2484"/>
      <c r="AD23" s="2483">
        <f>AD11+AD22</f>
        <v>24669327.899999999</v>
      </c>
      <c r="AE23" s="2484"/>
      <c r="AF23" s="2484"/>
      <c r="AG23" s="2484"/>
      <c r="AH23" s="2484"/>
      <c r="AI23" s="2483">
        <f>AI11+AI22</f>
        <v>0</v>
      </c>
      <c r="AJ23" s="2484"/>
      <c r="AK23" s="2484"/>
      <c r="AL23" s="2484"/>
      <c r="AM23" s="2484"/>
    </row>
    <row r="24" spans="1:40" ht="12.95" customHeight="1">
      <c r="B24" s="2490" t="s">
        <v>1001</v>
      </c>
      <c r="C24" s="2491"/>
      <c r="D24" s="2491"/>
      <c r="E24" s="2491"/>
      <c r="F24" s="2491"/>
      <c r="G24" s="2491"/>
      <c r="H24" s="2491"/>
      <c r="I24" s="2491"/>
      <c r="J24" s="2491"/>
      <c r="K24" s="2491"/>
      <c r="L24" s="2491"/>
      <c r="M24" s="2491"/>
      <c r="N24" s="2491"/>
      <c r="O24" s="2491"/>
      <c r="P24" s="2491"/>
      <c r="Q24" s="2491"/>
      <c r="R24" s="2491"/>
      <c r="S24" s="2492"/>
      <c r="T24" s="2485">
        <f>Application!AJ1018</f>
        <v>87669964.799999997</v>
      </c>
      <c r="U24" s="2486"/>
      <c r="V24" s="2486"/>
      <c r="W24" s="2486"/>
      <c r="X24" s="2486"/>
      <c r="Y24" s="2486"/>
      <c r="Z24" s="2486"/>
      <c r="AA24" s="2486"/>
      <c r="AB24" s="2486"/>
      <c r="AC24" s="2486"/>
      <c r="AD24" s="2486"/>
      <c r="AE24" s="2486"/>
      <c r="AF24" s="2486"/>
      <c r="AG24" s="2486"/>
      <c r="AH24" s="2486"/>
      <c r="AI24" s="2486"/>
      <c r="AJ24" s="2486"/>
      <c r="AK24" s="2486"/>
      <c r="AL24" s="2486"/>
      <c r="AM24" s="2483"/>
    </row>
    <row r="25" spans="1:40" ht="12.95" customHeight="1">
      <c r="B25" s="2494" t="s">
        <v>1422</v>
      </c>
      <c r="C25" s="2495"/>
      <c r="D25" s="2495"/>
      <c r="E25" s="2495"/>
      <c r="F25" s="2495"/>
      <c r="G25" s="2495"/>
      <c r="H25" s="2495"/>
      <c r="I25" s="2495"/>
      <c r="J25" s="2495"/>
      <c r="K25" s="2495"/>
      <c r="L25" s="2495"/>
      <c r="M25" s="2495"/>
      <c r="N25" s="2495"/>
      <c r="O25" s="2495"/>
      <c r="P25" s="2495"/>
      <c r="Q25" s="2495"/>
      <c r="R25" s="2495"/>
      <c r="S25" s="2496"/>
      <c r="T25" s="2520">
        <f>IF(OR(Application!T195="yes",Application!T194="yes"),1.3,1)</f>
        <v>1.3</v>
      </c>
      <c r="U25" s="2521"/>
      <c r="V25" s="2521"/>
      <c r="W25" s="2521"/>
      <c r="X25" s="2521"/>
      <c r="Y25" s="2520">
        <v>1</v>
      </c>
      <c r="Z25" s="2521"/>
      <c r="AA25" s="2521"/>
      <c r="AB25" s="2521"/>
      <c r="AC25" s="2521"/>
      <c r="AD25" s="2520">
        <v>1</v>
      </c>
      <c r="AE25" s="2521"/>
      <c r="AF25" s="2521"/>
      <c r="AG25" s="2521"/>
      <c r="AH25" s="2522"/>
      <c r="AI25" s="2520">
        <v>1</v>
      </c>
      <c r="AJ25" s="2521"/>
      <c r="AK25" s="2521"/>
      <c r="AL25" s="2521"/>
      <c r="AM25" s="2522"/>
    </row>
    <row r="26" spans="1:40" ht="12.95" customHeight="1">
      <c r="B26" s="2490" t="s">
        <v>514</v>
      </c>
      <c r="C26" s="2491"/>
      <c r="D26" s="2491"/>
      <c r="E26" s="2491"/>
      <c r="F26" s="2491"/>
      <c r="G26" s="2491"/>
      <c r="H26" s="2491"/>
      <c r="I26" s="2491"/>
      <c r="J26" s="2491"/>
      <c r="K26" s="2491"/>
      <c r="L26" s="2491"/>
      <c r="M26" s="2491"/>
      <c r="N26" s="2491"/>
      <c r="O26" s="2491"/>
      <c r="P26" s="2491"/>
      <c r="Q26" s="2491"/>
      <c r="R26" s="2491"/>
      <c r="S26" s="2492"/>
      <c r="T26" s="2483">
        <f>T23*T25</f>
        <v>16354014.300000001</v>
      </c>
      <c r="U26" s="2484"/>
      <c r="V26" s="2484"/>
      <c r="W26" s="2484"/>
      <c r="X26" s="2484"/>
      <c r="Y26" s="2483">
        <f>Y23*Y25</f>
        <v>0</v>
      </c>
      <c r="Z26" s="2484"/>
      <c r="AA26" s="2484"/>
      <c r="AB26" s="2484"/>
      <c r="AC26" s="2484"/>
      <c r="AD26" s="2483">
        <f>AD23*AD25</f>
        <v>24669327.899999999</v>
      </c>
      <c r="AE26" s="2484"/>
      <c r="AF26" s="2484"/>
      <c r="AG26" s="2484"/>
      <c r="AH26" s="2484"/>
      <c r="AI26" s="2483">
        <f>AI23*AI25</f>
        <v>0</v>
      </c>
      <c r="AJ26" s="2484"/>
      <c r="AK26" s="2484"/>
      <c r="AL26" s="2484"/>
      <c r="AM26" s="2484"/>
    </row>
    <row r="27" spans="1:40" ht="12.95" customHeight="1">
      <c r="A27" s="442"/>
      <c r="B27" s="2497" t="s">
        <v>428</v>
      </c>
      <c r="C27" s="2498"/>
      <c r="D27" s="2498"/>
      <c r="E27" s="2498"/>
      <c r="F27" s="2498"/>
      <c r="G27" s="2498"/>
      <c r="H27" s="2498"/>
      <c r="I27" s="2498"/>
      <c r="J27" s="2498"/>
      <c r="K27" s="2498"/>
      <c r="L27" s="2498"/>
      <c r="M27" s="2498"/>
      <c r="N27" s="2498"/>
      <c r="O27" s="2498"/>
      <c r="P27" s="2498"/>
      <c r="Q27" s="2498"/>
      <c r="R27" s="2498"/>
      <c r="S27" s="2499"/>
      <c r="T27" s="2503">
        <f>Application!$AG$444</f>
        <v>1</v>
      </c>
      <c r="U27" s="2504"/>
      <c r="V27" s="2504"/>
      <c r="W27" s="2504"/>
      <c r="X27" s="2504"/>
      <c r="Y27" s="2503">
        <f>Application!$AG$444</f>
        <v>1</v>
      </c>
      <c r="Z27" s="2504"/>
      <c r="AA27" s="2504"/>
      <c r="AB27" s="2504"/>
      <c r="AC27" s="2504"/>
      <c r="AD27" s="2503">
        <f>Application!$AG$444</f>
        <v>1</v>
      </c>
      <c r="AE27" s="2504"/>
      <c r="AF27" s="2504"/>
      <c r="AG27" s="2504"/>
      <c r="AH27" s="2504"/>
      <c r="AI27" s="2503">
        <f>Application!$AG$444</f>
        <v>1</v>
      </c>
      <c r="AJ27" s="2504"/>
      <c r="AK27" s="2504"/>
      <c r="AL27" s="2504"/>
      <c r="AM27" s="2504"/>
    </row>
    <row r="28" spans="1:40" ht="12.95" customHeight="1">
      <c r="A28" s="436"/>
      <c r="B28" s="2490" t="s">
        <v>515</v>
      </c>
      <c r="C28" s="2491"/>
      <c r="D28" s="2491"/>
      <c r="E28" s="2491"/>
      <c r="F28" s="2491"/>
      <c r="G28" s="2491"/>
      <c r="H28" s="2491"/>
      <c r="I28" s="2491"/>
      <c r="J28" s="2491"/>
      <c r="K28" s="2491"/>
      <c r="L28" s="2491"/>
      <c r="M28" s="2491"/>
      <c r="N28" s="2491"/>
      <c r="O28" s="2491"/>
      <c r="P28" s="2491"/>
      <c r="Q28" s="2491"/>
      <c r="R28" s="2491"/>
      <c r="S28" s="2492"/>
      <c r="T28" s="2483">
        <f>IF(ISERROR((T26*T27)),0,(T26*T27))</f>
        <v>16354014.300000001</v>
      </c>
      <c r="U28" s="2484"/>
      <c r="V28" s="2484"/>
      <c r="W28" s="2484"/>
      <c r="X28" s="2484"/>
      <c r="Y28" s="2483">
        <f>IF(ISERROR((Y26*Y27)),0,(Y26*Y27))</f>
        <v>0</v>
      </c>
      <c r="Z28" s="2484"/>
      <c r="AA28" s="2484"/>
      <c r="AB28" s="2484"/>
      <c r="AC28" s="2484"/>
      <c r="AD28" s="2483">
        <f>IF(ISERROR((AD26*AD27)),0,(AD26*AD27))</f>
        <v>24669327.899999999</v>
      </c>
      <c r="AE28" s="2484"/>
      <c r="AF28" s="2484"/>
      <c r="AG28" s="2484"/>
      <c r="AH28" s="2484"/>
      <c r="AI28" s="2483">
        <f>IF(ISERROR((AI26*AI27)),0,(AI26*AI27))</f>
        <v>0</v>
      </c>
      <c r="AJ28" s="2484"/>
      <c r="AK28" s="2484"/>
      <c r="AL28" s="2484"/>
      <c r="AM28" s="2484"/>
    </row>
    <row r="29" spans="1:40" ht="12.95" customHeight="1">
      <c r="B29" s="2490" t="s">
        <v>532</v>
      </c>
      <c r="C29" s="2491"/>
      <c r="D29" s="2491"/>
      <c r="E29" s="2491"/>
      <c r="F29" s="2491"/>
      <c r="G29" s="2491"/>
      <c r="H29" s="2491"/>
      <c r="I29" s="2491"/>
      <c r="J29" s="2491"/>
      <c r="K29" s="2491"/>
      <c r="L29" s="2491"/>
      <c r="M29" s="2491"/>
      <c r="N29" s="2491"/>
      <c r="O29" s="2491"/>
      <c r="P29" s="2491"/>
      <c r="Q29" s="2491"/>
      <c r="R29" s="2491"/>
      <c r="S29" s="2492"/>
      <c r="T29" s="2485">
        <f>T28+Y28+AD28+AI28</f>
        <v>41023342.200000003</v>
      </c>
      <c r="U29" s="2486"/>
      <c r="V29" s="2486"/>
      <c r="W29" s="2486"/>
      <c r="X29" s="2486"/>
      <c r="Y29" s="2486"/>
      <c r="Z29" s="2486"/>
      <c r="AA29" s="2486"/>
      <c r="AB29" s="2486"/>
      <c r="AC29" s="2486"/>
      <c r="AD29" s="2486"/>
      <c r="AE29" s="2486"/>
      <c r="AF29" s="2486"/>
      <c r="AG29" s="2486"/>
      <c r="AH29" s="2486"/>
      <c r="AI29" s="2486"/>
      <c r="AJ29" s="2486"/>
      <c r="AK29" s="2486"/>
      <c r="AL29" s="2486"/>
      <c r="AM29" s="2483"/>
    </row>
    <row r="30" spans="1:40" ht="12.95" customHeight="1">
      <c r="B30" s="2493" t="s">
        <v>1424</v>
      </c>
      <c r="C30" s="2493"/>
      <c r="D30" s="2493"/>
      <c r="E30" s="2493"/>
      <c r="F30" s="2493"/>
      <c r="G30" s="2493"/>
      <c r="H30" s="2493"/>
      <c r="I30" s="2493"/>
      <c r="J30" s="2493"/>
      <c r="K30" s="2493"/>
      <c r="L30" s="2493"/>
      <c r="M30" s="2493"/>
      <c r="N30" s="2493"/>
      <c r="O30" s="2493"/>
      <c r="P30" s="2493"/>
      <c r="Q30" s="2493"/>
      <c r="R30" s="2493"/>
      <c r="S30" s="2493"/>
      <c r="T30" s="2493"/>
      <c r="U30" s="2493"/>
      <c r="V30" s="2493"/>
      <c r="W30" s="2493"/>
      <c r="X30" s="2493"/>
      <c r="Y30" s="2493"/>
      <c r="Z30" s="2493"/>
      <c r="AA30" s="2493"/>
      <c r="AB30" s="2493"/>
      <c r="AC30" s="2493"/>
      <c r="AD30" s="2493"/>
      <c r="AE30" s="2493"/>
      <c r="AF30" s="2493"/>
      <c r="AG30" s="2493"/>
      <c r="AH30" s="2493"/>
      <c r="AI30" s="2493"/>
      <c r="AJ30" s="2493"/>
      <c r="AK30" s="2493"/>
      <c r="AL30" s="2493"/>
      <c r="AM30" s="2493"/>
    </row>
    <row r="31" spans="1:40" ht="12.95" customHeight="1">
      <c r="B31" s="2493" t="s">
        <v>1423</v>
      </c>
      <c r="C31" s="2493"/>
      <c r="D31" s="2493"/>
      <c r="E31" s="2493"/>
      <c r="F31" s="2493"/>
      <c r="G31" s="2493"/>
      <c r="H31" s="2493"/>
      <c r="I31" s="2493"/>
      <c r="J31" s="2493"/>
      <c r="K31" s="2493"/>
      <c r="L31" s="2493"/>
      <c r="M31" s="2493"/>
      <c r="N31" s="2493"/>
      <c r="O31" s="2493"/>
      <c r="P31" s="2493"/>
      <c r="Q31" s="2493"/>
      <c r="R31" s="2493"/>
      <c r="S31" s="2493"/>
      <c r="T31" s="2493"/>
      <c r="U31" s="2493"/>
      <c r="V31" s="2493"/>
      <c r="W31" s="2493"/>
      <c r="X31" s="2493"/>
      <c r="Y31" s="2493"/>
      <c r="Z31" s="2493"/>
      <c r="AA31" s="2493"/>
      <c r="AB31" s="2493"/>
      <c r="AC31" s="2493"/>
      <c r="AD31" s="2493"/>
      <c r="AE31" s="2493"/>
      <c r="AF31" s="2493"/>
      <c r="AG31" s="2493"/>
      <c r="AH31" s="2493"/>
      <c r="AI31" s="2493"/>
      <c r="AJ31" s="2493"/>
      <c r="AK31" s="2493"/>
      <c r="AL31" s="2493"/>
      <c r="AM31" s="2493"/>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585</v>
      </c>
      <c r="C34" s="436" t="s">
        <v>577</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11" t="s">
        <v>1293</v>
      </c>
      <c r="Z35" s="2511"/>
      <c r="AA35" s="2511"/>
      <c r="AB35" s="2511"/>
      <c r="AC35" s="2511"/>
      <c r="AD35" s="2534" t="s">
        <v>371</v>
      </c>
      <c r="AE35" s="2534"/>
      <c r="AF35" s="2534"/>
      <c r="AG35" s="2534"/>
      <c r="AH35" s="2534"/>
    </row>
    <row r="36" spans="1:76" ht="12.95" customHeight="1">
      <c r="B36" s="439"/>
      <c r="X36" s="444"/>
      <c r="Y36" s="2511"/>
      <c r="Z36" s="2511"/>
      <c r="AA36" s="2511"/>
      <c r="AB36" s="2511"/>
      <c r="AC36" s="2511"/>
      <c r="AD36" s="2534"/>
      <c r="AE36" s="2534"/>
      <c r="AF36" s="2534"/>
      <c r="AG36" s="2534"/>
      <c r="AH36" s="2534"/>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11"/>
      <c r="Z37" s="2511"/>
      <c r="AA37" s="2511"/>
      <c r="AB37" s="2511"/>
      <c r="AC37" s="2511"/>
      <c r="AD37" s="2534"/>
      <c r="AE37" s="2534"/>
      <c r="AF37" s="2534"/>
      <c r="AG37" s="2534"/>
      <c r="AH37" s="2534"/>
    </row>
    <row r="38" spans="1:76" ht="12.95" customHeight="1">
      <c r="A38" s="436"/>
      <c r="B38" s="2490" t="s">
        <v>515</v>
      </c>
      <c r="C38" s="2491"/>
      <c r="D38" s="2491"/>
      <c r="E38" s="2491"/>
      <c r="F38" s="2491"/>
      <c r="G38" s="2491"/>
      <c r="H38" s="2491"/>
      <c r="I38" s="2491"/>
      <c r="J38" s="2491"/>
      <c r="K38" s="2491"/>
      <c r="L38" s="2491"/>
      <c r="M38" s="2491"/>
      <c r="N38" s="2491"/>
      <c r="O38" s="2491"/>
      <c r="P38" s="2491"/>
      <c r="Q38" s="2491"/>
      <c r="R38" s="2491"/>
      <c r="S38" s="2491"/>
      <c r="T38" s="2491"/>
      <c r="U38" s="2491"/>
      <c r="V38" s="2491"/>
      <c r="W38" s="2491"/>
      <c r="X38" s="2492"/>
      <c r="Y38" s="2484">
        <f>IF(T24&gt;=(T23+Y23+AD23+AI23),T28+Y28,0)</f>
        <v>16354014.300000001</v>
      </c>
      <c r="Z38" s="2484"/>
      <c r="AA38" s="2484"/>
      <c r="AB38" s="2484"/>
      <c r="AC38" s="2484"/>
      <c r="AD38" s="2484">
        <f>IF(T24&gt;=(T23+Y23+AD23+AI23),AD28+AI28,0)</f>
        <v>24669327.899999999</v>
      </c>
      <c r="AE38" s="2484"/>
      <c r="AF38" s="2484"/>
      <c r="AG38" s="2484"/>
      <c r="AH38" s="2484"/>
    </row>
    <row r="39" spans="1:76" ht="12.95" customHeight="1">
      <c r="B39" s="2490" t="s">
        <v>1951</v>
      </c>
      <c r="C39" s="2491"/>
      <c r="D39" s="2491"/>
      <c r="E39" s="2491"/>
      <c r="F39" s="2491"/>
      <c r="G39" s="2491"/>
      <c r="H39" s="2491"/>
      <c r="I39" s="2491"/>
      <c r="J39" s="2491"/>
      <c r="K39" s="2491"/>
      <c r="L39" s="2491"/>
      <c r="M39" s="2491"/>
      <c r="N39" s="2491"/>
      <c r="O39" s="2491"/>
      <c r="P39" s="2491"/>
      <c r="Q39" s="2491"/>
      <c r="R39" s="2491"/>
      <c r="S39" s="2491"/>
      <c r="T39" s="2491"/>
      <c r="U39" s="2491"/>
      <c r="V39" s="2491"/>
      <c r="W39" s="2491"/>
      <c r="X39" s="2492"/>
      <c r="Y39" s="2535">
        <v>0.04</v>
      </c>
      <c r="Z39" s="2535"/>
      <c r="AA39" s="2535"/>
      <c r="AB39" s="2535"/>
      <c r="AC39" s="2535"/>
      <c r="AD39" s="2535">
        <v>0.04</v>
      </c>
      <c r="AE39" s="2535"/>
      <c r="AF39" s="2535"/>
      <c r="AG39" s="2535"/>
      <c r="AH39" s="2535"/>
    </row>
    <row r="40" spans="1:76" ht="12.95" customHeight="1">
      <c r="A40" s="436"/>
      <c r="B40" s="2490" t="s">
        <v>651</v>
      </c>
      <c r="C40" s="2491"/>
      <c r="D40" s="2491"/>
      <c r="E40" s="2491"/>
      <c r="F40" s="2491"/>
      <c r="G40" s="2491"/>
      <c r="H40" s="2491"/>
      <c r="I40" s="2491"/>
      <c r="J40" s="2491"/>
      <c r="K40" s="2491"/>
      <c r="L40" s="2491"/>
      <c r="M40" s="2491"/>
      <c r="N40" s="2491"/>
      <c r="O40" s="2491"/>
      <c r="P40" s="2491"/>
      <c r="Q40" s="2491"/>
      <c r="R40" s="2491"/>
      <c r="S40" s="2491"/>
      <c r="T40" s="2491"/>
      <c r="U40" s="2491"/>
      <c r="V40" s="2491"/>
      <c r="W40" s="2491"/>
      <c r="X40" s="2492"/>
      <c r="Y40" s="2484">
        <f>ROUND(Y38*Y39,0)</f>
        <v>654161</v>
      </c>
      <c r="Z40" s="2484"/>
      <c r="AA40" s="2484"/>
      <c r="AB40" s="2484"/>
      <c r="AC40" s="2484"/>
      <c r="AD40" s="2483">
        <f>ROUND(AD38*AD39,0)</f>
        <v>986773</v>
      </c>
      <c r="AE40" s="2484"/>
      <c r="AF40" s="2484"/>
      <c r="AG40" s="2484"/>
      <c r="AH40" s="2484"/>
    </row>
    <row r="41" spans="1:76" ht="12.95" customHeight="1">
      <c r="B41" s="2490" t="s">
        <v>652</v>
      </c>
      <c r="C41" s="2491"/>
      <c r="D41" s="2491"/>
      <c r="E41" s="2491"/>
      <c r="F41" s="2491"/>
      <c r="G41" s="2491"/>
      <c r="H41" s="2491"/>
      <c r="I41" s="2491"/>
      <c r="J41" s="2491"/>
      <c r="K41" s="2491"/>
      <c r="L41" s="2491"/>
      <c r="M41" s="2491"/>
      <c r="N41" s="2491"/>
      <c r="O41" s="2491"/>
      <c r="P41" s="2491"/>
      <c r="Q41" s="2491"/>
      <c r="R41" s="2491"/>
      <c r="S41" s="2491"/>
      <c r="T41" s="2491"/>
      <c r="U41" s="2491"/>
      <c r="V41" s="2491"/>
      <c r="W41" s="2491"/>
      <c r="X41" s="2492"/>
      <c r="Y41" s="2485">
        <f>Y40+AD40</f>
        <v>1640934</v>
      </c>
      <c r="Z41" s="2486"/>
      <c r="AA41" s="2486"/>
      <c r="AB41" s="2486"/>
      <c r="AC41" s="2486"/>
      <c r="AD41" s="2486"/>
      <c r="AE41" s="2486"/>
      <c r="AF41" s="2486"/>
      <c r="AG41" s="2486"/>
      <c r="AH41" s="2483"/>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488" t="s">
        <v>1434</v>
      </c>
      <c r="B44" s="2488"/>
      <c r="C44" s="2488"/>
      <c r="D44" s="2488"/>
      <c r="E44" s="2488"/>
      <c r="F44" s="2488"/>
      <c r="G44" s="2488"/>
      <c r="H44" s="2488"/>
      <c r="I44" s="2488"/>
      <c r="J44" s="2488"/>
      <c r="K44" s="2488"/>
      <c r="L44" s="2488"/>
      <c r="M44" s="2488"/>
      <c r="N44" s="2488"/>
      <c r="O44" s="2488"/>
      <c r="P44" s="2488"/>
      <c r="Q44" s="2488"/>
      <c r="R44" s="2488"/>
      <c r="S44" s="2488"/>
      <c r="T44" s="2488"/>
      <c r="U44" s="2488"/>
      <c r="V44" s="2488"/>
      <c r="W44" s="2488"/>
      <c r="X44" s="2488"/>
      <c r="Y44" s="2488"/>
      <c r="Z44" s="2488"/>
      <c r="AA44" s="2488"/>
      <c r="AB44" s="2488"/>
      <c r="AC44" s="2488"/>
      <c r="AD44" s="2488"/>
      <c r="AE44" s="2488"/>
      <c r="AF44" s="2488"/>
      <c r="AG44" s="2488"/>
      <c r="AH44" s="2488"/>
      <c r="AI44" s="2488"/>
      <c r="AJ44" s="2488"/>
      <c r="AK44" s="2488"/>
      <c r="AL44" s="2488"/>
      <c r="AM44" s="2488"/>
      <c r="AN44" s="2488"/>
      <c r="AO44" s="2488"/>
      <c r="AP44" s="2488"/>
      <c r="AQ44" s="2488"/>
      <c r="AR44" s="2488"/>
      <c r="AS44" s="2488"/>
      <c r="AT44" s="2488"/>
      <c r="AU44" s="2488"/>
      <c r="AV44" s="2488"/>
      <c r="AW44" s="2488"/>
      <c r="AX44" s="2488"/>
      <c r="AY44" s="2488"/>
      <c r="AZ44" s="2488"/>
      <c r="BA44" s="2488"/>
      <c r="BB44" s="2488"/>
      <c r="BC44" s="2488"/>
      <c r="BD44" s="2488"/>
      <c r="BE44" s="2488"/>
      <c r="BF44" s="2488"/>
      <c r="BG44" s="2488"/>
      <c r="BH44" s="2488"/>
      <c r="BI44" s="2488"/>
      <c r="BJ44" s="2488"/>
      <c r="BK44" s="2488"/>
      <c r="BL44" s="2488"/>
      <c r="BM44" s="2488"/>
      <c r="BN44" s="2488"/>
      <c r="BO44" s="2488"/>
      <c r="BP44" s="2488"/>
      <c r="BQ44" s="2488"/>
      <c r="BR44" s="2488"/>
      <c r="BS44" s="2488"/>
      <c r="BT44" s="2488"/>
      <c r="BU44" s="2488"/>
      <c r="BV44" s="2488"/>
      <c r="BW44" s="2488"/>
      <c r="BX44" s="2488"/>
    </row>
    <row r="45" spans="1:76" s="218" customFormat="1" ht="12.95" customHeight="1" thickTop="1"/>
    <row r="46" spans="1:76" ht="12.95" customHeight="1">
      <c r="A46" s="436" t="s">
        <v>595</v>
      </c>
      <c r="C46" s="436" t="s">
        <v>284</v>
      </c>
    </row>
    <row r="47" spans="1:76" ht="12.95" customHeight="1">
      <c r="D47" s="436" t="s">
        <v>285</v>
      </c>
      <c r="AB47" s="2500">
        <f>'Sources and Uses Budget'!B105-MAX(IF('Sources and Uses Budget'!B15="",0,'Sources and Uses Budget'!B15),IF(Application!AG393="",0,Application!AG393))</f>
        <v>40935554.133391015</v>
      </c>
      <c r="AC47" s="2501"/>
      <c r="AD47" s="2501"/>
      <c r="AE47" s="2501"/>
      <c r="AF47" s="2502"/>
    </row>
    <row r="48" spans="1:76" ht="12.95" customHeight="1">
      <c r="D48" s="436" t="s">
        <v>21</v>
      </c>
      <c r="AB48" s="2500">
        <f>Application!AO635-MAX(IF('Sources and Uses Budget'!B15="",0,'Sources and Uses Budget'!B15),IF(Application!AG393="",0,Application!AG393))</f>
        <v>26660865.133391015</v>
      </c>
      <c r="AC48" s="2501"/>
      <c r="AD48" s="2501"/>
      <c r="AE48" s="2501"/>
      <c r="AF48" s="2502"/>
    </row>
    <row r="49" spans="1:76" ht="12.95" customHeight="1">
      <c r="D49" s="436" t="s">
        <v>92</v>
      </c>
      <c r="AB49" s="2500">
        <f>AB47-AB48</f>
        <v>14274689</v>
      </c>
      <c r="AC49" s="2501"/>
      <c r="AD49" s="2501"/>
      <c r="AE49" s="2501"/>
      <c r="AF49" s="2502"/>
    </row>
    <row r="50" spans="1:76" ht="12.95" customHeight="1">
      <c r="D50" s="436" t="s">
        <v>690</v>
      </c>
      <c r="AA50" s="447"/>
      <c r="AB50" s="2527">
        <f>AB49/(Y41*10)</f>
        <v>0.86991244011032742</v>
      </c>
      <c r="AC50" s="2528"/>
      <c r="AD50" s="2528"/>
      <c r="AE50" s="2528"/>
      <c r="AF50" s="2529"/>
    </row>
    <row r="51" spans="1:76" s="449" customFormat="1" ht="12.95" customHeight="1">
      <c r="A51" s="434"/>
      <c r="B51" s="434"/>
      <c r="C51" s="434"/>
      <c r="D51" s="434"/>
      <c r="E51" s="2530" t="s">
        <v>2112</v>
      </c>
      <c r="F51" s="2530"/>
      <c r="G51" s="2530"/>
      <c r="H51" s="2530"/>
      <c r="I51" s="2530"/>
      <c r="J51" s="2530"/>
      <c r="K51" s="2530"/>
      <c r="L51" s="2530"/>
      <c r="M51" s="2530"/>
      <c r="N51" s="2530"/>
      <c r="O51" s="2530"/>
      <c r="P51" s="2530"/>
      <c r="Q51" s="2530"/>
      <c r="R51" s="2530"/>
      <c r="S51" s="2530"/>
      <c r="T51" s="2530"/>
      <c r="U51" s="2530"/>
      <c r="V51" s="2530"/>
      <c r="W51" s="2530"/>
      <c r="X51" s="2530"/>
      <c r="Y51" s="2530"/>
      <c r="Z51" s="2530"/>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530"/>
      <c r="F52" s="2530"/>
      <c r="G52" s="2530"/>
      <c r="H52" s="2530"/>
      <c r="I52" s="2530"/>
      <c r="J52" s="2530"/>
      <c r="K52" s="2530"/>
      <c r="L52" s="2530"/>
      <c r="M52" s="2530"/>
      <c r="N52" s="2530"/>
      <c r="O52" s="2530"/>
      <c r="P52" s="2530"/>
      <c r="Q52" s="2530"/>
      <c r="R52" s="2530"/>
      <c r="S52" s="2530"/>
      <c r="T52" s="2530"/>
      <c r="U52" s="2530"/>
      <c r="V52" s="2530"/>
      <c r="W52" s="2530"/>
      <c r="X52" s="2530"/>
      <c r="Y52" s="2530"/>
      <c r="Z52" s="2530"/>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500">
        <f>ROUND(IF(ISERROR((AB49/AB50)),0,(AB49/AB50)),0)</f>
        <v>16409340</v>
      </c>
      <c r="AC54" s="2501"/>
      <c r="AD54" s="2501"/>
      <c r="AE54" s="2501"/>
      <c r="AF54" s="2502"/>
    </row>
    <row r="55" spans="1:76" ht="12.95" customHeight="1">
      <c r="D55" s="436" t="s">
        <v>335</v>
      </c>
      <c r="AB55" s="2500">
        <f>(AB54/10)</f>
        <v>1640934</v>
      </c>
      <c r="AC55" s="2501"/>
      <c r="AD55" s="2501"/>
      <c r="AE55" s="2501"/>
      <c r="AF55" s="2502"/>
    </row>
    <row r="56" spans="1:76" ht="12.95" customHeight="1">
      <c r="D56" s="436" t="s">
        <v>768</v>
      </c>
      <c r="AB56" s="2531">
        <f>(IF((Y41&lt;AB55),Y41,AB55))</f>
        <v>1640934</v>
      </c>
      <c r="AC56" s="2532"/>
      <c r="AD56" s="2532"/>
      <c r="AE56" s="2532"/>
      <c r="AF56" s="2533"/>
    </row>
    <row r="57" spans="1:76" ht="12.95" customHeight="1">
      <c r="D57" s="436" t="s">
        <v>767</v>
      </c>
      <c r="AB57" s="2500">
        <f>ROUND((10*AB56*AB50),0)</f>
        <v>14274689</v>
      </c>
      <c r="AC57" s="2501"/>
      <c r="AD57" s="2501"/>
      <c r="AE57" s="2501"/>
      <c r="AF57" s="2502"/>
    </row>
    <row r="58" spans="1:76" ht="12.95" customHeight="1">
      <c r="D58" s="436"/>
      <c r="AB58" s="455"/>
      <c r="AC58" s="455"/>
      <c r="AD58" s="455"/>
      <c r="AE58" s="455"/>
      <c r="AF58" s="455"/>
    </row>
    <row r="59" spans="1:76" ht="12.95" customHeight="1">
      <c r="D59" s="436" t="s">
        <v>766</v>
      </c>
      <c r="AB59" s="2523">
        <f>AB49-AB57</f>
        <v>0</v>
      </c>
      <c r="AC59" s="2523"/>
      <c r="AD59" s="2523"/>
      <c r="AE59" s="2523"/>
      <c r="AF59" s="2523"/>
    </row>
    <row r="60" spans="1:76" ht="12.95" customHeight="1">
      <c r="D60" s="436"/>
      <c r="AB60" s="455"/>
      <c r="AC60" s="455"/>
      <c r="AD60" s="455"/>
      <c r="AE60" s="455"/>
      <c r="AF60" s="455"/>
    </row>
    <row r="61" spans="1:76" s="218" customFormat="1" ht="12.95" customHeight="1" thickBot="1">
      <c r="A61" s="2488" t="str">
        <f>IF(Application!AP204="yes","Farmworker State Credit", "State Credit" )</f>
        <v>State Credit</v>
      </c>
      <c r="B61" s="2488"/>
      <c r="C61" s="2488"/>
      <c r="D61" s="2488"/>
      <c r="E61" s="2488"/>
      <c r="F61" s="2488"/>
      <c r="G61" s="2488"/>
      <c r="H61" s="2488"/>
      <c r="I61" s="2488"/>
      <c r="J61" s="2488"/>
      <c r="K61" s="2488"/>
      <c r="L61" s="2488"/>
      <c r="M61" s="2488"/>
      <c r="N61" s="2488"/>
      <c r="O61" s="2488"/>
      <c r="P61" s="2488"/>
      <c r="Q61" s="2488"/>
      <c r="R61" s="2488"/>
      <c r="S61" s="2488"/>
      <c r="T61" s="2488"/>
      <c r="U61" s="2488"/>
      <c r="V61" s="2488"/>
      <c r="W61" s="2488"/>
      <c r="X61" s="2488"/>
      <c r="Y61" s="2488"/>
      <c r="Z61" s="2488"/>
      <c r="AA61" s="2488"/>
      <c r="AB61" s="2488"/>
      <c r="AC61" s="2488"/>
      <c r="AD61" s="2488"/>
      <c r="AE61" s="2488"/>
      <c r="AF61" s="2488"/>
      <c r="AG61" s="2488"/>
      <c r="AH61" s="2488"/>
      <c r="AI61" s="2488"/>
      <c r="AJ61" s="2488"/>
      <c r="AK61" s="2488"/>
      <c r="AL61" s="2488"/>
      <c r="AM61" s="2488"/>
      <c r="AN61" s="2488"/>
      <c r="AO61" s="2488"/>
      <c r="AP61" s="2488"/>
      <c r="AQ61" s="2488"/>
      <c r="AR61" s="2488"/>
      <c r="AS61" s="2488"/>
      <c r="AT61" s="2488"/>
      <c r="AU61" s="2488"/>
      <c r="AV61" s="2488"/>
      <c r="AW61" s="2488"/>
      <c r="AX61" s="2488"/>
      <c r="AY61" s="2488"/>
      <c r="AZ61" s="2488"/>
      <c r="BA61" s="2488"/>
      <c r="BB61" s="2488"/>
      <c r="BC61" s="2488"/>
      <c r="BD61" s="2488"/>
      <c r="BE61" s="2488"/>
      <c r="BF61" s="2488"/>
      <c r="BG61" s="2488"/>
      <c r="BH61" s="2488"/>
      <c r="BI61" s="2488"/>
      <c r="BJ61" s="2488"/>
      <c r="BK61" s="2488"/>
      <c r="BL61" s="2488"/>
      <c r="BM61" s="2488"/>
      <c r="BN61" s="2488"/>
      <c r="BO61" s="2488"/>
      <c r="BP61" s="2488"/>
      <c r="BQ61" s="2488"/>
      <c r="BR61" s="2488"/>
      <c r="BS61" s="2488"/>
      <c r="BT61" s="2488"/>
      <c r="BU61" s="2488"/>
      <c r="BV61" s="2488"/>
      <c r="BW61" s="2488"/>
      <c r="BX61" s="2488"/>
    </row>
    <row r="62" spans="1:76" s="218" customFormat="1" ht="12.95" customHeight="1" thickTop="1"/>
    <row r="63" spans="1:76" ht="12.95" customHeight="1">
      <c r="A63" s="436" t="s">
        <v>598</v>
      </c>
      <c r="C63" s="219" t="s">
        <v>1405</v>
      </c>
      <c r="Y63" s="2524" t="s">
        <v>1024</v>
      </c>
      <c r="Z63" s="2524"/>
      <c r="AA63" s="2524"/>
      <c r="AB63" s="2524"/>
      <c r="AC63" s="2524"/>
      <c r="AD63" s="2524" t="s">
        <v>371</v>
      </c>
      <c r="AE63" s="2524"/>
      <c r="AF63" s="2524"/>
      <c r="AG63" s="2524"/>
      <c r="AH63" s="2524"/>
    </row>
    <row r="64" spans="1:76" ht="12.95" customHeight="1">
      <c r="C64" s="436"/>
      <c r="D64" s="409" t="s">
        <v>1406</v>
      </c>
      <c r="E64" s="452"/>
      <c r="F64" s="452"/>
      <c r="G64" s="452"/>
      <c r="H64" s="452"/>
      <c r="I64" s="452"/>
      <c r="J64" s="452"/>
      <c r="K64" s="452"/>
      <c r="L64" s="452"/>
      <c r="M64" s="452"/>
      <c r="N64" s="452"/>
      <c r="O64" s="452"/>
      <c r="P64" s="452"/>
      <c r="Q64" s="452"/>
      <c r="R64" s="452"/>
      <c r="S64" s="452"/>
      <c r="T64" s="452"/>
      <c r="U64" s="452"/>
      <c r="V64" s="452"/>
      <c r="W64" s="452"/>
      <c r="X64" s="452"/>
      <c r="Y64" s="2485">
        <f>IF(Application!Z204="(select)",0,((T23*T27)+Y28))</f>
        <v>12580011</v>
      </c>
      <c r="Z64" s="2525"/>
      <c r="AA64" s="2525"/>
      <c r="AB64" s="2525"/>
      <c r="AC64" s="2526"/>
      <c r="AD64" s="2485">
        <f>IF(AND(OR(Application!D210="At-Risk",Application!D210="At-Risk and Special Needs"),Application!M357="yes"),AD28+AI28,0)</f>
        <v>0</v>
      </c>
      <c r="AE64" s="2525"/>
      <c r="AF64" s="2525"/>
      <c r="AG64" s="2525"/>
      <c r="AH64" s="2526"/>
    </row>
    <row r="65" spans="1:36" ht="12.95" customHeight="1">
      <c r="C65" s="436"/>
      <c r="E65" s="1054" t="s">
        <v>2110</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2111</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41">
        <f>IF(Application!AP204="yes",0.75,IF(Application!Z203="15% set-aside",0.13,IF(Application!Z203="15% set-aside with qualifying low value rehab",0.95,0.3)))</f>
        <v>0.3</v>
      </c>
      <c r="Z67" s="2541"/>
      <c r="AA67" s="2541"/>
      <c r="AB67" s="2541"/>
      <c r="AC67" s="2541"/>
      <c r="AD67" s="2541">
        <f>IF(Application!Z203="15% set-aside with qualifying low value rehab", 0.95,0.13)</f>
        <v>0.13</v>
      </c>
      <c r="AE67" s="2541"/>
      <c r="AF67" s="2541"/>
      <c r="AG67" s="2541"/>
      <c r="AH67" s="2541"/>
    </row>
    <row r="68" spans="1:36" ht="12.95" customHeight="1">
      <c r="C68" s="436"/>
      <c r="D68" s="219" t="s">
        <v>1407</v>
      </c>
      <c r="Y68" s="2484">
        <f>ROUND(Y64*Y67,0)</f>
        <v>3774003</v>
      </c>
      <c r="Z68" s="2542"/>
      <c r="AA68" s="2542"/>
      <c r="AB68" s="2542"/>
      <c r="AC68" s="2542"/>
      <c r="AD68" s="2484">
        <f>ROUND(AD64*AD67,0)</f>
        <v>0</v>
      </c>
      <c r="AE68" s="2542"/>
      <c r="AF68" s="2542"/>
      <c r="AG68" s="2542"/>
      <c r="AH68" s="2542"/>
    </row>
    <row r="69" spans="1:36" ht="12.95" customHeight="1">
      <c r="C69" s="436"/>
      <c r="E69" s="436"/>
      <c r="AB69" s="454"/>
      <c r="AC69" s="454"/>
      <c r="AD69" s="454"/>
      <c r="AE69" s="454"/>
      <c r="AF69" s="454"/>
    </row>
    <row r="70" spans="1:36" ht="12.95" customHeight="1">
      <c r="A70" s="436" t="s">
        <v>599</v>
      </c>
      <c r="C70" s="219" t="s">
        <v>286</v>
      </c>
    </row>
    <row r="71" spans="1:36" ht="12.95" customHeight="1">
      <c r="A71" s="436"/>
      <c r="C71" s="436"/>
      <c r="D71" s="219" t="s">
        <v>1408</v>
      </c>
      <c r="AB71" s="2527"/>
      <c r="AC71" s="2528"/>
      <c r="AD71" s="2528"/>
      <c r="AE71" s="2528"/>
      <c r="AF71" s="2529"/>
    </row>
    <row r="72" spans="1:36" ht="12.95" customHeight="1">
      <c r="A72" s="436"/>
      <c r="C72" s="436"/>
      <c r="D72" s="436"/>
      <c r="E72" s="2543" t="s">
        <v>1409</v>
      </c>
      <c r="F72" s="2543"/>
      <c r="G72" s="2543"/>
      <c r="H72" s="2543"/>
      <c r="I72" s="2543"/>
      <c r="J72" s="2543"/>
      <c r="K72" s="2543"/>
      <c r="L72" s="2543"/>
      <c r="M72" s="2543"/>
      <c r="N72" s="2543"/>
      <c r="O72" s="2543"/>
      <c r="P72" s="2543"/>
      <c r="Q72" s="2543"/>
      <c r="R72" s="2543"/>
      <c r="S72" s="2543"/>
      <c r="T72" s="2543"/>
      <c r="U72" s="2543"/>
      <c r="V72" s="2543"/>
      <c r="W72" s="2543"/>
      <c r="X72" s="2543"/>
      <c r="Y72" s="2543"/>
      <c r="Z72" s="2543"/>
      <c r="AA72" s="2543"/>
      <c r="AB72" s="472"/>
      <c r="AC72" s="472"/>
    </row>
    <row r="73" spans="1:36" ht="12.95" customHeight="1">
      <c r="A73" s="436"/>
      <c r="C73" s="436"/>
      <c r="D73" s="436"/>
      <c r="E73" s="2543"/>
      <c r="F73" s="2543"/>
      <c r="G73" s="2543"/>
      <c r="H73" s="2543"/>
      <c r="I73" s="2543"/>
      <c r="J73" s="2543"/>
      <c r="K73" s="2543"/>
      <c r="L73" s="2543"/>
      <c r="M73" s="2543"/>
      <c r="N73" s="2543"/>
      <c r="O73" s="2543"/>
      <c r="P73" s="2543"/>
      <c r="Q73" s="2543"/>
      <c r="R73" s="2543"/>
      <c r="S73" s="2543"/>
      <c r="T73" s="2543"/>
      <c r="U73" s="2543"/>
      <c r="V73" s="2543"/>
      <c r="W73" s="2543"/>
      <c r="X73" s="2543"/>
      <c r="Y73" s="2543"/>
      <c r="Z73" s="2543"/>
      <c r="AA73" s="2543"/>
      <c r="AB73" s="472"/>
      <c r="AC73" s="472"/>
    </row>
    <row r="74" spans="1:36" ht="12.95" customHeight="1">
      <c r="A74" s="436"/>
      <c r="C74" s="436"/>
      <c r="D74" s="436"/>
      <c r="E74" s="2543"/>
      <c r="F74" s="2543"/>
      <c r="G74" s="2543"/>
      <c r="H74" s="2543"/>
      <c r="I74" s="2543"/>
      <c r="J74" s="2543"/>
      <c r="K74" s="2543"/>
      <c r="L74" s="2543"/>
      <c r="M74" s="2543"/>
      <c r="N74" s="2543"/>
      <c r="O74" s="2543"/>
      <c r="P74" s="2543"/>
      <c r="Q74" s="2543"/>
      <c r="R74" s="2543"/>
      <c r="S74" s="2543"/>
      <c r="T74" s="2543"/>
      <c r="U74" s="2543"/>
      <c r="V74" s="2543"/>
      <c r="W74" s="2543"/>
      <c r="X74" s="2543"/>
      <c r="Y74" s="2543"/>
      <c r="Z74" s="2543"/>
      <c r="AA74" s="2543"/>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1410</v>
      </c>
      <c r="AB76" s="2536">
        <f>ROUND(IF(ISERROR((AB59/AB71)),0,(AB59/AB71)),0)</f>
        <v>0</v>
      </c>
      <c r="AC76" s="2536"/>
      <c r="AD76" s="2536"/>
      <c r="AE76" s="2536"/>
      <c r="AF76" s="2536"/>
    </row>
    <row r="77" spans="1:36" ht="12.95" customHeight="1">
      <c r="C77" s="436"/>
      <c r="D77" s="219" t="s">
        <v>1411</v>
      </c>
      <c r="AB77" s="2537">
        <f>IF((Y68+AD68&lt;AB76),Y68+AD68,AB76)</f>
        <v>0</v>
      </c>
      <c r="AC77" s="2538"/>
      <c r="AD77" s="2538"/>
      <c r="AE77" s="2538"/>
      <c r="AF77" s="2539"/>
    </row>
    <row r="78" spans="1:36" ht="12.95" customHeight="1">
      <c r="C78" s="436"/>
      <c r="D78" s="219" t="s">
        <v>1412</v>
      </c>
      <c r="AB78" s="2540">
        <f>AB77*AB71</f>
        <v>0</v>
      </c>
      <c r="AC78" s="2540"/>
      <c r="AD78" s="2540"/>
      <c r="AE78" s="2540"/>
      <c r="AF78" s="2540"/>
    </row>
    <row r="79" spans="1:36" ht="12.95" customHeight="1">
      <c r="C79" s="436"/>
      <c r="D79" s="436"/>
      <c r="AB79" s="457"/>
      <c r="AC79" s="457"/>
      <c r="AD79" s="457"/>
      <c r="AE79" s="457"/>
      <c r="AF79" s="457"/>
    </row>
    <row r="80" spans="1:36" ht="12.95" customHeight="1">
      <c r="D80" s="436" t="s">
        <v>766</v>
      </c>
      <c r="AB80" s="2523">
        <f>AB49-(AB57+AB78)</f>
        <v>0</v>
      </c>
      <c r="AC80" s="2523"/>
      <c r="AD80" s="2523"/>
      <c r="AE80" s="2523"/>
      <c r="AF80" s="2523"/>
    </row>
    <row r="81" spans="1:78" ht="12.95" customHeight="1">
      <c r="F81" s="557"/>
      <c r="J81" s="557" t="str">
        <f>IF(AB80&gt;0,"FUNDING GAP MUST NOT EXCEED ZERO","")</f>
        <v/>
      </c>
    </row>
    <row r="82" spans="1:78" ht="12.95" customHeight="1">
      <c r="D82" s="558"/>
    </row>
    <row r="83" spans="1:78" ht="12.95" customHeight="1" thickBot="1">
      <c r="A83" s="2488"/>
      <c r="B83" s="2488"/>
      <c r="C83" s="2488"/>
      <c r="D83" s="2488"/>
      <c r="E83" s="2488"/>
      <c r="F83" s="2488"/>
      <c r="G83" s="2488"/>
      <c r="H83" s="2488"/>
      <c r="I83" s="2488"/>
      <c r="J83" s="2488"/>
      <c r="K83" s="2488"/>
      <c r="L83" s="2488"/>
      <c r="M83" s="2488"/>
      <c r="N83" s="2488"/>
      <c r="O83" s="2488"/>
      <c r="P83" s="2488"/>
      <c r="Q83" s="2488"/>
      <c r="R83" s="2488"/>
      <c r="S83" s="2488"/>
      <c r="T83" s="2488"/>
      <c r="U83" s="2488"/>
      <c r="V83" s="2488"/>
      <c r="W83" s="2488"/>
      <c r="X83" s="2488"/>
      <c r="Y83" s="2488"/>
      <c r="Z83" s="2488"/>
      <c r="AA83" s="2488"/>
      <c r="AB83" s="2488"/>
      <c r="AC83" s="2488"/>
      <c r="AD83" s="2488"/>
      <c r="AE83" s="2488"/>
      <c r="AF83" s="2488"/>
      <c r="AG83" s="2488"/>
      <c r="AH83" s="2488"/>
      <c r="AI83" s="2488"/>
      <c r="AJ83" s="2488"/>
      <c r="AK83" s="2488"/>
      <c r="AL83" s="2488"/>
      <c r="AM83" s="2488"/>
      <c r="AN83" s="2488"/>
      <c r="AO83" s="2488"/>
      <c r="AP83" s="2488"/>
      <c r="AQ83" s="2488"/>
      <c r="AR83" s="2488"/>
      <c r="AS83" s="2488"/>
      <c r="AT83" s="2488"/>
      <c r="AU83" s="2488"/>
      <c r="AV83" s="2488"/>
      <c r="AW83" s="2488"/>
      <c r="AX83" s="2488"/>
      <c r="AY83" s="2488"/>
      <c r="AZ83" s="2488"/>
      <c r="BA83" s="2488"/>
      <c r="BB83" s="2488"/>
      <c r="BC83" s="2488"/>
      <c r="BD83" s="2488"/>
      <c r="BE83" s="2488"/>
      <c r="BF83" s="2488"/>
      <c r="BG83" s="2488"/>
      <c r="BH83" s="2488"/>
      <c r="BI83" s="2488"/>
      <c r="BJ83" s="2488"/>
      <c r="BK83" s="2488"/>
      <c r="BL83" s="2488"/>
      <c r="BM83" s="2488"/>
      <c r="BN83" s="2488"/>
      <c r="BO83" s="2488"/>
      <c r="BP83" s="2488"/>
      <c r="BQ83" s="2488"/>
      <c r="BR83" s="2488"/>
      <c r="BS83" s="2488"/>
      <c r="BT83" s="2488"/>
      <c r="BU83" s="2488"/>
      <c r="BV83" s="2488"/>
      <c r="BW83" s="2488"/>
      <c r="BX83" s="2488"/>
    </row>
    <row r="84" spans="1:78" ht="12.95" customHeight="1" thickTop="1"/>
    <row r="85" spans="1:78" ht="12.95" customHeight="1">
      <c r="A85" s="436"/>
      <c r="C85" s="219"/>
    </row>
    <row r="86" spans="1:78" ht="12.95" customHeight="1">
      <c r="D86" s="219"/>
      <c r="AB86" s="2489"/>
      <c r="AC86" s="2489"/>
      <c r="AD86" s="2489"/>
      <c r="AE86" s="2489"/>
      <c r="AF86" s="2489"/>
    </row>
    <row r="87" spans="1:78" ht="12.95" customHeight="1" thickBot="1">
      <c r="D87" s="219"/>
      <c r="AB87" s="2487"/>
      <c r="AC87" s="2487"/>
      <c r="AD87" s="2487"/>
      <c r="AE87" s="2487"/>
      <c r="AF87" s="2487"/>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CPATDulQss3dZ10ZrQyzJuI3g0s6Ma2JVhbdFpWK7GJ54X2plxEzdPnfITWqTGEYT6MKEiNYFZl55/Q6qZ2+4w==" saltValue="js12ha+crr9W9y/aL/67q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44" t="s">
        <v>942</v>
      </c>
      <c r="B1" s="2544"/>
      <c r="C1" s="2544"/>
      <c r="D1" s="2544"/>
      <c r="E1" s="2544"/>
      <c r="F1" s="2544"/>
      <c r="G1" s="2544"/>
      <c r="H1" s="2544"/>
      <c r="I1" s="2544"/>
      <c r="J1" s="2544"/>
      <c r="K1" s="218"/>
      <c r="L1" s="218"/>
    </row>
    <row r="2" spans="1:12">
      <c r="A2" s="225"/>
      <c r="B2" s="225"/>
      <c r="C2" s="225"/>
      <c r="D2" s="225"/>
      <c r="E2" s="225"/>
      <c r="F2" s="225"/>
      <c r="G2" s="225"/>
      <c r="H2" s="225"/>
      <c r="I2" s="225"/>
      <c r="J2" s="225"/>
    </row>
    <row r="3" spans="1:12" ht="99.75">
      <c r="A3" s="458" t="s">
        <v>943</v>
      </c>
      <c r="B3" s="458" t="s">
        <v>944</v>
      </c>
      <c r="C3" s="458" t="s">
        <v>2339</v>
      </c>
      <c r="D3" s="1199" t="s">
        <v>945</v>
      </c>
      <c r="E3" s="218"/>
      <c r="F3" s="1199" t="s">
        <v>946</v>
      </c>
      <c r="G3" s="458" t="s">
        <v>947</v>
      </c>
      <c r="H3" s="459"/>
      <c r="I3" s="458" t="s">
        <v>948</v>
      </c>
      <c r="J3" s="458" t="s">
        <v>949</v>
      </c>
      <c r="K3" s="218"/>
      <c r="L3" s="328"/>
    </row>
    <row r="4" spans="1:12">
      <c r="A4" s="460" t="str">
        <f>Application!B714</f>
        <v>2 Bedrooms</v>
      </c>
      <c r="B4" s="1130">
        <f>Application!G714</f>
        <v>5</v>
      </c>
      <c r="C4" s="1131"/>
      <c r="D4" s="460">
        <f>Application!O714</f>
        <v>859</v>
      </c>
      <c r="E4" s="461"/>
      <c r="F4" s="1132"/>
      <c r="G4" s="460">
        <f>F4*B4</f>
        <v>0</v>
      </c>
      <c r="H4" s="461"/>
      <c r="I4" s="460" t="str">
        <f>IF(F4=0," ",(F4-D4))</f>
        <v xml:space="preserve"> </v>
      </c>
      <c r="J4" s="460" t="str">
        <f>IF(F4=0," ",(I4*B4))</f>
        <v xml:space="preserve"> </v>
      </c>
      <c r="K4" s="218"/>
      <c r="L4" s="328"/>
    </row>
    <row r="5" spans="1:12">
      <c r="A5" s="460" t="str">
        <f>Application!B715</f>
        <v>2 Bedrooms</v>
      </c>
      <c r="B5" s="1130">
        <f>Application!G715</f>
        <v>19</v>
      </c>
      <c r="C5" s="1131"/>
      <c r="D5" s="460">
        <f>Application!O715</f>
        <v>1343</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2 Bedrooms</v>
      </c>
      <c r="B6" s="1130">
        <f>Application!G716</f>
        <v>18</v>
      </c>
      <c r="C6" s="1131"/>
      <c r="D6" s="460">
        <f>Application!O716</f>
        <v>1505</v>
      </c>
      <c r="E6" s="461"/>
      <c r="F6" s="1132"/>
      <c r="G6" s="460">
        <f t="shared" si="0"/>
        <v>0</v>
      </c>
      <c r="H6" s="461"/>
      <c r="I6" s="460" t="str">
        <f t="shared" si="1"/>
        <v xml:space="preserve"> </v>
      </c>
      <c r="J6" s="460" t="str">
        <f t="shared" si="2"/>
        <v xml:space="preserve"> </v>
      </c>
      <c r="K6" s="218"/>
      <c r="L6" s="328"/>
    </row>
    <row r="7" spans="1:12">
      <c r="A7" s="460" t="str">
        <f>Application!B717</f>
        <v>2 Bedrooms</v>
      </c>
      <c r="B7" s="1130">
        <f>Application!G717</f>
        <v>10</v>
      </c>
      <c r="C7" s="1131"/>
      <c r="D7" s="460">
        <f>Application!O717</f>
        <v>1828</v>
      </c>
      <c r="E7" s="461"/>
      <c r="F7" s="1132"/>
      <c r="G7" s="460">
        <f t="shared" si="0"/>
        <v>0</v>
      </c>
      <c r="H7" s="461"/>
      <c r="I7" s="460" t="str">
        <f t="shared" si="1"/>
        <v xml:space="preserve"> </v>
      </c>
      <c r="J7" s="460" t="str">
        <f t="shared" si="2"/>
        <v xml:space="preserve"> </v>
      </c>
      <c r="K7" s="218"/>
      <c r="L7" s="328"/>
    </row>
    <row r="8" spans="1:12">
      <c r="A8" s="460" t="str">
        <f>Application!B718</f>
        <v>3 Bedrooms</v>
      </c>
      <c r="B8" s="1130">
        <f>Application!G718</f>
        <v>3</v>
      </c>
      <c r="C8" s="1131"/>
      <c r="D8" s="460">
        <f>Application!O718</f>
        <v>980</v>
      </c>
      <c r="E8" s="461"/>
      <c r="F8" s="1132"/>
      <c r="G8" s="460">
        <f t="shared" si="0"/>
        <v>0</v>
      </c>
      <c r="H8" s="461"/>
      <c r="I8" s="460" t="str">
        <f t="shared" si="1"/>
        <v xml:space="preserve"> </v>
      </c>
      <c r="J8" s="460" t="str">
        <f t="shared" si="2"/>
        <v xml:space="preserve"> </v>
      </c>
      <c r="K8" s="218"/>
      <c r="L8" s="328"/>
    </row>
    <row r="9" spans="1:12">
      <c r="A9" s="460" t="str">
        <f>Application!B719</f>
        <v>3 Bedrooms</v>
      </c>
      <c r="B9" s="1130">
        <f>Application!G719</f>
        <v>12</v>
      </c>
      <c r="C9" s="1131"/>
      <c r="D9" s="460">
        <f>Application!O719</f>
        <v>1540</v>
      </c>
      <c r="E9" s="461"/>
      <c r="F9" s="1132"/>
      <c r="G9" s="460">
        <f t="shared" si="0"/>
        <v>0</v>
      </c>
      <c r="H9" s="461"/>
      <c r="I9" s="460" t="str">
        <f t="shared" si="1"/>
        <v xml:space="preserve"> </v>
      </c>
      <c r="J9" s="460" t="str">
        <f t="shared" si="2"/>
        <v xml:space="preserve"> </v>
      </c>
      <c r="K9" s="218"/>
      <c r="L9" s="328"/>
    </row>
    <row r="10" spans="1:12">
      <c r="A10" s="460" t="str">
        <f>Application!B720</f>
        <v>3 Bedrooms</v>
      </c>
      <c r="B10" s="1130">
        <f>Application!G720</f>
        <v>5</v>
      </c>
      <c r="C10" s="1131"/>
      <c r="D10" s="460">
        <f>Application!O720</f>
        <v>1726</v>
      </c>
      <c r="E10" s="461"/>
      <c r="F10" s="1132"/>
      <c r="G10" s="460">
        <f t="shared" si="0"/>
        <v>0</v>
      </c>
      <c r="H10" s="461"/>
      <c r="I10" s="460" t="str">
        <f t="shared" si="1"/>
        <v xml:space="preserve"> </v>
      </c>
      <c r="J10" s="460" t="str">
        <f t="shared" si="2"/>
        <v xml:space="preserve"> </v>
      </c>
      <c r="K10" s="218"/>
      <c r="L10" s="328"/>
    </row>
    <row r="11" spans="1:12">
      <c r="A11" s="460" t="str">
        <f>Application!B721</f>
        <v>3 Bedrooms</v>
      </c>
      <c r="B11" s="1130">
        <f>Application!G721</f>
        <v>3</v>
      </c>
      <c r="C11" s="1131"/>
      <c r="D11" s="460">
        <f>Application!O721</f>
        <v>2099</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950</v>
      </c>
      <c r="B30" s="463"/>
      <c r="C30" s="463"/>
      <c r="D30" s="464">
        <f>Application!O739</f>
        <v>111529</v>
      </c>
      <c r="E30" s="461"/>
      <c r="F30" s="461"/>
      <c r="G30" s="464">
        <f>SUM(G4:G28)*12</f>
        <v>0</v>
      </c>
      <c r="H30" s="465"/>
      <c r="I30" s="463"/>
      <c r="J30" s="464">
        <f>SUM(J4:J28)*12</f>
        <v>0</v>
      </c>
      <c r="K30" s="218"/>
      <c r="L30" s="329"/>
    </row>
    <row r="31" spans="1:12" ht="15">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2521</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8" zoomScaleNormal="100" zoomScaleSheetLayoutView="100" workbookViewId="0">
      <selection activeCell="G51" sqref="G51"/>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2511</v>
      </c>
      <c r="B1" s="226"/>
    </row>
    <row r="2" spans="1:34"/>
    <row r="3" spans="1:34" ht="15.75">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4.25">
      <c r="A4" s="235" t="s">
        <v>865</v>
      </c>
      <c r="C4" s="253">
        <v>1.0249999999999999</v>
      </c>
      <c r="E4" s="235">
        <f>Application!Y785</f>
        <v>1338348</v>
      </c>
      <c r="G4" s="235">
        <f>E4*$C$4</f>
        <v>1371806.7</v>
      </c>
      <c r="I4" s="235">
        <f>G4*$C$4</f>
        <v>1406101.8674999999</v>
      </c>
      <c r="K4" s="235">
        <f>I4*$C$4</f>
        <v>1441254.4141874998</v>
      </c>
      <c r="M4" s="235">
        <f>K4*$C$4</f>
        <v>1477285.7745421871</v>
      </c>
      <c r="O4" s="235">
        <f>M4*$C$4</f>
        <v>1514217.9189057418</v>
      </c>
      <c r="Q4" s="235">
        <f>O4*$C$4</f>
        <v>1552073.3668783852</v>
      </c>
      <c r="S4" s="235">
        <f>Q4*$C$4</f>
        <v>1590875.2010503446</v>
      </c>
      <c r="U4" s="235">
        <f>S4*$C$4</f>
        <v>1630647.0810766031</v>
      </c>
      <c r="W4" s="235">
        <f>U4*$C$4</f>
        <v>1671413.258103518</v>
      </c>
      <c r="Y4" s="235">
        <f>W4*$C$4</f>
        <v>1713198.5895561059</v>
      </c>
      <c r="AA4" s="235">
        <f>Y4*$C$4</f>
        <v>1756028.5542950083</v>
      </c>
      <c r="AC4" s="235">
        <f>AA4*$C$4</f>
        <v>1799929.2681523834</v>
      </c>
      <c r="AE4" s="235">
        <f>AC4*$C$4</f>
        <v>1844927.4998561929</v>
      </c>
      <c r="AG4" s="235">
        <f>AE4*$C$4</f>
        <v>1891050.6873525975</v>
      </c>
    </row>
    <row r="5" spans="1:34" s="225" customFormat="1" ht="14.25">
      <c r="B5" s="225" t="s">
        <v>866</v>
      </c>
      <c r="C5" s="254">
        <f>IF(Application!$D$210="Special Needs",0.1,0.05)</f>
        <v>0.05</v>
      </c>
      <c r="E5" s="237">
        <f>-E4*$C$5</f>
        <v>-66917.400000000009</v>
      </c>
      <c r="F5" s="237"/>
      <c r="G5" s="237">
        <f>-G4*$C$5</f>
        <v>-68590.335000000006</v>
      </c>
      <c r="H5" s="237"/>
      <c r="I5" s="237">
        <f>-I4*$C$5</f>
        <v>-70305.093374999997</v>
      </c>
      <c r="J5" s="237"/>
      <c r="K5" s="237">
        <f>-K4*$C$5</f>
        <v>-72062.720709374989</v>
      </c>
      <c r="L5" s="237"/>
      <c r="M5" s="237">
        <f>-M4*$C$5</f>
        <v>-73864.288727109364</v>
      </c>
      <c r="N5" s="237"/>
      <c r="O5" s="237">
        <f>-O4*$C$5</f>
        <v>-75710.895945287091</v>
      </c>
      <c r="P5" s="237"/>
      <c r="Q5" s="237">
        <f>-Q4*$C$5</f>
        <v>-77603.668343919257</v>
      </c>
      <c r="R5" s="237"/>
      <c r="S5" s="237">
        <f>-S4*$C$5</f>
        <v>-79543.760052517231</v>
      </c>
      <c r="T5" s="237"/>
      <c r="U5" s="237">
        <f>-U4*$C$5</f>
        <v>-81532.35405383016</v>
      </c>
      <c r="V5" s="237"/>
      <c r="W5" s="237">
        <f>-W4*$C$5</f>
        <v>-83570.662905175908</v>
      </c>
      <c r="X5" s="237"/>
      <c r="Y5" s="237">
        <f>-Y4*$C$5</f>
        <v>-85659.929477805301</v>
      </c>
      <c r="Z5" s="237"/>
      <c r="AA5" s="237">
        <f>-AA4*$C$5</f>
        <v>-87801.427714750418</v>
      </c>
      <c r="AB5" s="237"/>
      <c r="AC5" s="237">
        <f>-AC4*$C$5</f>
        <v>-89996.463407619172</v>
      </c>
      <c r="AD5" s="237"/>
      <c r="AE5" s="237">
        <f>-AE4*$C$5</f>
        <v>-92246.374992809651</v>
      </c>
      <c r="AF5" s="237"/>
      <c r="AG5" s="237">
        <f>-AG4*$C$5</f>
        <v>-94552.53436762988</v>
      </c>
    </row>
    <row r="6" spans="1:34" s="225" customFormat="1" ht="14.25">
      <c r="A6" s="225" t="s">
        <v>864</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866</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290</v>
      </c>
      <c r="C8" s="253">
        <v>1.0249999999999999</v>
      </c>
      <c r="E8" s="238">
        <f>Application!Z801</f>
        <v>11250</v>
      </c>
      <c r="F8" s="238"/>
      <c r="G8" s="238">
        <f>E8*$C$8</f>
        <v>11531.249999999998</v>
      </c>
      <c r="H8" s="238"/>
      <c r="I8" s="238">
        <f>G8*$C$8</f>
        <v>11819.531249999996</v>
      </c>
      <c r="J8" s="238"/>
      <c r="K8" s="238">
        <f>I8*$C$8</f>
        <v>12115.019531249995</v>
      </c>
      <c r="L8" s="238"/>
      <c r="M8" s="238">
        <f>K8*$C$8</f>
        <v>12417.895019531243</v>
      </c>
      <c r="N8" s="238"/>
      <c r="O8" s="238">
        <f>M8*$C$8</f>
        <v>12728.342395019523</v>
      </c>
      <c r="P8" s="238"/>
      <c r="Q8" s="238">
        <f>O8*$C$8</f>
        <v>13046.55095489501</v>
      </c>
      <c r="R8" s="238"/>
      <c r="S8" s="238">
        <f>Q8*$C$8</f>
        <v>13372.714728767385</v>
      </c>
      <c r="T8" s="238"/>
      <c r="U8" s="238">
        <f>S8*$C$8</f>
        <v>13707.032596986568</v>
      </c>
      <c r="V8" s="238"/>
      <c r="W8" s="238">
        <f>U8*$C$8</f>
        <v>14049.708411911231</v>
      </c>
      <c r="X8" s="238"/>
      <c r="Y8" s="238">
        <f>W8*$C$8</f>
        <v>14400.951122209011</v>
      </c>
      <c r="Z8" s="238"/>
      <c r="AA8" s="238">
        <f>Y8*$C$8</f>
        <v>14760.974900264235</v>
      </c>
      <c r="AB8" s="238"/>
      <c r="AC8" s="238">
        <f>AA8*$C$8</f>
        <v>15129.99927277084</v>
      </c>
      <c r="AD8" s="238"/>
      <c r="AE8" s="238">
        <f>AC8*$C$8</f>
        <v>15508.24925459011</v>
      </c>
      <c r="AF8" s="238"/>
      <c r="AG8" s="238">
        <f>AE8*$C$8</f>
        <v>15895.955485954861</v>
      </c>
    </row>
    <row r="9" spans="1:34" s="225" customFormat="1" ht="14.25">
      <c r="B9" s="225" t="s">
        <v>866</v>
      </c>
      <c r="C9" s="254">
        <f>IF(Application!$D$210="Special Needs",0.1,0.05)</f>
        <v>0.05</v>
      </c>
      <c r="E9" s="237">
        <f>-E8*$C$9</f>
        <v>-562.5</v>
      </c>
      <c r="F9" s="237"/>
      <c r="G9" s="237">
        <f>-G8*$C$9</f>
        <v>-576.56249999999989</v>
      </c>
      <c r="H9" s="237"/>
      <c r="I9" s="237">
        <f>-I8*$C$9</f>
        <v>-590.97656249999989</v>
      </c>
      <c r="J9" s="237"/>
      <c r="K9" s="237">
        <f>-K8*$C$9</f>
        <v>-605.75097656249977</v>
      </c>
      <c r="L9" s="237"/>
      <c r="M9" s="237">
        <f>-M8*$C$9</f>
        <v>-620.89475097656214</v>
      </c>
      <c r="N9" s="237"/>
      <c r="O9" s="237">
        <f>-O8*$C$9</f>
        <v>-636.41711975097621</v>
      </c>
      <c r="P9" s="237"/>
      <c r="Q9" s="237">
        <f>-Q8*$C$9</f>
        <v>-652.32754774475052</v>
      </c>
      <c r="R9" s="237"/>
      <c r="S9" s="237">
        <f>-S8*$C$9</f>
        <v>-668.63573643836935</v>
      </c>
      <c r="T9" s="237"/>
      <c r="U9" s="237">
        <f>-U8*$C$9</f>
        <v>-685.35162984932845</v>
      </c>
      <c r="V9" s="237"/>
      <c r="W9" s="237">
        <f>-W8*$C$9</f>
        <v>-702.48542059556166</v>
      </c>
      <c r="X9" s="237"/>
      <c r="Y9" s="237">
        <f>-Y8*$C$9</f>
        <v>-720.04755611045061</v>
      </c>
      <c r="Z9" s="237"/>
      <c r="AA9" s="237">
        <f>-AA8*$C$9</f>
        <v>-738.04874501321183</v>
      </c>
      <c r="AB9" s="237"/>
      <c r="AC9" s="237">
        <f>-AC8*$C$9</f>
        <v>-756.499963638542</v>
      </c>
      <c r="AD9" s="237"/>
      <c r="AE9" s="237">
        <f>-AE8*$C$9</f>
        <v>-775.41246272950548</v>
      </c>
      <c r="AF9" s="237"/>
      <c r="AG9" s="237">
        <f>-AG8*$C$9</f>
        <v>-794.7977742977431</v>
      </c>
    </row>
    <row r="10" spans="1:34" s="225" customFormat="1" ht="14.25">
      <c r="A10" s="1196" t="s">
        <v>2516</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887</v>
      </c>
      <c r="C11" s="231"/>
      <c r="E11" s="239">
        <f>SUM(E4:E10)</f>
        <v>1282118.1000000001</v>
      </c>
      <c r="G11" s="239">
        <f>SUM(G4:G10)</f>
        <v>1314171.0525</v>
      </c>
      <c r="I11" s="239">
        <f>SUM(I4:I10)</f>
        <v>1347025.3288125</v>
      </c>
      <c r="K11" s="239">
        <f>SUM(K4:K10)</f>
        <v>1380700.9620328122</v>
      </c>
      <c r="M11" s="239">
        <f>SUM(M4:M10)</f>
        <v>1415218.4860836326</v>
      </c>
      <c r="O11" s="239">
        <f>SUM(O4:O10)</f>
        <v>1450598.9482357232</v>
      </c>
      <c r="Q11" s="239">
        <f>SUM(Q4:Q10)</f>
        <v>1486863.9219416161</v>
      </c>
      <c r="S11" s="239">
        <f>SUM(S4:S10)</f>
        <v>1524035.5199901562</v>
      </c>
      <c r="U11" s="239">
        <f>SUM(U4:U10)</f>
        <v>1562136.4079899101</v>
      </c>
      <c r="W11" s="239">
        <f>SUM(W4:W10)</f>
        <v>1601189.8181896578</v>
      </c>
      <c r="Y11" s="239">
        <f>SUM(Y4:Y10)</f>
        <v>1641219.5636443992</v>
      </c>
      <c r="AA11" s="239">
        <f>SUM(AA4:AA10)</f>
        <v>1682250.0527355089</v>
      </c>
      <c r="AC11" s="239">
        <f>SUM(AC4:AC10)</f>
        <v>1724306.3040538966</v>
      </c>
      <c r="AE11" s="239">
        <f>SUM(AE4:AE10)</f>
        <v>1767413.9616552438</v>
      </c>
      <c r="AG11" s="239">
        <f>SUM(AG4:AG10)</f>
        <v>1811599.3106966249</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869</v>
      </c>
      <c r="C15" s="185"/>
      <c r="E15" s="235">
        <f>Application!W831</f>
        <v>76377</v>
      </c>
      <c r="G15" s="235">
        <f>E15*$C$14</f>
        <v>79050.194999999992</v>
      </c>
      <c r="I15" s="235">
        <f>G15*$C$14</f>
        <v>81816.951824999982</v>
      </c>
      <c r="K15" s="235">
        <f>I15*$C$14</f>
        <v>84680.545138874979</v>
      </c>
      <c r="M15" s="235">
        <f>K15*$C$14</f>
        <v>87644.364218735602</v>
      </c>
      <c r="O15" s="235">
        <f>M15*$C$14</f>
        <v>90711.916966391334</v>
      </c>
      <c r="Q15" s="235">
        <f>O15*$C$14</f>
        <v>93886.834060215027</v>
      </c>
      <c r="S15" s="235">
        <f>Q15*$C$14</f>
        <v>97172.873252322548</v>
      </c>
      <c r="U15" s="235">
        <f>S15*$C$14</f>
        <v>100573.92381615382</v>
      </c>
      <c r="W15" s="235">
        <f>U15*$C$14</f>
        <v>104094.0111497192</v>
      </c>
      <c r="Y15" s="235">
        <f>W15*$C$14</f>
        <v>107737.30153995936</v>
      </c>
      <c r="AA15" s="235">
        <f>Y15*$C$14</f>
        <v>111508.10709385792</v>
      </c>
      <c r="AC15" s="235">
        <f>AA15*$C$14</f>
        <v>115410.89084214294</v>
      </c>
      <c r="AE15" s="235">
        <f>AC15*$C$14</f>
        <v>119450.27202161793</v>
      </c>
      <c r="AG15" s="235">
        <f>AE15*$C$14</f>
        <v>123631.03154237455</v>
      </c>
    </row>
    <row r="16" spans="1:34" s="225" customFormat="1" ht="14.25">
      <c r="A16" s="225" t="s">
        <v>346</v>
      </c>
      <c r="C16" s="249"/>
      <c r="E16" s="238">
        <f>Application!W833</f>
        <v>59894</v>
      </c>
      <c r="F16" s="238"/>
      <c r="G16" s="238">
        <f t="shared" ref="G16:AG21" si="0">E16*$C$14</f>
        <v>61990.289999999994</v>
      </c>
      <c r="H16" s="238"/>
      <c r="I16" s="238">
        <f t="shared" si="0"/>
        <v>64159.95014999999</v>
      </c>
      <c r="J16" s="238"/>
      <c r="K16" s="238">
        <f t="shared" si="0"/>
        <v>66405.548405249981</v>
      </c>
      <c r="L16" s="238"/>
      <c r="M16" s="238">
        <f t="shared" si="0"/>
        <v>68729.742599433725</v>
      </c>
      <c r="N16" s="238"/>
      <c r="O16" s="238">
        <f t="shared" si="0"/>
        <v>71135.283590413906</v>
      </c>
      <c r="P16" s="238"/>
      <c r="Q16" s="238">
        <f t="shared" si="0"/>
        <v>73625.018516078388</v>
      </c>
      <c r="R16" s="238"/>
      <c r="S16" s="238">
        <f t="shared" si="0"/>
        <v>76201.894164141122</v>
      </c>
      <c r="T16" s="238"/>
      <c r="U16" s="238">
        <f t="shared" si="0"/>
        <v>78868.960459886061</v>
      </c>
      <c r="V16" s="238"/>
      <c r="W16" s="238">
        <f t="shared" si="0"/>
        <v>81629.374075982065</v>
      </c>
      <c r="X16" s="238"/>
      <c r="Y16" s="238">
        <f t="shared" si="0"/>
        <v>84486.402168641434</v>
      </c>
      <c r="Z16" s="238"/>
      <c r="AA16" s="238">
        <f t="shared" si="0"/>
        <v>87443.42624454388</v>
      </c>
      <c r="AB16" s="238"/>
      <c r="AC16" s="238">
        <f t="shared" si="0"/>
        <v>90503.946163102912</v>
      </c>
      <c r="AD16" s="238"/>
      <c r="AE16" s="238">
        <f t="shared" si="0"/>
        <v>93671.584278811511</v>
      </c>
      <c r="AF16" s="238"/>
      <c r="AG16" s="238">
        <f t="shared" si="0"/>
        <v>96950.089728569903</v>
      </c>
    </row>
    <row r="17" spans="1:33" s="225" customFormat="1" ht="14.25">
      <c r="A17" s="225" t="s">
        <v>570</v>
      </c>
      <c r="C17" s="249"/>
      <c r="E17" s="238">
        <f>Application!W839</f>
        <v>67816</v>
      </c>
      <c r="F17" s="238"/>
      <c r="G17" s="238">
        <f t="shared" si="0"/>
        <v>70189.56</v>
      </c>
      <c r="H17" s="238"/>
      <c r="I17" s="238">
        <f t="shared" si="0"/>
        <v>72646.194599999988</v>
      </c>
      <c r="J17" s="238"/>
      <c r="K17" s="238">
        <f t="shared" si="0"/>
        <v>75188.811410999988</v>
      </c>
      <c r="L17" s="238"/>
      <c r="M17" s="238">
        <f t="shared" si="0"/>
        <v>77820.419810384978</v>
      </c>
      <c r="N17" s="238"/>
      <c r="O17" s="238">
        <f t="shared" si="0"/>
        <v>80544.134503748443</v>
      </c>
      <c r="P17" s="238"/>
      <c r="Q17" s="238">
        <f t="shared" si="0"/>
        <v>83363.179211379625</v>
      </c>
      <c r="R17" s="238"/>
      <c r="S17" s="238">
        <f t="shared" si="0"/>
        <v>86280.890483777912</v>
      </c>
      <c r="T17" s="238"/>
      <c r="U17" s="238">
        <f t="shared" si="0"/>
        <v>89300.721650710126</v>
      </c>
      <c r="V17" s="238"/>
      <c r="W17" s="238">
        <f t="shared" si="0"/>
        <v>92426.246908484973</v>
      </c>
      <c r="X17" s="238"/>
      <c r="Y17" s="238">
        <f t="shared" si="0"/>
        <v>95661.165550281934</v>
      </c>
      <c r="Z17" s="238"/>
      <c r="AA17" s="238">
        <f t="shared" si="0"/>
        <v>99009.306344541794</v>
      </c>
      <c r="AB17" s="238"/>
      <c r="AC17" s="238">
        <f t="shared" si="0"/>
        <v>102474.63206660075</v>
      </c>
      <c r="AD17" s="238"/>
      <c r="AE17" s="238">
        <f t="shared" si="0"/>
        <v>106061.24418893177</v>
      </c>
      <c r="AF17" s="238"/>
      <c r="AG17" s="238">
        <f t="shared" si="0"/>
        <v>109773.38773554437</v>
      </c>
    </row>
    <row r="18" spans="1:33" s="225" customFormat="1" ht="14.25">
      <c r="A18" s="225" t="s">
        <v>870</v>
      </c>
      <c r="C18" s="249"/>
      <c r="E18" s="238">
        <f>Application!W846</f>
        <v>139178</v>
      </c>
      <c r="F18" s="238"/>
      <c r="G18" s="238">
        <f t="shared" si="0"/>
        <v>144049.22999999998</v>
      </c>
      <c r="H18" s="238"/>
      <c r="I18" s="238">
        <f t="shared" si="0"/>
        <v>149090.95304999998</v>
      </c>
      <c r="J18" s="238"/>
      <c r="K18" s="238">
        <f t="shared" si="0"/>
        <v>154309.13640674998</v>
      </c>
      <c r="L18" s="238"/>
      <c r="M18" s="238">
        <f t="shared" si="0"/>
        <v>159709.95618098622</v>
      </c>
      <c r="N18" s="238"/>
      <c r="O18" s="238">
        <f t="shared" si="0"/>
        <v>165299.80464732074</v>
      </c>
      <c r="P18" s="238"/>
      <c r="Q18" s="238">
        <f t="shared" si="0"/>
        <v>171085.29780997694</v>
      </c>
      <c r="R18" s="238"/>
      <c r="S18" s="238">
        <f t="shared" si="0"/>
        <v>177073.28323332613</v>
      </c>
      <c r="T18" s="238"/>
      <c r="U18" s="238">
        <f t="shared" si="0"/>
        <v>183270.84814649253</v>
      </c>
      <c r="V18" s="238"/>
      <c r="W18" s="238">
        <f t="shared" si="0"/>
        <v>189685.32783161974</v>
      </c>
      <c r="X18" s="238"/>
      <c r="Y18" s="238">
        <f t="shared" si="0"/>
        <v>196324.31430572641</v>
      </c>
      <c r="Z18" s="238"/>
      <c r="AA18" s="238">
        <f t="shared" si="0"/>
        <v>203195.66530642682</v>
      </c>
      <c r="AB18" s="238"/>
      <c r="AC18" s="238">
        <f t="shared" si="0"/>
        <v>210307.51359215175</v>
      </c>
      <c r="AD18" s="238"/>
      <c r="AE18" s="238">
        <f t="shared" si="0"/>
        <v>217668.27656787704</v>
      </c>
      <c r="AF18" s="238"/>
      <c r="AG18" s="238">
        <f t="shared" si="0"/>
        <v>225286.66624775273</v>
      </c>
    </row>
    <row r="19" spans="1:33" s="225" customFormat="1" ht="14.25">
      <c r="A19" s="225" t="s">
        <v>156</v>
      </c>
      <c r="C19" s="249"/>
      <c r="E19" s="238">
        <f>Application!W847</f>
        <v>32177</v>
      </c>
      <c r="F19" s="238"/>
      <c r="G19" s="238">
        <f t="shared" si="0"/>
        <v>33303.195</v>
      </c>
      <c r="H19" s="238"/>
      <c r="I19" s="238">
        <f t="shared" si="0"/>
        <v>34468.806825</v>
      </c>
      <c r="J19" s="238"/>
      <c r="K19" s="238">
        <f t="shared" si="0"/>
        <v>35675.215063874995</v>
      </c>
      <c r="L19" s="238"/>
      <c r="M19" s="238">
        <f t="shared" si="0"/>
        <v>36923.847591110614</v>
      </c>
      <c r="N19" s="238"/>
      <c r="O19" s="238">
        <f t="shared" si="0"/>
        <v>38216.182256799482</v>
      </c>
      <c r="P19" s="238"/>
      <c r="Q19" s="238">
        <f t="shared" si="0"/>
        <v>39553.748635787459</v>
      </c>
      <c r="R19" s="238"/>
      <c r="S19" s="238">
        <f t="shared" si="0"/>
        <v>40938.129838040019</v>
      </c>
      <c r="T19" s="238"/>
      <c r="U19" s="238">
        <f t="shared" si="0"/>
        <v>42370.964382371414</v>
      </c>
      <c r="V19" s="238"/>
      <c r="W19" s="238">
        <f t="shared" si="0"/>
        <v>43853.948135754414</v>
      </c>
      <c r="X19" s="238"/>
      <c r="Y19" s="238">
        <f t="shared" si="0"/>
        <v>45388.836320505812</v>
      </c>
      <c r="Z19" s="238"/>
      <c r="AA19" s="238">
        <f t="shared" si="0"/>
        <v>46977.44559172351</v>
      </c>
      <c r="AB19" s="238"/>
      <c r="AC19" s="238">
        <f t="shared" si="0"/>
        <v>48621.656187433829</v>
      </c>
      <c r="AD19" s="238"/>
      <c r="AE19" s="238">
        <f t="shared" si="0"/>
        <v>50323.41415399401</v>
      </c>
      <c r="AF19" s="238"/>
      <c r="AG19" s="238">
        <f t="shared" si="0"/>
        <v>52084.733649383794</v>
      </c>
    </row>
    <row r="20" spans="1:33" s="225" customFormat="1" ht="14.25">
      <c r="A20" s="225" t="s">
        <v>392</v>
      </c>
      <c r="C20" s="249"/>
      <c r="E20" s="238">
        <f>Application!W856</f>
        <v>185490</v>
      </c>
      <c r="F20" s="238"/>
      <c r="G20" s="238">
        <f t="shared" si="0"/>
        <v>191982.15</v>
      </c>
      <c r="H20" s="238"/>
      <c r="I20" s="238">
        <f t="shared" si="0"/>
        <v>198701.52524999998</v>
      </c>
      <c r="J20" s="238"/>
      <c r="K20" s="238">
        <f t="shared" si="0"/>
        <v>205656.07863374997</v>
      </c>
      <c r="L20" s="238"/>
      <c r="M20" s="238">
        <f t="shared" si="0"/>
        <v>212854.0413859312</v>
      </c>
      <c r="N20" s="238"/>
      <c r="O20" s="238">
        <f t="shared" si="0"/>
        <v>220303.93283443878</v>
      </c>
      <c r="P20" s="238"/>
      <c r="Q20" s="238">
        <f t="shared" si="0"/>
        <v>228014.57048364411</v>
      </c>
      <c r="R20" s="238"/>
      <c r="S20" s="238">
        <f t="shared" si="0"/>
        <v>235995.08045057164</v>
      </c>
      <c r="T20" s="238"/>
      <c r="U20" s="238">
        <f t="shared" si="0"/>
        <v>244254.90826634163</v>
      </c>
      <c r="V20" s="238"/>
      <c r="W20" s="238">
        <f t="shared" si="0"/>
        <v>252803.83005566357</v>
      </c>
      <c r="X20" s="238"/>
      <c r="Y20" s="238">
        <f t="shared" si="0"/>
        <v>261651.96410761177</v>
      </c>
      <c r="Z20" s="238"/>
      <c r="AA20" s="238">
        <f t="shared" si="0"/>
        <v>270809.78285137814</v>
      </c>
      <c r="AB20" s="238"/>
      <c r="AC20" s="238">
        <f t="shared" si="0"/>
        <v>280288.12525117636</v>
      </c>
      <c r="AD20" s="238"/>
      <c r="AE20" s="238">
        <f t="shared" si="0"/>
        <v>290098.2096349675</v>
      </c>
      <c r="AF20" s="238"/>
      <c r="AG20" s="238">
        <f t="shared" si="0"/>
        <v>300251.64697219135</v>
      </c>
    </row>
    <row r="21" spans="1:33" s="225" customFormat="1" ht="14.25">
      <c r="A21" s="242" t="s">
        <v>1002</v>
      </c>
      <c r="B21" s="242"/>
      <c r="C21" s="249"/>
      <c r="E21" s="248">
        <f>Application!W863</f>
        <v>824</v>
      </c>
      <c r="F21" s="238"/>
      <c r="G21" s="248">
        <f t="shared" si="0"/>
        <v>852.83999999999992</v>
      </c>
      <c r="H21" s="238"/>
      <c r="I21" s="248">
        <f t="shared" si="0"/>
        <v>882.68939999999986</v>
      </c>
      <c r="J21" s="238"/>
      <c r="K21" s="248">
        <f t="shared" si="0"/>
        <v>913.58352899999977</v>
      </c>
      <c r="L21" s="238"/>
      <c r="M21" s="248">
        <f t="shared" si="0"/>
        <v>945.55895251499965</v>
      </c>
      <c r="N21" s="238"/>
      <c r="O21" s="248">
        <f t="shared" si="0"/>
        <v>978.6535158530246</v>
      </c>
      <c r="P21" s="238"/>
      <c r="Q21" s="248">
        <f t="shared" si="0"/>
        <v>1012.9063889078803</v>
      </c>
      <c r="R21" s="238"/>
      <c r="S21" s="248">
        <f t="shared" si="0"/>
        <v>1048.3581125196561</v>
      </c>
      <c r="T21" s="238"/>
      <c r="U21" s="248">
        <f t="shared" si="0"/>
        <v>1085.0506464578439</v>
      </c>
      <c r="V21" s="238"/>
      <c r="W21" s="248">
        <f t="shared" si="0"/>
        <v>1123.0274190838684</v>
      </c>
      <c r="X21" s="238"/>
      <c r="Y21" s="248">
        <f t="shared" si="0"/>
        <v>1162.3333787518036</v>
      </c>
      <c r="Z21" s="238"/>
      <c r="AA21" s="248">
        <f t="shared" si="0"/>
        <v>1203.0150470081167</v>
      </c>
      <c r="AB21" s="238"/>
      <c r="AC21" s="248">
        <f t="shared" si="0"/>
        <v>1245.1205736534007</v>
      </c>
      <c r="AD21" s="238"/>
      <c r="AE21" s="248">
        <f t="shared" si="0"/>
        <v>1288.6997937312697</v>
      </c>
      <c r="AF21" s="238"/>
      <c r="AG21" s="248">
        <f t="shared" si="0"/>
        <v>1333.8042865118639</v>
      </c>
    </row>
    <row r="22" spans="1:33" s="239" customFormat="1" ht="15">
      <c r="A22" s="239" t="s">
        <v>871</v>
      </c>
      <c r="C22" s="249"/>
      <c r="E22" s="239">
        <f>SUM(E15:E21)</f>
        <v>561756</v>
      </c>
      <c r="G22" s="239">
        <f>SUM(G15:G21)</f>
        <v>581417.46</v>
      </c>
      <c r="I22" s="239">
        <f>SUM(I15:I21)</f>
        <v>601767.07109999994</v>
      </c>
      <c r="K22" s="239">
        <f>SUM(K15:K21)</f>
        <v>622828.91858849989</v>
      </c>
      <c r="M22" s="239">
        <f>SUM(M15:M21)</f>
        <v>644627.9307390973</v>
      </c>
      <c r="O22" s="239">
        <f>SUM(O15:O21)</f>
        <v>667189.90831496567</v>
      </c>
      <c r="Q22" s="239">
        <f>SUM(Q15:Q21)</f>
        <v>690541.55510598945</v>
      </c>
      <c r="S22" s="239">
        <f>SUM(S15:S21)</f>
        <v>714710.50953469903</v>
      </c>
      <c r="U22" s="239">
        <f>SUM(U15:U21)</f>
        <v>739725.37736841338</v>
      </c>
      <c r="W22" s="239">
        <f>SUM(W15:W21)</f>
        <v>765615.76557630789</v>
      </c>
      <c r="Y22" s="239">
        <f>SUM(Y15:Y21)</f>
        <v>792412.31737147854</v>
      </c>
      <c r="AA22" s="239">
        <f>SUM(AA15:AA21)</f>
        <v>820146.74847948016</v>
      </c>
      <c r="AC22" s="239">
        <f>SUM(AC15:AC21)</f>
        <v>848851.8846762618</v>
      </c>
      <c r="AE22" s="239">
        <f>SUM(AE15:AE21)</f>
        <v>878561.70063993102</v>
      </c>
      <c r="AG22" s="239">
        <f>SUM(AG15:AG21)</f>
        <v>909311.36016232846</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1941</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1301</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873</v>
      </c>
      <c r="C27" s="253">
        <v>1.0249999999999999</v>
      </c>
      <c r="E27" s="238">
        <f>Application!AC872</f>
        <v>25297</v>
      </c>
      <c r="F27" s="238"/>
      <c r="G27" s="238">
        <f>E27*$C$27</f>
        <v>25929.424999999999</v>
      </c>
      <c r="H27" s="238"/>
      <c r="I27" s="238">
        <f>G27*$C$27</f>
        <v>26577.660624999997</v>
      </c>
      <c r="J27" s="238"/>
      <c r="K27" s="238">
        <f>I27*$C$27</f>
        <v>27242.102140624993</v>
      </c>
      <c r="L27" s="238"/>
      <c r="M27" s="238">
        <f>K27*$C$27</f>
        <v>27923.154694140616</v>
      </c>
      <c r="N27" s="238"/>
      <c r="O27" s="238">
        <f>M27*$C$27</f>
        <v>28621.233561494129</v>
      </c>
      <c r="P27" s="238"/>
      <c r="Q27" s="238">
        <f>O27*$C$27</f>
        <v>29336.76440053148</v>
      </c>
      <c r="R27" s="238"/>
      <c r="S27" s="238">
        <f>Q27*$C$27</f>
        <v>30070.183510544764</v>
      </c>
      <c r="T27" s="238"/>
      <c r="U27" s="238">
        <f>S27*$C$27</f>
        <v>30821.938098308379</v>
      </c>
      <c r="V27" s="238"/>
      <c r="W27" s="238">
        <f>U27*$C$27</f>
        <v>31592.486550766087</v>
      </c>
      <c r="X27" s="238"/>
      <c r="Y27" s="238">
        <f>W27*$C$27</f>
        <v>32382.298714535238</v>
      </c>
      <c r="Z27" s="238"/>
      <c r="AA27" s="238">
        <f>Y27*$C$27</f>
        <v>33191.856182398617</v>
      </c>
      <c r="AB27" s="238"/>
      <c r="AC27" s="238">
        <f>AA27*$C$27</f>
        <v>34021.652586958582</v>
      </c>
      <c r="AD27" s="238"/>
      <c r="AE27" s="238">
        <f>AC27*$C$27</f>
        <v>34872.193901632541</v>
      </c>
      <c r="AF27" s="238"/>
      <c r="AG27" s="238">
        <f>AE27*$C$27</f>
        <v>35743.998749173348</v>
      </c>
    </row>
    <row r="28" spans="1:33" s="225" customFormat="1" ht="14.25">
      <c r="A28" s="225" t="s">
        <v>874</v>
      </c>
      <c r="C28" s="253"/>
      <c r="E28" s="238">
        <f>Application!AC873</f>
        <v>22800</v>
      </c>
      <c r="F28" s="238"/>
      <c r="G28" s="238">
        <f>$E$28</f>
        <v>22800</v>
      </c>
      <c r="H28" s="238"/>
      <c r="I28" s="238">
        <f>$E$28</f>
        <v>22800</v>
      </c>
      <c r="J28" s="238"/>
      <c r="K28" s="238">
        <f>$E$28</f>
        <v>22800</v>
      </c>
      <c r="L28" s="238"/>
      <c r="M28" s="238">
        <f>$E$28</f>
        <v>22800</v>
      </c>
      <c r="N28" s="238"/>
      <c r="O28" s="238">
        <f>$E$28</f>
        <v>22800</v>
      </c>
      <c r="P28" s="238"/>
      <c r="Q28" s="238">
        <f>$E$28</f>
        <v>22800</v>
      </c>
      <c r="R28" s="238"/>
      <c r="S28" s="238">
        <f>$E$28</f>
        <v>22800</v>
      </c>
      <c r="T28" s="238"/>
      <c r="U28" s="238">
        <f>$E$28</f>
        <v>22800</v>
      </c>
      <c r="V28" s="238"/>
      <c r="W28" s="238">
        <f>$E$28</f>
        <v>22800</v>
      </c>
      <c r="X28" s="238"/>
      <c r="Y28" s="238">
        <f>$E$28</f>
        <v>22800</v>
      </c>
      <c r="Z28" s="238"/>
      <c r="AA28" s="238">
        <f>$E$28</f>
        <v>22800</v>
      </c>
      <c r="AB28" s="238"/>
      <c r="AC28" s="238">
        <f>$E$28</f>
        <v>22800</v>
      </c>
      <c r="AD28" s="238"/>
      <c r="AE28" s="238">
        <f>$E$28</f>
        <v>22800</v>
      </c>
      <c r="AF28" s="238"/>
      <c r="AG28" s="238">
        <f>$E$28</f>
        <v>22800</v>
      </c>
    </row>
    <row r="29" spans="1:33" s="225" customFormat="1" ht="14.25">
      <c r="A29" s="225" t="s">
        <v>1939</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872</v>
      </c>
      <c r="C30" s="253">
        <v>1.02</v>
      </c>
      <c r="E30" s="238">
        <f>Application!AC875</f>
        <v>29532</v>
      </c>
      <c r="F30" s="238"/>
      <c r="G30" s="238">
        <f>E30*$C$30</f>
        <v>30122.639999999999</v>
      </c>
      <c r="H30" s="238"/>
      <c r="I30" s="238">
        <f>G30*$C$30</f>
        <v>30725.092799999999</v>
      </c>
      <c r="J30" s="238"/>
      <c r="K30" s="238">
        <f>I30*$C$30</f>
        <v>31339.594655999997</v>
      </c>
      <c r="L30" s="238"/>
      <c r="M30" s="238">
        <f>K30*$C$30</f>
        <v>31966.386549119998</v>
      </c>
      <c r="N30" s="238"/>
      <c r="O30" s="238">
        <f>M30*$C$30</f>
        <v>32605.714280102398</v>
      </c>
      <c r="P30" s="238"/>
      <c r="Q30" s="238">
        <f>O30*$C$30</f>
        <v>33257.828565704447</v>
      </c>
      <c r="R30" s="238"/>
      <c r="S30" s="238">
        <f>Q30*$C$30</f>
        <v>33922.985137018535</v>
      </c>
      <c r="T30" s="238"/>
      <c r="U30" s="238">
        <f>S30*$C$30</f>
        <v>34601.444839758908</v>
      </c>
      <c r="V30" s="238"/>
      <c r="W30" s="238">
        <f>U30*$C$30</f>
        <v>35293.473736554086</v>
      </c>
      <c r="X30" s="238"/>
      <c r="Y30" s="238">
        <f>W30*$C$30</f>
        <v>35999.343211285166</v>
      </c>
      <c r="Z30" s="238"/>
      <c r="AA30" s="238">
        <f>Y30*$C$30</f>
        <v>36719.330075510872</v>
      </c>
      <c r="AB30" s="238"/>
      <c r="AC30" s="238">
        <f>AA30*$C$30</f>
        <v>37453.71667702109</v>
      </c>
      <c r="AD30" s="238"/>
      <c r="AE30" s="238">
        <f>AC30*$C$30</f>
        <v>38202.791010561516</v>
      </c>
      <c r="AF30" s="238"/>
      <c r="AG30" s="238">
        <f>AE30*$C$30</f>
        <v>38966.846830772745</v>
      </c>
    </row>
    <row r="31" spans="1:33" s="225" customFormat="1" ht="14.25">
      <c r="A31" s="225" t="s">
        <v>1940</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639385</v>
      </c>
      <c r="G35" s="239">
        <f>SUM(G22:G33)</f>
        <v>660269.52500000002</v>
      </c>
      <c r="I35" s="239">
        <f>SUM(I22:I33)</f>
        <v>681869.82452499995</v>
      </c>
      <c r="K35" s="239">
        <f>SUM(K22:K33)</f>
        <v>704210.61538512493</v>
      </c>
      <c r="M35" s="239">
        <f>SUM(M22:M33)</f>
        <v>727317.47198235791</v>
      </c>
      <c r="O35" s="239">
        <f>SUM(O22:O33)</f>
        <v>751216.85615656222</v>
      </c>
      <c r="Q35" s="239">
        <f>SUM(Q22:Q33)</f>
        <v>775936.14807222527</v>
      </c>
      <c r="S35" s="239">
        <f>SUM(S22:S33)</f>
        <v>801503.67818226223</v>
      </c>
      <c r="U35" s="239">
        <f>SUM(U22:U33)</f>
        <v>827948.76030648069</v>
      </c>
      <c r="W35" s="239">
        <f>SUM(W22:W33)</f>
        <v>855301.72586362797</v>
      </c>
      <c r="Y35" s="239">
        <f>SUM(Y22:Y33)</f>
        <v>883593.95929729892</v>
      </c>
      <c r="AA35" s="239">
        <f>SUM(AA22:AA33)</f>
        <v>912857.93473738967</v>
      </c>
      <c r="AC35" s="239">
        <f>SUM(AC22:AC33)</f>
        <v>943127.25394024153</v>
      </c>
      <c r="AE35" s="239">
        <f>SUM(AE22:AE33)</f>
        <v>974436.6855521251</v>
      </c>
      <c r="AG35" s="239">
        <f>SUM(AG22:AG33)</f>
        <v>1006822.2057422745</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875</v>
      </c>
      <c r="C37" s="240"/>
      <c r="E37" s="239">
        <f>E11-E35</f>
        <v>642733.10000000009</v>
      </c>
      <c r="G37" s="239">
        <f>G11-G35</f>
        <v>653901.52749999997</v>
      </c>
      <c r="I37" s="239">
        <f>I11-I35</f>
        <v>665155.50428750005</v>
      </c>
      <c r="K37" s="239">
        <f>K11-K35</f>
        <v>676490.34664768726</v>
      </c>
      <c r="M37" s="239">
        <f>M11-M35</f>
        <v>687901.01410127466</v>
      </c>
      <c r="O37" s="239">
        <f>O11-O35</f>
        <v>699382.09207916097</v>
      </c>
      <c r="Q37" s="239">
        <f>Q11-Q35</f>
        <v>710927.77386939083</v>
      </c>
      <c r="S37" s="239">
        <f>S11-S35</f>
        <v>722531.84180789394</v>
      </c>
      <c r="U37" s="239">
        <f>U11-U35</f>
        <v>734187.64768342942</v>
      </c>
      <c r="W37" s="239">
        <f>W11-W35</f>
        <v>745888.09232602979</v>
      </c>
      <c r="Y37" s="239">
        <f>Y11-Y35</f>
        <v>757625.60434710025</v>
      </c>
      <c r="AA37" s="239">
        <f>AA11-AA35</f>
        <v>769392.11799811921</v>
      </c>
      <c r="AC37" s="239">
        <f>AC11-AC35</f>
        <v>781179.05011365504</v>
      </c>
      <c r="AE37" s="239">
        <f>AE11-AE35</f>
        <v>792977.27610311867</v>
      </c>
      <c r="AG37" s="239">
        <f>AG11-AG35</f>
        <v>804777.10495435039</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Perm Bond Proceeds - Chase</v>
      </c>
      <c r="B40" s="242"/>
      <c r="C40" s="236"/>
      <c r="E40" s="238">
        <f>Application!AF623</f>
        <v>535611.93356407504</v>
      </c>
      <c r="F40" s="238"/>
      <c r="G40" s="238">
        <f>$E$40</f>
        <v>535611.93356407504</v>
      </c>
      <c r="H40" s="238"/>
      <c r="I40" s="238">
        <f>$E$40</f>
        <v>535611.93356407504</v>
      </c>
      <c r="J40" s="238"/>
      <c r="K40" s="238">
        <f>$E$40</f>
        <v>535611.93356407504</v>
      </c>
      <c r="L40" s="238"/>
      <c r="M40" s="238">
        <f>$E$40</f>
        <v>535611.93356407504</v>
      </c>
      <c r="N40" s="238"/>
      <c r="O40" s="238">
        <f>$E$40</f>
        <v>535611.93356407504</v>
      </c>
      <c r="P40" s="238"/>
      <c r="Q40" s="238">
        <f>$E$40</f>
        <v>535611.93356407504</v>
      </c>
      <c r="R40" s="238"/>
      <c r="S40" s="238">
        <f>$E$40</f>
        <v>535611.93356407504</v>
      </c>
      <c r="T40" s="238"/>
      <c r="U40" s="238">
        <f>$E$40</f>
        <v>535611.93356407504</v>
      </c>
      <c r="V40" s="238"/>
      <c r="W40" s="238">
        <f>$E$40</f>
        <v>535611.93356407504</v>
      </c>
      <c r="X40" s="238"/>
      <c r="Y40" s="238">
        <f>$E$40</f>
        <v>535611.93356407504</v>
      </c>
      <c r="Z40" s="238"/>
      <c r="AA40" s="238">
        <f>$E$40</f>
        <v>535611.93356407504</v>
      </c>
      <c r="AB40" s="238"/>
      <c r="AC40" s="238">
        <f>$E$40</f>
        <v>535611.93356407504</v>
      </c>
      <c r="AD40" s="238"/>
      <c r="AE40" s="238">
        <f>$E$40</f>
        <v>535611.93356407504</v>
      </c>
      <c r="AF40" s="238"/>
      <c r="AG40" s="238">
        <f>$E$40</f>
        <v>535611.93356407504</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876</v>
      </c>
      <c r="C43" s="240"/>
      <c r="E43" s="239">
        <f>SUM(E40:E42)</f>
        <v>535611.93356407504</v>
      </c>
      <c r="G43" s="239">
        <f>SUM(G40:G42)</f>
        <v>535611.93356407504</v>
      </c>
      <c r="I43" s="239">
        <f>SUM(I40:I42)</f>
        <v>535611.93356407504</v>
      </c>
      <c r="K43" s="239">
        <f>SUM(K40:K42)</f>
        <v>535611.93356407504</v>
      </c>
      <c r="M43" s="239">
        <f>SUM(M40:M42)</f>
        <v>535611.93356407504</v>
      </c>
      <c r="O43" s="239">
        <f>SUM(O40:O42)</f>
        <v>535611.93356407504</v>
      </c>
      <c r="Q43" s="239">
        <f>SUM(Q40:Q42)</f>
        <v>535611.93356407504</v>
      </c>
      <c r="S43" s="239">
        <f>SUM(S40:S42)</f>
        <v>535611.93356407504</v>
      </c>
      <c r="U43" s="239">
        <f>SUM(U40:U42)</f>
        <v>535611.93356407504</v>
      </c>
      <c r="W43" s="239">
        <f>SUM(W40:W42)</f>
        <v>535611.93356407504</v>
      </c>
      <c r="Y43" s="239">
        <f>SUM(Y40:Y42)</f>
        <v>535611.93356407504</v>
      </c>
      <c r="AA43" s="239">
        <f>SUM(AA40:AA42)</f>
        <v>535611.93356407504</v>
      </c>
      <c r="AC43" s="239">
        <f>SUM(AC40:AC42)</f>
        <v>535611.93356407504</v>
      </c>
      <c r="AE43" s="239">
        <f>SUM(AE40:AE42)</f>
        <v>535611.93356407504</v>
      </c>
      <c r="AG43" s="239">
        <f>SUM(AG40:AG42)</f>
        <v>535611.93356407504</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877</v>
      </c>
      <c r="C45" s="240"/>
      <c r="E45" s="239">
        <f>E37-E43</f>
        <v>107121.16643592506</v>
      </c>
      <c r="G45" s="239">
        <f>G37-G43</f>
        <v>118289.59393592493</v>
      </c>
      <c r="I45" s="239">
        <f>I37-I43</f>
        <v>129543.57072342501</v>
      </c>
      <c r="K45" s="239">
        <f>K37-K43</f>
        <v>140878.41308361222</v>
      </c>
      <c r="M45" s="239">
        <f>M37-M43</f>
        <v>152289.08053719962</v>
      </c>
      <c r="O45" s="239">
        <f>O37-O43</f>
        <v>163770.15851508593</v>
      </c>
      <c r="Q45" s="239">
        <f>Q37-Q43</f>
        <v>175315.8403053158</v>
      </c>
      <c r="S45" s="239">
        <f>S37-S43</f>
        <v>186919.90824381891</v>
      </c>
      <c r="U45" s="239">
        <f>U37-U43</f>
        <v>198575.71411935438</v>
      </c>
      <c r="W45" s="239">
        <f>W37-W43</f>
        <v>210276.15876195475</v>
      </c>
      <c r="Y45" s="239">
        <f>Y37-Y43</f>
        <v>222013.67078302521</v>
      </c>
      <c r="AA45" s="239">
        <f>AA37-AA43</f>
        <v>233780.18443404417</v>
      </c>
      <c r="AC45" s="239">
        <f>AC37-AC43</f>
        <v>245567.11654958001</v>
      </c>
      <c r="AE45" s="239">
        <f>AE37-AE43</f>
        <v>257365.34253904363</v>
      </c>
      <c r="AG45" s="239">
        <f>AG37-AG43</f>
        <v>269165.17139027535</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879</v>
      </c>
      <c r="C47" s="236"/>
      <c r="E47" s="243">
        <f>E45/(E4+E6+E8)</f>
        <v>7.9372647585373615E-2</v>
      </c>
      <c r="G47" s="243">
        <f>G45/(G4+G6+G8)</f>
        <v>8.5510264455569182E-2</v>
      </c>
      <c r="I47" s="243">
        <f>I45/(I4+I6+I8)</f>
        <v>9.1361602157656291E-2</v>
      </c>
      <c r="K47" s="243">
        <f>K45/(K4+K6+K8)</f>
        <v>9.693228013138086E-2</v>
      </c>
      <c r="M47" s="243">
        <f>M45/(M4+M6+M8)</f>
        <v>0.10222776760830843</v>
      </c>
      <c r="O47" s="243">
        <f>O45/(O4+O6+O8)</f>
        <v>0.107253387146431</v>
      </c>
      <c r="Q47" s="243">
        <f>Q45/(Q4+Q6+Q8)</f>
        <v>0.11201431807731348</v>
      </c>
      <c r="S47" s="243">
        <f>S45/(S4+S6+S8)</f>
        <v>0.11651559986789213</v>
      </c>
      <c r="U47" s="243">
        <f>U45/(U4+U6+U8)</f>
        <v>0.12076213539900103</v>
      </c>
      <c r="W47" s="243">
        <f>W45/(W4+W6+W8)</f>
        <v>0.12475869416264021</v>
      </c>
      <c r="Y47" s="243">
        <f>Y45/(Y4+Y6+Y8)</f>
        <v>0.12850991537995837</v>
      </c>
      <c r="AA47" s="243">
        <f>AA45/(AA4+AA6+AA8)</f>
        <v>0.13202031104186873</v>
      </c>
      <c r="AC47" s="243">
        <f>AC45/(AC4+AC6+AC8)</f>
        <v>0.13529426887417395</v>
      </c>
      <c r="AE47" s="243">
        <f>AE45/(AE4+AE6+AE8)</f>
        <v>0.13833605522902601</v>
      </c>
      <c r="AG47" s="243">
        <f>AG45/(AG4+AG6+AG8)</f>
        <v>0.14114981790450845</v>
      </c>
    </row>
    <row r="48" spans="1:33" s="243" customFormat="1" ht="14.25">
      <c r="A48" s="243" t="s">
        <v>880</v>
      </c>
      <c r="C48" s="236"/>
      <c r="E48" s="243">
        <f>E45/E43</f>
        <v>0.19999772171452224</v>
      </c>
      <c r="G48" s="243">
        <f>G45/G43</f>
        <v>0.2208494369212444</v>
      </c>
      <c r="I48" s="243">
        <f>I45/I43</f>
        <v>0.24186087464746109</v>
      </c>
      <c r="K48" s="243">
        <f>K45/K43</f>
        <v>0.26302329028813359</v>
      </c>
      <c r="M48" s="243">
        <f>M45/M43</f>
        <v>0.2843272731506109</v>
      </c>
      <c r="O48" s="243">
        <f>O45/O43</f>
        <v>0.30576271410781436</v>
      </c>
      <c r="Q48" s="243">
        <f>Q45/Q43</f>
        <v>0.32731877189279024</v>
      </c>
      <c r="S48" s="243">
        <f>S45/S43</f>
        <v>0.34898383798138016</v>
      </c>
      <c r="U48" s="243">
        <f>U45/U43</f>
        <v>0.37074550000779405</v>
      </c>
      <c r="W48" s="243">
        <f>W45/W43</f>
        <v>0.39259050365575826</v>
      </c>
      <c r="Y48" s="243">
        <f>Y45/Y43</f>
        <v>0.41450471296578351</v>
      </c>
      <c r="AA48" s="243">
        <f>AA45/AA43</f>
        <v>0.43647306899684146</v>
      </c>
      <c r="AC48" s="243">
        <f>AC45/AC43</f>
        <v>0.45847954677843805</v>
      </c>
      <c r="AE48" s="243">
        <f>AE45/AE43</f>
        <v>0.48050711048665445</v>
      </c>
      <c r="AG48" s="243">
        <f>AG45/AG43</f>
        <v>0.50253766677525913</v>
      </c>
    </row>
    <row r="49" spans="1:35" s="244" customFormat="1" ht="14.25">
      <c r="A49" s="244" t="s">
        <v>878</v>
      </c>
      <c r="C49" s="245"/>
      <c r="E49" s="244">
        <f>E37/E43</f>
        <v>1.1999977217145223</v>
      </c>
      <c r="G49" s="244">
        <f>G37/G43</f>
        <v>1.2208494369212444</v>
      </c>
      <c r="I49" s="244">
        <f>I37/I43</f>
        <v>1.2418608746474611</v>
      </c>
      <c r="K49" s="244">
        <f>K37/K43</f>
        <v>1.2630232902881335</v>
      </c>
      <c r="M49" s="244">
        <f>M37/M43</f>
        <v>1.284327273150611</v>
      </c>
      <c r="O49" s="244">
        <f>O37/O43</f>
        <v>1.3057627141078143</v>
      </c>
      <c r="Q49" s="244">
        <f>Q37/Q43</f>
        <v>1.3273187718927901</v>
      </c>
      <c r="S49" s="244">
        <f>S37/S43</f>
        <v>1.3489838379813801</v>
      </c>
      <c r="U49" s="244">
        <f>U37/U43</f>
        <v>1.3707455000077942</v>
      </c>
      <c r="W49" s="244">
        <f>W37/W43</f>
        <v>1.3925905036557582</v>
      </c>
      <c r="Y49" s="244">
        <f>Y37/Y43</f>
        <v>1.4145047129657835</v>
      </c>
      <c r="AA49" s="244">
        <f>AA37/AA43</f>
        <v>1.4364730689968415</v>
      </c>
      <c r="AC49" s="244">
        <f>AC37/AC43</f>
        <v>1.4584795467784382</v>
      </c>
      <c r="AE49" s="244">
        <f>AE37/AE43</f>
        <v>1.4805071104866545</v>
      </c>
      <c r="AG49" s="244">
        <f>AG37/AG43</f>
        <v>1.502537666775259</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47" t="s">
        <v>1327</v>
      </c>
      <c r="B52" s="2547"/>
      <c r="C52" s="2547"/>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883</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884</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881</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6"/>
      <c r="E60" s="999">
        <f>E45-E58</f>
        <v>107121.16643592506</v>
      </c>
      <c r="G60" s="999">
        <f>G45-G58</f>
        <v>118289.59393592493</v>
      </c>
      <c r="I60" s="999">
        <f>I45-I58</f>
        <v>129543.57072342501</v>
      </c>
      <c r="K60" s="999">
        <f>K45-K58</f>
        <v>140878.41308361222</v>
      </c>
      <c r="M60" s="999">
        <f>M45-M58</f>
        <v>152289.08053719962</v>
      </c>
      <c r="O60" s="999">
        <f>O45-O58</f>
        <v>163770.15851508593</v>
      </c>
      <c r="Q60" s="999">
        <f>Q45-Q58</f>
        <v>175315.8403053158</v>
      </c>
      <c r="S60" s="999">
        <f>S45-S58</f>
        <v>186919.90824381891</v>
      </c>
      <c r="U60" s="999">
        <f>U45-U58</f>
        <v>198575.71411935438</v>
      </c>
      <c r="W60" s="999">
        <f>W45-W58</f>
        <v>210276.15876195475</v>
      </c>
      <c r="Y60" s="999">
        <f>Y45-Y58</f>
        <v>222013.67078302521</v>
      </c>
      <c r="AA60" s="999">
        <f>AA45-AA58</f>
        <v>233780.18443404417</v>
      </c>
      <c r="AC60" s="999">
        <f>AC45-AC58</f>
        <v>245567.11654958001</v>
      </c>
      <c r="AE60" s="999">
        <f>AE45-AE58</f>
        <v>257365.34253904363</v>
      </c>
      <c r="AG60" s="999">
        <f>AG45-AG58</f>
        <v>269165.17139027535</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v>0.5</v>
      </c>
      <c r="E62" s="1001">
        <f>E60*$C$62</f>
        <v>53560.583217962529</v>
      </c>
      <c r="G62" s="999">
        <f>G60*$C$62</f>
        <v>59144.796967962466</v>
      </c>
      <c r="I62" s="999">
        <f>I60*$C$62</f>
        <v>64771.785361712507</v>
      </c>
      <c r="K62" s="999">
        <f>K60*$C$62</f>
        <v>70439.20654180611</v>
      </c>
      <c r="M62" s="999">
        <f>M60*$C$62</f>
        <v>76144.540268599812</v>
      </c>
      <c r="O62" s="999">
        <f>O60*$C$62</f>
        <v>81885.079257542966</v>
      </c>
      <c r="Q62" s="999">
        <f>Q60*$C$62</f>
        <v>87657.920152657898</v>
      </c>
      <c r="S62" s="999">
        <f>S60*$C$62</f>
        <v>93459.954121909454</v>
      </c>
      <c r="U62" s="999">
        <f>U60*$C$62</f>
        <v>99287.85705967719</v>
      </c>
      <c r="W62" s="999">
        <f>W60*$C$62</f>
        <v>105138.07938097737</v>
      </c>
      <c r="Y62" s="999">
        <f>Y60*$C$62</f>
        <v>111006.83539151261</v>
      </c>
      <c r="AA62" s="999">
        <f>AA60*$C$62</f>
        <v>116890.09221702209</v>
      </c>
      <c r="AC62" s="999">
        <f>AC60*$C$62</f>
        <v>122783.55827479</v>
      </c>
      <c r="AE62" s="999">
        <f>AE60*$C$62</f>
        <v>128682.67126952182</v>
      </c>
      <c r="AG62" s="999">
        <f>AG60*$C$62</f>
        <v>134582.58569513768</v>
      </c>
    </row>
    <row r="63" spans="1:35" s="999" customFormat="1">
      <c r="A63" s="2547" t="s">
        <v>1327</v>
      </c>
      <c r="B63" s="2547"/>
      <c r="C63" s="2547"/>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889</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26780.291608981264</v>
      </c>
      <c r="G66" s="997">
        <f>G60*$C$65</f>
        <v>29572.398483981233</v>
      </c>
      <c r="I66" s="997">
        <f>I60*$C$65</f>
        <v>32385.892680856254</v>
      </c>
      <c r="K66" s="997">
        <f>K60*$C$65</f>
        <v>35219.603270903055</v>
      </c>
      <c r="M66" s="997">
        <f>M60*$C$65</f>
        <v>38072.270134299906</v>
      </c>
      <c r="O66" s="997">
        <f>O60*$C$65</f>
        <v>40942.539628771483</v>
      </c>
      <c r="Q66" s="997">
        <f>Q60*$C$65</f>
        <v>43828.960076328949</v>
      </c>
      <c r="S66" s="997">
        <f>S60*$C$65</f>
        <v>46729.977060954727</v>
      </c>
      <c r="U66" s="997">
        <f>U60*$C$65</f>
        <v>49643.928529838595</v>
      </c>
      <c r="W66" s="997">
        <f>W60*$C$65</f>
        <v>52569.039690488687</v>
      </c>
      <c r="Y66" s="997">
        <f>Y60*$C$65</f>
        <v>55503.417695756303</v>
      </c>
      <c r="AA66" s="997">
        <f>AA60*$C$65</f>
        <v>58445.046108511044</v>
      </c>
      <c r="AC66" s="997">
        <f>AC60*$C$65</f>
        <v>61391.779137395002</v>
      </c>
      <c r="AE66" s="997">
        <f>AE60*$C$65</f>
        <v>64341.335634760908</v>
      </c>
      <c r="AG66" s="997">
        <f>AG60*$C$65</f>
        <v>67291.292847568839</v>
      </c>
    </row>
    <row r="67" spans="1:35" s="997" customFormat="1">
      <c r="A67" s="1002"/>
      <c r="B67" s="1002"/>
      <c r="C67" s="1007"/>
      <c r="E67" s="1001">
        <f>$E60*$C$65</f>
        <v>26780.291608981264</v>
      </c>
      <c r="G67" s="997">
        <f>G60*$C$65</f>
        <v>29572.398483981233</v>
      </c>
      <c r="I67" s="997">
        <f>I60*$C$65</f>
        <v>32385.892680856254</v>
      </c>
      <c r="K67" s="997">
        <f>K60*$C$65</f>
        <v>35219.603270903055</v>
      </c>
      <c r="M67" s="997">
        <f>M60*$C$65</f>
        <v>38072.270134299906</v>
      </c>
      <c r="O67" s="997">
        <f>O60*$C$65</f>
        <v>40942.539628771483</v>
      </c>
      <c r="Q67" s="997">
        <f>Q60*$C$65</f>
        <v>43828.960076328949</v>
      </c>
      <c r="S67" s="997">
        <f>S60*$C$65</f>
        <v>46729.977060954727</v>
      </c>
      <c r="U67" s="997">
        <f>U60*$C$65</f>
        <v>49643.928529838595</v>
      </c>
      <c r="W67" s="997">
        <f>W60*$C$65</f>
        <v>52569.039690488687</v>
      </c>
      <c r="Y67" s="997">
        <f>Y60*$C$65</f>
        <v>55503.417695756303</v>
      </c>
      <c r="AA67" s="997">
        <f>AA60*$C$65</f>
        <v>58445.046108511044</v>
      </c>
      <c r="AC67" s="997">
        <f>AC60*$C$65</f>
        <v>61391.779137395002</v>
      </c>
      <c r="AE67" s="997">
        <f>AE60*$C$65</f>
        <v>64341.335634760908</v>
      </c>
      <c r="AG67" s="997">
        <f>AG60*$C$65</f>
        <v>67291.292847568839</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881</v>
      </c>
      <c r="C70" s="1007"/>
      <c r="E70" s="997">
        <f>SUM(E66:E69)</f>
        <v>53560.583217962529</v>
      </c>
      <c r="G70" s="997">
        <f>SUM(G66:G69)</f>
        <v>59144.796967962466</v>
      </c>
      <c r="I70" s="997">
        <f>SUM(I66:I69)</f>
        <v>64771.785361712507</v>
      </c>
      <c r="K70" s="997">
        <f>SUM(K66:K69)</f>
        <v>70439.20654180611</v>
      </c>
      <c r="M70" s="997">
        <f>SUM(M66:M69)</f>
        <v>76144.540268599812</v>
      </c>
      <c r="O70" s="997">
        <f>SUM(O66:O69)</f>
        <v>81885.079257542966</v>
      </c>
      <c r="Q70" s="997">
        <f>SUM(Q66:Q69)</f>
        <v>87657.920152657898</v>
      </c>
      <c r="S70" s="997">
        <f>SUM(S66:S69)</f>
        <v>93459.954121909454</v>
      </c>
      <c r="U70" s="997">
        <f>SUM(U66:U69)</f>
        <v>99287.85705967719</v>
      </c>
      <c r="W70" s="997">
        <f>SUM(W66:W69)</f>
        <v>105138.07938097737</v>
      </c>
      <c r="Y70" s="997">
        <f>SUM(Y66:Y69)</f>
        <v>111006.83539151261</v>
      </c>
      <c r="AA70" s="997">
        <f>SUM(AA66:AA69)</f>
        <v>116890.09221702209</v>
      </c>
      <c r="AC70" s="997">
        <f>SUM(AC66:AC69)</f>
        <v>122783.55827479</v>
      </c>
      <c r="AE70" s="997">
        <f>SUM(AE66:AE69)</f>
        <v>128682.67126952182</v>
      </c>
      <c r="AG70" s="997">
        <f>SUM(AG66:AG69)</f>
        <v>134582.58569513768</v>
      </c>
    </row>
    <row r="71" spans="1:35" s="997" customFormat="1">
      <c r="A71" s="999"/>
      <c r="C71" s="1007"/>
    </row>
    <row r="72" spans="1:35" s="997" customFormat="1">
      <c r="A72" s="999" t="s">
        <v>1983</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1982</v>
      </c>
      <c r="C75" s="192"/>
    </row>
    <row r="76" spans="1:35" s="233" customFormat="1">
      <c r="C76" s="192"/>
    </row>
    <row r="77" spans="1:35" s="250" customFormat="1" ht="30" customHeight="1">
      <c r="A77" s="2545" t="s">
        <v>1981</v>
      </c>
      <c r="B77" s="2546"/>
      <c r="C77" s="2546"/>
      <c r="D77" s="2546"/>
      <c r="E77" s="2546"/>
      <c r="F77" s="2546"/>
      <c r="G77" s="2546"/>
      <c r="H77" s="2546"/>
      <c r="I77" s="2546"/>
      <c r="J77" s="2546"/>
      <c r="K77" s="2546"/>
      <c r="L77" s="2546"/>
      <c r="M77" s="2546"/>
      <c r="N77" s="2546"/>
      <c r="O77" s="2546"/>
      <c r="P77" s="2546"/>
      <c r="Q77" s="2546"/>
      <c r="R77" s="2546"/>
      <c r="S77" s="2546"/>
      <c r="T77" s="2546"/>
      <c r="U77" s="2546"/>
      <c r="V77" s="2546"/>
      <c r="W77" s="2546"/>
      <c r="X77" s="2546"/>
      <c r="Y77" s="2546"/>
      <c r="Z77" s="2546"/>
      <c r="AA77" s="2546"/>
      <c r="AB77" s="2546"/>
      <c r="AC77" s="2546"/>
      <c r="AD77" s="2546"/>
      <c r="AE77" s="2546"/>
      <c r="AF77" s="2546"/>
      <c r="AG77" s="2546"/>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1011</v>
      </c>
    </row>
    <row r="2" spans="1:1" ht="15.75">
      <c r="A2" s="338"/>
    </row>
    <row r="3" spans="1:1" ht="15.75">
      <c r="A3" s="339" t="s">
        <v>1006</v>
      </c>
    </row>
    <row r="4" spans="1:1" ht="15.75">
      <c r="A4" s="339" t="s">
        <v>1007</v>
      </c>
    </row>
    <row r="5" spans="1:1" ht="15.75">
      <c r="A5" s="339" t="s">
        <v>1008</v>
      </c>
    </row>
    <row r="6" spans="1:1" ht="15.75">
      <c r="A6" s="339" t="s">
        <v>1010</v>
      </c>
    </row>
    <row r="7" spans="1:1" ht="15.75">
      <c r="A7" s="339" t="s">
        <v>1009</v>
      </c>
    </row>
    <row r="8" spans="1:1" ht="15.75">
      <c r="A8" s="375" t="s">
        <v>1085</v>
      </c>
    </row>
    <row r="9" spans="1:1" ht="15.75">
      <c r="A9" s="339"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1361</v>
      </c>
      <c r="D1" s="301"/>
    </row>
    <row r="2" spans="1:7" s="296" customFormat="1">
      <c r="A2" s="279" t="s">
        <v>921</v>
      </c>
      <c r="B2" s="281"/>
      <c r="C2" s="281"/>
      <c r="D2" s="278"/>
      <c r="E2" s="282"/>
      <c r="F2" s="281"/>
    </row>
    <row r="3" spans="1:7" s="380" customFormat="1" ht="80.25" customHeight="1">
      <c r="A3" s="298"/>
      <c r="B3" s="283" t="s">
        <v>922</v>
      </c>
      <c r="C3" s="283" t="s">
        <v>923</v>
      </c>
      <c r="D3" s="283" t="s">
        <v>924</v>
      </c>
      <c r="E3" s="280" t="s">
        <v>925</v>
      </c>
      <c r="F3" s="280"/>
      <c r="G3" s="383"/>
    </row>
    <row r="4" spans="1:7" s="381" customFormat="1">
      <c r="A4" s="284" t="s">
        <v>26</v>
      </c>
      <c r="B4" s="284"/>
      <c r="C4" s="284"/>
      <c r="D4" s="284"/>
      <c r="E4" s="303"/>
      <c r="F4" s="284"/>
      <c r="G4" s="384"/>
    </row>
    <row r="5" spans="1:7" s="381" customFormat="1">
      <c r="A5" s="396" t="s">
        <v>27</v>
      </c>
      <c r="B5" s="286">
        <f>'Sources and Uses Budget'!$C4</f>
        <v>1273804</v>
      </c>
      <c r="C5" s="286">
        <f>'Sources and Uses Budget'!$C4</f>
        <v>1273804</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1273804</v>
      </c>
      <c r="C9" s="290">
        <f>SUM(C5:C8)</f>
        <v>1273804</v>
      </c>
      <c r="D9" s="290">
        <f t="shared" si="0"/>
        <v>0</v>
      </c>
      <c r="E9" s="288"/>
      <c r="F9" s="287"/>
      <c r="G9" s="384"/>
    </row>
    <row r="10" spans="1:7" s="381" customFormat="1">
      <c r="A10" s="396" t="s">
        <v>603</v>
      </c>
      <c r="B10" s="286">
        <f>'Sources and Uses Budget'!$C9</f>
        <v>23494598</v>
      </c>
      <c r="C10" s="286">
        <f>'Sources and Uses Budget'!$C9</f>
        <v>23494598</v>
      </c>
      <c r="D10" s="290">
        <f t="shared" si="0"/>
        <v>0</v>
      </c>
      <c r="E10" s="288"/>
      <c r="F10" s="287"/>
      <c r="G10" s="384"/>
    </row>
    <row r="11" spans="1:7" s="381" customFormat="1">
      <c r="A11" s="396" t="s">
        <v>604</v>
      </c>
      <c r="B11" s="286">
        <f>'Sources and Uses Budget'!$C10</f>
        <v>0</v>
      </c>
      <c r="C11" s="286">
        <f>'Sources and Uses Budget'!$C10</f>
        <v>0</v>
      </c>
      <c r="D11" s="290">
        <f t="shared" si="0"/>
        <v>0</v>
      </c>
      <c r="E11" s="288"/>
      <c r="F11" s="287"/>
      <c r="G11" s="384"/>
    </row>
    <row r="12" spans="1:7" s="381" customFormat="1">
      <c r="A12" s="397" t="s">
        <v>605</v>
      </c>
      <c r="B12" s="290">
        <f>SUM(B10:B11)</f>
        <v>23494598</v>
      </c>
      <c r="C12" s="290">
        <f>SUM(C10:C11)</f>
        <v>23494598</v>
      </c>
      <c r="D12" s="290">
        <f t="shared" si="0"/>
        <v>0</v>
      </c>
      <c r="E12" s="288"/>
      <c r="F12" s="287"/>
      <c r="G12" s="384"/>
    </row>
    <row r="13" spans="1:7" s="381" customFormat="1">
      <c r="A13" s="397" t="s">
        <v>85</v>
      </c>
      <c r="B13" s="290">
        <f>SUM(B9+B12)</f>
        <v>24768402</v>
      </c>
      <c r="C13" s="290">
        <f>SUM(C9+C12)</f>
        <v>24768402</v>
      </c>
      <c r="D13" s="290">
        <f t="shared" si="0"/>
        <v>0</v>
      </c>
      <c r="E13" s="288"/>
      <c r="F13" s="287"/>
      <c r="G13" s="384"/>
    </row>
    <row r="14" spans="1:7" s="381" customFormat="1">
      <c r="A14" s="398" t="s">
        <v>935</v>
      </c>
      <c r="B14" s="286">
        <f>'Sources and Uses Budget'!$C13</f>
        <v>0</v>
      </c>
      <c r="C14" s="286">
        <f>'Sources and Uses Budget'!$C13</f>
        <v>0</v>
      </c>
      <c r="D14" s="290">
        <f t="shared" si="0"/>
        <v>0</v>
      </c>
      <c r="E14" s="288"/>
      <c r="F14" s="287"/>
      <c r="G14" s="384"/>
    </row>
    <row r="15" spans="1:7" s="381" customFormat="1" ht="24">
      <c r="A15" s="396" t="s">
        <v>936</v>
      </c>
      <c r="B15" s="286">
        <f>'Sources and Uses Budget'!$C14</f>
        <v>0</v>
      </c>
      <c r="C15" s="286">
        <f>'Sources and Uses Budget'!$C14</f>
        <v>0</v>
      </c>
      <c r="D15" s="290">
        <f t="shared" si="0"/>
        <v>0</v>
      </c>
      <c r="E15" s="288"/>
      <c r="F15" s="287"/>
      <c r="G15" s="384"/>
    </row>
    <row r="16" spans="1:7" s="381" customFormat="1">
      <c r="A16" s="396" t="s">
        <v>1303</v>
      </c>
      <c r="B16" s="286">
        <f>'Sources and Uses Budget'!$C15</f>
        <v>0</v>
      </c>
      <c r="C16" s="286">
        <f>'Sources and Uses Budget'!$C15</f>
        <v>0</v>
      </c>
      <c r="D16" s="290">
        <f t="shared" si="0"/>
        <v>0</v>
      </c>
      <c r="E16" s="288"/>
      <c r="F16" s="287"/>
      <c r="G16" s="384"/>
    </row>
    <row r="17" spans="1:7" s="381" customFormat="1">
      <c r="A17" s="284" t="s">
        <v>606</v>
      </c>
      <c r="B17" s="284"/>
      <c r="C17" s="284"/>
      <c r="D17" s="284"/>
      <c r="E17" s="303"/>
      <c r="F17" s="284"/>
      <c r="G17" s="384"/>
    </row>
    <row r="18" spans="1:7" s="381" customFormat="1">
      <c r="A18" s="145" t="s">
        <v>607</v>
      </c>
      <c r="B18" s="286">
        <f>'Sources and Uses Budget'!$C17</f>
        <v>0</v>
      </c>
      <c r="C18" s="286">
        <f>'Sources and Uses Budget'!$C17</f>
        <v>0</v>
      </c>
      <c r="D18" s="290">
        <f t="shared" si="0"/>
        <v>0</v>
      </c>
      <c r="E18" s="288"/>
      <c r="F18" s="287"/>
      <c r="G18" s="384"/>
    </row>
    <row r="19" spans="1:7" s="381" customFormat="1">
      <c r="A19" s="145" t="s">
        <v>608</v>
      </c>
      <c r="B19" s="286">
        <f>'Sources and Uses Budget'!$C18</f>
        <v>6747537</v>
      </c>
      <c r="C19" s="286">
        <f>'Sources and Uses Budget'!$C18</f>
        <v>6747537</v>
      </c>
      <c r="D19" s="290">
        <f t="shared" si="0"/>
        <v>0</v>
      </c>
      <c r="E19" s="288"/>
      <c r="F19" s="287"/>
      <c r="G19" s="384"/>
    </row>
    <row r="20" spans="1:7" s="381" customFormat="1">
      <c r="A20" s="145" t="s">
        <v>609</v>
      </c>
      <c r="B20" s="286">
        <f>'Sources and Uses Budget'!$C19</f>
        <v>539803</v>
      </c>
      <c r="C20" s="286">
        <f>'Sources and Uses Budget'!$C19</f>
        <v>539803</v>
      </c>
      <c r="D20" s="290">
        <f t="shared" si="0"/>
        <v>0</v>
      </c>
      <c r="E20" s="288"/>
      <c r="F20" s="287"/>
      <c r="G20" s="384"/>
    </row>
    <row r="21" spans="1:7" s="381" customFormat="1">
      <c r="A21" s="145" t="s">
        <v>138</v>
      </c>
      <c r="B21" s="286">
        <f>'Sources and Uses Budget'!$C20</f>
        <v>202426</v>
      </c>
      <c r="C21" s="286">
        <f>'Sources and Uses Budget'!$C20</f>
        <v>202426</v>
      </c>
      <c r="D21" s="290">
        <f t="shared" si="0"/>
        <v>0</v>
      </c>
      <c r="E21" s="288"/>
      <c r="F21" s="287"/>
      <c r="G21" s="384"/>
    </row>
    <row r="22" spans="1:7" s="381" customFormat="1">
      <c r="A22" s="145" t="s">
        <v>139</v>
      </c>
      <c r="B22" s="286">
        <f>'Sources and Uses Budget'!$C21</f>
        <v>202426</v>
      </c>
      <c r="C22" s="286">
        <f>'Sources and Uses Budget'!$C21</f>
        <v>202426</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84344</v>
      </c>
      <c r="C24" s="286">
        <f>'Sources and Uses Budget'!$C23</f>
        <v>84344</v>
      </c>
      <c r="D24" s="290">
        <f t="shared" si="0"/>
        <v>0</v>
      </c>
      <c r="E24" s="288"/>
      <c r="F24" s="287"/>
      <c r="G24" s="384"/>
    </row>
    <row r="25" spans="1:7" s="381" customFormat="1">
      <c r="A25" s="543" t="s">
        <v>1820</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7776536</v>
      </c>
      <c r="C27" s="290">
        <f>SUM(C18:C26)</f>
        <v>7776536</v>
      </c>
      <c r="D27" s="290">
        <f>SUM(D18:D26)</f>
        <v>0</v>
      </c>
      <c r="E27" s="288"/>
      <c r="F27" s="287"/>
      <c r="G27" s="384"/>
    </row>
    <row r="28" spans="1:7" s="381" customFormat="1">
      <c r="A28" s="291" t="s">
        <v>142</v>
      </c>
      <c r="B28" s="286">
        <f>'Sources and Uses Budget'!$C$27</f>
        <v>860280</v>
      </c>
      <c r="C28" s="286">
        <f>'Sources and Uses Budget'!$C$27</f>
        <v>860280</v>
      </c>
      <c r="D28" s="290">
        <f t="shared" si="0"/>
        <v>0</v>
      </c>
      <c r="E28" s="288"/>
      <c r="F28" s="287"/>
      <c r="G28" s="384"/>
    </row>
    <row r="29" spans="1:7" s="381" customFormat="1">
      <c r="A29" s="284" t="s">
        <v>143</v>
      </c>
      <c r="B29" s="284"/>
      <c r="C29" s="284"/>
      <c r="D29" s="284"/>
      <c r="E29" s="303"/>
      <c r="F29" s="284"/>
      <c r="G29" s="384"/>
    </row>
    <row r="30" spans="1:7" s="381" customFormat="1">
      <c r="A30" s="145" t="s">
        <v>607</v>
      </c>
      <c r="B30" s="286">
        <f>'Sources and Uses Budget'!$C29</f>
        <v>0</v>
      </c>
      <c r="C30" s="286">
        <f>'Sources and Uses Budget'!$C29</f>
        <v>0</v>
      </c>
      <c r="D30" s="290">
        <f t="shared" si="0"/>
        <v>0</v>
      </c>
      <c r="E30" s="288"/>
      <c r="F30" s="287"/>
      <c r="G30" s="384"/>
    </row>
    <row r="31" spans="1:7" s="381" customFormat="1">
      <c r="A31" s="145" t="s">
        <v>608</v>
      </c>
      <c r="B31" s="286">
        <f>'Sources and Uses Budget'!$C30</f>
        <v>0</v>
      </c>
      <c r="C31" s="286">
        <f>'Sources and Uses Budget'!$C30</f>
        <v>0</v>
      </c>
      <c r="D31" s="290">
        <f t="shared" si="0"/>
        <v>0</v>
      </c>
      <c r="E31" s="288"/>
      <c r="F31" s="287"/>
      <c r="G31" s="384"/>
    </row>
    <row r="32" spans="1:7" s="381" customFormat="1">
      <c r="A32" s="145" t="s">
        <v>609</v>
      </c>
      <c r="B32" s="286">
        <f>'Sources and Uses Budget'!$C31</f>
        <v>0</v>
      </c>
      <c r="C32" s="286">
        <f>'Sources and Uses Budget'!$C31</f>
        <v>0</v>
      </c>
      <c r="D32" s="290">
        <f t="shared" si="0"/>
        <v>0</v>
      </c>
      <c r="E32" s="288"/>
      <c r="F32" s="287"/>
      <c r="G32" s="384"/>
    </row>
    <row r="33" spans="1:7" s="381" customFormat="1">
      <c r="A33" s="145" t="s">
        <v>138</v>
      </c>
      <c r="B33" s="286">
        <f>'Sources and Uses Budget'!$C32</f>
        <v>0</v>
      </c>
      <c r="C33" s="286">
        <f>'Sources and Uses Budget'!$C32</f>
        <v>0</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0</v>
      </c>
      <c r="C36" s="286">
        <f>'Sources and Uses Budget'!$C35</f>
        <v>0</v>
      </c>
      <c r="D36" s="290">
        <f t="shared" si="0"/>
        <v>0</v>
      </c>
      <c r="E36" s="288"/>
      <c r="F36" s="287"/>
      <c r="G36" s="384"/>
    </row>
    <row r="37" spans="1:7" s="381" customFormat="1">
      <c r="A37" s="304" t="s">
        <v>1820</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0</v>
      </c>
      <c r="C39" s="290">
        <f>SUM(C30:C38)</f>
        <v>0</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425000</v>
      </c>
      <c r="C41" s="286">
        <f>'Sources and Uses Budget'!$C40</f>
        <v>425000</v>
      </c>
      <c r="D41" s="290">
        <f t="shared" si="0"/>
        <v>0</v>
      </c>
      <c r="E41" s="288"/>
      <c r="F41" s="287"/>
      <c r="G41" s="384"/>
    </row>
    <row r="42" spans="1:7" s="381" customFormat="1">
      <c r="A42" s="289" t="s">
        <v>147</v>
      </c>
      <c r="B42" s="286">
        <f>'Sources and Uses Budget'!$C41</f>
        <v>0</v>
      </c>
      <c r="C42" s="286">
        <f>'Sources and Uses Budget'!$C41</f>
        <v>0</v>
      </c>
      <c r="D42" s="290">
        <f t="shared" si="0"/>
        <v>0</v>
      </c>
      <c r="E42" s="288"/>
      <c r="F42" s="287"/>
      <c r="G42" s="384"/>
    </row>
    <row r="43" spans="1:7" s="381" customFormat="1">
      <c r="A43" s="291" t="s">
        <v>148</v>
      </c>
      <c r="B43" s="290">
        <f>SUM(B41:B42)</f>
        <v>425000</v>
      </c>
      <c r="C43" s="290">
        <f>SUM(C41:C42)</f>
        <v>425000</v>
      </c>
      <c r="D43" s="290">
        <f t="shared" si="0"/>
        <v>0</v>
      </c>
      <c r="E43" s="288"/>
      <c r="F43" s="287"/>
      <c r="G43" s="384"/>
    </row>
    <row r="44" spans="1:7" s="381" customFormat="1">
      <c r="A44" s="291" t="s">
        <v>149</v>
      </c>
      <c r="B44" s="286">
        <f>'Sources and Uses Budget'!$C43</f>
        <v>0</v>
      </c>
      <c r="C44" s="286">
        <f>'Sources and Uses Budget'!$C43</f>
        <v>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1117882</v>
      </c>
      <c r="C46" s="286">
        <f>'Sources and Uses Budget'!$C45</f>
        <v>1117882</v>
      </c>
      <c r="D46" s="290">
        <f t="shared" si="0"/>
        <v>0</v>
      </c>
      <c r="E46" s="288"/>
      <c r="F46" s="287"/>
      <c r="G46" s="384"/>
    </row>
    <row r="47" spans="1:7" s="381" customFormat="1">
      <c r="A47" s="145" t="s">
        <v>152</v>
      </c>
      <c r="B47" s="286">
        <f>'Sources and Uses Budget'!$C46</f>
        <v>135633</v>
      </c>
      <c r="C47" s="286">
        <f>'Sources and Uses Budget'!$C46</f>
        <v>135633</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0</v>
      </c>
      <c r="C50" s="286">
        <f>'Sources and Uses Budget'!$C49</f>
        <v>0</v>
      </c>
      <c r="D50" s="290">
        <f t="shared" si="0"/>
        <v>0</v>
      </c>
      <c r="E50" s="288"/>
      <c r="F50" s="287"/>
      <c r="G50" s="384"/>
    </row>
    <row r="51" spans="1:7" s="381" customFormat="1">
      <c r="A51" s="145" t="s">
        <v>157</v>
      </c>
      <c r="B51" s="286">
        <f>'Sources and Uses Budget'!$C50</f>
        <v>50000</v>
      </c>
      <c r="C51" s="286">
        <f>'Sources and Uses Budget'!$C50</f>
        <v>50000</v>
      </c>
      <c r="D51" s="290">
        <f t="shared" si="0"/>
        <v>0</v>
      </c>
      <c r="E51" s="288"/>
      <c r="F51" s="287"/>
      <c r="G51" s="384"/>
    </row>
    <row r="52" spans="1:7" s="381" customFormat="1">
      <c r="A52" s="304" t="s">
        <v>155</v>
      </c>
      <c r="B52" s="286">
        <f>'Sources and Uses Budget'!$C51</f>
        <v>0</v>
      </c>
      <c r="C52" s="286">
        <f>'Sources and Uses Budget'!$C51</f>
        <v>0</v>
      </c>
      <c r="D52" s="290">
        <f t="shared" si="0"/>
        <v>0</v>
      </c>
      <c r="E52" s="288"/>
      <c r="F52" s="287"/>
      <c r="G52" s="384"/>
    </row>
    <row r="53" spans="1:7" s="381" customFormat="1">
      <c r="A53" s="145" t="s">
        <v>156</v>
      </c>
      <c r="B53" s="286">
        <f>'Sources and Uses Budget'!$C52</f>
        <v>153844</v>
      </c>
      <c r="C53" s="286">
        <f>'Sources and Uses Budget'!$C52</f>
        <v>153844</v>
      </c>
      <c r="D53" s="290">
        <f t="shared" si="0"/>
        <v>0</v>
      </c>
      <c r="E53" s="288"/>
      <c r="F53" s="287"/>
      <c r="G53" s="384"/>
    </row>
    <row r="54" spans="1:7" s="381" customFormat="1">
      <c r="A54" s="155" t="str">
        <f>'Sources and Uses Budget'!A53</f>
        <v>Construction Inspections</v>
      </c>
      <c r="B54" s="286">
        <f>'Sources and Uses Budget'!$C53</f>
        <v>50000</v>
      </c>
      <c r="C54" s="286">
        <f>'Sources and Uses Budget'!$C53</f>
        <v>50000</v>
      </c>
      <c r="D54" s="290">
        <f t="shared" si="0"/>
        <v>0</v>
      </c>
      <c r="E54" s="288"/>
      <c r="F54" s="287"/>
      <c r="G54" s="384"/>
    </row>
    <row r="55" spans="1:7" s="382" customFormat="1">
      <c r="A55" s="291" t="s">
        <v>158</v>
      </c>
      <c r="B55" s="293">
        <f>SUM(B46:B54)</f>
        <v>1507359</v>
      </c>
      <c r="C55" s="293">
        <f>SUM(C46:C54)</f>
        <v>1507359</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62842</v>
      </c>
      <c r="C57" s="286">
        <f>'Sources and Uses Budget'!$C56</f>
        <v>62842</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35000</v>
      </c>
      <c r="C59" s="286">
        <f>'Sources and Uses Budget'!$C58</f>
        <v>35000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(Specify)</v>
      </c>
      <c r="B62" s="286">
        <f>'Sources and Uses Budget'!$C61</f>
        <v>0</v>
      </c>
      <c r="C62" s="286">
        <f>'Sources and Uses Budget'!$C61</f>
        <v>0</v>
      </c>
      <c r="D62" s="290">
        <f t="shared" si="0"/>
        <v>0</v>
      </c>
      <c r="E62" s="288"/>
      <c r="F62" s="287"/>
      <c r="G62" s="384"/>
    </row>
    <row r="63" spans="1:7" s="381" customFormat="1" ht="13.7" customHeight="1">
      <c r="A63" s="291" t="s">
        <v>303</v>
      </c>
      <c r="B63" s="290">
        <f>SUM(B57:B62)</f>
        <v>97842</v>
      </c>
      <c r="C63" s="290">
        <f>SUM(C57:C62)</f>
        <v>97842</v>
      </c>
      <c r="D63" s="290">
        <f t="shared" si="0"/>
        <v>0</v>
      </c>
      <c r="E63" s="288"/>
      <c r="F63" s="287"/>
      <c r="G63" s="384"/>
    </row>
    <row r="64" spans="1:7" s="381" customFormat="1">
      <c r="A64" s="294" t="s">
        <v>304</v>
      </c>
      <c r="B64" s="290">
        <f>SUM(B9+B12+B14+B15+B17+B26+B28+B39+B43+B44+B55+B63)</f>
        <v>27658883</v>
      </c>
      <c r="C64" s="290">
        <f>SUM(C9+C12+C14+C15+C17+C26+C28+C39+C43+C44+C55+C63)</f>
        <v>27658883</v>
      </c>
      <c r="D64" s="290">
        <f t="shared" si="0"/>
        <v>0</v>
      </c>
      <c r="E64" s="288"/>
      <c r="F64" s="287"/>
      <c r="G64" s="384"/>
    </row>
    <row r="65" spans="1:7" s="381" customFormat="1" ht="24">
      <c r="A65" s="141" t="s">
        <v>1824</v>
      </c>
      <c r="B65" s="284"/>
      <c r="C65" s="284"/>
      <c r="D65" s="284"/>
      <c r="E65" s="303"/>
      <c r="F65" s="284"/>
      <c r="G65" s="384"/>
    </row>
    <row r="66" spans="1:7" s="381" customFormat="1">
      <c r="A66" s="145" t="s">
        <v>172</v>
      </c>
      <c r="B66" s="286">
        <f>'Sources and Uses Budget'!$C65</f>
        <v>290000</v>
      </c>
      <c r="C66" s="286">
        <f>'Sources and Uses Budget'!$C65</f>
        <v>290000</v>
      </c>
      <c r="D66" s="290">
        <f t="shared" si="0"/>
        <v>0</v>
      </c>
      <c r="E66" s="288"/>
      <c r="F66" s="287"/>
      <c r="G66" s="384"/>
    </row>
    <row r="67" spans="1:7" s="381" customFormat="1" ht="24">
      <c r="A67" s="304" t="s">
        <v>1821</v>
      </c>
      <c r="B67" s="286">
        <f>'Sources and Uses Budget'!$C66</f>
        <v>150000</v>
      </c>
      <c r="C67" s="286">
        <f>'Sources and Uses Budget'!$C66</f>
        <v>150000</v>
      </c>
      <c r="D67" s="290"/>
      <c r="E67" s="288"/>
      <c r="F67" s="287"/>
      <c r="G67" s="384"/>
    </row>
    <row r="68" spans="1:7" s="381" customFormat="1" ht="24">
      <c r="A68" s="304" t="s">
        <v>1822</v>
      </c>
      <c r="B68" s="286">
        <f>'Sources and Uses Budget'!$C67</f>
        <v>100000</v>
      </c>
      <c r="C68" s="286">
        <f>'Sources and Uses Budget'!$C67</f>
        <v>100000</v>
      </c>
      <c r="D68" s="290"/>
      <c r="E68" s="288"/>
      <c r="F68" s="287"/>
      <c r="G68" s="384"/>
    </row>
    <row r="69" spans="1:7" s="381" customFormat="1">
      <c r="A69" s="304" t="s">
        <v>1828</v>
      </c>
      <c r="B69" s="286">
        <f>'Sources and Uses Budget'!$C68</f>
        <v>0</v>
      </c>
      <c r="C69" s="286">
        <f>'Sources and Uses Budget'!$C68</f>
        <v>0</v>
      </c>
      <c r="D69" s="290"/>
      <c r="E69" s="288"/>
      <c r="F69" s="287"/>
      <c r="G69" s="384"/>
    </row>
    <row r="70" spans="1:7" s="381" customFormat="1">
      <c r="A70" s="155" t="str">
        <f>'Sources and Uses Budget'!A69</f>
        <v>Other: (Specify)</v>
      </c>
      <c r="B70" s="286">
        <f>'Sources and Uses Budget'!$C69</f>
        <v>0</v>
      </c>
      <c r="C70" s="286">
        <f>'Sources and Uses Budget'!$C69</f>
        <v>0</v>
      </c>
      <c r="D70" s="290">
        <f t="shared" si="0"/>
        <v>0</v>
      </c>
      <c r="E70" s="288"/>
      <c r="F70" s="287"/>
      <c r="G70" s="384"/>
    </row>
    <row r="71" spans="1:7" s="381" customFormat="1">
      <c r="A71" s="149" t="s">
        <v>1825</v>
      </c>
      <c r="B71" s="290">
        <f>SUM(B66:B70)</f>
        <v>540000</v>
      </c>
      <c r="C71" s="290">
        <f>SUM(C66:C70)</f>
        <v>540000</v>
      </c>
      <c r="D71" s="290">
        <f t="shared" si="0"/>
        <v>0</v>
      </c>
      <c r="E71" s="288"/>
      <c r="F71" s="287"/>
      <c r="G71" s="384"/>
    </row>
    <row r="72" spans="1:7" s="381" customFormat="1">
      <c r="A72" s="284" t="s">
        <v>611</v>
      </c>
      <c r="B72" s="284"/>
      <c r="C72" s="284"/>
      <c r="D72" s="284"/>
      <c r="E72" s="303"/>
      <c r="F72" s="284"/>
      <c r="G72" s="384"/>
    </row>
    <row r="73" spans="1:7" s="381" customFormat="1">
      <c r="A73" s="289" t="s">
        <v>612</v>
      </c>
      <c r="B73" s="286">
        <f>'Sources and Uses Budget'!$C72</f>
        <v>0</v>
      </c>
      <c r="C73" s="286">
        <f>'Sources and Uses Budget'!$C72</f>
        <v>0</v>
      </c>
      <c r="D73" s="290">
        <f t="shared" si="0"/>
        <v>0</v>
      </c>
      <c r="E73" s="288"/>
      <c r="F73" s="287"/>
      <c r="G73" s="384"/>
    </row>
    <row r="74" spans="1:7" s="381" customFormat="1">
      <c r="A74" s="289" t="s">
        <v>613</v>
      </c>
      <c r="B74" s="286">
        <f>'Sources and Uses Budget'!$C73</f>
        <v>0</v>
      </c>
      <c r="C74" s="286">
        <f>'Sources and Uses Budget'!$C73</f>
        <v>0</v>
      </c>
      <c r="D74" s="290">
        <f t="shared" si="0"/>
        <v>0</v>
      </c>
      <c r="E74" s="288"/>
      <c r="F74" s="287"/>
      <c r="G74" s="384"/>
    </row>
    <row r="75" spans="1:7" s="381" customFormat="1">
      <c r="A75" s="309" t="s">
        <v>1040</v>
      </c>
      <c r="B75" s="286">
        <f>'Sources and Uses Budget'!$C74</f>
        <v>0</v>
      </c>
      <c r="C75" s="286">
        <f>'Sources and Uses Budget'!$C74</f>
        <v>0</v>
      </c>
      <c r="D75" s="290">
        <f t="shared" si="0"/>
        <v>0</v>
      </c>
      <c r="E75" s="288"/>
      <c r="F75" s="287"/>
      <c r="G75" s="384"/>
    </row>
    <row r="76" spans="1:7" s="381" customFormat="1">
      <c r="A76" s="289" t="s">
        <v>614</v>
      </c>
      <c r="B76" s="286">
        <f>'Sources and Uses Budget'!$C75</f>
        <v>293749.23339101876</v>
      </c>
      <c r="C76" s="286">
        <f>'Sources and Uses Budget'!$C75</f>
        <v>293749.23339101876</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615</v>
      </c>
      <c r="B78" s="290">
        <f>SUM(B73:B77)</f>
        <v>293749.23339101876</v>
      </c>
      <c r="C78" s="290">
        <f>SUM(C73:C77)</f>
        <v>293749.23339101876</v>
      </c>
      <c r="D78" s="290">
        <f t="shared" ref="D78:D106" si="1">C78-B78</f>
        <v>0</v>
      </c>
      <c r="E78" s="288"/>
      <c r="F78" s="287"/>
      <c r="G78" s="384"/>
    </row>
    <row r="79" spans="1:7" s="381" customFormat="1">
      <c r="A79" s="284" t="s">
        <v>1353</v>
      </c>
      <c r="B79" s="284"/>
      <c r="C79" s="284"/>
      <c r="D79" s="284"/>
      <c r="E79" s="303"/>
      <c r="F79" s="284"/>
      <c r="G79" s="384"/>
    </row>
    <row r="80" spans="1:7" s="381" customFormat="1">
      <c r="A80" s="545" t="s">
        <v>1355</v>
      </c>
      <c r="B80" s="286">
        <f>'Sources and Uses Budget'!$C79</f>
        <v>777654</v>
      </c>
      <c r="C80" s="286">
        <f>'Sources and Uses Budget'!$C79</f>
        <v>777654</v>
      </c>
      <c r="D80" s="290">
        <f t="shared" si="1"/>
        <v>0</v>
      </c>
      <c r="E80" s="288"/>
      <c r="F80" s="287"/>
      <c r="G80" s="384"/>
    </row>
    <row r="81" spans="1:7" s="381" customFormat="1">
      <c r="A81" s="545" t="s">
        <v>58</v>
      </c>
      <c r="B81" s="286">
        <f>'Sources and Uses Budget'!$C80</f>
        <v>650000</v>
      </c>
      <c r="C81" s="286">
        <f>'Sources and Uses Budget'!$C80</f>
        <v>650000</v>
      </c>
      <c r="D81" s="290">
        <f>C81-B81</f>
        <v>0</v>
      </c>
      <c r="E81" s="288"/>
      <c r="F81" s="287"/>
      <c r="G81" s="384"/>
    </row>
    <row r="82" spans="1:7" s="381" customFormat="1">
      <c r="A82" s="291" t="s">
        <v>1352</v>
      </c>
      <c r="B82" s="290">
        <f>SUM(B80:B81)</f>
        <v>1427654</v>
      </c>
      <c r="C82" s="290">
        <f>SUM(C80:C81)</f>
        <v>1427654</v>
      </c>
      <c r="D82" s="290">
        <f t="shared" si="1"/>
        <v>0</v>
      </c>
      <c r="E82" s="288"/>
      <c r="F82" s="287"/>
      <c r="G82" s="384"/>
    </row>
    <row r="83" spans="1:7" s="381" customFormat="1">
      <c r="A83" s="284" t="s">
        <v>789</v>
      </c>
      <c r="B83" s="284"/>
      <c r="C83" s="284"/>
      <c r="D83" s="284"/>
      <c r="E83" s="303"/>
      <c r="F83" s="284"/>
      <c r="G83" s="384"/>
    </row>
    <row r="84" spans="1:7" s="381" customFormat="1" ht="13.7" customHeight="1">
      <c r="A84" s="289" t="s">
        <v>790</v>
      </c>
      <c r="B84" s="286">
        <f>'Sources and Uses Budget'!$C83</f>
        <v>50631</v>
      </c>
      <c r="C84" s="286">
        <f>'Sources and Uses Budget'!$C83</f>
        <v>50631</v>
      </c>
      <c r="D84" s="290">
        <f t="shared" si="1"/>
        <v>0</v>
      </c>
      <c r="E84" s="288"/>
      <c r="F84" s="287"/>
      <c r="G84" s="384"/>
    </row>
    <row r="85" spans="1:7" s="381" customFormat="1">
      <c r="A85" s="289" t="s">
        <v>791</v>
      </c>
      <c r="B85" s="286">
        <f>'Sources and Uses Budget'!$C84</f>
        <v>0</v>
      </c>
      <c r="C85" s="286">
        <f>'Sources and Uses Budget'!$C84</f>
        <v>0</v>
      </c>
      <c r="D85" s="290">
        <f t="shared" si="1"/>
        <v>0</v>
      </c>
      <c r="E85" s="288"/>
      <c r="F85" s="287"/>
      <c r="G85" s="384"/>
    </row>
    <row r="86" spans="1:7" s="381" customFormat="1">
      <c r="A86" s="289" t="s">
        <v>792</v>
      </c>
      <c r="B86" s="286">
        <f>'Sources and Uses Budget'!$C85</f>
        <v>0</v>
      </c>
      <c r="C86" s="286">
        <f>'Sources and Uses Budget'!$C85</f>
        <v>0</v>
      </c>
      <c r="D86" s="290">
        <f t="shared" si="1"/>
        <v>0</v>
      </c>
      <c r="E86" s="288"/>
      <c r="F86" s="287"/>
      <c r="G86" s="384"/>
    </row>
    <row r="87" spans="1:7" s="381" customFormat="1">
      <c r="A87" s="289" t="s">
        <v>793</v>
      </c>
      <c r="B87" s="286">
        <f>'Sources and Uses Budget'!$C86</f>
        <v>0</v>
      </c>
      <c r="C87" s="286">
        <f>'Sources and Uses Budget'!$C86</f>
        <v>0</v>
      </c>
      <c r="D87" s="290">
        <f t="shared" si="1"/>
        <v>0</v>
      </c>
      <c r="E87" s="288"/>
      <c r="F87" s="287"/>
      <c r="G87" s="384"/>
    </row>
    <row r="88" spans="1:7" s="381" customFormat="1">
      <c r="A88" s="289" t="s">
        <v>794</v>
      </c>
      <c r="B88" s="286">
        <f>'Sources and Uses Budget'!$C87</f>
        <v>0</v>
      </c>
      <c r="C88" s="286">
        <f>'Sources and Uses Budget'!$C87</f>
        <v>0</v>
      </c>
      <c r="D88" s="290">
        <f t="shared" si="1"/>
        <v>0</v>
      </c>
      <c r="E88" s="288"/>
      <c r="F88" s="287"/>
      <c r="G88" s="384"/>
    </row>
    <row r="89" spans="1:7" s="381" customFormat="1">
      <c r="A89" s="289" t="s">
        <v>795</v>
      </c>
      <c r="B89" s="286">
        <f>'Sources and Uses Budget'!$C88</f>
        <v>100000</v>
      </c>
      <c r="C89" s="286">
        <f>'Sources and Uses Budget'!$C88</f>
        <v>100000</v>
      </c>
      <c r="D89" s="290">
        <f t="shared" si="1"/>
        <v>0</v>
      </c>
      <c r="E89" s="288"/>
      <c r="F89" s="287"/>
      <c r="G89" s="384"/>
    </row>
    <row r="90" spans="1:7" s="381" customFormat="1">
      <c r="A90" s="289" t="s">
        <v>796</v>
      </c>
      <c r="B90" s="286">
        <f>'Sources and Uses Budget'!$C89</f>
        <v>50000</v>
      </c>
      <c r="C90" s="286">
        <f>'Sources and Uses Budget'!$C89</f>
        <v>50000</v>
      </c>
      <c r="D90" s="290">
        <f t="shared" si="1"/>
        <v>0</v>
      </c>
      <c r="E90" s="288"/>
      <c r="F90" s="287"/>
      <c r="G90" s="384"/>
    </row>
    <row r="91" spans="1:7" s="381" customFormat="1">
      <c r="A91" s="289" t="s">
        <v>797</v>
      </c>
      <c r="B91" s="286">
        <f>'Sources and Uses Budget'!$C90</f>
        <v>12500</v>
      </c>
      <c r="C91" s="286">
        <f>'Sources and Uses Budget'!$C90</f>
        <v>12500</v>
      </c>
      <c r="D91" s="290">
        <f t="shared" si="1"/>
        <v>0</v>
      </c>
      <c r="E91" s="288"/>
      <c r="F91" s="287"/>
      <c r="G91" s="384"/>
    </row>
    <row r="92" spans="1:7" s="381" customFormat="1">
      <c r="A92" s="289" t="s">
        <v>374</v>
      </c>
      <c r="B92" s="286">
        <f>'Sources and Uses Budget'!$C91</f>
        <v>35000</v>
      </c>
      <c r="C92" s="286">
        <f>'Sources and Uses Budget'!$C91</f>
        <v>35000</v>
      </c>
      <c r="D92" s="290">
        <f t="shared" si="1"/>
        <v>0</v>
      </c>
      <c r="E92" s="288"/>
      <c r="F92" s="287"/>
      <c r="G92" s="384"/>
    </row>
    <row r="93" spans="1:7" s="381" customFormat="1">
      <c r="A93" s="545" t="s">
        <v>1354</v>
      </c>
      <c r="B93" s="286">
        <f>'Sources and Uses Budget'!$C92</f>
        <v>0</v>
      </c>
      <c r="C93" s="286">
        <f>'Sources and Uses Budget'!$C92</f>
        <v>0</v>
      </c>
      <c r="D93" s="290">
        <f t="shared" si="1"/>
        <v>0</v>
      </c>
      <c r="E93" s="288"/>
      <c r="F93" s="287"/>
      <c r="G93" s="384"/>
    </row>
    <row r="94" spans="1:7" s="381" customFormat="1">
      <c r="A94" s="292" t="s">
        <v>34</v>
      </c>
      <c r="B94" s="286">
        <f>'Sources and Uses Budget'!$C93</f>
        <v>10000</v>
      </c>
      <c r="C94" s="286">
        <f>'Sources and Uses Budget'!$C93</f>
        <v>10000</v>
      </c>
      <c r="D94" s="290">
        <f t="shared" si="1"/>
        <v>0</v>
      </c>
      <c r="E94" s="288"/>
      <c r="F94" s="287"/>
      <c r="G94" s="384"/>
    </row>
    <row r="95" spans="1:7" s="381" customFormat="1">
      <c r="A95" s="292" t="s">
        <v>34</v>
      </c>
      <c r="B95" s="286">
        <f>'Sources and Uses Budget'!$C94</f>
        <v>15000</v>
      </c>
      <c r="C95" s="286">
        <f>'Sources and Uses Budget'!$C94</f>
        <v>15000</v>
      </c>
      <c r="D95" s="290">
        <f t="shared" si="1"/>
        <v>0</v>
      </c>
      <c r="E95" s="288"/>
      <c r="F95" s="287"/>
      <c r="G95" s="384"/>
    </row>
    <row r="96" spans="1:7" s="381" customFormat="1">
      <c r="A96" s="292" t="s">
        <v>34</v>
      </c>
      <c r="B96" s="286">
        <f>'Sources and Uses Budget'!$C95</f>
        <v>150000</v>
      </c>
      <c r="C96" s="286">
        <f>'Sources and Uses Budget'!$C95</f>
        <v>150000</v>
      </c>
      <c r="D96" s="290">
        <f t="shared" si="1"/>
        <v>0</v>
      </c>
      <c r="E96" s="288"/>
      <c r="F96" s="287"/>
      <c r="G96" s="384"/>
    </row>
    <row r="97" spans="1:7" s="381" customFormat="1">
      <c r="A97" s="291" t="s">
        <v>798</v>
      </c>
      <c r="B97" s="290">
        <f>SUM(B84:B96)</f>
        <v>423131</v>
      </c>
      <c r="C97" s="290">
        <f>SUM(C84:C96)</f>
        <v>423131</v>
      </c>
      <c r="D97" s="290">
        <f t="shared" si="1"/>
        <v>0</v>
      </c>
      <c r="E97" s="288"/>
      <c r="F97" s="287"/>
      <c r="G97" s="384"/>
    </row>
    <row r="98" spans="1:7" s="381" customFormat="1">
      <c r="A98" s="291" t="s">
        <v>799</v>
      </c>
      <c r="B98" s="290">
        <f>SUM(B64+B71+B78+B82+B97)</f>
        <v>30343417.23339102</v>
      </c>
      <c r="C98" s="290">
        <f>SUM(C64+C71+C78+C82+C97)</f>
        <v>30343417.23339102</v>
      </c>
      <c r="D98" s="290">
        <f t="shared" si="1"/>
        <v>0</v>
      </c>
      <c r="E98" s="288"/>
      <c r="F98" s="287"/>
      <c r="G98" s="384"/>
    </row>
    <row r="99" spans="1:7" s="381" customFormat="1">
      <c r="A99" s="284" t="s">
        <v>800</v>
      </c>
      <c r="B99" s="284"/>
      <c r="C99" s="284"/>
      <c r="D99" s="284"/>
      <c r="E99" s="303"/>
      <c r="F99" s="284"/>
      <c r="G99" s="384"/>
    </row>
    <row r="100" spans="1:7" s="381" customFormat="1">
      <c r="A100" s="145" t="s">
        <v>801</v>
      </c>
      <c r="B100" s="286">
        <f>'Sources and Uses Budget'!$C99</f>
        <v>2815600.9000000004</v>
      </c>
      <c r="C100" s="286">
        <f>'Sources and Uses Budget'!$C99</f>
        <v>2815600.9000000004</v>
      </c>
      <c r="D100" s="290">
        <f t="shared" si="1"/>
        <v>0</v>
      </c>
      <c r="E100" s="288"/>
      <c r="F100" s="287"/>
      <c r="G100" s="384"/>
    </row>
    <row r="101" spans="1:7" s="381" customFormat="1">
      <c r="A101" s="304" t="s">
        <v>1826</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1827</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803</v>
      </c>
      <c r="B105" s="290">
        <f>SUM(B100:B104)</f>
        <v>2815600.9000000004</v>
      </c>
      <c r="C105" s="290">
        <f>SUM(C100:C104)</f>
        <v>2815600.9000000004</v>
      </c>
      <c r="D105" s="290">
        <f t="shared" si="1"/>
        <v>0</v>
      </c>
      <c r="E105" s="288"/>
      <c r="F105" s="287"/>
      <c r="G105" s="384"/>
    </row>
    <row r="106" spans="1:7" s="381" customFormat="1">
      <c r="A106" s="291" t="s">
        <v>804</v>
      </c>
      <c r="B106" s="293">
        <f>SUM(B98+B105)</f>
        <v>33159018.133391023</v>
      </c>
      <c r="C106" s="293">
        <f>SUM(C98+C105)</f>
        <v>33159018.133391023</v>
      </c>
      <c r="D106" s="290">
        <f t="shared" si="1"/>
        <v>0</v>
      </c>
      <c r="E106" s="288"/>
      <c r="F106" s="287"/>
      <c r="G106" s="384"/>
    </row>
    <row r="107" spans="1:7" s="381" customFormat="1">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8" t="s">
        <v>1105</v>
      </c>
      <c r="B2" s="1298"/>
      <c r="C2" s="1262"/>
      <c r="D2" s="1262"/>
      <c r="E2" s="1262"/>
      <c r="F2" s="1262"/>
      <c r="G2" s="1262"/>
    </row>
    <row r="3" spans="1:9" s="173" customFormat="1">
      <c r="A3" s="1298" t="s">
        <v>1042</v>
      </c>
      <c r="B3" s="1298"/>
      <c r="C3" s="1262"/>
      <c r="D3" s="1262"/>
      <c r="E3" s="1262"/>
      <c r="F3" s="1262"/>
      <c r="G3" s="1262"/>
      <c r="I3" t="s">
        <v>309</v>
      </c>
    </row>
    <row r="4" spans="1:9">
      <c r="I4" s="3" t="s">
        <v>1106</v>
      </c>
    </row>
    <row r="5" spans="1:9">
      <c r="A5" s="1300" t="s">
        <v>1043</v>
      </c>
      <c r="B5" s="1300"/>
      <c r="C5" s="1262"/>
      <c r="D5" s="1262"/>
      <c r="E5" s="1262"/>
      <c r="F5" s="1262"/>
      <c r="G5" s="1262"/>
      <c r="I5" s="3" t="s">
        <v>1107</v>
      </c>
    </row>
    <row r="6" spans="1:9">
      <c r="A6" s="1300" t="s">
        <v>845</v>
      </c>
      <c r="B6" s="1300"/>
      <c r="C6" s="1262"/>
      <c r="D6" s="1262"/>
      <c r="E6" s="1262"/>
      <c r="F6" s="1262"/>
      <c r="G6" s="1262"/>
      <c r="I6" t="s">
        <v>600</v>
      </c>
    </row>
    <row r="7" spans="1:9" ht="11.85" customHeight="1"/>
    <row r="8" spans="1:9">
      <c r="A8" s="1298" t="s">
        <v>1202</v>
      </c>
      <c r="B8" s="1298"/>
      <c r="C8" s="1299"/>
      <c r="D8" s="1299"/>
      <c r="E8" s="1299"/>
      <c r="F8" s="1299"/>
      <c r="G8" s="1299"/>
    </row>
    <row r="9" spans="1:9">
      <c r="A9" s="1298" t="s">
        <v>1203</v>
      </c>
      <c r="B9" s="1298"/>
      <c r="C9" s="1299"/>
      <c r="D9" s="1299"/>
      <c r="E9" s="1299"/>
      <c r="F9" s="1299"/>
      <c r="G9" s="1299"/>
    </row>
    <row r="10" spans="1:9">
      <c r="A10" s="174"/>
      <c r="B10" s="174"/>
      <c r="C10" s="172"/>
      <c r="D10" s="172"/>
      <c r="E10" s="172"/>
      <c r="F10" s="172"/>
    </row>
    <row r="11" spans="1:9">
      <c r="A11" s="1281" t="s">
        <v>1205</v>
      </c>
      <c r="B11" s="1281"/>
      <c r="C11" s="1281"/>
      <c r="D11" s="1281"/>
      <c r="E11" s="1281"/>
      <c r="F11" s="1281"/>
      <c r="G11" s="1281"/>
    </row>
    <row r="12" spans="1:9">
      <c r="A12" s="172"/>
      <c r="B12" s="172"/>
      <c r="E12" s="2"/>
    </row>
    <row r="13" spans="1:9" ht="13.15" customHeight="1">
      <c r="C13" s="172"/>
      <c r="D13" s="1283" t="s">
        <v>1204</v>
      </c>
      <c r="E13" s="1283"/>
      <c r="F13" s="1283"/>
    </row>
    <row r="14" spans="1:9">
      <c r="C14" s="172"/>
      <c r="D14" s="1283"/>
      <c r="E14" s="1283"/>
      <c r="F14" s="1283"/>
    </row>
    <row r="15" spans="1:9">
      <c r="A15" s="175"/>
      <c r="B15" s="175"/>
      <c r="C15" s="175"/>
      <c r="D15" s="1280" t="s">
        <v>1187</v>
      </c>
      <c r="E15" s="1280"/>
      <c r="F15" s="1280"/>
    </row>
    <row r="16" spans="1:9">
      <c r="A16" s="175"/>
      <c r="B16" s="175"/>
      <c r="C16" s="175"/>
      <c r="D16" s="218"/>
    </row>
    <row r="17" spans="1:6" ht="14.25">
      <c r="A17" s="176"/>
      <c r="B17" s="469" t="s">
        <v>309</v>
      </c>
      <c r="C17" s="175"/>
      <c r="D17" s="1260" t="s">
        <v>1188</v>
      </c>
      <c r="E17" s="1260"/>
      <c r="F17" s="1260"/>
    </row>
    <row r="18" spans="1:6">
      <c r="A18" s="175"/>
      <c r="B18" s="175"/>
      <c r="C18" s="175"/>
      <c r="D18" s="1260"/>
      <c r="E18" s="1260"/>
      <c r="F18" s="1260"/>
    </row>
    <row r="19" spans="1:6">
      <c r="A19" s="175"/>
      <c r="B19" s="175"/>
      <c r="C19" s="175"/>
      <c r="D19" s="1260"/>
      <c r="E19" s="1260"/>
      <c r="F19" s="1260"/>
    </row>
    <row r="20" spans="1:6">
      <c r="A20" s="175"/>
      <c r="B20" s="175"/>
      <c r="C20" s="175"/>
    </row>
    <row r="21" spans="1:6" ht="14.25">
      <c r="A21" s="176"/>
      <c r="B21" s="469" t="s">
        <v>309</v>
      </c>
      <c r="D21" s="1284" t="s">
        <v>1189</v>
      </c>
      <c r="E21" s="1284"/>
      <c r="F21" s="1284"/>
    </row>
    <row r="22" spans="1:6" ht="14.25">
      <c r="A22" s="176"/>
      <c r="B22" s="176"/>
      <c r="D22" s="35"/>
    </row>
    <row r="23" spans="1:6" ht="14.25">
      <c r="A23" s="176"/>
      <c r="B23" s="469" t="s">
        <v>309</v>
      </c>
      <c r="D23" s="1260" t="s">
        <v>1190</v>
      </c>
      <c r="E23" s="1260"/>
      <c r="F23" s="1260"/>
    </row>
    <row r="24" spans="1:6" ht="14.25">
      <c r="A24" s="176"/>
      <c r="B24" s="176"/>
      <c r="D24" s="1260"/>
      <c r="E24" s="1260"/>
      <c r="F24" s="1260"/>
    </row>
    <row r="25" spans="1:6"/>
    <row r="26" spans="1:6" ht="14.25">
      <c r="A26" s="176"/>
      <c r="B26" s="469" t="s">
        <v>309</v>
      </c>
      <c r="D26" s="1260" t="s">
        <v>1191</v>
      </c>
      <c r="E26" s="1260"/>
      <c r="F26" s="1260"/>
    </row>
    <row r="27" spans="1:6">
      <c r="D27" s="1260"/>
      <c r="E27" s="1260"/>
      <c r="F27" s="1260"/>
    </row>
    <row r="28" spans="1:6">
      <c r="D28" s="1260"/>
      <c r="E28" s="1260"/>
      <c r="F28" s="1260"/>
    </row>
    <row r="29" spans="1:6">
      <c r="D29" s="1260"/>
      <c r="E29" s="1260"/>
      <c r="F29" s="1260"/>
    </row>
    <row r="30" spans="1:6">
      <c r="D30" s="1260"/>
      <c r="E30" s="1260"/>
      <c r="F30" s="1260"/>
    </row>
    <row r="31" spans="1:6">
      <c r="D31" s="220"/>
    </row>
    <row r="32" spans="1:6">
      <c r="B32" s="469" t="s">
        <v>309</v>
      </c>
      <c r="D32" s="1260" t="s">
        <v>1192</v>
      </c>
      <c r="E32" s="1260"/>
      <c r="F32" s="1260"/>
    </row>
    <row r="33" spans="1:6">
      <c r="D33" s="1260"/>
      <c r="E33" s="1260"/>
      <c r="F33" s="1260"/>
    </row>
    <row r="34" spans="1:6" ht="14.25">
      <c r="A34" s="176"/>
      <c r="B34" s="176"/>
      <c r="D34" s="220"/>
    </row>
    <row r="35" spans="1:6" ht="14.45" customHeight="1">
      <c r="A35" s="176"/>
      <c r="B35" s="469" t="s">
        <v>309</v>
      </c>
      <c r="D35" s="1260" t="s">
        <v>1193</v>
      </c>
      <c r="E35" s="1260"/>
      <c r="F35" s="1260"/>
    </row>
    <row r="36" spans="1:6" ht="14.25">
      <c r="A36" s="176"/>
      <c r="B36" s="176"/>
      <c r="D36" s="1260"/>
      <c r="E36" s="1260"/>
      <c r="F36" s="1260"/>
    </row>
    <row r="37" spans="1:6" ht="14.25">
      <c r="A37" s="176"/>
      <c r="B37" s="176"/>
      <c r="D37" s="1260"/>
      <c r="E37" s="1260"/>
      <c r="F37" s="1260"/>
    </row>
    <row r="38" spans="1:6" ht="14.25">
      <c r="A38" s="176"/>
      <c r="B38" s="176"/>
      <c r="D38"/>
    </row>
    <row r="39" spans="1:6" ht="14.25">
      <c r="A39" s="176"/>
      <c r="B39" s="469" t="s">
        <v>309</v>
      </c>
      <c r="D39" s="1260" t="s">
        <v>1194</v>
      </c>
      <c r="E39" s="1260"/>
      <c r="F39" s="1260"/>
    </row>
    <row r="40" spans="1:6" ht="14.25">
      <c r="A40" s="176"/>
      <c r="B40" s="176"/>
      <c r="D40" s="1260"/>
      <c r="E40" s="1260"/>
      <c r="F40" s="1260"/>
    </row>
    <row r="41" spans="1:6" ht="14.25">
      <c r="A41" s="176"/>
      <c r="B41" s="176"/>
      <c r="D41" s="1260"/>
      <c r="E41" s="1260"/>
      <c r="F41" s="1260"/>
    </row>
    <row r="42" spans="1:6" ht="14.25">
      <c r="A42" s="176"/>
      <c r="B42" s="176"/>
      <c r="D42" s="1260"/>
      <c r="E42" s="1260"/>
      <c r="F42" s="1260"/>
    </row>
    <row r="43" spans="1:6" ht="14.25">
      <c r="A43" s="176"/>
      <c r="B43" s="176"/>
      <c r="D43" s="1260"/>
      <c r="E43" s="1260"/>
      <c r="F43" s="1260"/>
    </row>
    <row r="44" spans="1:6" ht="14.25">
      <c r="A44" s="176"/>
      <c r="B44" s="176"/>
      <c r="D44" s="475"/>
      <c r="E44" s="475"/>
      <c r="F44" s="475"/>
    </row>
    <row r="45" spans="1:6" ht="14.25">
      <c r="A45" s="176"/>
      <c r="B45" s="469" t="s">
        <v>309</v>
      </c>
      <c r="D45" s="1260" t="s">
        <v>1195</v>
      </c>
      <c r="E45" s="1260"/>
      <c r="F45" s="1260"/>
    </row>
    <row r="46" spans="1:6" ht="14.25">
      <c r="A46" s="176"/>
      <c r="B46" s="176"/>
      <c r="D46" s="1260"/>
      <c r="E46" s="1260"/>
      <c r="F46" s="1260"/>
    </row>
    <row r="47" spans="1:6" ht="14.25">
      <c r="A47" s="176"/>
      <c r="B47" s="176"/>
      <c r="D47" s="1260"/>
      <c r="E47" s="1260"/>
      <c r="F47" s="1260"/>
    </row>
    <row r="48" spans="1:6" ht="23.25" customHeight="1">
      <c r="A48" s="176"/>
      <c r="B48" s="176"/>
      <c r="D48" s="1260"/>
      <c r="E48" s="1260"/>
      <c r="F48" s="1260"/>
    </row>
    <row r="49" spans="1:7" ht="14.25">
      <c r="A49" s="176"/>
      <c r="B49" s="176"/>
      <c r="D49" s="35"/>
    </row>
    <row r="50" spans="1:7" ht="14.45" customHeight="1">
      <c r="A50" s="176"/>
      <c r="B50" s="469" t="s">
        <v>309</v>
      </c>
      <c r="D50" s="1260" t="s">
        <v>1196</v>
      </c>
      <c r="E50" s="1260"/>
      <c r="F50" s="1260"/>
    </row>
    <row r="51" spans="1:7" ht="14.25">
      <c r="A51" s="176"/>
      <c r="B51" s="176"/>
      <c r="D51" s="1260"/>
      <c r="E51" s="1260"/>
      <c r="F51" s="1260"/>
    </row>
    <row r="52" spans="1:7" ht="14.25">
      <c r="A52" s="176"/>
      <c r="B52" s="176"/>
      <c r="D52" s="1260"/>
      <c r="E52" s="1260"/>
      <c r="F52" s="1260"/>
    </row>
    <row r="53" spans="1:7" ht="14.25">
      <c r="A53" s="176"/>
      <c r="B53" s="176"/>
      <c r="C53" s="386"/>
      <c r="D53" s="3"/>
      <c r="E53" s="3"/>
      <c r="F53" s="3"/>
      <c r="G53" s="3"/>
    </row>
    <row r="54" spans="1:7" ht="14.25">
      <c r="A54" s="176"/>
      <c r="B54" s="469" t="s">
        <v>309</v>
      </c>
      <c r="C54" s="386"/>
      <c r="D54" s="1260" t="s">
        <v>1197</v>
      </c>
      <c r="E54" s="1260"/>
      <c r="F54" s="1260"/>
      <c r="G54" s="3"/>
    </row>
    <row r="55" spans="1:7" ht="14.25">
      <c r="A55" s="176"/>
      <c r="B55" s="176"/>
      <c r="C55" s="386"/>
      <c r="D55" s="1260"/>
      <c r="E55" s="1260"/>
      <c r="F55" s="1260"/>
      <c r="G55" s="3"/>
    </row>
    <row r="56" spans="1:7">
      <c r="D56" s="220"/>
    </row>
    <row r="57" spans="1:7" ht="14.25">
      <c r="A57" s="176"/>
      <c r="B57" s="469" t="s">
        <v>309</v>
      </c>
      <c r="D57" s="1260" t="s">
        <v>1198</v>
      </c>
      <c r="E57" s="1260"/>
      <c r="F57" s="1260"/>
    </row>
    <row r="58" spans="1:7">
      <c r="D58" s="1260"/>
      <c r="E58" s="1260"/>
      <c r="F58" s="1260"/>
    </row>
    <row r="59" spans="1:7">
      <c r="D59" s="1260"/>
      <c r="E59" s="1260"/>
      <c r="F59" s="1260"/>
    </row>
    <row r="60" spans="1:7">
      <c r="D60" s="3"/>
    </row>
    <row r="61" spans="1:7" ht="14.25">
      <c r="A61" s="176"/>
      <c r="B61" s="469" t="s">
        <v>309</v>
      </c>
      <c r="D61" s="1260" t="s">
        <v>1199</v>
      </c>
      <c r="E61" s="1260"/>
      <c r="F61" s="1260"/>
    </row>
    <row r="62" spans="1:7">
      <c r="D62" s="1260"/>
      <c r="E62" s="1260"/>
      <c r="F62" s="1260"/>
    </row>
    <row r="63" spans="1:7"/>
    <row r="64" spans="1:7" ht="14.25">
      <c r="A64" s="176"/>
      <c r="B64" s="469" t="s">
        <v>309</v>
      </c>
      <c r="D64" s="1260" t="s">
        <v>1200</v>
      </c>
      <c r="E64" s="1260"/>
      <c r="F64" s="1260"/>
    </row>
    <row r="65" spans="1:7">
      <c r="D65" s="1260"/>
      <c r="E65" s="1260"/>
      <c r="F65" s="1260"/>
    </row>
    <row r="66" spans="1:7">
      <c r="D66" s="1260"/>
      <c r="E66" s="1260"/>
      <c r="F66" s="1260"/>
    </row>
    <row r="67" spans="1:7">
      <c r="D67"/>
    </row>
    <row r="68" spans="1:7" ht="14.25">
      <c r="A68" s="176"/>
      <c r="B68" s="469" t="s">
        <v>309</v>
      </c>
      <c r="D68" s="1260" t="s">
        <v>1201</v>
      </c>
      <c r="E68" s="1260"/>
      <c r="F68" s="1260"/>
    </row>
    <row r="69" spans="1:7">
      <c r="D69" s="1260"/>
      <c r="E69" s="1260"/>
      <c r="F69" s="1260"/>
    </row>
    <row r="70" spans="1:7" ht="14.25">
      <c r="A70" s="176"/>
      <c r="B70" s="176"/>
      <c r="D70" s="35"/>
    </row>
    <row r="71" spans="1:7">
      <c r="A71" s="1281" t="s">
        <v>1108</v>
      </c>
      <c r="B71" s="1281"/>
      <c r="C71" s="1281"/>
      <c r="D71" s="1281"/>
      <c r="E71" s="1281"/>
      <c r="F71" s="1281"/>
      <c r="G71" s="1281"/>
    </row>
    <row r="72" spans="1:7"/>
    <row r="73" spans="1:7">
      <c r="C73" s="177"/>
      <c r="D73" s="1292" t="s">
        <v>1206</v>
      </c>
      <c r="E73" s="1292"/>
      <c r="F73" s="1292"/>
    </row>
    <row r="74" spans="1:7">
      <c r="A74" s="35"/>
      <c r="B74" s="35"/>
      <c r="D74" s="1260" t="s">
        <v>1233</v>
      </c>
      <c r="E74" s="1260"/>
      <c r="F74" s="1260"/>
    </row>
    <row r="75" spans="1:7">
      <c r="A75" s="35"/>
      <c r="B75" s="35"/>
    </row>
    <row r="76" spans="1:7" ht="14.25">
      <c r="A76" s="176"/>
      <c r="B76" s="469" t="s">
        <v>309</v>
      </c>
      <c r="D76" s="1260" t="s">
        <v>1207</v>
      </c>
      <c r="E76" s="1260"/>
      <c r="F76" s="1260"/>
    </row>
    <row r="77" spans="1:7" ht="14.25">
      <c r="A77" s="176"/>
      <c r="B77" s="176"/>
      <c r="D77" s="1260"/>
      <c r="E77" s="1260"/>
      <c r="F77" s="1260"/>
    </row>
    <row r="78" spans="1:7" ht="14.25">
      <c r="A78" s="176"/>
      <c r="B78" s="176"/>
      <c r="D78" s="1260"/>
      <c r="E78" s="1260"/>
      <c r="F78" s="1260"/>
    </row>
    <row r="79" spans="1:7" ht="14.25">
      <c r="A79" s="176"/>
      <c r="B79" s="176"/>
      <c r="D79" s="1260"/>
      <c r="E79" s="1260"/>
      <c r="F79" s="1260"/>
    </row>
    <row r="80" spans="1:7" ht="14.25">
      <c r="A80" s="176"/>
      <c r="B80" s="176"/>
      <c r="D80" s="1260"/>
      <c r="E80" s="1260"/>
      <c r="F80" s="1260"/>
    </row>
    <row r="81" spans="1:6" ht="14.25">
      <c r="A81" s="176"/>
      <c r="B81" s="176"/>
      <c r="D81" s="1260"/>
      <c r="E81" s="1260"/>
      <c r="F81" s="1260"/>
    </row>
    <row r="82" spans="1:6" ht="14.25">
      <c r="A82" s="176"/>
      <c r="B82" s="176"/>
      <c r="D82" s="475"/>
      <c r="E82" s="475"/>
      <c r="F82" s="475"/>
    </row>
    <row r="83" spans="1:6" ht="14.45" customHeight="1">
      <c r="A83" s="176"/>
      <c r="B83" s="469" t="s">
        <v>309</v>
      </c>
      <c r="D83" s="1263" t="s">
        <v>1306</v>
      </c>
      <c r="E83" s="1263"/>
      <c r="F83" s="1263"/>
    </row>
    <row r="84" spans="1:6" ht="14.25">
      <c r="A84" s="176"/>
      <c r="B84" s="176"/>
      <c r="D84" s="1263"/>
      <c r="E84" s="1263"/>
      <c r="F84" s="1263"/>
    </row>
    <row r="85" spans="1:6" ht="14.25">
      <c r="A85" s="176"/>
      <c r="B85" s="176"/>
      <c r="D85" s="1263"/>
      <c r="E85" s="1263"/>
      <c r="F85" s="1263"/>
    </row>
    <row r="86" spans="1:6" ht="14.25">
      <c r="A86" s="176"/>
      <c r="B86" s="176"/>
      <c r="D86" s="1263"/>
      <c r="E86" s="1263"/>
      <c r="F86" s="1263"/>
    </row>
    <row r="87" spans="1:6" ht="14.25">
      <c r="A87" s="176"/>
      <c r="B87" s="176"/>
      <c r="D87" s="1263"/>
      <c r="E87" s="1263"/>
      <c r="F87" s="1263"/>
    </row>
    <row r="88" spans="1:6" ht="14.25">
      <c r="A88" s="176"/>
      <c r="B88" s="176"/>
      <c r="D88" s="1263"/>
      <c r="E88" s="1263"/>
      <c r="F88" s="1263"/>
    </row>
    <row r="89" spans="1:6" ht="14.25">
      <c r="A89" s="176"/>
      <c r="B89" s="176"/>
      <c r="D89" s="1263"/>
      <c r="E89" s="1263"/>
      <c r="F89" s="1263"/>
    </row>
    <row r="90" spans="1:6" ht="14.25">
      <c r="A90" s="176"/>
      <c r="B90" s="176"/>
      <c r="D90" s="1263"/>
      <c r="E90" s="1263"/>
      <c r="F90" s="1263"/>
    </row>
    <row r="91" spans="1:6" ht="14.25">
      <c r="A91" s="176"/>
      <c r="B91" s="176"/>
      <c r="D91" s="1263"/>
      <c r="E91" s="1263"/>
      <c r="F91" s="1263"/>
    </row>
    <row r="92" spans="1:6" ht="14.25">
      <c r="A92" s="176"/>
      <c r="B92" s="176"/>
      <c r="D92" s="1263"/>
      <c r="E92" s="1263"/>
      <c r="F92" s="1263"/>
    </row>
    <row r="93" spans="1:6" ht="14.25">
      <c r="A93" s="176"/>
      <c r="B93" s="176"/>
      <c r="D93" s="1263"/>
      <c r="E93" s="1263"/>
      <c r="F93" s="1263"/>
    </row>
    <row r="94" spans="1:6" ht="14.25">
      <c r="A94" s="176"/>
      <c r="B94" s="176"/>
      <c r="D94" s="1263"/>
      <c r="E94" s="1263"/>
      <c r="F94" s="1263"/>
    </row>
    <row r="95" spans="1:6" ht="14.25">
      <c r="A95" s="176"/>
      <c r="B95" s="176"/>
      <c r="D95" s="1263"/>
      <c r="E95" s="1263"/>
      <c r="F95" s="1263"/>
    </row>
    <row r="96" spans="1:6" ht="14.25">
      <c r="A96" s="176"/>
      <c r="B96" s="176"/>
      <c r="D96" s="1263"/>
      <c r="E96" s="1263"/>
      <c r="F96" s="1263"/>
    </row>
    <row r="97" spans="1:11" ht="14.25">
      <c r="A97" s="176"/>
      <c r="B97" s="469" t="s">
        <v>309</v>
      </c>
      <c r="D97" s="1260" t="s">
        <v>1208</v>
      </c>
      <c r="E97" s="1260"/>
      <c r="F97" s="1260"/>
    </row>
    <row r="98" spans="1:11" ht="14.25">
      <c r="A98" s="176"/>
      <c r="B98" s="176"/>
      <c r="D98" s="1260"/>
      <c r="E98" s="1260"/>
      <c r="F98" s="1260"/>
    </row>
    <row r="99" spans="1:11" ht="14.25">
      <c r="A99" s="176"/>
      <c r="B99" s="176"/>
      <c r="D99" s="1260"/>
      <c r="E99" s="1260"/>
      <c r="F99" s="1260"/>
    </row>
    <row r="100" spans="1:11" ht="14.25">
      <c r="A100" s="176"/>
      <c r="B100" s="176"/>
      <c r="D100" s="1260"/>
      <c r="E100" s="1260"/>
      <c r="F100" s="1260"/>
    </row>
    <row r="101" spans="1:11" ht="14.25">
      <c r="A101" s="176"/>
      <c r="B101" s="176"/>
      <c r="D101" s="1260"/>
      <c r="E101" s="1260"/>
      <c r="F101" s="1260"/>
    </row>
    <row r="102" spans="1:11" ht="14.25">
      <c r="A102" s="176"/>
      <c r="B102" s="176"/>
      <c r="D102" s="1260"/>
      <c r="E102" s="1260"/>
      <c r="F102" s="1260"/>
    </row>
    <row r="103" spans="1:11" ht="14.25">
      <c r="A103" s="176"/>
      <c r="B103" s="176"/>
      <c r="D103" s="1260"/>
      <c r="E103" s="1260"/>
      <c r="F103" s="1260"/>
    </row>
    <row r="104" spans="1:11" ht="14.25">
      <c r="A104" s="176"/>
      <c r="B104" s="176"/>
      <c r="D104" s="1260"/>
      <c r="E104" s="1260"/>
      <c r="F104" s="1260"/>
    </row>
    <row r="105" spans="1:11" ht="14.25">
      <c r="A105" s="176"/>
      <c r="B105" s="176"/>
      <c r="D105" s="475"/>
      <c r="E105" s="475"/>
      <c r="F105" s="475"/>
    </row>
    <row r="106" spans="1:11" ht="14.25">
      <c r="A106" s="176"/>
      <c r="B106" s="469" t="s">
        <v>309</v>
      </c>
      <c r="C106" s="179"/>
      <c r="D106" s="1301" t="s">
        <v>1209</v>
      </c>
      <c r="E106" s="1301"/>
      <c r="F106" s="1301"/>
      <c r="G106" s="183"/>
      <c r="H106" s="181"/>
      <c r="I106" s="181"/>
      <c r="J106" s="181"/>
      <c r="K106" s="181"/>
    </row>
    <row r="107" spans="1:11" ht="14.25">
      <c r="A107" s="176"/>
      <c r="B107" s="176"/>
      <c r="C107" s="179"/>
      <c r="D107" s="1301"/>
      <c r="E107" s="1301"/>
      <c r="F107" s="1301"/>
      <c r="G107" s="183"/>
      <c r="H107" s="181"/>
      <c r="I107" s="181"/>
      <c r="J107" s="181"/>
      <c r="K107" s="181"/>
    </row>
    <row r="108" spans="1:11" ht="14.25">
      <c r="A108" s="176"/>
      <c r="B108" s="176"/>
      <c r="C108" s="179"/>
      <c r="D108" s="1301"/>
      <c r="E108" s="1301"/>
      <c r="F108" s="1301"/>
      <c r="G108" s="183"/>
      <c r="H108" s="181"/>
      <c r="I108" s="181"/>
      <c r="J108" s="181"/>
      <c r="K108" s="181"/>
    </row>
    <row r="109" spans="1:11" ht="14.25">
      <c r="A109" s="176"/>
      <c r="B109" s="176"/>
      <c r="C109" s="179"/>
      <c r="D109" s="1301"/>
      <c r="E109" s="1301"/>
      <c r="F109" s="1301"/>
      <c r="G109" s="183"/>
      <c r="H109" s="181"/>
      <c r="I109" s="181"/>
      <c r="J109" s="181"/>
      <c r="K109" s="181"/>
    </row>
    <row r="110" spans="1:11" ht="14.25">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ht="14.25">
      <c r="A114" s="176"/>
      <c r="B114" s="469" t="s">
        <v>309</v>
      </c>
      <c r="C114"/>
      <c r="D114" s="1302" t="s">
        <v>1210</v>
      </c>
      <c r="E114" s="1302"/>
      <c r="F114" s="1302"/>
      <c r="G114"/>
    </row>
    <row r="115" spans="1:7" ht="14.25">
      <c r="A115" s="176"/>
      <c r="B115" s="176"/>
      <c r="C115"/>
      <c r="D115" s="1302"/>
      <c r="E115" s="1302"/>
      <c r="F115" s="1302"/>
      <c r="G115"/>
    </row>
    <row r="116" spans="1:7"/>
    <row r="117" spans="1:7" ht="14.25">
      <c r="A117" s="176"/>
      <c r="B117" s="469" t="s">
        <v>309</v>
      </c>
      <c r="D117" s="1260" t="s">
        <v>1211</v>
      </c>
      <c r="E117" s="1260"/>
      <c r="F117" s="1260"/>
    </row>
    <row r="118" spans="1:7">
      <c r="D118" s="1260"/>
      <c r="E118" s="1260"/>
      <c r="F118" s="1260"/>
    </row>
    <row r="119" spans="1:7">
      <c r="D119" s="1260"/>
      <c r="E119" s="1260"/>
      <c r="F119" s="1260"/>
    </row>
    <row r="120" spans="1:7">
      <c r="D120" s="1260"/>
      <c r="E120" s="1260"/>
      <c r="F120" s="1260"/>
    </row>
    <row r="121" spans="1:7">
      <c r="D121" s="1260"/>
      <c r="E121" s="1260"/>
      <c r="F121" s="1260"/>
    </row>
    <row r="122" spans="1:7"/>
    <row r="123" spans="1:7" ht="14.25">
      <c r="A123" s="176"/>
      <c r="B123" s="469" t="s">
        <v>309</v>
      </c>
      <c r="D123" s="1260" t="s">
        <v>1212</v>
      </c>
      <c r="E123" s="1260"/>
      <c r="F123" s="1260"/>
    </row>
    <row r="124" spans="1:7" s="197" customFormat="1" ht="13.7" customHeight="1">
      <c r="A124" s="195"/>
      <c r="B124" s="195"/>
      <c r="C124" s="195"/>
      <c r="D124" s="1260"/>
      <c r="E124" s="1260"/>
      <c r="F124" s="1260"/>
      <c r="G124" s="196"/>
    </row>
    <row r="125" spans="1:7" ht="13.7" customHeight="1">
      <c r="D125" s="1260"/>
      <c r="E125" s="1260"/>
      <c r="F125" s="1260"/>
    </row>
    <row r="126" spans="1:7" ht="13.7" customHeight="1">
      <c r="D126" s="1260"/>
      <c r="E126" s="1260"/>
      <c r="F126" s="1260"/>
    </row>
    <row r="127" spans="1:7" ht="13.7" customHeight="1">
      <c r="D127" s="1260"/>
      <c r="E127" s="1260"/>
      <c r="F127" s="1260"/>
    </row>
    <row r="128" spans="1:7" ht="13.7" customHeight="1">
      <c r="A128" s="256"/>
      <c r="B128" s="256"/>
      <c r="D128" s="1260"/>
      <c r="E128" s="1260"/>
      <c r="F128" s="1260"/>
    </row>
    <row r="129" spans="2:6" ht="13.7" customHeight="1">
      <c r="D129" s="1260"/>
      <c r="E129" s="1260"/>
      <c r="F129" s="1260"/>
    </row>
    <row r="130" spans="2:6" ht="13.7" customHeight="1">
      <c r="D130" s="1260"/>
      <c r="E130" s="1260"/>
      <c r="F130" s="1260"/>
    </row>
    <row r="131" spans="2:6" ht="13.7" customHeight="1">
      <c r="D131" s="1260"/>
      <c r="E131" s="1260"/>
      <c r="F131" s="1260"/>
    </row>
    <row r="132" spans="2:6" ht="13.7" customHeight="1">
      <c r="D132" s="1260"/>
      <c r="E132" s="1260"/>
      <c r="F132" s="1260"/>
    </row>
    <row r="133" spans="2:6" ht="13.7" customHeight="1">
      <c r="D133" s="1260"/>
      <c r="E133" s="1260"/>
      <c r="F133" s="1260"/>
    </row>
    <row r="134" spans="2:6" ht="13.7" customHeight="1">
      <c r="D134" s="1260"/>
      <c r="E134" s="1260"/>
      <c r="F134" s="1260"/>
    </row>
    <row r="135" spans="2:6" ht="13.7" customHeight="1">
      <c r="D135" s="218"/>
      <c r="E135" s="35"/>
      <c r="F135" s="35"/>
    </row>
    <row r="136" spans="2:6" ht="13.7" customHeight="1">
      <c r="B136" s="469" t="s">
        <v>309</v>
      </c>
      <c r="D136" s="1260" t="s">
        <v>1320</v>
      </c>
      <c r="E136" s="1260"/>
      <c r="F136" s="1260"/>
    </row>
    <row r="137" spans="2:6" ht="13.7" customHeight="1">
      <c r="D137" s="1260"/>
      <c r="E137" s="1260"/>
      <c r="F137" s="1260"/>
    </row>
    <row r="138" spans="2:6" ht="13.7" customHeight="1">
      <c r="D138" s="1260"/>
      <c r="E138" s="1260"/>
      <c r="F138" s="1260"/>
    </row>
    <row r="139" spans="2:6" ht="13.7" customHeight="1">
      <c r="D139" s="1260"/>
      <c r="E139" s="1260"/>
      <c r="F139" s="1260"/>
    </row>
    <row r="140" spans="2:6" ht="13.7" customHeight="1">
      <c r="D140" s="1260"/>
      <c r="E140" s="1260"/>
      <c r="F140" s="1260"/>
    </row>
    <row r="141" spans="2:6" ht="13.7" customHeight="1">
      <c r="D141" s="1260"/>
      <c r="E141" s="1260"/>
      <c r="F141" s="1260"/>
    </row>
    <row r="142" spans="2:6" ht="13.7" customHeight="1">
      <c r="D142" s="1260"/>
      <c r="E142" s="1260"/>
      <c r="F142" s="1260"/>
    </row>
    <row r="143" spans="2:6" ht="13.7" customHeight="1">
      <c r="D143" s="1260"/>
      <c r="E143" s="1260"/>
      <c r="F143" s="1260"/>
    </row>
    <row r="144" spans="2:6" ht="13.7" customHeight="1">
      <c r="D144" s="1260"/>
      <c r="E144" s="1260"/>
      <c r="F144" s="1260"/>
    </row>
    <row r="145" spans="1:7" ht="13.7" customHeight="1">
      <c r="D145" s="1260"/>
      <c r="E145" s="1260"/>
      <c r="F145" s="1260"/>
    </row>
    <row r="146" spans="1:7" ht="13.7" customHeight="1">
      <c r="D146" s="1260"/>
      <c r="E146" s="1260"/>
      <c r="F146" s="1260"/>
    </row>
    <row r="147" spans="1:7" ht="13.7" customHeight="1">
      <c r="D147" s="1260"/>
      <c r="E147" s="1260"/>
      <c r="F147" s="1260"/>
    </row>
    <row r="148" spans="1:7" ht="13.7" customHeight="1">
      <c r="D148" s="1260"/>
      <c r="E148" s="1260"/>
      <c r="F148" s="1260"/>
    </row>
    <row r="149" spans="1:7" ht="13.7" customHeight="1">
      <c r="D149" s="1260"/>
      <c r="E149" s="1260"/>
      <c r="F149" s="1260"/>
    </row>
    <row r="150" spans="1:7" ht="13.7" customHeight="1">
      <c r="D150" s="1260"/>
      <c r="E150" s="1260"/>
      <c r="F150" s="1260"/>
    </row>
    <row r="151" spans="1:7" ht="13.7" customHeight="1">
      <c r="D151" s="1260"/>
      <c r="E151" s="1260"/>
      <c r="F151" s="1260"/>
    </row>
    <row r="152" spans="1:7" ht="13.7" customHeight="1">
      <c r="D152" s="1260"/>
      <c r="E152" s="1260"/>
      <c r="F152" s="1260"/>
    </row>
    <row r="153" spans="1:7" ht="13.7" customHeight="1">
      <c r="D153" s="1260"/>
      <c r="E153" s="1260"/>
      <c r="F153" s="1260"/>
    </row>
    <row r="154" spans="1:7" ht="13.7" customHeight="1">
      <c r="D154" s="1260"/>
      <c r="E154" s="1260"/>
      <c r="F154" s="1260"/>
    </row>
    <row r="155" spans="1:7" ht="13.7" customHeight="1">
      <c r="D155" s="218"/>
      <c r="E155" s="35"/>
      <c r="F155" s="35"/>
    </row>
    <row r="156" spans="1:7" ht="13.7" customHeight="1">
      <c r="A156" s="256"/>
      <c r="B156" s="469" t="s">
        <v>309</v>
      </c>
      <c r="C156" s="218"/>
      <c r="D156" s="1263" t="s">
        <v>1213</v>
      </c>
      <c r="E156" s="1263"/>
      <c r="F156" s="1263"/>
      <c r="G156" s="218"/>
    </row>
    <row r="157" spans="1:7" ht="13.7" customHeight="1">
      <c r="A157" s="256"/>
      <c r="B157" s="256"/>
      <c r="C157" s="218"/>
      <c r="D157" s="1263"/>
      <c r="E157" s="1263"/>
      <c r="F157" s="1263"/>
      <c r="G157" s="218"/>
    </row>
    <row r="158" spans="1:7" ht="13.7" customHeight="1">
      <c r="A158" s="256"/>
      <c r="B158" s="256"/>
      <c r="C158" s="218"/>
      <c r="D158" s="218"/>
      <c r="E158" s="218"/>
      <c r="F158" s="218"/>
      <c r="G158" s="218"/>
    </row>
    <row r="159" spans="1:7" ht="13.7" customHeight="1">
      <c r="A159" s="256"/>
      <c r="B159" s="469" t="s">
        <v>309</v>
      </c>
      <c r="C159" s="218"/>
      <c r="D159" s="1263" t="s">
        <v>1214</v>
      </c>
      <c r="E159" s="1263"/>
      <c r="F159" s="1263"/>
      <c r="G159" s="218"/>
    </row>
    <row r="160" spans="1:7" ht="13.7" customHeight="1">
      <c r="A160" s="256"/>
      <c r="B160" s="256"/>
      <c r="C160" s="218"/>
      <c r="D160" s="1263"/>
      <c r="E160" s="1263"/>
      <c r="F160" s="1263"/>
      <c r="G160" s="218"/>
    </row>
    <row r="161" spans="1:7" ht="13.7" customHeight="1">
      <c r="A161" s="256"/>
      <c r="B161" s="256"/>
      <c r="C161" s="218"/>
      <c r="D161" s="1263"/>
      <c r="E161" s="1263"/>
      <c r="F161" s="1263"/>
      <c r="G161" s="218"/>
    </row>
    <row r="162" spans="1:7" ht="13.7" customHeight="1">
      <c r="A162" s="256"/>
      <c r="B162" s="256"/>
      <c r="C162" s="218"/>
      <c r="D162" s="1263"/>
      <c r="E162" s="1263"/>
      <c r="F162" s="1263"/>
      <c r="G162" s="218"/>
    </row>
    <row r="163" spans="1:7" ht="13.7" customHeight="1">
      <c r="D163" s="35"/>
      <c r="E163" s="35"/>
      <c r="F163" s="35"/>
    </row>
    <row r="164" spans="1:7" ht="13.7" customHeight="1">
      <c r="B164" s="469" t="s">
        <v>309</v>
      </c>
      <c r="D164" s="1297" t="s">
        <v>1215</v>
      </c>
      <c r="E164" s="1297"/>
      <c r="F164" s="1297"/>
    </row>
    <row r="165" spans="1:7" ht="13.7" customHeight="1">
      <c r="D165" s="1297"/>
      <c r="E165" s="1297"/>
      <c r="F165" s="1297"/>
    </row>
    <row r="166" spans="1:7" ht="13.7" customHeight="1">
      <c r="D166" s="1297"/>
      <c r="E166" s="1297"/>
      <c r="F166" s="1297"/>
    </row>
    <row r="167" spans="1:7" ht="13.7" customHeight="1">
      <c r="A167" s="13"/>
      <c r="B167" s="13"/>
      <c r="E167" s="35"/>
      <c r="F167" s="35"/>
    </row>
    <row r="168" spans="1:7">
      <c r="A168" s="1281" t="s">
        <v>1109</v>
      </c>
      <c r="B168" s="1281"/>
      <c r="C168" s="1281"/>
      <c r="D168" s="1281"/>
      <c r="E168" s="1281"/>
      <c r="F168" s="1281"/>
      <c r="G168" s="1281"/>
    </row>
    <row r="169" spans="1:7" ht="12" customHeight="1">
      <c r="D169" s="35"/>
      <c r="E169" s="35"/>
      <c r="F169" s="35"/>
    </row>
    <row r="170" spans="1:7">
      <c r="B170" s="1278" t="s">
        <v>449</v>
      </c>
      <c r="C170" s="1278"/>
      <c r="D170" s="1278"/>
      <c r="E170" s="1278"/>
      <c r="F170" s="1278"/>
    </row>
    <row r="171" spans="1:7" ht="12" customHeight="1">
      <c r="A171" s="172"/>
      <c r="B171" s="172"/>
      <c r="C171" s="172"/>
    </row>
    <row r="172" spans="1:7">
      <c r="A172" s="1281" t="s">
        <v>1110</v>
      </c>
      <c r="B172" s="1281"/>
      <c r="C172" s="1281"/>
      <c r="D172" s="1281"/>
      <c r="E172" s="1281"/>
      <c r="F172" s="1281"/>
      <c r="G172" s="1281"/>
    </row>
    <row r="173" spans="1:7" ht="12" customHeight="1">
      <c r="A173" s="2"/>
      <c r="B173" s="2"/>
      <c r="E173" s="2"/>
    </row>
    <row r="174" spans="1:7" ht="13.15" customHeight="1">
      <c r="A174" s="2"/>
      <c r="B174" s="2"/>
      <c r="D174" s="1303" t="s">
        <v>1218</v>
      </c>
      <c r="E174" s="1303"/>
      <c r="F174" s="1303"/>
    </row>
    <row r="175" spans="1:7">
      <c r="A175" s="2"/>
      <c r="B175" s="2"/>
      <c r="D175" s="1303"/>
      <c r="E175" s="1303"/>
      <c r="F175" s="1303"/>
    </row>
    <row r="176" spans="1:7">
      <c r="A176" s="2"/>
      <c r="B176" s="2"/>
      <c r="D176" s="1290" t="s">
        <v>1219</v>
      </c>
      <c r="E176" s="1290"/>
      <c r="F176" s="1290"/>
    </row>
    <row r="177" spans="1:7" ht="12" customHeight="1">
      <c r="A177" s="2"/>
      <c r="B177" s="2"/>
      <c r="E177" s="2"/>
    </row>
    <row r="178" spans="1:7" ht="14.25">
      <c r="A178" s="176"/>
      <c r="B178" s="469" t="s">
        <v>309</v>
      </c>
      <c r="D178" s="1275" t="s">
        <v>1217</v>
      </c>
      <c r="E178" s="1275"/>
      <c r="F178" s="1275"/>
    </row>
    <row r="179" spans="1:7" ht="14.25">
      <c r="A179" s="176"/>
      <c r="B179" s="176"/>
      <c r="D179" s="1275"/>
      <c r="E179" s="1275"/>
      <c r="F179" s="1275"/>
    </row>
    <row r="180" spans="1:7" ht="14.25">
      <c r="A180" s="176"/>
      <c r="B180" s="176"/>
      <c r="D180" s="1275"/>
      <c r="E180" s="1275"/>
      <c r="F180" s="1275"/>
    </row>
    <row r="181" spans="1:7">
      <c r="D181" s="1275"/>
      <c r="E181" s="1275"/>
      <c r="F181" s="1275"/>
    </row>
    <row r="182" spans="1:7">
      <c r="D182" s="220"/>
    </row>
    <row r="183" spans="1:7">
      <c r="D183" s="1296" t="s">
        <v>1126</v>
      </c>
      <c r="E183" s="1296"/>
      <c r="F183" s="1296"/>
    </row>
    <row r="184" spans="1:7">
      <c r="D184" s="1296"/>
      <c r="E184" s="1296"/>
      <c r="F184" s="1296"/>
    </row>
    <row r="185" spans="1:7">
      <c r="D185" s="476"/>
      <c r="E185" s="476"/>
      <c r="F185" s="476"/>
    </row>
    <row r="186" spans="1:7" ht="14.25">
      <c r="A186" s="176"/>
      <c r="B186" s="469" t="s">
        <v>309</v>
      </c>
      <c r="C186" s="386"/>
      <c r="D186" s="1260" t="s">
        <v>1216</v>
      </c>
      <c r="E186" s="1260"/>
      <c r="F186" s="1260"/>
      <c r="G186" s="3"/>
    </row>
    <row r="187" spans="1:7" ht="14.45" customHeight="1">
      <c r="A187" s="176"/>
      <c r="B187"/>
      <c r="C187" s="386"/>
      <c r="D187" s="1260"/>
      <c r="E187" s="1260"/>
      <c r="F187" s="1260"/>
      <c r="G187" s="3"/>
    </row>
    <row r="188" spans="1:7" ht="14.25">
      <c r="A188" s="176"/>
      <c r="B188" s="386"/>
      <c r="C188" s="386"/>
      <c r="D188" s="1260"/>
      <c r="E188" s="1260"/>
      <c r="F188" s="1260"/>
      <c r="G188" s="3"/>
    </row>
    <row r="189" spans="1:7" ht="14.25">
      <c r="A189" s="176"/>
      <c r="B189" s="386"/>
      <c r="C189" s="386"/>
      <c r="D189" s="1260"/>
      <c r="E189" s="1260"/>
      <c r="F189" s="1260"/>
      <c r="G189" s="3"/>
    </row>
    <row r="190" spans="1:7">
      <c r="D190" s="476"/>
      <c r="E190" s="476"/>
      <c r="F190" s="476"/>
    </row>
    <row r="191" spans="1:7">
      <c r="A191" s="1281" t="s">
        <v>1111</v>
      </c>
      <c r="B191" s="1281"/>
      <c r="C191" s="1281"/>
      <c r="D191" s="1281"/>
      <c r="E191" s="1281"/>
      <c r="F191" s="1281"/>
      <c r="G191" s="1281"/>
    </row>
    <row r="192" spans="1:7" ht="12" customHeight="1">
      <c r="D192" s="35"/>
      <c r="E192" s="35"/>
      <c r="F192" s="35"/>
    </row>
    <row r="193" spans="1:6">
      <c r="C193" s="177"/>
      <c r="D193" s="1279" t="s">
        <v>210</v>
      </c>
      <c r="E193" s="1279"/>
      <c r="F193" s="1279"/>
    </row>
    <row r="194" spans="1:6">
      <c r="A194" s="172"/>
      <c r="B194" s="172"/>
      <c r="C194" s="172"/>
      <c r="D194" s="1280" t="s">
        <v>1240</v>
      </c>
      <c r="E194" s="1286"/>
      <c r="F194" s="1286"/>
    </row>
    <row r="195" spans="1:6" ht="12" customHeight="1">
      <c r="A195" s="13"/>
      <c r="B195" s="13"/>
      <c r="C195" s="13"/>
    </row>
    <row r="196" spans="1:6" ht="13.15" customHeight="1">
      <c r="A196" s="13"/>
      <c r="C196" s="13"/>
      <c r="D196" s="1279" t="s">
        <v>555</v>
      </c>
      <c r="E196" s="1279"/>
      <c r="F196" s="1279"/>
    </row>
    <row r="197" spans="1:6" ht="14.25">
      <c r="A197" s="176"/>
      <c r="B197" s="469" t="s">
        <v>309</v>
      </c>
      <c r="D197" s="1260" t="s">
        <v>1234</v>
      </c>
      <c r="E197" s="1260"/>
      <c r="F197" s="1260"/>
    </row>
    <row r="198" spans="1:6" ht="14.25">
      <c r="A198" s="176"/>
      <c r="B198" s="176"/>
      <c r="D198" s="1260"/>
      <c r="E198" s="1260"/>
      <c r="F198" s="1260"/>
    </row>
    <row r="199" spans="1:6"/>
    <row r="200" spans="1:6" ht="14.25">
      <c r="A200" s="176"/>
      <c r="B200" s="469" t="s">
        <v>309</v>
      </c>
      <c r="D200" s="1260" t="s">
        <v>1235</v>
      </c>
      <c r="E200" s="1260"/>
      <c r="F200" s="1260"/>
    </row>
    <row r="201" spans="1:6" ht="14.25">
      <c r="A201" s="176"/>
      <c r="B201" s="176"/>
      <c r="D201" s="1260"/>
      <c r="E201" s="1260"/>
      <c r="F201" s="1260"/>
    </row>
    <row r="202" spans="1:6" ht="14.25">
      <c r="A202" s="176"/>
      <c r="B202" s="176"/>
      <c r="D202" s="1260"/>
      <c r="E202" s="1260"/>
      <c r="F202" s="1260"/>
    </row>
    <row r="203" spans="1:6" ht="5.0999999999999996" customHeight="1">
      <c r="A203" s="176"/>
      <c r="B203" s="176"/>
      <c r="D203" s="35"/>
      <c r="E203" s="35"/>
      <c r="F203" s="35"/>
    </row>
    <row r="204" spans="1:6" ht="14.25">
      <c r="A204" s="176"/>
      <c r="B204" s="176"/>
      <c r="D204" s="1260" t="s">
        <v>1236</v>
      </c>
      <c r="E204" s="1260"/>
      <c r="F204" s="1260"/>
    </row>
    <row r="205" spans="1:6" ht="14.25">
      <c r="A205" s="176"/>
      <c r="B205" s="176"/>
      <c r="D205" s="1260"/>
      <c r="E205" s="1260"/>
      <c r="F205" s="1260"/>
    </row>
    <row r="206" spans="1:6" ht="14.25">
      <c r="A206" s="176"/>
      <c r="B206" s="176"/>
      <c r="D206" s="1260"/>
      <c r="E206" s="1260"/>
      <c r="F206" s="1260"/>
    </row>
    <row r="207" spans="1:6" ht="14.25">
      <c r="A207" s="176"/>
      <c r="B207" s="176"/>
      <c r="D207" s="1260"/>
      <c r="E207" s="1260"/>
      <c r="F207" s="1260"/>
    </row>
    <row r="208" spans="1:6" ht="14.25">
      <c r="A208" s="176"/>
      <c r="B208" s="176"/>
      <c r="D208" s="1260"/>
      <c r="E208" s="1260"/>
      <c r="F208" s="1260"/>
    </row>
    <row r="209" spans="1:7" ht="14.25">
      <c r="A209" s="176"/>
      <c r="B209" s="176"/>
      <c r="D209" s="35"/>
      <c r="E209" s="35"/>
      <c r="F209" s="35"/>
    </row>
    <row r="210" spans="1:7" ht="14.25">
      <c r="A210" s="176"/>
      <c r="B210" s="469" t="s">
        <v>309</v>
      </c>
      <c r="D210" s="1260" t="s">
        <v>1237</v>
      </c>
      <c r="E210" s="1260"/>
      <c r="F210" s="1260"/>
    </row>
    <row r="211" spans="1:7" ht="14.25">
      <c r="A211" s="176"/>
      <c r="B211" s="176"/>
      <c r="D211" s="1260"/>
      <c r="E211" s="1260"/>
      <c r="F211" s="1260"/>
    </row>
    <row r="212" spans="1:7" ht="14.25">
      <c r="A212" s="176"/>
      <c r="B212" s="176"/>
      <c r="D212" s="1278" t="s">
        <v>927</v>
      </c>
      <c r="E212" s="1278"/>
      <c r="F212" s="1278"/>
    </row>
    <row r="213" spans="1:7" ht="14.25">
      <c r="A213" s="176"/>
      <c r="B213" s="176"/>
      <c r="D213" s="35"/>
      <c r="E213" s="35"/>
      <c r="F213" s="35"/>
    </row>
    <row r="214" spans="1:7" ht="14.45" customHeight="1">
      <c r="A214" s="176"/>
      <c r="B214" s="469" t="s">
        <v>309</v>
      </c>
      <c r="D214" s="1260" t="s">
        <v>1239</v>
      </c>
      <c r="E214" s="1260"/>
      <c r="F214" s="1260"/>
    </row>
    <row r="215" spans="1:7" ht="14.25">
      <c r="A215" s="176"/>
      <c r="B215" s="176"/>
      <c r="D215" s="1260"/>
      <c r="E215" s="1260"/>
      <c r="F215" s="1260"/>
    </row>
    <row r="216" spans="1:7" ht="14.25">
      <c r="A216" s="176"/>
      <c r="B216" s="176"/>
      <c r="D216" s="1260"/>
      <c r="E216" s="1260"/>
      <c r="F216" s="1260"/>
    </row>
    <row r="217" spans="1:7" ht="14.25">
      <c r="A217" s="176"/>
      <c r="B217" s="176"/>
      <c r="D217" s="1260"/>
      <c r="E217" s="1260"/>
      <c r="F217" s="1260"/>
    </row>
    <row r="218" spans="1:7" ht="14.25">
      <c r="A218" s="176"/>
      <c r="B218" s="176"/>
      <c r="D218" s="1260"/>
      <c r="E218" s="1260"/>
      <c r="F218" s="1260"/>
    </row>
    <row r="219" spans="1:7">
      <c r="D219" s="35"/>
      <c r="E219" s="35"/>
      <c r="F219" s="35"/>
    </row>
    <row r="220" spans="1:7" ht="14.25">
      <c r="A220" s="176"/>
      <c r="B220" s="469" t="s">
        <v>309</v>
      </c>
      <c r="D220" s="1260" t="s">
        <v>1238</v>
      </c>
      <c r="E220" s="1260"/>
      <c r="F220" s="1260"/>
    </row>
    <row r="221" spans="1:7" ht="14.25">
      <c r="A221" s="176"/>
      <c r="B221" s="176"/>
      <c r="D221" s="1260"/>
      <c r="E221" s="1260"/>
      <c r="F221" s="1260"/>
    </row>
    <row r="222" spans="1:7">
      <c r="D222" s="19"/>
    </row>
    <row r="223" spans="1:7">
      <c r="A223" s="1281" t="s">
        <v>1112</v>
      </c>
      <c r="B223" s="1281"/>
      <c r="C223" s="1281"/>
      <c r="D223" s="1281"/>
      <c r="E223" s="1281"/>
      <c r="F223" s="1281"/>
      <c r="G223" s="1281"/>
    </row>
    <row r="224" spans="1:7">
      <c r="D224" s="19"/>
    </row>
    <row r="225" spans="1:6">
      <c r="C225" s="177"/>
      <c r="D225" s="1279" t="s">
        <v>1241</v>
      </c>
      <c r="E225" s="1279"/>
      <c r="F225" s="1279"/>
    </row>
    <row r="226" spans="1:6">
      <c r="A226" s="172"/>
      <c r="B226" s="172"/>
      <c r="C226" s="172"/>
      <c r="D226" s="35"/>
      <c r="E226" s="35"/>
      <c r="F226" s="35"/>
    </row>
    <row r="227" spans="1:6">
      <c r="A227" s="175"/>
      <c r="B227" s="175"/>
      <c r="C227" s="175"/>
      <c r="D227" s="1279" t="s">
        <v>271</v>
      </c>
      <c r="E227" s="1279"/>
      <c r="F227" s="1279"/>
    </row>
    <row r="228" spans="1:6" ht="14.25">
      <c r="A228" s="176"/>
      <c r="B228" s="469" t="s">
        <v>309</v>
      </c>
      <c r="D228" s="1309" t="s">
        <v>1242</v>
      </c>
      <c r="E228" s="1309"/>
      <c r="F228" s="1309"/>
    </row>
    <row r="229" spans="1:6" ht="14.25">
      <c r="A229" s="176"/>
      <c r="B229" s="176"/>
      <c r="D229" s="1309"/>
      <c r="E229" s="1309"/>
      <c r="F229" s="1309"/>
    </row>
    <row r="230" spans="1:6">
      <c r="D230" s="35"/>
      <c r="E230" s="35"/>
      <c r="F230" s="35"/>
    </row>
    <row r="231" spans="1:6" ht="14.45" customHeight="1">
      <c r="A231" s="176"/>
      <c r="B231" s="469" t="s">
        <v>309</v>
      </c>
      <c r="D231" s="1260" t="s">
        <v>1243</v>
      </c>
      <c r="E231" s="1260"/>
      <c r="F231" s="1260"/>
    </row>
    <row r="232" spans="1:6">
      <c r="D232" s="1260"/>
      <c r="E232" s="1260"/>
      <c r="F232" s="1260"/>
    </row>
    <row r="233" spans="1:6">
      <c r="D233" s="1286" t="s">
        <v>918</v>
      </c>
      <c r="E233" s="1286"/>
      <c r="F233" s="1286"/>
    </row>
    <row r="234" spans="1:6">
      <c r="D234" s="35"/>
      <c r="E234" s="35"/>
      <c r="F234" s="35"/>
    </row>
    <row r="235" spans="1:6" ht="14.45" customHeight="1">
      <c r="A235" s="176"/>
      <c r="B235" s="469" t="s">
        <v>309</v>
      </c>
      <c r="D235" s="1260" t="s">
        <v>1245</v>
      </c>
      <c r="E235" s="1260"/>
      <c r="F235" s="1260"/>
    </row>
    <row r="236" spans="1:6">
      <c r="D236" s="1260"/>
      <c r="E236" s="1260"/>
      <c r="F236" s="1260"/>
    </row>
    <row r="237" spans="1:6">
      <c r="D237" s="1260"/>
      <c r="E237" s="1260"/>
      <c r="F237" s="1260"/>
    </row>
    <row r="238" spans="1:6">
      <c r="D238" s="1260"/>
      <c r="E238" s="1260"/>
      <c r="F238" s="1260"/>
    </row>
    <row r="239" spans="1:6">
      <c r="D239" s="1260"/>
      <c r="E239" s="1260"/>
      <c r="F239" s="1260"/>
    </row>
    <row r="240" spans="1:6">
      <c r="D240" s="35"/>
      <c r="E240" s="35"/>
      <c r="F240" s="35"/>
    </row>
    <row r="241" spans="1:7" ht="14.25">
      <c r="A241" s="176"/>
      <c r="B241" s="469" t="s">
        <v>309</v>
      </c>
      <c r="D241" s="1260" t="s">
        <v>1244</v>
      </c>
      <c r="E241" s="1260"/>
      <c r="F241" s="1260"/>
    </row>
    <row r="242" spans="1:7">
      <c r="D242" s="1260"/>
      <c r="E242" s="1260"/>
      <c r="F242" s="1260"/>
    </row>
    <row r="243" spans="1:7">
      <c r="D243" s="1260"/>
      <c r="E243" s="1260"/>
      <c r="F243" s="1260"/>
    </row>
    <row r="244" spans="1:7">
      <c r="D244" s="178"/>
      <c r="E244" s="35"/>
      <c r="F244" s="35"/>
    </row>
    <row r="245" spans="1:7">
      <c r="A245" s="1281" t="s">
        <v>1113</v>
      </c>
      <c r="B245" s="1281"/>
      <c r="C245" s="1281"/>
      <c r="D245" s="1281"/>
      <c r="E245" s="1281"/>
      <c r="F245" s="1281"/>
      <c r="G245" s="1281"/>
    </row>
    <row r="246" spans="1:7">
      <c r="D246" s="178"/>
      <c r="E246" s="35"/>
      <c r="F246" s="35"/>
    </row>
    <row r="247" spans="1:7">
      <c r="C247" s="172"/>
      <c r="D247" s="1292" t="s">
        <v>1246</v>
      </c>
      <c r="E247" s="1292"/>
      <c r="F247" s="1292"/>
    </row>
    <row r="248" spans="1:7">
      <c r="C248" s="172"/>
      <c r="D248" s="1292"/>
      <c r="E248" s="1292"/>
      <c r="F248" s="1292"/>
    </row>
    <row r="249" spans="1:7">
      <c r="A249" s="175"/>
      <c r="B249" s="175"/>
      <c r="C249" s="175"/>
      <c r="D249" s="2"/>
      <c r="E249" s="3"/>
      <c r="F249" s="3"/>
    </row>
    <row r="250" spans="1:7">
      <c r="C250" s="175"/>
      <c r="D250" s="1279" t="s">
        <v>211</v>
      </c>
      <c r="E250" s="1279"/>
      <c r="F250" s="1279"/>
    </row>
    <row r="251" spans="1:7" ht="15.75" customHeight="1">
      <c r="A251" s="176"/>
      <c r="B251" s="176"/>
      <c r="D251" s="1285" t="s">
        <v>1247</v>
      </c>
      <c r="E251" s="1285"/>
      <c r="F251" s="1285"/>
    </row>
    <row r="252" spans="1:7">
      <c r="E252" s="35"/>
      <c r="F252" s="35"/>
    </row>
    <row r="253" spans="1:7" ht="14.25">
      <c r="A253" s="176"/>
      <c r="B253" s="469" t="s">
        <v>309</v>
      </c>
      <c r="D253" s="1260" t="s">
        <v>1248</v>
      </c>
      <c r="E253" s="1260"/>
      <c r="F253" s="1260"/>
    </row>
    <row r="254" spans="1:7" ht="14.25">
      <c r="A254" s="176"/>
      <c r="B254" s="176"/>
      <c r="D254" s="1260"/>
      <c r="E254" s="1260"/>
      <c r="F254" s="1260"/>
    </row>
    <row r="255" spans="1:7">
      <c r="D255" s="35"/>
      <c r="E255" s="35"/>
      <c r="F255" s="35"/>
    </row>
    <row r="256" spans="1:7" ht="14.25">
      <c r="A256" s="176"/>
      <c r="B256" s="469" t="s">
        <v>309</v>
      </c>
      <c r="D256" s="1260" t="s">
        <v>1249</v>
      </c>
      <c r="E256" s="1260"/>
      <c r="F256" s="1260"/>
    </row>
    <row r="257" spans="1:7" ht="14.25">
      <c r="A257" s="176"/>
      <c r="B257" s="176"/>
      <c r="D257" s="1260"/>
      <c r="E257" s="1260"/>
      <c r="F257" s="1260"/>
    </row>
    <row r="258" spans="1:7" ht="14.25">
      <c r="A258" s="176"/>
      <c r="B258" s="176"/>
      <c r="D258" s="1260"/>
      <c r="E258" s="1260"/>
      <c r="F258" s="1260"/>
    </row>
    <row r="259" spans="1:7">
      <c r="D259" s="35"/>
      <c r="E259" s="35"/>
      <c r="F259" s="35"/>
    </row>
    <row r="260" spans="1:7" ht="14.25">
      <c r="A260" s="176"/>
      <c r="B260" s="469" t="s">
        <v>309</v>
      </c>
      <c r="D260" s="1260" t="s">
        <v>1250</v>
      </c>
      <c r="E260" s="1260"/>
      <c r="F260" s="1260"/>
    </row>
    <row r="261" spans="1:7" ht="14.25">
      <c r="A261" s="176"/>
      <c r="B261" s="176"/>
      <c r="D261" s="1260"/>
      <c r="E261" s="1260"/>
      <c r="F261" s="1260"/>
    </row>
    <row r="262" spans="1:7">
      <c r="A262" s="13"/>
      <c r="B262" s="13"/>
      <c r="E262" s="35"/>
      <c r="F262" s="35"/>
    </row>
    <row r="263" spans="1:7">
      <c r="A263" s="1281" t="s">
        <v>1114</v>
      </c>
      <c r="B263" s="1281"/>
      <c r="C263" s="1281"/>
      <c r="D263" s="1281"/>
      <c r="E263" s="1281"/>
      <c r="F263" s="1281"/>
      <c r="G263" s="1281"/>
    </row>
    <row r="264" spans="1:7">
      <c r="A264" s="13"/>
      <c r="B264" s="13"/>
      <c r="D264" s="35"/>
      <c r="E264" s="35"/>
      <c r="F264" s="35"/>
    </row>
    <row r="265" spans="1:7">
      <c r="C265" s="13"/>
      <c r="D265" s="1279" t="s">
        <v>691</v>
      </c>
      <c r="E265" s="1279"/>
      <c r="F265" s="1279"/>
    </row>
    <row r="266" spans="1:7">
      <c r="C266" s="13"/>
      <c r="D266" s="1280" t="s">
        <v>1251</v>
      </c>
      <c r="E266" s="1280"/>
      <c r="F266" s="1280"/>
    </row>
    <row r="267" spans="1:7">
      <c r="C267" s="13"/>
      <c r="D267" s="173"/>
    </row>
    <row r="268" spans="1:7">
      <c r="B268" s="469" t="s">
        <v>309</v>
      </c>
      <c r="D268" s="1280" t="s">
        <v>1252</v>
      </c>
      <c r="E268" s="1280"/>
      <c r="F268" s="1280"/>
    </row>
    <row r="269" spans="1:7" ht="14.25">
      <c r="A269" s="176"/>
      <c r="B269" s="176"/>
      <c r="D269" s="342"/>
      <c r="E269" s="343"/>
      <c r="F269" s="343"/>
    </row>
    <row r="270" spans="1:7" ht="13.15" customHeight="1">
      <c r="B270" s="469" t="s">
        <v>309</v>
      </c>
      <c r="D270" s="1310" t="s">
        <v>1253</v>
      </c>
      <c r="E270" s="1310"/>
      <c r="F270" s="1310"/>
    </row>
    <row r="271" spans="1:7" ht="14.25">
      <c r="A271" s="176"/>
      <c r="B271" s="176"/>
      <c r="D271" s="1310"/>
      <c r="E271" s="1310"/>
      <c r="F271" s="1310"/>
    </row>
    <row r="272" spans="1:7" ht="14.25">
      <c r="A272" s="176"/>
      <c r="B272" s="176"/>
      <c r="D272" s="1310"/>
      <c r="E272" s="1310"/>
      <c r="F272" s="1310"/>
    </row>
    <row r="273" spans="1:6" ht="14.25">
      <c r="A273" s="176"/>
      <c r="B273" s="176"/>
      <c r="D273" s="1310"/>
      <c r="E273" s="1310"/>
      <c r="F273" s="1310"/>
    </row>
    <row r="274" spans="1:6" ht="14.25">
      <c r="A274" s="176"/>
      <c r="B274" s="176"/>
      <c r="D274" s="1310"/>
      <c r="E274" s="1310"/>
      <c r="F274" s="1310"/>
    </row>
    <row r="275" spans="1:6" ht="14.25">
      <c r="A275" s="176"/>
      <c r="B275" s="176"/>
      <c r="D275" s="342"/>
      <c r="E275" s="343"/>
      <c r="F275" s="343"/>
    </row>
    <row r="276" spans="1:6" ht="13.15" customHeight="1">
      <c r="B276" s="469" t="s">
        <v>309</v>
      </c>
      <c r="D276" s="1310" t="s">
        <v>1254</v>
      </c>
      <c r="E276" s="1310"/>
      <c r="F276" s="1310"/>
    </row>
    <row r="277" spans="1:6">
      <c r="D277" s="1310"/>
      <c r="E277" s="1310"/>
      <c r="F277" s="1310"/>
    </row>
    <row r="278" spans="1:6" ht="14.25">
      <c r="A278" s="176"/>
      <c r="B278" s="176"/>
      <c r="D278" s="342"/>
      <c r="E278" s="343"/>
      <c r="F278" s="343"/>
    </row>
    <row r="279" spans="1:6">
      <c r="B279" s="469" t="s">
        <v>309</v>
      </c>
      <c r="D279" s="1280" t="s">
        <v>1255</v>
      </c>
      <c r="E279" s="1280"/>
      <c r="F279" s="1280"/>
    </row>
    <row r="280" spans="1:6">
      <c r="E280" s="35"/>
      <c r="F280" s="35"/>
    </row>
    <row r="281" spans="1:6" ht="14.25">
      <c r="A281" s="176"/>
      <c r="B281" s="469" t="s">
        <v>309</v>
      </c>
      <c r="D281" s="1260" t="s">
        <v>1256</v>
      </c>
      <c r="E281" s="1260"/>
      <c r="F281" s="1260"/>
    </row>
    <row r="282" spans="1:6" ht="14.25">
      <c r="A282" s="176"/>
      <c r="B282" s="176"/>
      <c r="D282" s="1260"/>
      <c r="E282" s="1260"/>
      <c r="F282" s="1260"/>
    </row>
    <row r="283" spans="1:6" ht="14.25">
      <c r="A283" s="176"/>
      <c r="B283" s="176"/>
      <c r="D283" s="1260"/>
      <c r="E283" s="1260"/>
      <c r="F283" s="1260"/>
    </row>
    <row r="284" spans="1:6" ht="14.25">
      <c r="A284" s="176"/>
      <c r="B284" s="176"/>
      <c r="D284" s="1260"/>
      <c r="E284" s="1260"/>
      <c r="F284" s="1260"/>
    </row>
    <row r="285" spans="1:6" ht="14.25">
      <c r="A285" s="176"/>
      <c r="B285" s="176"/>
      <c r="D285" s="1260"/>
      <c r="E285" s="1260"/>
      <c r="F285" s="1260"/>
    </row>
    <row r="286" spans="1:6" ht="14.25">
      <c r="A286" s="176"/>
      <c r="B286" s="176"/>
      <c r="D286" s="1260"/>
      <c r="E286" s="1260"/>
      <c r="F286" s="1260"/>
    </row>
    <row r="287" spans="1:6" ht="14.25">
      <c r="A287" s="176"/>
      <c r="B287" s="176"/>
      <c r="D287" s="1260"/>
      <c r="E287" s="1260"/>
      <c r="F287" s="1260"/>
    </row>
    <row r="288" spans="1:6" ht="14.25">
      <c r="A288" s="176"/>
      <c r="B288" s="176"/>
      <c r="D288" s="1260"/>
      <c r="E288" s="1260"/>
      <c r="F288" s="1260"/>
    </row>
    <row r="289" spans="1:6" ht="14.25">
      <c r="A289" s="176"/>
      <c r="B289" s="176"/>
      <c r="D289" s="1260"/>
      <c r="E289" s="1260"/>
      <c r="F289" s="1260"/>
    </row>
    <row r="290" spans="1:6" ht="14.25">
      <c r="A290" s="176"/>
      <c r="B290" s="176"/>
      <c r="D290" s="1260"/>
      <c r="E290" s="1260"/>
      <c r="F290" s="1260"/>
    </row>
    <row r="291" spans="1:6" ht="14.25">
      <c r="A291" s="176"/>
      <c r="B291" s="176"/>
      <c r="D291" s="1260"/>
      <c r="E291" s="1260"/>
      <c r="F291" s="1260"/>
    </row>
    <row r="292" spans="1:6" ht="14.25">
      <c r="A292" s="176"/>
      <c r="B292" s="176"/>
      <c r="D292" s="1260"/>
      <c r="E292" s="1260"/>
      <c r="F292" s="1260"/>
    </row>
    <row r="293" spans="1:6" ht="14.25">
      <c r="A293" s="176"/>
      <c r="B293" s="176"/>
      <c r="D293" s="1260"/>
      <c r="E293" s="1260"/>
      <c r="F293" s="1260"/>
    </row>
    <row r="294" spans="1:6" ht="14.25">
      <c r="A294" s="176"/>
      <c r="B294" s="176"/>
      <c r="D294" s="1260"/>
      <c r="E294" s="1260"/>
      <c r="F294" s="1260"/>
    </row>
    <row r="295" spans="1:6" ht="14.25">
      <c r="A295" s="176"/>
      <c r="B295" s="176"/>
      <c r="D295" s="1260"/>
      <c r="E295" s="1260"/>
      <c r="F295" s="1260"/>
    </row>
    <row r="296" spans="1:6">
      <c r="D296" s="35"/>
      <c r="E296" s="35"/>
      <c r="F296" s="35"/>
    </row>
    <row r="297" spans="1:6" ht="14.25">
      <c r="A297" s="176"/>
      <c r="B297" s="469" t="s">
        <v>309</v>
      </c>
      <c r="D297" s="1260" t="s">
        <v>1257</v>
      </c>
      <c r="E297" s="1260"/>
      <c r="F297" s="1260"/>
    </row>
    <row r="298" spans="1:6">
      <c r="D298" s="1260"/>
      <c r="E298" s="1260"/>
      <c r="F298" s="1260"/>
    </row>
    <row r="299" spans="1:6">
      <c r="D299" s="1260"/>
      <c r="E299" s="1260"/>
      <c r="F299" s="1260"/>
    </row>
    <row r="300" spans="1:6">
      <c r="D300" s="1260"/>
      <c r="E300" s="1260"/>
      <c r="F300" s="1260"/>
    </row>
    <row r="301" spans="1:6">
      <c r="D301" s="1260"/>
      <c r="E301" s="1260"/>
      <c r="F301" s="1260"/>
    </row>
    <row r="302" spans="1:6">
      <c r="D302" s="1260"/>
      <c r="E302" s="1260"/>
      <c r="F302" s="1260"/>
    </row>
    <row r="303" spans="1:6">
      <c r="D303" s="1260"/>
      <c r="E303" s="1260"/>
      <c r="F303" s="1260"/>
    </row>
    <row r="304" spans="1:6">
      <c r="D304" s="1260"/>
      <c r="E304" s="1260"/>
      <c r="F304" s="1260"/>
    </row>
    <row r="305" spans="1:7">
      <c r="D305" s="1260"/>
      <c r="E305" s="1260"/>
      <c r="F305" s="1260"/>
    </row>
    <row r="306" spans="1:7">
      <c r="D306" s="35"/>
      <c r="E306" s="35"/>
      <c r="F306" s="35"/>
    </row>
    <row r="307" spans="1:7" ht="14.25">
      <c r="A307" s="176"/>
      <c r="B307" s="469" t="s">
        <v>309</v>
      </c>
      <c r="D307" s="1260" t="s">
        <v>1258</v>
      </c>
      <c r="E307" s="1260"/>
      <c r="F307" s="1260"/>
    </row>
    <row r="308" spans="1:7">
      <c r="D308" s="1260"/>
      <c r="E308" s="1260"/>
      <c r="F308" s="1260"/>
      <c r="G308"/>
    </row>
    <row r="309" spans="1:7">
      <c r="D309" s="1260"/>
      <c r="E309" s="1260"/>
      <c r="F309" s="1260"/>
      <c r="G309"/>
    </row>
    <row r="310" spans="1:7">
      <c r="D310" s="1260"/>
      <c r="E310" s="1260"/>
      <c r="F310" s="1260"/>
      <c r="G310"/>
    </row>
    <row r="311" spans="1:7">
      <c r="D311" s="1260"/>
      <c r="E311" s="1260"/>
      <c r="F311" s="1260"/>
      <c r="G311"/>
    </row>
    <row r="312" spans="1:7">
      <c r="D312" s="1260"/>
      <c r="E312" s="1260"/>
      <c r="F312" s="1260"/>
      <c r="G312"/>
    </row>
    <row r="313" spans="1:7">
      <c r="D313" s="475"/>
      <c r="E313" s="475"/>
      <c r="F313" s="475"/>
      <c r="G313"/>
    </row>
    <row r="314" spans="1:7" ht="13.5" thickBot="1">
      <c r="D314" s="1306" t="s">
        <v>1019</v>
      </c>
      <c r="E314" s="1306"/>
      <c r="F314" s="1306"/>
      <c r="G314"/>
    </row>
    <row r="315" spans="1:7" ht="13.5" thickTop="1">
      <c r="D315" s="1307" t="s">
        <v>1259</v>
      </c>
      <c r="E315" s="1307"/>
      <c r="F315" s="1307"/>
      <c r="G315"/>
    </row>
    <row r="316" spans="1:7">
      <c r="A316" s="218"/>
      <c r="B316" s="218"/>
      <c r="C316" s="218"/>
      <c r="D316" s="220"/>
      <c r="E316" s="220"/>
      <c r="F316" s="35"/>
      <c r="G316"/>
    </row>
    <row r="317" spans="1:7" ht="14.25">
      <c r="A317" s="176"/>
      <c r="B317" s="469" t="s">
        <v>309</v>
      </c>
      <c r="C317" s="218"/>
      <c r="D317" s="1308" t="s">
        <v>1260</v>
      </c>
      <c r="E317" s="1308"/>
      <c r="F317" s="1308"/>
      <c r="G317"/>
    </row>
    <row r="318" spans="1:7">
      <c r="A318" s="218"/>
      <c r="B318" s="218"/>
      <c r="C318" s="218"/>
      <c r="D318" s="220"/>
      <c r="E318" s="220"/>
      <c r="F318" s="35"/>
      <c r="G318"/>
    </row>
    <row r="319" spans="1:7">
      <c r="A319" s="218"/>
      <c r="B319" s="469" t="s">
        <v>309</v>
      </c>
      <c r="C319" s="218"/>
      <c r="D319" s="1263" t="s">
        <v>1261</v>
      </c>
      <c r="E319" s="1263"/>
      <c r="F319" s="1263"/>
      <c r="G319"/>
    </row>
    <row r="320" spans="1:7">
      <c r="A320" s="218"/>
      <c r="B320" s="218"/>
      <c r="C320" s="218"/>
      <c r="D320" s="1263"/>
      <c r="E320" s="1263"/>
      <c r="F320" s="1263"/>
      <c r="G320"/>
    </row>
    <row r="321" spans="1:7">
      <c r="A321" s="218"/>
      <c r="B321" s="218"/>
      <c r="C321" s="218"/>
      <c r="D321" s="1263"/>
      <c r="E321" s="1263"/>
      <c r="F321" s="1263"/>
      <c r="G321"/>
    </row>
    <row r="322" spans="1:7">
      <c r="A322" s="218"/>
      <c r="B322" s="218"/>
      <c r="C322" s="218"/>
      <c r="D322" s="1263"/>
      <c r="E322" s="1263"/>
      <c r="F322" s="1263"/>
      <c r="G322"/>
    </row>
    <row r="323" spans="1:7">
      <c r="A323" s="218"/>
      <c r="B323" s="218"/>
      <c r="C323" s="218"/>
      <c r="D323" s="1263"/>
      <c r="E323" s="1263"/>
      <c r="F323" s="1263"/>
      <c r="G323"/>
    </row>
    <row r="324" spans="1:7">
      <c r="A324" s="218"/>
      <c r="B324" s="218"/>
      <c r="C324" s="218"/>
      <c r="D324" s="1263"/>
      <c r="E324" s="1263"/>
      <c r="F324" s="1263"/>
      <c r="G324"/>
    </row>
    <row r="325" spans="1:7">
      <c r="A325" s="218"/>
      <c r="B325" s="218"/>
      <c r="C325" s="218"/>
      <c r="D325" s="1263"/>
      <c r="E325" s="1263"/>
      <c r="F325" s="1263"/>
      <c r="G325"/>
    </row>
    <row r="326" spans="1:7">
      <c r="A326" s="218"/>
      <c r="B326" s="218"/>
      <c r="C326" s="218"/>
      <c r="D326" s="1263"/>
      <c r="E326" s="1263"/>
      <c r="F326" s="1263"/>
      <c r="G326"/>
    </row>
    <row r="327" spans="1:7">
      <c r="A327" s="218"/>
      <c r="B327" s="218"/>
      <c r="C327" s="218"/>
      <c r="D327" s="1263"/>
      <c r="E327" s="1263"/>
      <c r="F327" s="1263"/>
      <c r="G327"/>
    </row>
    <row r="328" spans="1:7">
      <c r="A328" s="218"/>
      <c r="B328" s="218"/>
      <c r="C328" s="218"/>
      <c r="D328" s="1263"/>
      <c r="E328" s="1263"/>
      <c r="F328" s="1263"/>
      <c r="G328"/>
    </row>
    <row r="329" spans="1:7">
      <c r="A329" s="218"/>
      <c r="B329" s="218"/>
      <c r="C329" s="218"/>
      <c r="D329" s="1263"/>
      <c r="E329" s="1263"/>
      <c r="F329" s="1263"/>
      <c r="G329"/>
    </row>
    <row r="330" spans="1:7">
      <c r="A330" s="218"/>
      <c r="B330" s="218"/>
      <c r="C330" s="218"/>
      <c r="D330"/>
      <c r="E330" s="220"/>
      <c r="F330" s="35"/>
      <c r="G330"/>
    </row>
    <row r="331" spans="1:7" ht="14.25">
      <c r="A331" s="176"/>
      <c r="B331" s="469" t="s">
        <v>309</v>
      </c>
      <c r="C331" s="218"/>
      <c r="D331" s="1263" t="s">
        <v>1262</v>
      </c>
      <c r="E331" s="1263"/>
      <c r="F331" s="1263"/>
      <c r="G331"/>
    </row>
    <row r="332" spans="1:7">
      <c r="A332" s="218"/>
      <c r="B332" s="218"/>
      <c r="C332" s="218"/>
      <c r="D332" s="1263"/>
      <c r="E332" s="1263"/>
      <c r="F332" s="1263"/>
      <c r="G332"/>
    </row>
    <row r="333" spans="1:7">
      <c r="A333" s="218"/>
      <c r="B333" s="218"/>
      <c r="C333" s="218"/>
      <c r="D333" s="1263"/>
      <c r="E333" s="1263"/>
      <c r="F333" s="1263"/>
      <c r="G333"/>
    </row>
    <row r="334" spans="1:7">
      <c r="A334" s="218"/>
      <c r="B334" s="218"/>
      <c r="C334" s="218"/>
      <c r="D334" s="1263"/>
      <c r="E334" s="1263"/>
      <c r="F334" s="1263"/>
      <c r="G334"/>
    </row>
    <row r="335" spans="1:7">
      <c r="A335" s="218"/>
      <c r="B335" s="218"/>
      <c r="C335" s="218"/>
      <c r="D335" s="220"/>
      <c r="E335" s="220"/>
      <c r="F335" s="35"/>
      <c r="G335"/>
    </row>
    <row r="336" spans="1:7">
      <c r="A336" s="218"/>
      <c r="B336" s="218"/>
      <c r="C336" s="218"/>
      <c r="D336" s="1263" t="s">
        <v>1263</v>
      </c>
      <c r="E336" s="1263"/>
      <c r="F336" s="1263"/>
      <c r="G336"/>
    </row>
    <row r="337" spans="1:7">
      <c r="A337" s="218"/>
      <c r="B337" s="218"/>
      <c r="C337" s="218"/>
      <c r="D337" s="1263"/>
      <c r="E337" s="1263"/>
      <c r="F337" s="1263"/>
      <c r="G337"/>
    </row>
    <row r="338" spans="1:7">
      <c r="A338" s="218"/>
      <c r="B338" s="218"/>
      <c r="C338" s="218"/>
      <c r="D338" s="1263"/>
      <c r="E338" s="1263"/>
      <c r="F338" s="1263"/>
      <c r="G338"/>
    </row>
    <row r="339" spans="1:7">
      <c r="A339" s="218"/>
      <c r="B339" s="218"/>
      <c r="C339" s="218"/>
      <c r="D339" s="1263"/>
      <c r="E339" s="1263"/>
      <c r="F339" s="1263"/>
      <c r="G339"/>
    </row>
    <row r="340" spans="1:7" ht="18" customHeight="1">
      <c r="A340" s="218"/>
      <c r="B340" s="218"/>
      <c r="C340" s="218"/>
      <c r="D340" s="1263"/>
      <c r="E340" s="1263"/>
      <c r="F340" s="1263"/>
      <c r="G340"/>
    </row>
    <row r="341" spans="1:7">
      <c r="A341" s="218"/>
      <c r="B341" s="218"/>
      <c r="C341" s="218"/>
      <c r="D341" s="1263"/>
      <c r="E341" s="1263"/>
      <c r="F341" s="1263"/>
      <c r="G341"/>
    </row>
    <row r="342" spans="1:7">
      <c r="A342" s="218"/>
      <c r="B342" s="218"/>
      <c r="C342" s="218"/>
      <c r="D342" s="1263"/>
      <c r="E342" s="1263"/>
      <c r="F342" s="1263"/>
      <c r="G342"/>
    </row>
    <row r="343" spans="1:7">
      <c r="A343" s="218"/>
      <c r="B343" s="218"/>
      <c r="C343" s="218"/>
      <c r="D343" s="1263"/>
      <c r="E343" s="1263"/>
      <c r="F343" s="1263"/>
      <c r="G343"/>
    </row>
    <row r="344" spans="1:7" ht="8.25" customHeight="1">
      <c r="A344" s="218"/>
      <c r="B344" s="218"/>
      <c r="C344" s="218"/>
      <c r="D344" s="1263"/>
      <c r="E344" s="1263"/>
      <c r="F344" s="1263"/>
      <c r="G344"/>
    </row>
    <row r="345" spans="1:7" ht="13.15" customHeight="1">
      <c r="A345" s="218"/>
      <c r="B345" s="218"/>
      <c r="C345" s="218"/>
      <c r="D345" s="1263" t="s">
        <v>1264</v>
      </c>
      <c r="E345" s="1263"/>
      <c r="F345" s="1263"/>
      <c r="G345"/>
    </row>
    <row r="346" spans="1:7">
      <c r="A346" s="218"/>
      <c r="B346" s="218"/>
      <c r="C346" s="218"/>
      <c r="D346" s="1263"/>
      <c r="E346" s="1263"/>
      <c r="F346" s="1263"/>
      <c r="G346"/>
    </row>
    <row r="347" spans="1:7">
      <c r="A347" s="218"/>
      <c r="B347" s="218"/>
      <c r="C347" s="218"/>
      <c r="D347" s="1263"/>
      <c r="E347" s="1263"/>
      <c r="F347" s="1263"/>
      <c r="G347"/>
    </row>
    <row r="348" spans="1:7">
      <c r="A348" s="218"/>
      <c r="B348" s="218"/>
      <c r="C348" s="218"/>
      <c r="D348" s="1263"/>
      <c r="E348" s="1263"/>
      <c r="F348" s="1263"/>
      <c r="G348"/>
    </row>
    <row r="349" spans="1:7">
      <c r="A349" s="218"/>
      <c r="B349" s="218"/>
      <c r="C349" s="218"/>
      <c r="D349" s="1263"/>
      <c r="E349" s="1263"/>
      <c r="F349" s="1263"/>
      <c r="G349"/>
    </row>
    <row r="350" spans="1:7">
      <c r="A350" s="218"/>
      <c r="B350" s="218"/>
      <c r="C350" s="218"/>
      <c r="D350" s="1263"/>
      <c r="E350" s="1263"/>
      <c r="F350" s="1263"/>
      <c r="G350"/>
    </row>
    <row r="351" spans="1:7">
      <c r="A351" s="218"/>
      <c r="B351" s="218"/>
      <c r="C351" s="218"/>
      <c r="D351" s="1263"/>
      <c r="E351" s="1263"/>
      <c r="F351" s="1263"/>
      <c r="G351"/>
    </row>
    <row r="352" spans="1:7">
      <c r="A352" s="218"/>
      <c r="B352" s="218"/>
      <c r="C352" s="218"/>
      <c r="D352" s="1263"/>
      <c r="E352" s="1263"/>
      <c r="F352" s="1263"/>
      <c r="G352"/>
    </row>
    <row r="353" spans="1:7">
      <c r="A353" s="218"/>
      <c r="B353" s="218"/>
      <c r="C353" s="218"/>
      <c r="D353" s="1263"/>
      <c r="E353" s="1263"/>
      <c r="F353" s="1263"/>
      <c r="G353"/>
    </row>
    <row r="354" spans="1:7">
      <c r="A354" s="218"/>
      <c r="B354" s="218"/>
      <c r="C354" s="218"/>
      <c r="D354" s="1263"/>
      <c r="E354" s="1263"/>
      <c r="F354" s="1263"/>
      <c r="G354"/>
    </row>
    <row r="355" spans="1:7">
      <c r="A355" s="218"/>
      <c r="B355" s="218"/>
      <c r="C355" s="218"/>
      <c r="D355" s="1263"/>
      <c r="E355" s="1263"/>
      <c r="F355" s="1263"/>
      <c r="G355"/>
    </row>
    <row r="356" spans="1:7">
      <c r="A356" s="218"/>
      <c r="B356" s="218"/>
      <c r="C356" s="218"/>
      <c r="D356" s="1263"/>
      <c r="E356" s="1263"/>
      <c r="F356" s="1263"/>
      <c r="G356"/>
    </row>
    <row r="357" spans="1:7">
      <c r="A357" s="218"/>
      <c r="B357" s="218"/>
      <c r="C357" s="348"/>
      <c r="D357" s="1263"/>
      <c r="E357" s="1263"/>
      <c r="F357" s="1263"/>
      <c r="G357"/>
    </row>
    <row r="358" spans="1:7">
      <c r="A358" s="218"/>
      <c r="B358" s="218"/>
      <c r="C358" s="348"/>
      <c r="D358" s="1263"/>
      <c r="E358" s="1263"/>
      <c r="F358" s="1263"/>
      <c r="G358"/>
    </row>
    <row r="359" spans="1:7">
      <c r="A359" s="218"/>
      <c r="B359" s="218"/>
      <c r="C359" s="218"/>
      <c r="D359" s="1263"/>
      <c r="E359" s="1263"/>
      <c r="F359" s="1263"/>
      <c r="G359"/>
    </row>
    <row r="360" spans="1:7">
      <c r="A360" s="218"/>
      <c r="B360" s="218"/>
      <c r="C360" s="348"/>
      <c r="D360" s="1263"/>
      <c r="E360" s="1263"/>
      <c r="F360" s="1263"/>
      <c r="G360"/>
    </row>
    <row r="361" spans="1:7">
      <c r="A361" s="218"/>
      <c r="B361" s="218"/>
      <c r="C361" s="348"/>
      <c r="D361" s="1263"/>
      <c r="E361" s="1263"/>
      <c r="F361" s="1263"/>
      <c r="G361"/>
    </row>
    <row r="362" spans="1:7">
      <c r="A362" s="218"/>
      <c r="B362" s="218"/>
      <c r="C362" s="348"/>
      <c r="D362" s="1263"/>
      <c r="E362" s="1263"/>
      <c r="F362" s="1263"/>
      <c r="G362"/>
    </row>
    <row r="363" spans="1:7">
      <c r="A363" s="218"/>
      <c r="B363" s="218"/>
      <c r="C363" s="218"/>
      <c r="D363" s="220"/>
      <c r="E363" s="220"/>
      <c r="F363" s="35"/>
      <c r="G363"/>
    </row>
    <row r="364" spans="1:7">
      <c r="A364" s="218"/>
      <c r="B364" s="469" t="s">
        <v>309</v>
      </c>
      <c r="C364" s="218"/>
      <c r="D364" s="1263" t="s">
        <v>1265</v>
      </c>
      <c r="E364" s="1263"/>
      <c r="F364" s="1263"/>
      <c r="G364"/>
    </row>
    <row r="365" spans="1:7">
      <c r="A365" s="218"/>
      <c r="B365" s="218"/>
      <c r="C365" s="218"/>
      <c r="D365" s="1263"/>
      <c r="E365" s="1263"/>
      <c r="F365" s="1263"/>
      <c r="G365"/>
    </row>
    <row r="366" spans="1:7">
      <c r="A366" s="218"/>
      <c r="B366" s="218"/>
      <c r="C366" s="218"/>
      <c r="D366" s="220"/>
      <c r="E366" s="220"/>
      <c r="F366" s="35"/>
      <c r="G366"/>
    </row>
    <row r="367" spans="1:7" ht="14.25">
      <c r="A367" s="176"/>
      <c r="B367" s="469" t="s">
        <v>309</v>
      </c>
      <c r="C367" s="218"/>
      <c r="D367" s="1263" t="s">
        <v>1266</v>
      </c>
      <c r="E367" s="1263"/>
      <c r="F367" s="1263"/>
      <c r="G367"/>
    </row>
    <row r="368" spans="1:7" ht="14.25">
      <c r="A368" s="347"/>
      <c r="B368" s="347"/>
      <c r="C368" s="218"/>
      <c r="D368" s="1263"/>
      <c r="E368" s="1263"/>
      <c r="F368" s="1263"/>
      <c r="G368"/>
    </row>
    <row r="369" spans="1:7" ht="14.25">
      <c r="A369" s="347"/>
      <c r="B369" s="347"/>
      <c r="C369" s="218"/>
      <c r="D369" s="1263"/>
      <c r="E369" s="1263"/>
      <c r="F369" s="1263"/>
      <c r="G369"/>
    </row>
    <row r="370" spans="1:7" ht="14.25">
      <c r="A370" s="347"/>
      <c r="B370" s="347"/>
      <c r="C370" s="218"/>
      <c r="D370" s="1263"/>
      <c r="E370" s="1263"/>
      <c r="F370" s="1263"/>
      <c r="G370"/>
    </row>
    <row r="371" spans="1:7" ht="14.25">
      <c r="A371" s="347"/>
      <c r="B371" s="347"/>
      <c r="C371" s="218"/>
      <c r="D371" s="1263"/>
      <c r="E371" s="1263"/>
      <c r="F371" s="1263"/>
      <c r="G371"/>
    </row>
    <row r="372" spans="1:7">
      <c r="D372" s="35"/>
      <c r="E372" s="35"/>
      <c r="F372" s="35"/>
      <c r="G372"/>
    </row>
    <row r="373" spans="1:7" ht="14.25">
      <c r="A373" s="176"/>
      <c r="B373" s="469" t="s">
        <v>309</v>
      </c>
      <c r="C373" s="179"/>
      <c r="D373" s="1260" t="s">
        <v>1267</v>
      </c>
      <c r="E373" s="1260"/>
      <c r="F373" s="1260"/>
      <c r="G373"/>
    </row>
    <row r="374" spans="1:7" ht="14.25">
      <c r="A374" s="176"/>
      <c r="B374" s="176"/>
      <c r="D374" s="1260"/>
      <c r="E374" s="1260"/>
      <c r="F374" s="1260"/>
      <c r="G374"/>
    </row>
    <row r="375" spans="1:7">
      <c r="D375" s="1260"/>
      <c r="E375" s="1260"/>
      <c r="F375" s="1260"/>
      <c r="G375"/>
    </row>
    <row r="376" spans="1:7">
      <c r="D376" s="1260"/>
      <c r="E376" s="1260"/>
      <c r="F376" s="1260"/>
      <c r="G376"/>
    </row>
    <row r="377" spans="1:7">
      <c r="D377" s="1260"/>
      <c r="E377" s="1260"/>
      <c r="F377" s="1260"/>
      <c r="G377"/>
    </row>
    <row r="378" spans="1:7">
      <c r="D378" s="1260"/>
      <c r="E378" s="1260"/>
      <c r="F378" s="1260"/>
      <c r="G378"/>
    </row>
    <row r="379" spans="1:7">
      <c r="D379" s="1260"/>
      <c r="E379" s="1260"/>
      <c r="F379" s="1260"/>
      <c r="G379"/>
    </row>
    <row r="380" spans="1:7">
      <c r="D380" s="1260"/>
      <c r="E380" s="1260"/>
      <c r="F380" s="1260"/>
      <c r="G380"/>
    </row>
    <row r="381" spans="1:7">
      <c r="D381" s="1260"/>
      <c r="E381" s="1260"/>
      <c r="F381" s="1260"/>
      <c r="G381"/>
    </row>
    <row r="382" spans="1:7">
      <c r="D382" s="1260"/>
      <c r="E382" s="1260"/>
      <c r="F382" s="1260"/>
      <c r="G382"/>
    </row>
    <row r="383" spans="1:7">
      <c r="D383" s="1260"/>
      <c r="E383" s="1260"/>
      <c r="F383" s="1260"/>
      <c r="G383"/>
    </row>
    <row r="384" spans="1:7">
      <c r="D384" s="1260"/>
      <c r="E384" s="1260"/>
      <c r="F384" s="1260"/>
      <c r="G384"/>
    </row>
    <row r="385" spans="1:7">
      <c r="D385" s="1260"/>
      <c r="E385" s="1260"/>
      <c r="F385" s="1260"/>
      <c r="G385"/>
    </row>
    <row r="386" spans="1:7">
      <c r="A386"/>
      <c r="B386"/>
      <c r="C386"/>
      <c r="D386" s="1260"/>
      <c r="E386" s="1260"/>
      <c r="F386" s="1260"/>
      <c r="G386"/>
    </row>
    <row r="387" spans="1:7">
      <c r="A387"/>
      <c r="B387"/>
      <c r="C387"/>
      <c r="D387" s="1260"/>
      <c r="E387" s="1260"/>
      <c r="F387" s="1260"/>
      <c r="G387"/>
    </row>
    <row r="388" spans="1:7">
      <c r="A388"/>
      <c r="B388"/>
      <c r="C388"/>
      <c r="D388" s="1260"/>
      <c r="E388" s="1260"/>
      <c r="F388" s="1260"/>
      <c r="G388"/>
    </row>
    <row r="389" spans="1:7">
      <c r="A389"/>
      <c r="B389"/>
      <c r="C389"/>
      <c r="D389" s="1260"/>
      <c r="E389" s="1260"/>
      <c r="F389" s="1260"/>
      <c r="G389"/>
    </row>
    <row r="390" spans="1:7">
      <c r="A390"/>
      <c r="B390"/>
      <c r="C390"/>
      <c r="D390" s="1260"/>
      <c r="E390" s="1260"/>
      <c r="F390" s="1260"/>
      <c r="G390"/>
    </row>
    <row r="391" spans="1:7">
      <c r="A391"/>
      <c r="B391"/>
      <c r="C391"/>
      <c r="D391" s="1260"/>
      <c r="E391" s="1260"/>
      <c r="F391" s="1260"/>
      <c r="G391"/>
    </row>
    <row r="392" spans="1:7">
      <c r="A392"/>
      <c r="B392"/>
      <c r="C392"/>
      <c r="D392" s="1260"/>
      <c r="E392" s="1260"/>
      <c r="F392" s="1260"/>
      <c r="G392"/>
    </row>
    <row r="393" spans="1:7">
      <c r="A393"/>
      <c r="B393"/>
      <c r="C393"/>
      <c r="D393" s="1260"/>
      <c r="E393" s="1260"/>
      <c r="F393" s="1260"/>
      <c r="G393"/>
    </row>
    <row r="394" spans="1:7">
      <c r="A394"/>
      <c r="B394"/>
      <c r="C394"/>
      <c r="D394" s="1260"/>
      <c r="E394" s="1260"/>
      <c r="F394" s="1260"/>
      <c r="G394"/>
    </row>
    <row r="395" spans="1:7">
      <c r="A395"/>
      <c r="B395"/>
      <c r="C395"/>
      <c r="D395" s="1260"/>
      <c r="E395" s="1260"/>
      <c r="F395" s="1260"/>
      <c r="G395"/>
    </row>
    <row r="396" spans="1:7">
      <c r="A396"/>
      <c r="B396"/>
      <c r="C396"/>
      <c r="D396" s="1260"/>
      <c r="E396" s="1260"/>
      <c r="F396" s="1260"/>
      <c r="G396"/>
    </row>
    <row r="397" spans="1:7">
      <c r="A397"/>
      <c r="B397"/>
      <c r="C397"/>
      <c r="D397" s="1260"/>
      <c r="E397" s="1260"/>
      <c r="F397" s="1260"/>
      <c r="G397"/>
    </row>
    <row r="398" spans="1:7">
      <c r="A398"/>
      <c r="B398"/>
      <c r="C398"/>
      <c r="D398" s="1260"/>
      <c r="E398" s="1260"/>
      <c r="F398" s="1260"/>
      <c r="G398"/>
    </row>
    <row r="399" spans="1:7">
      <c r="A399"/>
      <c r="B399"/>
      <c r="C399"/>
      <c r="D399" s="1260"/>
      <c r="E399" s="1260"/>
      <c r="F399" s="1260"/>
      <c r="G399"/>
    </row>
    <row r="400" spans="1:7">
      <c r="A400"/>
      <c r="B400"/>
      <c r="C400"/>
      <c r="D400" s="1260"/>
      <c r="E400" s="1260"/>
      <c r="F400" s="1260"/>
      <c r="G400"/>
    </row>
    <row r="401" spans="1:7">
      <c r="A401"/>
      <c r="B401"/>
      <c r="C401"/>
      <c r="D401" s="1260"/>
      <c r="E401" s="1260"/>
      <c r="F401" s="1260"/>
      <c r="G401"/>
    </row>
    <row r="402" spans="1:7">
      <c r="D402" s="1260"/>
      <c r="E402" s="1260"/>
      <c r="F402" s="1260"/>
    </row>
    <row r="403" spans="1:7" ht="40.700000000000003" customHeight="1">
      <c r="D403" s="1260"/>
      <c r="E403" s="1260"/>
      <c r="F403" s="1260"/>
    </row>
    <row r="404" spans="1:7">
      <c r="D404" s="35"/>
      <c r="E404" s="35"/>
      <c r="F404" s="35"/>
    </row>
    <row r="405" spans="1:7" ht="14.25">
      <c r="A405" s="176"/>
      <c r="B405" s="469" t="s">
        <v>309</v>
      </c>
      <c r="C405" s="179"/>
      <c r="D405" s="1280" t="s">
        <v>1268</v>
      </c>
      <c r="E405" s="1280"/>
      <c r="F405" s="1280"/>
    </row>
    <row r="406" spans="1:7">
      <c r="D406" s="1305" t="s">
        <v>1039</v>
      </c>
      <c r="E406" s="1305"/>
      <c r="F406" s="1305"/>
    </row>
    <row r="407" spans="1:7">
      <c r="D407" s="1260" t="s">
        <v>1269</v>
      </c>
      <c r="E407" s="1260"/>
      <c r="F407" s="1260"/>
    </row>
    <row r="408" spans="1:7">
      <c r="D408" s="1260"/>
      <c r="E408" s="1260"/>
      <c r="F408" s="1260"/>
    </row>
    <row r="409" spans="1:7">
      <c r="D409" s="1260"/>
      <c r="E409" s="1260"/>
      <c r="F409" s="1260"/>
    </row>
    <row r="410" spans="1:7">
      <c r="D410" s="1260"/>
      <c r="E410" s="1260"/>
      <c r="F410" s="1260"/>
    </row>
    <row r="411" spans="1:7">
      <c r="D411" s="35"/>
      <c r="E411" s="35"/>
      <c r="F411" s="35"/>
      <c r="G411"/>
    </row>
    <row r="412" spans="1:7" ht="14.25">
      <c r="A412" s="176"/>
      <c r="B412" s="469" t="s">
        <v>309</v>
      </c>
      <c r="C412" s="179"/>
      <c r="D412" s="1260" t="s">
        <v>1270</v>
      </c>
      <c r="E412" s="1260"/>
      <c r="F412" s="1260"/>
      <c r="G412"/>
    </row>
    <row r="413" spans="1:7">
      <c r="D413" s="1260"/>
      <c r="E413" s="1260"/>
      <c r="F413" s="1260"/>
      <c r="G413"/>
    </row>
    <row r="414" spans="1:7">
      <c r="D414" s="1260"/>
      <c r="E414" s="1260"/>
      <c r="F414" s="1260"/>
      <c r="G414"/>
    </row>
    <row r="415" spans="1:7">
      <c r="D415" s="475"/>
      <c r="E415" s="475"/>
      <c r="F415" s="475"/>
      <c r="G415"/>
    </row>
    <row r="416" spans="1:7" ht="14.25">
      <c r="B416" s="469" t="s">
        <v>309</v>
      </c>
      <c r="C416" s="176"/>
      <c r="D416" s="1260" t="s">
        <v>1271</v>
      </c>
      <c r="E416" s="1260"/>
      <c r="F416" s="1260"/>
      <c r="G416"/>
    </row>
    <row r="417" spans="1:7">
      <c r="D417" s="1260"/>
      <c r="E417" s="1260"/>
      <c r="F417" s="1260"/>
      <c r="G417"/>
    </row>
    <row r="418" spans="1:7">
      <c r="D418" s="35"/>
      <c r="E418" s="35"/>
      <c r="F418" s="35"/>
      <c r="G418"/>
    </row>
    <row r="419" spans="1:7" ht="14.25">
      <c r="B419" s="469" t="s">
        <v>309</v>
      </c>
      <c r="C419" s="176"/>
      <c r="D419" s="1260" t="s">
        <v>1272</v>
      </c>
      <c r="E419" s="1260"/>
      <c r="F419" s="1260"/>
      <c r="G419"/>
    </row>
    <row r="420" spans="1:7">
      <c r="D420" s="1260"/>
      <c r="E420" s="1260"/>
      <c r="F420" s="1260"/>
      <c r="G420"/>
    </row>
    <row r="421" spans="1:7">
      <c r="D421" s="1260"/>
      <c r="E421" s="1260"/>
      <c r="F421" s="1260"/>
      <c r="G421"/>
    </row>
    <row r="422" spans="1:7">
      <c r="D422" s="1260"/>
      <c r="E422" s="1260"/>
      <c r="F422" s="1260"/>
      <c r="G422"/>
    </row>
    <row r="423" spans="1:7">
      <c r="B423" s="469" t="s">
        <v>309</v>
      </c>
      <c r="D423" s="1260"/>
      <c r="E423" s="1260"/>
      <c r="F423" s="1260"/>
      <c r="G423"/>
    </row>
    <row r="424" spans="1:7">
      <c r="A424"/>
      <c r="B424"/>
      <c r="C424"/>
      <c r="D424" s="1260"/>
      <c r="E424" s="1260"/>
      <c r="F424" s="1260"/>
      <c r="G424"/>
    </row>
    <row r="425" spans="1:7">
      <c r="A425"/>
      <c r="C425"/>
      <c r="D425" s="1260"/>
      <c r="E425" s="1260"/>
      <c r="F425" s="1260"/>
      <c r="G425"/>
    </row>
    <row r="426" spans="1:7">
      <c r="A426"/>
      <c r="B426" s="469" t="s">
        <v>309</v>
      </c>
      <c r="C426"/>
      <c r="D426" s="1260"/>
      <c r="E426" s="1260"/>
      <c r="F426" s="1260"/>
      <c r="G426"/>
    </row>
    <row r="427" spans="1:7">
      <c r="A427"/>
      <c r="B427"/>
      <c r="C427"/>
      <c r="D427" s="1260"/>
      <c r="E427" s="1260"/>
      <c r="F427" s="1260"/>
      <c r="G427"/>
    </row>
    <row r="428" spans="1:7">
      <c r="A428"/>
      <c r="C428"/>
      <c r="D428" s="1260"/>
      <c r="E428" s="1260"/>
      <c r="F428" s="1260"/>
      <c r="G428"/>
    </row>
    <row r="429" spans="1:7">
      <c r="A429"/>
      <c r="C429"/>
      <c r="D429" s="1260"/>
      <c r="E429" s="1260"/>
      <c r="F429" s="1260"/>
      <c r="G429"/>
    </row>
    <row r="430" spans="1:7">
      <c r="A430"/>
      <c r="B430" s="469" t="s">
        <v>309</v>
      </c>
      <c r="C430"/>
      <c r="D430" s="1260"/>
      <c r="E430" s="1260"/>
      <c r="F430" s="1260"/>
      <c r="G430"/>
    </row>
    <row r="431" spans="1:7">
      <c r="A431"/>
      <c r="B431"/>
      <c r="C431"/>
      <c r="D431" s="1260"/>
      <c r="E431" s="1260"/>
      <c r="F431" s="1260"/>
      <c r="G431"/>
    </row>
    <row r="432" spans="1:7">
      <c r="A432"/>
      <c r="B432" s="469" t="s">
        <v>309</v>
      </c>
      <c r="C432"/>
      <c r="D432" s="1260"/>
      <c r="E432" s="1260"/>
      <c r="F432" s="1260"/>
      <c r="G432"/>
    </row>
    <row r="433" spans="1:7">
      <c r="A433"/>
      <c r="B433"/>
      <c r="C433"/>
      <c r="D433" s="475"/>
      <c r="E433" s="475"/>
      <c r="F433" s="475"/>
      <c r="G433"/>
    </row>
    <row r="434" spans="1:7">
      <c r="A434"/>
      <c r="B434" s="469" t="s">
        <v>309</v>
      </c>
      <c r="C434"/>
      <c r="D434" s="1260" t="s">
        <v>1273</v>
      </c>
      <c r="E434" s="1260"/>
      <c r="F434" s="1260"/>
      <c r="G434"/>
    </row>
    <row r="435" spans="1:7">
      <c r="A435"/>
      <c r="B435"/>
      <c r="C435"/>
      <c r="D435" s="1260"/>
      <c r="E435" s="1260"/>
      <c r="F435" s="1260"/>
      <c r="G435"/>
    </row>
    <row r="436" spans="1:7">
      <c r="A436"/>
      <c r="B436"/>
      <c r="C436"/>
      <c r="D436" s="1260"/>
      <c r="E436" s="1260"/>
      <c r="F436" s="1260"/>
      <c r="G436"/>
    </row>
    <row r="437" spans="1:7">
      <c r="A437"/>
      <c r="B437"/>
      <c r="C437"/>
      <c r="D437" s="1260"/>
      <c r="E437" s="1260"/>
      <c r="F437" s="1260"/>
      <c r="G437"/>
    </row>
    <row r="438" spans="1:7">
      <c r="D438" s="1260"/>
      <c r="E438" s="1260"/>
      <c r="F438" s="1260"/>
    </row>
    <row r="439" spans="1:7">
      <c r="D439" s="35"/>
      <c r="E439" s="35"/>
      <c r="F439" s="35"/>
    </row>
    <row r="440" spans="1:7">
      <c r="B440" s="469" t="s">
        <v>309</v>
      </c>
      <c r="D440" s="1280" t="s">
        <v>1274</v>
      </c>
      <c r="E440" s="1280"/>
      <c r="F440" s="1280"/>
    </row>
    <row r="441" spans="1:7">
      <c r="A441" s="35"/>
      <c r="B441" s="35"/>
    </row>
    <row r="442" spans="1:7">
      <c r="A442" s="1281" t="s">
        <v>1115</v>
      </c>
      <c r="B442" s="1281"/>
      <c r="C442" s="1281"/>
      <c r="D442" s="1281"/>
      <c r="E442" s="1281"/>
      <c r="F442" s="1281"/>
      <c r="G442" s="1281"/>
    </row>
    <row r="443" spans="1:7">
      <c r="A443" s="35"/>
      <c r="B443" s="35"/>
    </row>
    <row r="444" spans="1:7">
      <c r="D444" s="1311" t="s">
        <v>912</v>
      </c>
      <c r="E444" s="1311"/>
      <c r="F444" s="1311"/>
    </row>
    <row r="445" spans="1:7" ht="14.25">
      <c r="A445" s="176"/>
      <c r="B445" s="176"/>
      <c r="D445" s="1308" t="s">
        <v>1275</v>
      </c>
      <c r="E445" s="1308"/>
      <c r="F445" s="1308"/>
    </row>
    <row r="446" spans="1:7" ht="14.25">
      <c r="A446" s="176"/>
      <c r="B446" s="176"/>
      <c r="D446" s="482"/>
      <c r="E446" s="3"/>
      <c r="F446" s="3"/>
    </row>
    <row r="447" spans="1:7" ht="14.25">
      <c r="A447" s="176"/>
      <c r="B447" s="469" t="s">
        <v>309</v>
      </c>
      <c r="D447" s="1263" t="s">
        <v>1276</v>
      </c>
      <c r="E447" s="1263"/>
      <c r="F447" s="1263"/>
    </row>
    <row r="448" spans="1:7" ht="14.25">
      <c r="A448" s="176"/>
      <c r="B448" s="176"/>
      <c r="D448" s="1263"/>
      <c r="E448" s="1263"/>
      <c r="F448" s="1263"/>
    </row>
    <row r="449" spans="1:7" ht="14.25">
      <c r="A449" s="176"/>
      <c r="B449" s="176"/>
      <c r="D449" s="118"/>
      <c r="E449" s="3"/>
      <c r="F449" s="3"/>
    </row>
    <row r="450" spans="1:7">
      <c r="B450" s="469" t="s">
        <v>309</v>
      </c>
      <c r="D450" s="1297" t="s">
        <v>1277</v>
      </c>
      <c r="E450" s="1297"/>
      <c r="F450" s="1297"/>
    </row>
    <row r="451" spans="1:7" ht="14.25">
      <c r="A451" s="176"/>
      <c r="D451" s="1297"/>
      <c r="E451" s="1297"/>
      <c r="F451" s="1297"/>
    </row>
    <row r="452" spans="1:7" ht="14.25">
      <c r="A452" s="176"/>
      <c r="B452" s="176"/>
      <c r="D452" s="1297"/>
      <c r="E452" s="1297"/>
      <c r="F452" s="1297"/>
    </row>
    <row r="453" spans="1:7" ht="14.25">
      <c r="A453" s="176"/>
      <c r="B453" s="176"/>
      <c r="D453" s="1297"/>
      <c r="E453" s="1297"/>
      <c r="F453" s="1297"/>
    </row>
    <row r="454" spans="1:7">
      <c r="D454" s="3"/>
      <c r="E454" s="3"/>
      <c r="F454" s="3"/>
      <c r="G454"/>
    </row>
    <row r="455" spans="1:7" ht="14.25">
      <c r="A455" s="176"/>
      <c r="B455" s="469" t="s">
        <v>309</v>
      </c>
      <c r="D455" s="1260" t="s">
        <v>1278</v>
      </c>
      <c r="E455" s="1260"/>
      <c r="F455" s="1260"/>
      <c r="G455"/>
    </row>
    <row r="456" spans="1:7" ht="14.25">
      <c r="A456" s="176"/>
      <c r="B456" s="176"/>
      <c r="D456" s="1260"/>
      <c r="E456" s="1260"/>
      <c r="F456" s="1260"/>
      <c r="G456"/>
    </row>
    <row r="457" spans="1:7" ht="14.25">
      <c r="A457" s="176"/>
      <c r="D457" s="1260"/>
      <c r="E457" s="1260"/>
      <c r="F457" s="1260"/>
      <c r="G457"/>
    </row>
    <row r="458" spans="1:7" ht="14.25">
      <c r="A458" s="176"/>
      <c r="B458" s="176"/>
      <c r="D458" s="3"/>
      <c r="E458" s="3"/>
      <c r="F458" s="3"/>
      <c r="G458"/>
    </row>
    <row r="459" spans="1:7" ht="14.25">
      <c r="A459" s="176"/>
      <c r="B459" s="469" t="s">
        <v>309</v>
      </c>
      <c r="D459" s="1280" t="s">
        <v>1279</v>
      </c>
      <c r="E459" s="1280"/>
      <c r="F459" s="1280"/>
      <c r="G459"/>
    </row>
    <row r="460" spans="1:7" ht="14.25">
      <c r="A460" s="176"/>
      <c r="B460" s="176"/>
      <c r="D460" s="118"/>
      <c r="E460" s="3"/>
      <c r="F460" s="3"/>
      <c r="G460"/>
    </row>
    <row r="461" spans="1:7" ht="14.25">
      <c r="A461" s="176"/>
      <c r="B461" s="469" t="s">
        <v>309</v>
      </c>
      <c r="D461" s="1260" t="s">
        <v>1280</v>
      </c>
      <c r="E461" s="1260"/>
      <c r="F461" s="1260"/>
      <c r="G461"/>
    </row>
    <row r="462" spans="1:7" ht="14.25">
      <c r="A462" s="176"/>
      <c r="D462" s="1260"/>
      <c r="E462" s="1260"/>
      <c r="F462" s="1260"/>
      <c r="G462"/>
    </row>
    <row r="463" spans="1:7">
      <c r="A463" s="13"/>
      <c r="B463" s="13"/>
      <c r="D463" s="482"/>
      <c r="E463" s="3"/>
      <c r="F463" s="3"/>
      <c r="G463"/>
    </row>
    <row r="464" spans="1:7">
      <c r="A464" s="13"/>
      <c r="B464" s="469" t="s">
        <v>309</v>
      </c>
      <c r="D464" s="1280" t="s">
        <v>1281</v>
      </c>
      <c r="E464" s="1280"/>
      <c r="F464" s="1280"/>
      <c r="G464"/>
    </row>
    <row r="465" spans="1:7" ht="14.25">
      <c r="A465" s="176"/>
      <c r="B465" s="176"/>
      <c r="D465" s="35"/>
    </row>
    <row r="466" spans="1:7">
      <c r="A466" s="1281" t="s">
        <v>1116</v>
      </c>
      <c r="B466" s="1281"/>
      <c r="C466" s="1281"/>
      <c r="D466" s="1281"/>
      <c r="E466" s="1281"/>
      <c r="F466" s="1281"/>
      <c r="G466" s="1281"/>
    </row>
    <row r="467" spans="1:7" ht="12" customHeight="1">
      <c r="A467" s="176"/>
      <c r="B467" s="176"/>
      <c r="D467" s="35"/>
    </row>
    <row r="468" spans="1:7">
      <c r="C468" s="172"/>
      <c r="D468" s="1279" t="s">
        <v>817</v>
      </c>
      <c r="E468" s="1279"/>
      <c r="F468" s="1279"/>
    </row>
    <row r="469" spans="1:7" ht="13.15" customHeight="1">
      <c r="A469" s="175"/>
      <c r="B469" s="175"/>
      <c r="C469" s="175"/>
      <c r="D469" s="1312" t="s">
        <v>1159</v>
      </c>
      <c r="E469" s="1312"/>
      <c r="F469" s="1312"/>
    </row>
    <row r="470" spans="1:7">
      <c r="A470" s="175"/>
      <c r="B470" s="175"/>
      <c r="C470" s="175"/>
      <c r="D470" s="1312"/>
      <c r="E470" s="1312"/>
      <c r="F470" s="1312"/>
    </row>
    <row r="471" spans="1:7">
      <c r="A471" s="175"/>
      <c r="B471" s="175"/>
      <c r="C471" s="175"/>
      <c r="D471" s="1312"/>
      <c r="E471" s="1312"/>
      <c r="F471" s="1312"/>
    </row>
    <row r="472" spans="1:7">
      <c r="A472" s="175"/>
      <c r="B472" s="175"/>
      <c r="C472" s="175"/>
      <c r="D472" s="1312"/>
      <c r="E472" s="1312"/>
      <c r="F472" s="1312"/>
    </row>
    <row r="473" spans="1:7">
      <c r="A473" s="175"/>
      <c r="B473" s="175"/>
      <c r="C473" s="175"/>
      <c r="D473" s="1312"/>
      <c r="E473" s="1312"/>
      <c r="F473" s="1312"/>
    </row>
    <row r="474" spans="1:7">
      <c r="A474" s="175"/>
      <c r="B474" s="175"/>
      <c r="C474" s="175"/>
      <c r="D474" s="326"/>
      <c r="F474" s="35"/>
    </row>
    <row r="475" spans="1:7" ht="14.45" customHeight="1">
      <c r="A475" s="176"/>
      <c r="B475" s="469" t="s">
        <v>309</v>
      </c>
      <c r="C475" s="175"/>
      <c r="D475" s="1296" t="s">
        <v>1150</v>
      </c>
      <c r="E475" s="1296"/>
      <c r="F475" s="1296"/>
    </row>
    <row r="476" spans="1:7">
      <c r="A476" s="175"/>
      <c r="B476" s="175"/>
      <c r="C476" s="175"/>
      <c r="D476" s="1296"/>
      <c r="E476" s="1296"/>
      <c r="F476" s="1296"/>
    </row>
    <row r="477" spans="1:7">
      <c r="A477" s="175"/>
      <c r="B477" s="175"/>
      <c r="C477" s="175"/>
      <c r="D477" s="1296"/>
      <c r="E477" s="1296"/>
      <c r="F477" s="1296"/>
    </row>
    <row r="478" spans="1:7">
      <c r="A478" s="175"/>
      <c r="B478" s="175"/>
      <c r="C478" s="175"/>
      <c r="D478" s="1296"/>
      <c r="E478" s="1296"/>
      <c r="F478" s="1296"/>
    </row>
    <row r="479" spans="1:7">
      <c r="A479" s="175"/>
      <c r="B479" s="175"/>
      <c r="C479" s="175"/>
      <c r="D479" s="1296"/>
      <c r="E479" s="1296"/>
      <c r="F479" s="1296"/>
    </row>
    <row r="480" spans="1:7">
      <c r="A480" s="175"/>
      <c r="B480" s="175"/>
      <c r="C480" s="175"/>
      <c r="D480" s="220"/>
      <c r="F480" s="35"/>
    </row>
    <row r="481" spans="1:6" ht="14.45" customHeight="1">
      <c r="A481" s="176"/>
      <c r="B481" s="469" t="s">
        <v>309</v>
      </c>
      <c r="C481" s="175"/>
      <c r="D481" s="1296" t="s">
        <v>1153</v>
      </c>
      <c r="E481" s="1296"/>
      <c r="F481" s="1296"/>
    </row>
    <row r="482" spans="1:6">
      <c r="A482" s="175"/>
      <c r="B482" s="175"/>
      <c r="C482" s="175"/>
      <c r="D482" s="1296"/>
      <c r="E482" s="1296"/>
      <c r="F482" s="1296"/>
    </row>
    <row r="483" spans="1:6">
      <c r="A483" s="175"/>
      <c r="B483" s="175"/>
      <c r="C483" s="175"/>
      <c r="D483" s="1296"/>
      <c r="E483" s="1296"/>
      <c r="F483" s="1296"/>
    </row>
    <row r="484" spans="1:6">
      <c r="A484" s="175"/>
      <c r="B484" s="175"/>
      <c r="C484" s="175"/>
      <c r="D484" s="1296"/>
      <c r="E484" s="1296"/>
      <c r="F484" s="1296"/>
    </row>
    <row r="485" spans="1:6" ht="9.9499999999999993" customHeight="1">
      <c r="A485" s="175"/>
      <c r="B485" s="175"/>
      <c r="C485" s="175"/>
      <c r="D485" s="220"/>
      <c r="F485" s="35"/>
    </row>
    <row r="486" spans="1:6" ht="14.45" customHeight="1">
      <c r="A486" s="176"/>
      <c r="B486" s="469" t="s">
        <v>309</v>
      </c>
      <c r="C486" s="175"/>
      <c r="D486" s="1296" t="s">
        <v>1151</v>
      </c>
      <c r="E486" s="1296"/>
      <c r="F486" s="1296"/>
    </row>
    <row r="487" spans="1:6">
      <c r="A487" s="175"/>
      <c r="B487" s="175"/>
      <c r="C487" s="175"/>
      <c r="D487" s="1296"/>
      <c r="E487" s="1296"/>
      <c r="F487" s="1296"/>
    </row>
    <row r="488" spans="1:6">
      <c r="A488" s="175"/>
      <c r="B488" s="175"/>
      <c r="C488" s="175"/>
      <c r="D488" s="1296"/>
      <c r="E488" s="1296"/>
      <c r="F488" s="1296"/>
    </row>
    <row r="489" spans="1:6">
      <c r="A489" s="175"/>
      <c r="B489" s="175"/>
      <c r="C489" s="175"/>
      <c r="D489" s="476"/>
      <c r="E489" s="476"/>
      <c r="F489" s="476"/>
    </row>
    <row r="490" spans="1:6" ht="14.45" customHeight="1">
      <c r="A490" s="176"/>
      <c r="B490" s="469" t="s">
        <v>309</v>
      </c>
      <c r="C490" s="175"/>
      <c r="D490" s="1296" t="s">
        <v>1152</v>
      </c>
      <c r="E490" s="1296"/>
      <c r="F490" s="1296"/>
    </row>
    <row r="491" spans="1:6">
      <c r="A491" s="175"/>
      <c r="B491" s="175"/>
      <c r="C491" s="175"/>
      <c r="D491" s="1296"/>
      <c r="E491" s="1296"/>
      <c r="F491" s="1296"/>
    </row>
    <row r="492" spans="1:6">
      <c r="A492" s="175"/>
      <c r="B492" s="175"/>
      <c r="C492" s="175"/>
      <c r="D492" s="1296"/>
      <c r="E492" s="1296"/>
      <c r="F492" s="1296"/>
    </row>
    <row r="493" spans="1:6">
      <c r="A493" s="175"/>
      <c r="B493" s="175"/>
      <c r="C493" s="175"/>
      <c r="D493" s="1296"/>
      <c r="E493" s="1296"/>
      <c r="F493" s="1296"/>
    </row>
    <row r="494" spans="1:6">
      <c r="A494" s="175"/>
      <c r="B494" s="175"/>
      <c r="C494" s="175"/>
      <c r="D494" s="1296"/>
      <c r="E494" s="1296"/>
      <c r="F494" s="1296"/>
    </row>
    <row r="495" spans="1:6">
      <c r="A495" s="175"/>
      <c r="B495" s="175"/>
      <c r="C495" s="175"/>
      <c r="D495" s="1296"/>
      <c r="E495" s="1296"/>
      <c r="F495" s="1296"/>
    </row>
    <row r="496" spans="1:6">
      <c r="A496" s="175"/>
      <c r="B496" s="175"/>
      <c r="C496" s="175"/>
      <c r="D496" s="1296"/>
      <c r="E496" s="1296"/>
      <c r="F496" s="1296"/>
    </row>
    <row r="497" spans="1:7">
      <c r="A497" s="175"/>
      <c r="B497" s="175"/>
      <c r="C497" s="175"/>
      <c r="D497" s="1296"/>
      <c r="E497" s="1296"/>
      <c r="F497" s="1296"/>
    </row>
    <row r="498" spans="1:7">
      <c r="A498" s="175"/>
      <c r="B498" s="175"/>
      <c r="C498" s="175"/>
      <c r="D498" s="1296"/>
      <c r="E498" s="1296"/>
      <c r="F498" s="1296"/>
    </row>
    <row r="499" spans="1:7">
      <c r="A499" s="175"/>
      <c r="B499" s="175"/>
      <c r="C499" s="175"/>
      <c r="D499" s="220"/>
      <c r="F499" s="35"/>
    </row>
    <row r="500" spans="1:7" ht="13.15" customHeight="1">
      <c r="A500" s="175"/>
      <c r="B500" s="469" t="s">
        <v>309</v>
      </c>
      <c r="C500" s="175"/>
      <c r="D500" s="1263" t="s">
        <v>1296</v>
      </c>
      <c r="E500" s="1263"/>
      <c r="F500" s="1263"/>
    </row>
    <row r="501" spans="1:7">
      <c r="A501" s="175"/>
      <c r="B501" s="175"/>
      <c r="C501" s="175"/>
      <c r="D501" s="1263"/>
      <c r="E501" s="1263"/>
      <c r="F501" s="1263"/>
    </row>
    <row r="502" spans="1:7">
      <c r="A502" s="175"/>
      <c r="B502" s="175"/>
      <c r="C502" s="175"/>
      <c r="D502" s="1263"/>
      <c r="E502" s="1263"/>
      <c r="F502" s="1263"/>
    </row>
    <row r="503" spans="1:7">
      <c r="A503" s="175"/>
      <c r="B503" s="175"/>
      <c r="C503" s="175"/>
      <c r="D503" s="1263"/>
      <c r="E503" s="1263"/>
      <c r="F503" s="1263"/>
    </row>
    <row r="504" spans="1:7">
      <c r="A504" s="175"/>
      <c r="B504" s="175"/>
      <c r="C504" s="175"/>
      <c r="D504" s="1263"/>
      <c r="E504" s="1263"/>
      <c r="F504" s="1263"/>
    </row>
    <row r="505" spans="1:7">
      <c r="A505" s="175"/>
      <c r="B505" s="175"/>
      <c r="C505" s="175"/>
      <c r="D505" s="486"/>
      <c r="E505" s="486"/>
      <c r="F505" s="486"/>
    </row>
    <row r="506" spans="1:7" ht="14.45" customHeight="1">
      <c r="A506" s="176"/>
      <c r="B506" s="469" t="s">
        <v>309</v>
      </c>
      <c r="D506" s="1296" t="s">
        <v>1154</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c r="A510" s="1281" t="s">
        <v>1117</v>
      </c>
      <c r="B510" s="1281"/>
      <c r="C510" s="1281"/>
      <c r="D510" s="1281"/>
      <c r="E510" s="1281"/>
      <c r="F510" s="1281"/>
      <c r="G510" s="1281"/>
    </row>
    <row r="511" spans="1:7">
      <c r="A511" s="35"/>
      <c r="B511" s="35"/>
      <c r="C511" s="179"/>
      <c r="F511" s="57"/>
    </row>
    <row r="512" spans="1:7">
      <c r="B512" s="1278" t="s">
        <v>449</v>
      </c>
      <c r="C512" s="1278"/>
      <c r="D512" s="1278"/>
      <c r="E512" s="1278"/>
      <c r="F512" s="1278"/>
    </row>
    <row r="513" spans="1:7">
      <c r="A513" s="35"/>
      <c r="B513" s="35"/>
      <c r="C513" s="179"/>
      <c r="D513" s="35"/>
      <c r="F513" s="35"/>
    </row>
    <row r="514" spans="1:7">
      <c r="A514" s="1282" t="s">
        <v>1118</v>
      </c>
      <c r="B514" s="1282"/>
      <c r="C514" s="1282"/>
      <c r="D514" s="1282"/>
      <c r="E514" s="1282"/>
      <c r="F514" s="1282"/>
      <c r="G514" s="1282"/>
    </row>
    <row r="515" spans="1:7">
      <c r="A515" s="35"/>
      <c r="B515" s="35"/>
      <c r="C515" s="179"/>
      <c r="D515" s="35"/>
      <c r="F515" s="35"/>
    </row>
    <row r="516" spans="1:7">
      <c r="C516" s="179"/>
      <c r="D516" s="1279" t="s">
        <v>692</v>
      </c>
      <c r="E516" s="1279"/>
      <c r="F516" s="1279"/>
    </row>
    <row r="517" spans="1:7">
      <c r="C517" s="179"/>
      <c r="D517" s="1280" t="s">
        <v>1175</v>
      </c>
      <c r="E517" s="1280"/>
      <c r="F517" s="1280"/>
    </row>
    <row r="518" spans="1:7">
      <c r="C518" s="179"/>
      <c r="D518" s="118"/>
      <c r="E518" s="118"/>
      <c r="F518" s="118"/>
    </row>
    <row r="519" spans="1:7" ht="13.15" customHeight="1">
      <c r="A519" s="176"/>
      <c r="B519" s="469" t="s">
        <v>309</v>
      </c>
      <c r="C519" s="179"/>
      <c r="D519" s="1280" t="s">
        <v>913</v>
      </c>
      <c r="E519" s="1280"/>
      <c r="F519" s="1280"/>
      <c r="G519"/>
    </row>
    <row r="520" spans="1:7" ht="13.15" customHeight="1">
      <c r="A520" s="179"/>
      <c r="B520" s="179"/>
      <c r="C520" s="179"/>
      <c r="D520" s="118"/>
      <c r="E520"/>
      <c r="F520"/>
      <c r="G520"/>
    </row>
    <row r="521" spans="1:7" ht="14.25">
      <c r="A521" s="176"/>
      <c r="B521" s="469" t="s">
        <v>309</v>
      </c>
      <c r="C521" s="179"/>
      <c r="D521" s="1260" t="s">
        <v>1176</v>
      </c>
      <c r="E521" s="1260"/>
      <c r="F521" s="1260"/>
      <c r="G521"/>
    </row>
    <row r="522" spans="1:7">
      <c r="A522" s="179"/>
      <c r="B522" s="179"/>
      <c r="C522" s="179"/>
      <c r="D522" s="1260"/>
      <c r="E522" s="1260"/>
      <c r="F522" s="1260"/>
      <c r="G522"/>
    </row>
    <row r="523" spans="1:7">
      <c r="A523" s="179"/>
      <c r="B523" s="179"/>
      <c r="C523" s="179"/>
      <c r="D523" s="35"/>
      <c r="E523" s="35"/>
      <c r="F523" s="35"/>
      <c r="G523"/>
    </row>
    <row r="524" spans="1:7" ht="14.25">
      <c r="A524" s="176"/>
      <c r="B524" s="469" t="s">
        <v>309</v>
      </c>
      <c r="C524" s="179"/>
      <c r="D524" s="1260" t="s">
        <v>1177</v>
      </c>
      <c r="E524" s="1260"/>
      <c r="F524" s="1260"/>
      <c r="G524"/>
    </row>
    <row r="525" spans="1:7">
      <c r="A525" s="179"/>
      <c r="B525" s="179"/>
      <c r="C525" s="179"/>
      <c r="D525" s="1260"/>
      <c r="E525" s="1260"/>
      <c r="F525" s="1260"/>
      <c r="G525"/>
    </row>
    <row r="526" spans="1:7">
      <c r="A526" s="179"/>
      <c r="B526" s="179"/>
      <c r="C526" s="179"/>
      <c r="D526" s="35"/>
      <c r="E526" s="35"/>
      <c r="F526" s="35"/>
      <c r="G526"/>
    </row>
    <row r="527" spans="1:7" ht="14.25">
      <c r="A527" s="176"/>
      <c r="B527" s="469" t="s">
        <v>309</v>
      </c>
      <c r="C527" s="179"/>
      <c r="D527" s="1260" t="s">
        <v>1178</v>
      </c>
      <c r="E527" s="1260"/>
      <c r="F527" s="1260"/>
      <c r="G527"/>
    </row>
    <row r="528" spans="1:7">
      <c r="A528" s="179"/>
      <c r="B528" s="179"/>
      <c r="C528" s="179"/>
      <c r="D528" s="1260"/>
      <c r="E528" s="1260"/>
      <c r="F528" s="1260"/>
      <c r="G528"/>
    </row>
    <row r="529" spans="1:7">
      <c r="A529" s="179"/>
      <c r="B529" s="179"/>
      <c r="C529" s="179"/>
      <c r="D529" s="35"/>
      <c r="E529" s="35"/>
      <c r="F529" s="35"/>
      <c r="G529"/>
    </row>
    <row r="530" spans="1:7" ht="14.25">
      <c r="A530" s="176"/>
      <c r="B530" s="469" t="s">
        <v>309</v>
      </c>
      <c r="C530" s="179"/>
      <c r="D530" s="1260" t="s">
        <v>1179</v>
      </c>
      <c r="E530" s="1260"/>
      <c r="F530" s="1260"/>
      <c r="G530"/>
    </row>
    <row r="531" spans="1:7">
      <c r="A531" s="179"/>
      <c r="B531" s="179"/>
      <c r="C531" s="179"/>
      <c r="D531" s="1260"/>
      <c r="E531" s="1260"/>
      <c r="F531" s="1260"/>
      <c r="G531"/>
    </row>
    <row r="532" spans="1:7">
      <c r="A532" s="179"/>
      <c r="B532" s="179"/>
      <c r="C532" s="179"/>
      <c r="D532" s="1260"/>
      <c r="E532" s="1260"/>
      <c r="F532" s="1260"/>
      <c r="G532"/>
    </row>
    <row r="533" spans="1:7">
      <c r="A533" s="179"/>
      <c r="B533" s="179"/>
      <c r="C533" s="179"/>
      <c r="D533" s="35"/>
      <c r="E533" s="35"/>
      <c r="F533" s="35"/>
    </row>
    <row r="534" spans="1:7" ht="14.25">
      <c r="A534" s="176"/>
      <c r="B534" s="469" t="s">
        <v>309</v>
      </c>
      <c r="C534" s="179"/>
      <c r="D534" s="1260" t="s">
        <v>1297</v>
      </c>
      <c r="E534" s="1260"/>
      <c r="F534" s="1260"/>
    </row>
    <row r="535" spans="1:7">
      <c r="A535" s="179"/>
      <c r="B535" s="179"/>
      <c r="C535" s="179"/>
      <c r="D535" s="1260"/>
      <c r="E535" s="1260"/>
      <c r="F535" s="1260"/>
    </row>
    <row r="536" spans="1:7">
      <c r="A536" s="179"/>
      <c r="B536" s="179"/>
      <c r="C536" s="179"/>
      <c r="D536" s="35"/>
      <c r="E536" s="35"/>
      <c r="F536" s="35"/>
    </row>
    <row r="537" spans="1:7" ht="14.25">
      <c r="A537" s="176"/>
      <c r="B537" s="469" t="s">
        <v>309</v>
      </c>
      <c r="C537" s="179"/>
      <c r="D537" s="1260" t="s">
        <v>1180</v>
      </c>
      <c r="E537" s="1260"/>
      <c r="F537" s="1260"/>
    </row>
    <row r="538" spans="1:7">
      <c r="A538" s="179"/>
      <c r="B538" s="179"/>
      <c r="C538" s="179"/>
      <c r="D538" s="1260"/>
      <c r="E538" s="1260"/>
      <c r="F538" s="1260"/>
    </row>
    <row r="539" spans="1:7">
      <c r="A539" s="179"/>
      <c r="B539" s="179"/>
      <c r="C539" s="179"/>
      <c r="D539" s="35"/>
      <c r="E539" s="35"/>
      <c r="F539" s="35"/>
    </row>
    <row r="540" spans="1:7" ht="14.25">
      <c r="A540" s="176"/>
      <c r="B540" s="469" t="s">
        <v>309</v>
      </c>
      <c r="C540" s="179"/>
      <c r="D540" s="1260" t="s">
        <v>1181</v>
      </c>
      <c r="E540" s="1260"/>
      <c r="F540" s="1260"/>
    </row>
    <row r="541" spans="1:7">
      <c r="A541" s="179"/>
      <c r="B541" s="179"/>
      <c r="C541" s="179"/>
      <c r="D541" s="1260"/>
      <c r="E541" s="1260"/>
      <c r="F541" s="1260"/>
    </row>
    <row r="542" spans="1:7">
      <c r="A542" s="179"/>
      <c r="B542" s="179"/>
      <c r="C542" s="179"/>
      <c r="D542" s="35"/>
      <c r="E542" s="35"/>
      <c r="F542" s="35"/>
    </row>
    <row r="543" spans="1:7" ht="14.25">
      <c r="A543" s="176"/>
      <c r="B543" s="469" t="s">
        <v>309</v>
      </c>
      <c r="C543" s="179"/>
      <c r="D543" s="1280" t="s">
        <v>1182</v>
      </c>
      <c r="E543" s="1280"/>
      <c r="F543" s="1280"/>
    </row>
    <row r="544" spans="1:7">
      <c r="A544" s="13"/>
      <c r="B544" s="13"/>
      <c r="C544" s="179"/>
      <c r="D544" s="1280" t="s">
        <v>846</v>
      </c>
      <c r="E544" s="1280"/>
      <c r="F544" s="1280"/>
    </row>
    <row r="545" spans="1:7">
      <c r="A545" s="13"/>
      <c r="B545" s="13"/>
      <c r="C545" s="179"/>
      <c r="D545" s="3"/>
      <c r="E545" s="1285" t="s">
        <v>1183</v>
      </c>
      <c r="F545" s="1285"/>
    </row>
    <row r="546" spans="1:7" ht="14.25">
      <c r="A546" s="176"/>
      <c r="B546" s="176"/>
      <c r="C546" s="179"/>
      <c r="E546" s="35"/>
      <c r="F546" s="35"/>
    </row>
    <row r="547" spans="1:7" ht="14.25">
      <c r="A547" s="176"/>
      <c r="B547" s="469" t="s">
        <v>309</v>
      </c>
      <c r="C547" s="179"/>
      <c r="D547" s="1280" t="s">
        <v>1184</v>
      </c>
      <c r="E547" s="1280"/>
      <c r="F547" s="1280"/>
    </row>
    <row r="548" spans="1:7">
      <c r="C548" s="179"/>
      <c r="D548" s="1260" t="s">
        <v>1185</v>
      </c>
      <c r="E548" s="1260"/>
      <c r="F548" s="1260"/>
    </row>
    <row r="549" spans="1:7">
      <c r="A549" s="179"/>
      <c r="B549" s="179"/>
      <c r="C549" s="179"/>
      <c r="D549" s="1260"/>
      <c r="E549" s="1260"/>
      <c r="F549" s="1260"/>
    </row>
    <row r="550" spans="1:7">
      <c r="A550" s="179"/>
      <c r="B550" s="179"/>
      <c r="C550" s="179"/>
      <c r="D550" s="1260"/>
      <c r="E550" s="1260"/>
      <c r="F550" s="1260"/>
    </row>
    <row r="551" spans="1:7">
      <c r="A551" s="179"/>
      <c r="B551" s="179"/>
      <c r="C551" s="179"/>
      <c r="D551" s="35"/>
      <c r="E551" s="35"/>
      <c r="F551" s="35"/>
    </row>
    <row r="552" spans="1:7" ht="14.25">
      <c r="A552" s="176"/>
      <c r="B552" s="469" t="s">
        <v>309</v>
      </c>
      <c r="C552" s="179"/>
      <c r="D552" s="1260" t="s">
        <v>1186</v>
      </c>
      <c r="E552" s="1260"/>
      <c r="F552" s="1260"/>
    </row>
    <row r="553" spans="1:7" ht="14.25">
      <c r="A553" s="176"/>
      <c r="B553" s="176"/>
      <c r="C553" s="179"/>
      <c r="D553" s="1260"/>
      <c r="E553" s="1260"/>
      <c r="F553" s="1260"/>
    </row>
    <row r="554" spans="1:7" ht="14.25">
      <c r="A554" s="176"/>
      <c r="B554" s="176"/>
      <c r="C554" s="179"/>
      <c r="D554" s="1260"/>
      <c r="E554" s="1260"/>
      <c r="F554" s="1260"/>
    </row>
    <row r="555" spans="1:7" ht="14.25">
      <c r="A555" s="176"/>
      <c r="B555" s="176"/>
      <c r="C555" s="179"/>
      <c r="D555" s="1260"/>
      <c r="E555" s="1260"/>
      <c r="F555" s="1260"/>
    </row>
    <row r="556" spans="1:7" ht="14.25">
      <c r="A556" s="176"/>
      <c r="B556" s="176"/>
      <c r="C556" s="179"/>
      <c r="D556" s="35"/>
      <c r="E556" s="35"/>
      <c r="F556" s="35"/>
    </row>
    <row r="557" spans="1:7">
      <c r="A557" s="1281" t="s">
        <v>1119</v>
      </c>
      <c r="B557" s="1281"/>
      <c r="C557" s="1281"/>
      <c r="D557" s="1281"/>
      <c r="E557" s="1281"/>
      <c r="F557" s="1281"/>
      <c r="G557" s="1281"/>
    </row>
    <row r="558" spans="1:7">
      <c r="A558" s="179"/>
      <c r="B558" s="179"/>
      <c r="C558" s="179"/>
      <c r="E558" s="35"/>
      <c r="F558" s="35"/>
    </row>
    <row r="559" spans="1:7" ht="12.75" customHeight="1">
      <c r="C559" s="172"/>
      <c r="D559" s="1292" t="s">
        <v>212</v>
      </c>
      <c r="E559" s="1292"/>
      <c r="F559" s="1292"/>
    </row>
    <row r="560" spans="1:7">
      <c r="A560" s="175"/>
      <c r="B560" s="175"/>
      <c r="C560" s="175"/>
      <c r="D560" s="1297" t="s">
        <v>1135</v>
      </c>
      <c r="E560" s="1297"/>
      <c r="F560" s="1297"/>
    </row>
    <row r="561" spans="1:6">
      <c r="A561"/>
      <c r="B561"/>
      <c r="C561" s="175"/>
      <c r="D561" s="255"/>
    </row>
    <row r="562" spans="1:6">
      <c r="A562" s="175"/>
      <c r="B562" s="469" t="s">
        <v>309</v>
      </c>
      <c r="D562" s="1297" t="s">
        <v>919</v>
      </c>
      <c r="E562" s="1297"/>
      <c r="F562" s="1297"/>
    </row>
    <row r="563" spans="1:6">
      <c r="A563" s="13"/>
      <c r="B563" s="13"/>
      <c r="D563" s="218"/>
    </row>
    <row r="564" spans="1:6">
      <c r="A564" s="13"/>
      <c r="B564" s="469" t="s">
        <v>309</v>
      </c>
      <c r="D564" s="1297" t="s">
        <v>1136</v>
      </c>
      <c r="E564" s="1297"/>
      <c r="F564" s="1297"/>
    </row>
    <row r="565" spans="1:6">
      <c r="A565" s="13"/>
      <c r="B565" s="13"/>
      <c r="D565" s="1297"/>
      <c r="E565" s="1297"/>
      <c r="F565" s="1297"/>
    </row>
    <row r="566" spans="1:6">
      <c r="A566" s="13"/>
      <c r="B566" s="13"/>
      <c r="D566" s="1297"/>
      <c r="E566" s="1297"/>
      <c r="F566" s="1297"/>
    </row>
    <row r="567" spans="1:6">
      <c r="A567" s="13"/>
      <c r="B567" s="13"/>
      <c r="D567" s="255"/>
    </row>
    <row r="568" spans="1:6">
      <c r="A568" s="13"/>
      <c r="B568" s="469" t="s">
        <v>309</v>
      </c>
      <c r="D568" s="1297" t="s">
        <v>1137</v>
      </c>
      <c r="E568" s="1297"/>
      <c r="F568" s="1297"/>
    </row>
    <row r="569" spans="1:6">
      <c r="A569" s="13"/>
      <c r="B569" s="13"/>
      <c r="D569" s="1297"/>
      <c r="E569" s="1297"/>
      <c r="F569" s="1297"/>
    </row>
    <row r="570" spans="1:6">
      <c r="A570" s="13"/>
      <c r="B570" s="13"/>
      <c r="D570" s="1297"/>
      <c r="E570" s="1297"/>
      <c r="F570" s="1297"/>
    </row>
    <row r="571" spans="1:6">
      <c r="A571" s="13"/>
      <c r="B571" s="13"/>
      <c r="D571" s="1297"/>
      <c r="E571" s="1297"/>
      <c r="F571" s="1297"/>
    </row>
    <row r="572" spans="1:6">
      <c r="A572" s="13"/>
      <c r="B572" s="13"/>
      <c r="D572" s="474"/>
      <c r="E572" s="474"/>
      <c r="F572" s="474"/>
    </row>
    <row r="573" spans="1:6">
      <c r="A573" s="13"/>
      <c r="B573" s="469" t="s">
        <v>309</v>
      </c>
      <c r="D573" s="1297" t="s">
        <v>1138</v>
      </c>
      <c r="E573" s="1297"/>
      <c r="F573" s="1297"/>
    </row>
    <row r="574" spans="1:6">
      <c r="A574" s="13"/>
      <c r="B574" s="13"/>
      <c r="D574" s="1297"/>
      <c r="E574" s="1297"/>
      <c r="F574" s="1297"/>
    </row>
    <row r="575" spans="1:6">
      <c r="A575" s="13"/>
      <c r="B575" s="13"/>
      <c r="D575" s="255"/>
    </row>
    <row r="576" spans="1:6">
      <c r="A576" s="13"/>
      <c r="B576" s="469" t="s">
        <v>309</v>
      </c>
      <c r="D576" s="1297" t="s">
        <v>1139</v>
      </c>
      <c r="E576" s="1297"/>
      <c r="F576" s="1297"/>
    </row>
    <row r="577" spans="1:7">
      <c r="A577" s="13"/>
      <c r="B577" s="13"/>
      <c r="D577" s="1297"/>
      <c r="E577" s="1297"/>
      <c r="F577" s="1297"/>
    </row>
    <row r="578" spans="1:7">
      <c r="A578" s="13"/>
      <c r="B578" s="13"/>
      <c r="D578" s="255"/>
    </row>
    <row r="579" spans="1:7" ht="14.25">
      <c r="A579" s="176"/>
      <c r="B579" s="469" t="s">
        <v>309</v>
      </c>
      <c r="D579" s="1297" t="s">
        <v>914</v>
      </c>
      <c r="E579" s="1297"/>
      <c r="F579" s="1297"/>
    </row>
    <row r="580" spans="1:7" ht="14.25">
      <c r="A580" s="176"/>
      <c r="B580" s="176"/>
      <c r="D580" s="255"/>
    </row>
    <row r="581" spans="1:7" ht="14.25">
      <c r="A581" s="176"/>
      <c r="B581" s="469" t="s">
        <v>309</v>
      </c>
      <c r="D581" s="1297" t="s">
        <v>1140</v>
      </c>
      <c r="E581" s="1297"/>
      <c r="F581" s="1297"/>
    </row>
    <row r="582" spans="1:7" ht="14.25">
      <c r="A582" s="176"/>
      <c r="B582" s="176"/>
      <c r="D582" s="1297"/>
      <c r="E582" s="1297"/>
      <c r="F582" s="1297"/>
    </row>
    <row r="583" spans="1:7">
      <c r="D583" s="1297"/>
      <c r="E583" s="1297"/>
      <c r="F583" s="1297"/>
    </row>
    <row r="584" spans="1:7">
      <c r="D584" s="1297"/>
      <c r="E584" s="1297"/>
      <c r="F584" s="1297"/>
    </row>
    <row r="585" spans="1:7">
      <c r="D585" s="1297"/>
      <c r="E585" s="1297"/>
      <c r="F585" s="1297"/>
    </row>
    <row r="586" spans="1:7">
      <c r="D586" s="1297"/>
      <c r="E586" s="1297"/>
      <c r="F586" s="1297"/>
    </row>
    <row r="587" spans="1:7"/>
    <row r="588" spans="1:7">
      <c r="A588" s="1281" t="s">
        <v>1120</v>
      </c>
      <c r="B588" s="1281"/>
      <c r="C588" s="1281"/>
      <c r="D588" s="1281"/>
      <c r="E588" s="1281"/>
      <c r="F588" s="1281"/>
      <c r="G588" s="1281"/>
    </row>
    <row r="589" spans="1:7"/>
    <row r="590" spans="1:7">
      <c r="D590" s="1273" t="s">
        <v>1220</v>
      </c>
      <c r="E590" s="1273"/>
      <c r="F590" s="1273"/>
    </row>
    <row r="591" spans="1:7">
      <c r="D591" s="1274" t="s">
        <v>1221</v>
      </c>
      <c r="E591" s="1274"/>
      <c r="F591" s="1274"/>
    </row>
    <row r="592" spans="1:7">
      <c r="D592" s="479"/>
      <c r="E592" s="434"/>
      <c r="F592" s="434"/>
    </row>
    <row r="593" spans="1:7" ht="14.25">
      <c r="A593" s="176"/>
      <c r="B593" s="469" t="s">
        <v>309</v>
      </c>
      <c r="D593" s="1275" t="s">
        <v>1222</v>
      </c>
      <c r="E593" s="1275"/>
      <c r="F593" s="1275"/>
    </row>
    <row r="594" spans="1:7">
      <c r="D594" s="1275"/>
      <c r="E594" s="1275"/>
      <c r="F594" s="1275"/>
    </row>
    <row r="595" spans="1:7">
      <c r="D595" s="1275"/>
      <c r="E595" s="1275"/>
      <c r="F595" s="1275"/>
    </row>
    <row r="596" spans="1:7"/>
    <row r="597" spans="1:7">
      <c r="A597" s="1281" t="s">
        <v>1121</v>
      </c>
      <c r="B597" s="1281"/>
      <c r="C597" s="1281"/>
      <c r="D597" s="1281"/>
      <c r="E597" s="1281"/>
      <c r="F597" s="1281"/>
      <c r="G597" s="1281"/>
    </row>
    <row r="598" spans="1:7">
      <c r="A598" s="35"/>
      <c r="B598" s="35"/>
    </row>
    <row r="599" spans="1:7">
      <c r="A599" s="172"/>
      <c r="B599" s="172"/>
      <c r="C599" s="172"/>
      <c r="D599" s="1276" t="s">
        <v>1223</v>
      </c>
      <c r="E599" s="1276"/>
      <c r="F599" s="1276"/>
    </row>
    <row r="600" spans="1:7">
      <c r="A600" s="172"/>
      <c r="B600" s="172"/>
      <c r="C600" s="172"/>
      <c r="D600" s="1276"/>
      <c r="E600" s="1276"/>
      <c r="F600" s="1276"/>
    </row>
    <row r="601" spans="1:7">
      <c r="C601" s="175"/>
      <c r="D601" s="1274" t="s">
        <v>1224</v>
      </c>
      <c r="E601" s="1274"/>
      <c r="F601" s="1274"/>
    </row>
    <row r="602" spans="1:7">
      <c r="C602" s="175"/>
      <c r="D602" s="479"/>
      <c r="E602" s="479"/>
      <c r="F602" s="479"/>
    </row>
    <row r="603" spans="1:7">
      <c r="A603" s="13"/>
      <c r="B603" s="469" t="s">
        <v>309</v>
      </c>
      <c r="D603" s="1274" t="s">
        <v>434</v>
      </c>
      <c r="E603" s="1274"/>
      <c r="F603" s="1274"/>
    </row>
    <row r="604" spans="1:7">
      <c r="C604" s="180"/>
      <c r="E604"/>
    </row>
    <row r="605" spans="1:7">
      <c r="A605" s="13"/>
      <c r="B605" s="469" t="s">
        <v>309</v>
      </c>
      <c r="D605" s="1277" t="s">
        <v>1225</v>
      </c>
      <c r="E605" s="1277"/>
      <c r="F605" s="1277"/>
    </row>
    <row r="606" spans="1:7">
      <c r="D606" s="1277"/>
      <c r="E606" s="1277"/>
      <c r="F606" s="1277"/>
    </row>
    <row r="607" spans="1:7">
      <c r="D607"/>
    </row>
    <row r="608" spans="1:7">
      <c r="B608" s="469" t="s">
        <v>309</v>
      </c>
      <c r="D608" s="1277" t="s">
        <v>1226</v>
      </c>
      <c r="E608" s="1277"/>
      <c r="F608" s="1277"/>
    </row>
    <row r="609" spans="1:7">
      <c r="C609" s="180"/>
      <c r="D609" s="1277"/>
      <c r="E609" s="1277"/>
      <c r="F609" s="1277"/>
    </row>
    <row r="610" spans="1:7">
      <c r="C610" s="180"/>
    </row>
    <row r="611" spans="1:7">
      <c r="B611" s="469" t="s">
        <v>309</v>
      </c>
      <c r="C611" s="180"/>
      <c r="D611" s="1277" t="s">
        <v>1227</v>
      </c>
      <c r="E611" s="1277"/>
      <c r="F611" s="1277"/>
    </row>
    <row r="612" spans="1:7">
      <c r="C612" s="180"/>
      <c r="D612" s="1277"/>
      <c r="E612" s="1277"/>
      <c r="F612" s="1277"/>
    </row>
    <row r="613" spans="1:7">
      <c r="C613" s="180"/>
    </row>
    <row r="614" spans="1:7">
      <c r="A614" s="1281" t="s">
        <v>1122</v>
      </c>
      <c r="B614" s="1281"/>
      <c r="C614" s="1281"/>
      <c r="D614" s="1281"/>
      <c r="E614" s="1281"/>
      <c r="F614" s="1281"/>
      <c r="G614" s="1281"/>
    </row>
    <row r="615" spans="1:7">
      <c r="A615" s="172"/>
      <c r="B615" s="172"/>
      <c r="C615" s="172"/>
    </row>
    <row r="616" spans="1:7">
      <c r="C616" s="13"/>
      <c r="D616" s="1273" t="s">
        <v>1228</v>
      </c>
      <c r="E616" s="1273"/>
      <c r="F616" s="1273"/>
    </row>
    <row r="617" spans="1:7">
      <c r="A617" s="13"/>
      <c r="B617" s="13"/>
      <c r="D617" s="2"/>
    </row>
    <row r="618" spans="1:7" ht="14.25">
      <c r="A618" s="176"/>
      <c r="B618" s="469" t="s">
        <v>309</v>
      </c>
      <c r="D618" s="1275" t="s">
        <v>1229</v>
      </c>
      <c r="E618" s="1275"/>
      <c r="F618" s="1275"/>
    </row>
    <row r="619" spans="1:7">
      <c r="D619" s="1275"/>
      <c r="E619" s="1275"/>
      <c r="F619" s="1275"/>
    </row>
    <row r="620" spans="1:7">
      <c r="D620" s="1275"/>
      <c r="E620" s="1275"/>
      <c r="F620" s="1275"/>
    </row>
    <row r="621" spans="1:7">
      <c r="D621" s="1275"/>
      <c r="E621" s="1275"/>
      <c r="F621" s="1275"/>
    </row>
    <row r="622" spans="1:7">
      <c r="D622" s="1275"/>
      <c r="E622" s="1275"/>
      <c r="F622" s="1275"/>
    </row>
    <row r="623" spans="1:7">
      <c r="D623" s="1275"/>
      <c r="E623" s="1275"/>
      <c r="F623" s="1275"/>
    </row>
    <row r="624" spans="1:7">
      <c r="D624" s="480"/>
      <c r="E624" s="480"/>
      <c r="F624" s="480"/>
    </row>
    <row r="625" spans="1:7" ht="14.25">
      <c r="A625" s="176"/>
      <c r="B625" s="469" t="s">
        <v>309</v>
      </c>
      <c r="D625" s="1275" t="s">
        <v>1230</v>
      </c>
      <c r="E625" s="1275"/>
      <c r="F625" s="1275"/>
    </row>
    <row r="626" spans="1:7">
      <c r="A626" s="179"/>
      <c r="B626" s="179"/>
      <c r="C626" s="179"/>
      <c r="D626" s="1275"/>
      <c r="E626" s="1275"/>
      <c r="F626" s="1275"/>
    </row>
    <row r="627" spans="1:7">
      <c r="A627" s="179"/>
      <c r="B627" s="179"/>
      <c r="C627" s="179"/>
      <c r="D627" s="35"/>
      <c r="E627" s="35"/>
      <c r="F627" s="35"/>
    </row>
    <row r="628" spans="1:7" ht="14.25">
      <c r="A628" s="176"/>
      <c r="B628" s="469" t="s">
        <v>309</v>
      </c>
      <c r="C628" s="179"/>
      <c r="D628" s="1275" t="s">
        <v>1231</v>
      </c>
      <c r="E628" s="1275"/>
      <c r="F628" s="1275"/>
    </row>
    <row r="629" spans="1:7" ht="14.25">
      <c r="A629" s="176"/>
      <c r="B629" s="176"/>
      <c r="C629" s="179"/>
      <c r="D629" s="1275"/>
      <c r="E629" s="1275"/>
      <c r="F629" s="1275"/>
    </row>
    <row r="630" spans="1:7" ht="14.25">
      <c r="A630" s="176"/>
      <c r="B630" s="176"/>
      <c r="C630" s="179"/>
      <c r="D630" s="1275"/>
      <c r="E630" s="1275"/>
      <c r="F630" s="1275"/>
    </row>
    <row r="631" spans="1:7">
      <c r="A631" s="179"/>
      <c r="B631" s="179"/>
      <c r="C631" s="179"/>
      <c r="D631" s="1275"/>
      <c r="E631" s="1275"/>
      <c r="F631" s="1275"/>
    </row>
    <row r="632" spans="1:7">
      <c r="A632" s="179"/>
      <c r="B632" s="179"/>
      <c r="C632" s="179"/>
      <c r="D632" s="480"/>
      <c r="E632" s="480"/>
      <c r="F632" s="480"/>
    </row>
    <row r="633" spans="1:7">
      <c r="A633" s="179"/>
      <c r="B633" s="469" t="s">
        <v>309</v>
      </c>
      <c r="C633" s="179"/>
      <c r="D633" s="1304" t="s">
        <v>1232</v>
      </c>
      <c r="E633" s="1304"/>
      <c r="F633" s="1304"/>
    </row>
    <row r="634" spans="1:7">
      <c r="A634" s="179"/>
      <c r="B634" s="179"/>
      <c r="C634" s="179"/>
      <c r="D634" s="481"/>
      <c r="E634" s="481"/>
      <c r="F634" s="481"/>
    </row>
    <row r="635" spans="1:7">
      <c r="A635" s="1281" t="s">
        <v>1123</v>
      </c>
      <c r="B635" s="1281"/>
      <c r="C635" s="1281"/>
      <c r="D635" s="1281"/>
      <c r="E635" s="1281"/>
      <c r="F635" s="1281"/>
      <c r="G635" s="1281"/>
    </row>
    <row r="636" spans="1:7">
      <c r="A636" s="35"/>
      <c r="B636" s="35"/>
      <c r="C636" s="179"/>
      <c r="D636" s="35"/>
      <c r="E636" s="35"/>
      <c r="F636" s="35"/>
    </row>
    <row r="637" spans="1:7">
      <c r="C637" s="172"/>
      <c r="D637" s="1279" t="s">
        <v>1282</v>
      </c>
      <c r="E637" s="1279"/>
      <c r="F637" s="1279"/>
    </row>
    <row r="638" spans="1:7">
      <c r="A638" s="175"/>
      <c r="B638" s="175"/>
      <c r="C638" s="175"/>
      <c r="D638" s="1280" t="s">
        <v>1283</v>
      </c>
      <c r="E638" s="1280"/>
      <c r="F638" s="1280"/>
    </row>
    <row r="639" spans="1:7">
      <c r="A639" s="175"/>
      <c r="B639" s="175"/>
      <c r="C639" s="175"/>
      <c r="D639" s="118"/>
      <c r="E639" s="118"/>
      <c r="F639" s="118"/>
    </row>
    <row r="640" spans="1:7" ht="14.45" customHeight="1">
      <c r="A640" s="176"/>
      <c r="B640" s="469" t="s">
        <v>309</v>
      </c>
      <c r="C640" s="179"/>
      <c r="D640" s="1260" t="s">
        <v>1284</v>
      </c>
      <c r="E640" s="1260"/>
      <c r="F640" s="1260"/>
    </row>
    <row r="641" spans="1:11" ht="14.25">
      <c r="A641" s="176"/>
      <c r="B641" s="176"/>
      <c r="C641" s="179"/>
      <c r="D641" s="1260"/>
      <c r="E641" s="1260"/>
      <c r="F641" s="1260"/>
    </row>
    <row r="642" spans="1:11" ht="14.25">
      <c r="A642" s="176"/>
      <c r="B642" s="176"/>
      <c r="C642" s="179"/>
      <c r="D642" s="1260"/>
      <c r="E642" s="1260"/>
      <c r="F642" s="1260"/>
    </row>
    <row r="643" spans="1:11" ht="14.25">
      <c r="A643" s="176"/>
      <c r="B643" s="176"/>
      <c r="C643" s="179"/>
      <c r="D643" s="1260"/>
      <c r="E643" s="1260"/>
      <c r="F643" s="1260"/>
    </row>
    <row r="644" spans="1:11" ht="14.25">
      <c r="A644" s="176"/>
      <c r="B644" s="176"/>
      <c r="C644" s="179"/>
      <c r="D644" s="1260"/>
      <c r="E644" s="1260"/>
      <c r="F644" s="1260"/>
    </row>
    <row r="645" spans="1:11" ht="14.25">
      <c r="A645" s="176"/>
      <c r="B645" s="176"/>
      <c r="C645" s="179"/>
      <c r="D645" s="475"/>
      <c r="E645" s="475"/>
      <c r="F645" s="475"/>
    </row>
    <row r="646" spans="1:11" ht="14.25">
      <c r="A646" s="176"/>
      <c r="B646" s="469" t="s">
        <v>309</v>
      </c>
      <c r="C646" s="179"/>
      <c r="D646" s="1294" t="s">
        <v>1134</v>
      </c>
      <c r="E646" s="1294"/>
      <c r="F646" s="1294"/>
    </row>
    <row r="647" spans="1:11" ht="14.25">
      <c r="A647" s="176"/>
      <c r="B647" s="176"/>
      <c r="C647" s="179"/>
      <c r="D647" s="1293" t="s">
        <v>1285</v>
      </c>
      <c r="E647" s="1293"/>
      <c r="F647" s="1293"/>
    </row>
    <row r="648" spans="1:11" ht="14.25">
      <c r="A648" s="176"/>
      <c r="B648" s="176"/>
      <c r="C648" s="179"/>
      <c r="D648" s="1293"/>
      <c r="E648" s="1293"/>
      <c r="F648" s="1293"/>
    </row>
    <row r="649" spans="1:11" ht="14.25">
      <c r="A649" s="176"/>
      <c r="B649" s="176"/>
      <c r="C649" s="179"/>
      <c r="D649" s="1293"/>
      <c r="E649" s="1293"/>
      <c r="F649" s="1293"/>
    </row>
    <row r="650" spans="1:11" ht="14.25">
      <c r="A650" s="176"/>
      <c r="B650" s="176"/>
      <c r="C650" s="179"/>
      <c r="D650" s="1293"/>
      <c r="E650" s="1293"/>
      <c r="F650" s="1293"/>
    </row>
    <row r="651" spans="1:11" ht="14.25">
      <c r="A651" s="176"/>
      <c r="B651" s="176"/>
      <c r="C651" s="179"/>
      <c r="D651" s="1293"/>
      <c r="E651" s="1293"/>
      <c r="F651" s="1293"/>
    </row>
    <row r="652" spans="1:11" ht="14.25">
      <c r="A652" s="176"/>
      <c r="B652" s="176"/>
      <c r="C652" s="179"/>
      <c r="D652" s="1295" t="s">
        <v>1286</v>
      </c>
      <c r="E652" s="1295"/>
      <c r="F652" s="1295"/>
    </row>
    <row r="653" spans="1:11">
      <c r="A653" s="179"/>
      <c r="B653" s="179"/>
      <c r="C653" s="179"/>
      <c r="D653" s="35"/>
      <c r="E653" s="35"/>
      <c r="F653" s="35"/>
    </row>
    <row r="654" spans="1:11">
      <c r="A654" s="1281" t="s">
        <v>1124</v>
      </c>
      <c r="B654" s="1281"/>
      <c r="C654" s="1281"/>
      <c r="D654" s="1281"/>
      <c r="E654" s="1281"/>
      <c r="F654" s="1281"/>
      <c r="G654" s="1281"/>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80" t="s">
        <v>1160</v>
      </c>
      <c r="E658" s="1280"/>
      <c r="F658" s="1280"/>
      <c r="H658" s="181"/>
      <c r="I658" s="181"/>
      <c r="J658" s="181"/>
      <c r="K658" s="181"/>
    </row>
    <row r="659" spans="1:11">
      <c r="A659" s="175"/>
      <c r="B659" s="175"/>
      <c r="C659" s="175"/>
      <c r="H659" s="181"/>
      <c r="I659" s="181"/>
      <c r="J659" s="181"/>
      <c r="K659" s="181"/>
    </row>
    <row r="660" spans="1:11" ht="14.25">
      <c r="A660" s="176"/>
      <c r="B660" s="469" t="s">
        <v>309</v>
      </c>
      <c r="C660" s="175"/>
      <c r="D660" s="1280" t="s">
        <v>915</v>
      </c>
      <c r="E660" s="1280"/>
      <c r="F660" s="1280"/>
      <c r="H660" s="181"/>
      <c r="I660" s="181"/>
      <c r="J660" s="181"/>
      <c r="K660" s="181"/>
    </row>
    <row r="661" spans="1:11">
      <c r="A661" s="175"/>
      <c r="B661" s="175"/>
      <c r="C661" s="175"/>
      <c r="D661" s="1280" t="s">
        <v>926</v>
      </c>
      <c r="E661" s="1280"/>
      <c r="F661" s="1280"/>
      <c r="H661" s="181"/>
      <c r="I661" s="181"/>
      <c r="J661" s="181"/>
      <c r="K661" s="181"/>
    </row>
    <row r="662" spans="1:11">
      <c r="A662" s="175"/>
      <c r="B662" s="175"/>
      <c r="C662" s="175"/>
      <c r="D662" s="3"/>
      <c r="E662" s="1264" t="s">
        <v>1161</v>
      </c>
      <c r="F662" s="1264"/>
      <c r="H662" s="181"/>
      <c r="I662" s="181"/>
      <c r="J662" s="181"/>
      <c r="K662" s="181"/>
    </row>
    <row r="663" spans="1:11">
      <c r="A663" s="175"/>
      <c r="B663" s="175"/>
      <c r="C663" s="175"/>
      <c r="D663" s="3"/>
      <c r="E663" s="1264"/>
      <c r="F663" s="1264"/>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0" t="s">
        <v>1162</v>
      </c>
      <c r="E665" s="1260"/>
      <c r="F665" s="1260"/>
      <c r="H665" s="181"/>
      <c r="I665" s="181"/>
      <c r="J665" s="181"/>
      <c r="K665" s="181"/>
    </row>
    <row r="666" spans="1:11">
      <c r="A666" s="13"/>
      <c r="B666" s="13"/>
      <c r="C666" s="175"/>
      <c r="D666" s="1260"/>
      <c r="E666" s="1260"/>
      <c r="F666" s="1260"/>
      <c r="H666" s="181"/>
      <c r="I666" s="181"/>
      <c r="J666" s="181"/>
      <c r="K666" s="181"/>
    </row>
    <row r="667" spans="1:11">
      <c r="A667" s="175"/>
      <c r="B667" s="175"/>
      <c r="C667" s="175"/>
      <c r="D667" s="1260"/>
      <c r="E667" s="1260"/>
      <c r="F667" s="1260"/>
      <c r="H667" s="181"/>
      <c r="I667" s="181"/>
      <c r="J667" s="181"/>
      <c r="K667" s="181"/>
    </row>
    <row r="668" spans="1:11">
      <c r="A668" s="175"/>
      <c r="B668" s="175"/>
      <c r="C668" s="175"/>
      <c r="H668" s="181"/>
      <c r="I668" s="181"/>
      <c r="J668" s="181"/>
      <c r="K668" s="181"/>
    </row>
    <row r="669" spans="1:11" ht="14.25">
      <c r="A669" s="176"/>
      <c r="B669" s="469" t="s">
        <v>309</v>
      </c>
      <c r="C669" s="175"/>
      <c r="D669" s="1280" t="s">
        <v>954</v>
      </c>
      <c r="E669" s="1280"/>
      <c r="F669" s="1280"/>
      <c r="H669" s="181"/>
      <c r="I669" s="181"/>
      <c r="J669" s="181"/>
      <c r="K669" s="181"/>
    </row>
    <row r="670" spans="1:11" ht="14.25">
      <c r="A670" s="176"/>
      <c r="B670" s="176"/>
      <c r="C670" s="175"/>
      <c r="D670" s="1280" t="s">
        <v>926</v>
      </c>
      <c r="E670" s="1280"/>
      <c r="F670" s="1280"/>
      <c r="H670" s="181"/>
      <c r="I670" s="181"/>
      <c r="J670" s="181"/>
      <c r="K670" s="181"/>
    </row>
    <row r="671" spans="1:11">
      <c r="A671" s="175"/>
      <c r="B671" s="175"/>
      <c r="C671" s="175"/>
      <c r="D671" s="3"/>
      <c r="E671" s="1285" t="s">
        <v>1163</v>
      </c>
      <c r="F671" s="1285"/>
      <c r="H671" s="181"/>
      <c r="I671" s="181"/>
      <c r="J671" s="181"/>
      <c r="K671" s="181"/>
    </row>
    <row r="672" spans="1:11">
      <c r="A672" s="175"/>
      <c r="B672" s="175"/>
      <c r="C672" s="175"/>
      <c r="D672" s="2"/>
      <c r="H672" s="181"/>
      <c r="I672" s="181"/>
      <c r="J672" s="181"/>
      <c r="K672" s="181"/>
    </row>
    <row r="673" spans="1:11" ht="14.25">
      <c r="A673" s="176"/>
      <c r="B673" s="469" t="s">
        <v>309</v>
      </c>
      <c r="C673" s="175"/>
      <c r="D673" s="1260" t="s">
        <v>1173</v>
      </c>
      <c r="E673" s="1260"/>
      <c r="F673" s="1260"/>
      <c r="H673" s="181"/>
      <c r="I673" s="181"/>
      <c r="J673" s="181"/>
      <c r="K673" s="181"/>
    </row>
    <row r="674" spans="1:11">
      <c r="A674" s="175"/>
      <c r="B674" s="175"/>
      <c r="C674" s="175"/>
      <c r="D674" s="1260"/>
      <c r="E674" s="1260"/>
      <c r="F674" s="1260"/>
      <c r="H674" s="181"/>
      <c r="I674" s="181"/>
      <c r="J674" s="181"/>
      <c r="K674" s="181"/>
    </row>
    <row r="675" spans="1:11">
      <c r="A675" s="175"/>
      <c r="B675" s="175"/>
      <c r="C675" s="175"/>
      <c r="D675" s="1260"/>
      <c r="E675" s="1260"/>
      <c r="F675" s="1260"/>
      <c r="H675" s="181"/>
      <c r="I675" s="181"/>
      <c r="J675" s="181"/>
      <c r="K675" s="181"/>
    </row>
    <row r="676" spans="1:11">
      <c r="A676" s="175"/>
      <c r="B676" s="175"/>
      <c r="C676" s="175"/>
      <c r="D676" s="1260"/>
      <c r="E676" s="1260"/>
      <c r="F676" s="1260"/>
      <c r="H676" s="181"/>
      <c r="I676" s="181"/>
      <c r="J676" s="181"/>
      <c r="K676" s="181"/>
    </row>
    <row r="677" spans="1:11">
      <c r="A677" s="175"/>
      <c r="B677" s="175"/>
      <c r="C677" s="175"/>
      <c r="D677" s="1260"/>
      <c r="E677" s="1260"/>
      <c r="F677" s="1260"/>
      <c r="H677" s="181"/>
      <c r="I677" s="181"/>
      <c r="J677" s="181"/>
      <c r="K677" s="181"/>
    </row>
    <row r="678" spans="1:11">
      <c r="A678" s="175"/>
      <c r="B678" s="175"/>
      <c r="C678" s="175"/>
      <c r="D678" s="1260"/>
      <c r="E678" s="1260"/>
      <c r="F678" s="1260"/>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0" t="s">
        <v>1164</v>
      </c>
      <c r="E680" s="1260"/>
      <c r="F680" s="1260"/>
      <c r="H680" s="181"/>
      <c r="I680" s="181"/>
      <c r="J680" s="181"/>
      <c r="K680" s="181"/>
    </row>
    <row r="681" spans="1:11">
      <c r="A681" s="175"/>
      <c r="B681" s="175"/>
      <c r="C681" s="175"/>
      <c r="D681" s="1260"/>
      <c r="E681" s="1260"/>
      <c r="F681" s="1260"/>
      <c r="H681" s="181"/>
      <c r="I681" s="181"/>
      <c r="J681" s="181"/>
      <c r="K681" s="181"/>
    </row>
    <row r="682" spans="1:11">
      <c r="A682" s="175"/>
      <c r="B682" s="175"/>
      <c r="C682" s="175"/>
      <c r="D682" s="1260"/>
      <c r="E682" s="1260"/>
      <c r="F682" s="1260"/>
      <c r="H682" s="181"/>
      <c r="I682" s="181"/>
      <c r="J682" s="181"/>
      <c r="K682" s="181"/>
    </row>
    <row r="683" spans="1:11" ht="15" customHeight="1">
      <c r="A683" s="175"/>
      <c r="B683" s="175"/>
      <c r="C683" s="175"/>
      <c r="D683" s="1260"/>
      <c r="E683" s="1260"/>
      <c r="F683" s="1260"/>
      <c r="H683" s="181"/>
      <c r="I683" s="181"/>
      <c r="J683" s="181"/>
      <c r="K683" s="181"/>
    </row>
    <row r="684" spans="1:11" ht="15" customHeight="1">
      <c r="A684" s="175"/>
      <c r="B684" s="175"/>
      <c r="C684" s="175"/>
      <c r="D684" s="1260"/>
      <c r="E684" s="1260"/>
      <c r="F684" s="1260"/>
      <c r="H684" s="181"/>
      <c r="I684" s="181"/>
      <c r="J684" s="181"/>
      <c r="K684" s="181"/>
    </row>
    <row r="685" spans="1:11">
      <c r="A685" s="175"/>
      <c r="B685" s="175"/>
      <c r="C685" s="175"/>
      <c r="D685" s="1260"/>
      <c r="E685" s="1260"/>
      <c r="F685" s="1260"/>
      <c r="H685" s="181"/>
      <c r="I685" s="181"/>
      <c r="J685" s="181"/>
      <c r="K685" s="181"/>
    </row>
    <row r="686" spans="1:11">
      <c r="A686" s="175"/>
      <c r="B686" s="175"/>
      <c r="C686" s="175"/>
      <c r="D686" s="1260"/>
      <c r="E686" s="1260"/>
      <c r="F686" s="1260"/>
      <c r="H686" s="181"/>
      <c r="I686" s="181"/>
      <c r="J686" s="181"/>
      <c r="K686" s="181"/>
    </row>
    <row r="687" spans="1:11">
      <c r="A687" s="175"/>
      <c r="B687" s="175"/>
      <c r="C687" s="175"/>
      <c r="D687" s="1260"/>
      <c r="E687" s="1260"/>
      <c r="F687" s="1260"/>
      <c r="H687" s="181"/>
      <c r="I687" s="181"/>
      <c r="J687" s="181"/>
      <c r="K687" s="181"/>
    </row>
    <row r="688" spans="1:11" ht="15" customHeight="1">
      <c r="A688" s="175"/>
      <c r="B688" s="175"/>
      <c r="C688" s="175"/>
      <c r="D688" s="1260"/>
      <c r="E688" s="1260"/>
      <c r="F688" s="1260"/>
      <c r="H688" s="181"/>
      <c r="I688" s="181"/>
      <c r="J688" s="181"/>
      <c r="K688" s="181"/>
    </row>
    <row r="689" spans="1:11">
      <c r="A689" s="175"/>
      <c r="B689" s="175"/>
      <c r="C689" s="175"/>
      <c r="D689" s="1260"/>
      <c r="E689" s="1260"/>
      <c r="F689" s="1260"/>
      <c r="H689" s="181"/>
      <c r="I689" s="181"/>
      <c r="J689" s="181"/>
      <c r="K689" s="181"/>
    </row>
    <row r="690" spans="1:11">
      <c r="A690" s="175"/>
      <c r="B690" s="175"/>
      <c r="C690" s="175"/>
      <c r="D690" s="1260"/>
      <c r="E690" s="1260"/>
      <c r="F690" s="1260"/>
      <c r="H690" s="181"/>
      <c r="I690" s="181"/>
      <c r="J690" s="181"/>
      <c r="K690" s="181"/>
    </row>
    <row r="691" spans="1:11">
      <c r="A691" s="175"/>
      <c r="B691" s="175"/>
      <c r="C691" s="175"/>
      <c r="D691" s="1260"/>
      <c r="E691" s="1260"/>
      <c r="F691" s="1260"/>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0" t="s">
        <v>1174</v>
      </c>
      <c r="E693" s="1260"/>
      <c r="F693" s="1260"/>
      <c r="H693" s="181"/>
      <c r="I693" s="181"/>
      <c r="J693" s="181"/>
      <c r="K693" s="181"/>
    </row>
    <row r="694" spans="1:11">
      <c r="A694" s="175"/>
      <c r="B694" s="175"/>
      <c r="C694" s="175"/>
      <c r="D694" s="1260"/>
      <c r="E694" s="1260"/>
      <c r="F694" s="1260"/>
      <c r="H694" s="181"/>
      <c r="I694" s="181"/>
      <c r="J694" s="181"/>
      <c r="K694" s="181"/>
    </row>
    <row r="695" spans="1:11">
      <c r="A695" s="175"/>
      <c r="B695" s="175"/>
      <c r="C695" s="175"/>
      <c r="D695" s="1260"/>
      <c r="E695" s="1260"/>
      <c r="F695" s="1260"/>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0" t="s">
        <v>1171</v>
      </c>
      <c r="E697" s="1260"/>
      <c r="F697" s="1260"/>
      <c r="H697" s="181"/>
      <c r="I697" s="181"/>
      <c r="J697" s="181"/>
      <c r="K697" s="181"/>
    </row>
    <row r="698" spans="1:11">
      <c r="A698" s="175"/>
      <c r="B698" s="175"/>
      <c r="C698" s="175"/>
      <c r="D698" s="1260"/>
      <c r="E698" s="1260"/>
      <c r="F698" s="1260"/>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0" t="s">
        <v>1172</v>
      </c>
      <c r="E700" s="1260"/>
      <c r="F700" s="1260"/>
      <c r="H700" s="181"/>
      <c r="I700" s="181"/>
      <c r="J700" s="181"/>
      <c r="K700" s="181"/>
    </row>
    <row r="701" spans="1:11">
      <c r="A701" s="175"/>
      <c r="B701" s="175"/>
      <c r="C701" s="175"/>
      <c r="D701" s="1260"/>
      <c r="E701" s="1260"/>
      <c r="F701" s="1260"/>
      <c r="H701" s="181"/>
      <c r="I701" s="181"/>
      <c r="J701" s="181"/>
      <c r="K701" s="181"/>
    </row>
    <row r="702" spans="1:11">
      <c r="A702" s="175"/>
      <c r="B702" s="175"/>
      <c r="C702" s="175"/>
      <c r="D702" s="1260"/>
      <c r="E702" s="1260"/>
      <c r="F702" s="1260"/>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0" t="s">
        <v>1165</v>
      </c>
      <c r="E704" s="1260"/>
      <c r="F704" s="1260"/>
      <c r="H704" s="181"/>
      <c r="I704" s="181"/>
      <c r="J704" s="181"/>
      <c r="K704" s="181"/>
    </row>
    <row r="705" spans="1:11">
      <c r="A705" s="175"/>
      <c r="B705" s="175"/>
      <c r="C705" s="175"/>
      <c r="D705" s="1260"/>
      <c r="E705" s="1260"/>
      <c r="F705" s="1260"/>
      <c r="H705" s="181"/>
      <c r="I705" s="181"/>
      <c r="J705" s="181"/>
      <c r="K705" s="181"/>
    </row>
    <row r="706" spans="1:11">
      <c r="A706" s="175"/>
      <c r="B706" s="175"/>
      <c r="C706" s="175"/>
      <c r="D706" s="1260"/>
      <c r="E706" s="1260"/>
      <c r="F706" s="1260"/>
      <c r="H706" s="181"/>
      <c r="I706" s="181"/>
      <c r="J706" s="181"/>
      <c r="K706" s="181"/>
    </row>
    <row r="707" spans="1:11">
      <c r="A707" s="175"/>
      <c r="B707" s="175"/>
      <c r="C707" s="175"/>
      <c r="H707" s="181"/>
      <c r="I707" s="181"/>
      <c r="J707" s="181"/>
      <c r="K707" s="181"/>
    </row>
    <row r="708" spans="1:11">
      <c r="A708" s="175"/>
      <c r="B708" s="469" t="s">
        <v>309</v>
      </c>
      <c r="C708" s="175"/>
      <c r="D708" s="1260" t="s">
        <v>1166</v>
      </c>
      <c r="E708" s="1260"/>
      <c r="F708" s="1260"/>
      <c r="H708" s="181"/>
      <c r="I708" s="181"/>
      <c r="J708" s="181"/>
      <c r="K708" s="181"/>
    </row>
    <row r="709" spans="1:11">
      <c r="A709" s="175"/>
      <c r="B709" s="175"/>
      <c r="C709" s="175"/>
      <c r="D709" s="1260"/>
      <c r="E709" s="1260"/>
      <c r="F709" s="1260"/>
      <c r="H709" s="181"/>
      <c r="I709" s="181"/>
      <c r="J709" s="181"/>
      <c r="K709" s="181"/>
    </row>
    <row r="710" spans="1:11">
      <c r="A710" s="175"/>
      <c r="B710" s="175"/>
      <c r="C710" s="175"/>
      <c r="D710" s="1260"/>
      <c r="E710" s="1260"/>
      <c r="F710" s="1260"/>
      <c r="H710" s="181"/>
      <c r="I710" s="181"/>
      <c r="J710" s="181"/>
      <c r="K710" s="181"/>
    </row>
    <row r="711" spans="1:11">
      <c r="A711" s="175"/>
      <c r="B711" s="175"/>
      <c r="C711" s="175"/>
      <c r="D711"/>
      <c r="H711" s="181"/>
      <c r="I711" s="181"/>
      <c r="J711" s="181"/>
      <c r="K711" s="181"/>
    </row>
    <row r="712" spans="1:11" ht="14.25">
      <c r="A712" s="176"/>
      <c r="B712" s="469" t="s">
        <v>309</v>
      </c>
      <c r="C712" s="175"/>
      <c r="D712" s="1260" t="s">
        <v>1167</v>
      </c>
      <c r="E712" s="1260"/>
      <c r="F712" s="1260"/>
      <c r="H712" s="181"/>
      <c r="I712" s="181"/>
      <c r="J712" s="181"/>
      <c r="K712" s="181"/>
    </row>
    <row r="713" spans="1:11">
      <c r="A713" s="175"/>
      <c r="B713" s="175"/>
      <c r="C713" s="175"/>
      <c r="D713" s="1260"/>
      <c r="E713" s="1260"/>
      <c r="F713" s="1260"/>
      <c r="H713" s="181"/>
      <c r="I713" s="181"/>
      <c r="J713" s="181"/>
      <c r="K713" s="181"/>
    </row>
    <row r="714" spans="1:11">
      <c r="A714" s="175"/>
      <c r="B714" s="175"/>
      <c r="C714" s="175"/>
      <c r="D714" s="1260"/>
      <c r="E714" s="1260"/>
      <c r="F714" s="1260"/>
      <c r="H714" s="181"/>
      <c r="I714" s="181"/>
      <c r="J714" s="181"/>
      <c r="K714" s="181"/>
    </row>
    <row r="715" spans="1:11">
      <c r="A715" s="175"/>
      <c r="B715" s="175"/>
      <c r="C715" s="175"/>
      <c r="D715" s="1260"/>
      <c r="E715" s="1260"/>
      <c r="F715" s="1260"/>
      <c r="H715" s="181"/>
      <c r="I715" s="181"/>
      <c r="J715" s="181"/>
      <c r="K715" s="181"/>
    </row>
    <row r="716" spans="1:11">
      <c r="A716" s="175"/>
      <c r="B716" s="175"/>
      <c r="C716" s="175"/>
      <c r="D716" s="178"/>
      <c r="H716" s="181"/>
      <c r="I716" s="181"/>
      <c r="J716" s="181"/>
      <c r="K716" s="181"/>
    </row>
    <row r="717" spans="1:11" ht="14.25">
      <c r="A717" s="176"/>
      <c r="B717" s="469" t="s">
        <v>309</v>
      </c>
      <c r="C717" s="175"/>
      <c r="D717" s="1260" t="s">
        <v>1300</v>
      </c>
      <c r="E717" s="1260"/>
      <c r="F717" s="1260"/>
      <c r="H717" s="181"/>
      <c r="I717" s="181"/>
      <c r="J717" s="181"/>
      <c r="K717" s="181"/>
    </row>
    <row r="718" spans="1:11">
      <c r="A718" s="175"/>
      <c r="B718" s="175"/>
      <c r="C718" s="175"/>
      <c r="D718" s="1260"/>
      <c r="E718" s="1260"/>
      <c r="F718" s="1260"/>
      <c r="H718" s="181"/>
      <c r="I718" s="181"/>
      <c r="J718" s="181"/>
      <c r="K718" s="181"/>
    </row>
    <row r="719" spans="1:11">
      <c r="A719" s="175"/>
      <c r="B719" s="175"/>
      <c r="C719" s="175"/>
      <c r="D719" s="1260"/>
      <c r="E719" s="1260"/>
      <c r="F719" s="1260"/>
      <c r="H719" s="181"/>
      <c r="I719" s="181"/>
      <c r="J719" s="181"/>
      <c r="K719" s="181"/>
    </row>
    <row r="720" spans="1:11">
      <c r="A720" s="175"/>
      <c r="B720" s="175"/>
      <c r="C720" s="175"/>
      <c r="D720" s="1260"/>
      <c r="E720" s="1260"/>
      <c r="F720" s="1260"/>
      <c r="H720" s="181"/>
      <c r="I720" s="181"/>
      <c r="J720" s="181"/>
      <c r="K720" s="181"/>
    </row>
    <row r="721" spans="1:11">
      <c r="A721" s="175"/>
      <c r="B721" s="175"/>
      <c r="C721" s="175"/>
      <c r="D721" s="1260"/>
      <c r="E721" s="1260"/>
      <c r="F721" s="1260"/>
      <c r="H721" s="181"/>
      <c r="I721" s="181"/>
      <c r="J721" s="181"/>
      <c r="K721" s="181"/>
    </row>
    <row r="722" spans="1:11">
      <c r="A722" s="175"/>
      <c r="B722" s="175"/>
      <c r="C722" s="175"/>
      <c r="D722" s="1260"/>
      <c r="E722" s="1260"/>
      <c r="F722" s="1260"/>
      <c r="H722" s="181"/>
      <c r="I722" s="181"/>
      <c r="J722" s="181"/>
      <c r="K722" s="181"/>
    </row>
    <row r="723" spans="1:11">
      <c r="A723" s="175"/>
      <c r="B723" s="175"/>
      <c r="C723" s="175"/>
      <c r="D723" s="1260"/>
      <c r="E723" s="1260"/>
      <c r="F723" s="1260"/>
      <c r="H723" s="181"/>
      <c r="I723" s="181"/>
      <c r="J723" s="181"/>
      <c r="K723" s="181"/>
    </row>
    <row r="724" spans="1:11">
      <c r="A724" s="175"/>
      <c r="B724" s="175"/>
      <c r="C724" s="175"/>
      <c r="D724" s="1287" t="s">
        <v>1168</v>
      </c>
      <c r="E724" s="1287"/>
      <c r="F724" s="1287"/>
      <c r="H724" s="181"/>
      <c r="I724" s="181"/>
      <c r="J724" s="181"/>
      <c r="K724" s="181"/>
    </row>
    <row r="725" spans="1:11">
      <c r="A725" s="175"/>
      <c r="B725" s="175"/>
      <c r="C725" s="175"/>
      <c r="D725" s="370"/>
      <c r="H725" s="181"/>
      <c r="I725" s="181"/>
      <c r="J725" s="181"/>
      <c r="K725" s="181"/>
    </row>
    <row r="726" spans="1:11">
      <c r="A726" s="1282" t="s">
        <v>1125</v>
      </c>
      <c r="B726" s="1282"/>
      <c r="C726" s="1282"/>
      <c r="D726" s="1282"/>
      <c r="E726" s="1282"/>
      <c r="F726" s="1282"/>
      <c r="G726" s="1282"/>
      <c r="H726" s="181"/>
      <c r="I726" s="181"/>
      <c r="J726" s="181"/>
      <c r="K726" s="181"/>
    </row>
    <row r="727" spans="1:11">
      <c r="A727" s="175"/>
      <c r="B727" s="175"/>
      <c r="C727" s="175"/>
      <c r="D727" s="178"/>
      <c r="G727" s="183"/>
      <c r="H727" s="181"/>
      <c r="I727" s="181"/>
      <c r="J727" s="181"/>
      <c r="K727" s="181"/>
    </row>
    <row r="728" spans="1:11" ht="13.15" customHeight="1">
      <c r="C728" s="175"/>
      <c r="D728" s="1292" t="s">
        <v>1141</v>
      </c>
      <c r="E728" s="1292"/>
      <c r="F728" s="1292"/>
      <c r="G728" s="183"/>
      <c r="H728" s="181"/>
      <c r="I728" s="181"/>
      <c r="J728" s="181"/>
      <c r="K728" s="181"/>
    </row>
    <row r="729" spans="1:11">
      <c r="A729" s="175"/>
      <c r="B729" s="175"/>
      <c r="C729" s="175"/>
      <c r="D729" s="1284" t="s">
        <v>1142</v>
      </c>
      <c r="E729" s="1284"/>
      <c r="F729" s="1284"/>
      <c r="G729" s="183"/>
      <c r="H729" s="181"/>
      <c r="I729" s="181"/>
      <c r="J729" s="181"/>
      <c r="K729" s="181"/>
    </row>
    <row r="730" spans="1:11">
      <c r="A730" s="175"/>
      <c r="B730" s="175"/>
      <c r="C730" s="175"/>
      <c r="G730" s="183"/>
      <c r="H730" s="181"/>
      <c r="I730" s="181"/>
      <c r="J730" s="181"/>
      <c r="K730" s="181"/>
    </row>
    <row r="731" spans="1:11" ht="14.25">
      <c r="A731" s="176"/>
      <c r="B731" s="469" t="s">
        <v>309</v>
      </c>
      <c r="D731" s="1260" t="s">
        <v>1143</v>
      </c>
      <c r="E731" s="1260"/>
      <c r="F731" s="1260"/>
      <c r="G731" s="183"/>
      <c r="H731" s="181"/>
      <c r="I731" s="181"/>
      <c r="J731" s="181"/>
      <c r="K731" s="181"/>
    </row>
    <row r="732" spans="1:11" ht="10.5" customHeight="1">
      <c r="D732" s="1260"/>
      <c r="E732" s="1260"/>
      <c r="F732" s="1260"/>
      <c r="G732" s="183"/>
      <c r="H732" s="181"/>
      <c r="I732" s="181"/>
      <c r="J732" s="181"/>
      <c r="K732" s="181"/>
    </row>
    <row r="733" spans="1:11">
      <c r="D733" s="1260"/>
      <c r="E733" s="1260"/>
      <c r="F733" s="1260"/>
      <c r="G733" s="183"/>
      <c r="H733" s="181"/>
      <c r="I733" s="181"/>
      <c r="J733" s="181"/>
      <c r="K733" s="181"/>
    </row>
    <row r="734" spans="1:11">
      <c r="D734" s="1260"/>
      <c r="E734" s="1260"/>
      <c r="F734" s="1260"/>
      <c r="G734" s="183"/>
      <c r="H734" s="181"/>
      <c r="I734" s="181"/>
      <c r="J734" s="181"/>
      <c r="K734" s="181"/>
    </row>
    <row r="735" spans="1:11">
      <c r="D735" s="1260"/>
      <c r="E735" s="1260"/>
      <c r="F735" s="1260"/>
      <c r="G735" s="183"/>
      <c r="H735" s="181"/>
      <c r="I735" s="181"/>
      <c r="J735" s="181"/>
      <c r="K735" s="181"/>
    </row>
    <row r="736" spans="1:11" ht="15.6" customHeight="1">
      <c r="D736" s="1260"/>
      <c r="E736" s="1260"/>
      <c r="F736" s="1260"/>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0" t="s">
        <v>1144</v>
      </c>
      <c r="E738" s="1260"/>
      <c r="F738" s="1260"/>
      <c r="G738" s="210"/>
    </row>
    <row r="739" spans="1:11" s="274" customFormat="1">
      <c r="A739" s="273"/>
      <c r="B739" s="273"/>
      <c r="C739" s="273"/>
      <c r="D739" s="1260"/>
      <c r="E739" s="1260"/>
      <c r="F739" s="1260"/>
      <c r="G739" s="210"/>
    </row>
    <row r="740" spans="1:11" s="274" customFormat="1">
      <c r="A740" s="273"/>
      <c r="B740" s="273"/>
      <c r="C740" s="273"/>
      <c r="D740" s="1260"/>
      <c r="E740" s="1260"/>
      <c r="F740" s="1260"/>
      <c r="G740" s="210"/>
    </row>
    <row r="741" spans="1:11" s="274" customFormat="1">
      <c r="A741" s="273"/>
      <c r="B741" s="273"/>
      <c r="C741" s="273"/>
      <c r="D741" s="1260"/>
      <c r="E741" s="1260"/>
      <c r="F741" s="1260"/>
      <c r="G741" s="210"/>
    </row>
    <row r="742" spans="1:11" s="274" customFormat="1">
      <c r="A742" s="273"/>
      <c r="B742" s="273"/>
      <c r="C742" s="273"/>
      <c r="D742" s="255"/>
      <c r="E742" s="210"/>
      <c r="F742" s="210"/>
      <c r="G742" s="210"/>
    </row>
    <row r="743" spans="1:11" s="274" customFormat="1" ht="14.25">
      <c r="A743" s="176"/>
      <c r="B743" s="469" t="s">
        <v>309</v>
      </c>
      <c r="C743" s="273"/>
      <c r="D743" s="1293" t="s">
        <v>1145</v>
      </c>
      <c r="E743" s="1293"/>
      <c r="F743" s="1293"/>
      <c r="G743" s="210"/>
    </row>
    <row r="744" spans="1:11" s="274" customFormat="1">
      <c r="A744" s="273"/>
      <c r="B744" s="273"/>
      <c r="C744" s="273"/>
      <c r="D744" s="1293"/>
      <c r="E744" s="1293"/>
      <c r="F744" s="1293"/>
      <c r="G744" s="210"/>
    </row>
    <row r="745" spans="1:11" s="274" customFormat="1">
      <c r="A745" s="273"/>
      <c r="B745" s="273"/>
      <c r="C745" s="273"/>
      <c r="D745" s="1293"/>
      <c r="E745" s="1293"/>
      <c r="F745" s="1293"/>
      <c r="G745" s="210"/>
    </row>
    <row r="746" spans="1:11">
      <c r="D746" s="255"/>
      <c r="E746" s="35"/>
      <c r="F746" s="35"/>
      <c r="G746" s="183"/>
      <c r="H746" s="181"/>
      <c r="I746" s="181"/>
      <c r="J746" s="181"/>
      <c r="K746" s="181"/>
    </row>
    <row r="747" spans="1:11" ht="14.25">
      <c r="A747" s="176"/>
      <c r="B747" s="469" t="s">
        <v>309</v>
      </c>
      <c r="D747" s="1260" t="s">
        <v>1146</v>
      </c>
      <c r="E747" s="1260"/>
      <c r="F747" s="1260"/>
      <c r="G747" s="183"/>
      <c r="H747" s="181"/>
      <c r="I747" s="181"/>
      <c r="J747" s="181"/>
      <c r="K747" s="181"/>
    </row>
    <row r="748" spans="1:11">
      <c r="D748" s="1260"/>
      <c r="E748" s="1260"/>
      <c r="F748" s="1260"/>
      <c r="G748" s="183"/>
      <c r="H748" s="181"/>
      <c r="I748" s="181"/>
      <c r="J748" s="181"/>
      <c r="K748" s="181"/>
    </row>
    <row r="749" spans="1:11">
      <c r="D749" s="475"/>
      <c r="E749" s="475"/>
      <c r="F749" s="475"/>
      <c r="G749" s="183"/>
      <c r="H749" s="181"/>
      <c r="I749" s="181"/>
      <c r="J749" s="181"/>
      <c r="K749" s="181"/>
    </row>
    <row r="750" spans="1:11">
      <c r="B750" s="469" t="s">
        <v>309</v>
      </c>
      <c r="D750" s="1260" t="s">
        <v>1147</v>
      </c>
      <c r="E750" s="1260"/>
      <c r="F750" s="1260"/>
      <c r="G750" s="183"/>
      <c r="H750" s="181"/>
      <c r="I750" s="181"/>
      <c r="J750" s="181"/>
      <c r="K750" s="181"/>
    </row>
    <row r="751" spans="1:11">
      <c r="D751" s="1260"/>
      <c r="E751" s="1260"/>
      <c r="F751" s="1260"/>
      <c r="G751" s="183"/>
      <c r="H751" s="181"/>
      <c r="I751" s="181"/>
      <c r="J751" s="181"/>
      <c r="K751" s="181"/>
    </row>
    <row r="752" spans="1:11">
      <c r="D752" s="1260"/>
      <c r="E752" s="1260"/>
      <c r="F752" s="1260"/>
      <c r="G752" s="183"/>
      <c r="H752" s="181"/>
      <c r="I752" s="181"/>
      <c r="J752" s="181"/>
      <c r="K752" s="181"/>
    </row>
    <row r="753" spans="1:11">
      <c r="D753" s="475"/>
      <c r="E753" s="475"/>
      <c r="F753" s="475"/>
      <c r="G753" s="183"/>
      <c r="H753" s="181"/>
      <c r="I753" s="181"/>
      <c r="J753" s="181"/>
      <c r="K753" s="181"/>
    </row>
    <row r="754" spans="1:11">
      <c r="A754" s="1281" t="s">
        <v>1148</v>
      </c>
      <c r="B754" s="1281"/>
      <c r="C754" s="1281"/>
      <c r="D754" s="1281"/>
      <c r="E754" s="1281"/>
      <c r="F754" s="1281"/>
      <c r="G754" s="1281"/>
    </row>
    <row r="755" spans="1:11">
      <c r="A755" s="175"/>
      <c r="B755" s="175"/>
      <c r="C755" s="175"/>
      <c r="D755" s="184"/>
      <c r="F755" s="35"/>
      <c r="G755" s="183"/>
    </row>
    <row r="756" spans="1:11">
      <c r="D756" s="1289" t="s">
        <v>1132</v>
      </c>
      <c r="E756" s="1289"/>
      <c r="F756" s="1289"/>
      <c r="G756" s="183"/>
    </row>
    <row r="757" spans="1:11">
      <c r="A757" s="346"/>
      <c r="B757" s="346"/>
      <c r="C757" s="346"/>
      <c r="D757" s="1290" t="s">
        <v>1149</v>
      </c>
      <c r="E757" s="1290"/>
      <c r="F757" s="1290"/>
      <c r="G757" s="183"/>
    </row>
    <row r="758" spans="1:11">
      <c r="D758" s="434"/>
      <c r="E758" s="434"/>
      <c r="F758" s="434"/>
      <c r="G758" s="183"/>
    </row>
    <row r="759" spans="1:11" ht="14.25">
      <c r="A759" s="176"/>
      <c r="B759" s="469" t="s">
        <v>309</v>
      </c>
      <c r="D759" s="1290" t="s">
        <v>1026</v>
      </c>
      <c r="E759" s="1290"/>
      <c r="F759" s="1290"/>
      <c r="G759" s="183"/>
    </row>
    <row r="760" spans="1:11">
      <c r="D760" s="434"/>
      <c r="E760" s="1291" t="s">
        <v>1133</v>
      </c>
      <c r="F760" s="1291"/>
      <c r="G760" s="183"/>
    </row>
    <row r="761" spans="1:11">
      <c r="A761" s="172"/>
      <c r="B761" s="172"/>
      <c r="C761" s="172"/>
      <c r="D761" s="35"/>
      <c r="G761" s="183"/>
    </row>
    <row r="762" spans="1:11">
      <c r="A762" s="1288" t="s">
        <v>450</v>
      </c>
      <c r="B762" s="1288"/>
      <c r="C762" s="1288"/>
      <c r="D762" s="1288"/>
      <c r="E762" s="1288"/>
      <c r="F762" s="1288"/>
      <c r="G762" s="1288"/>
    </row>
    <row r="763" spans="1:11">
      <c r="A763" s="172"/>
      <c r="B763" s="172"/>
      <c r="C763" s="179"/>
      <c r="D763" s="183"/>
      <c r="E763" s="183"/>
      <c r="F763" s="183"/>
      <c r="G763" s="183"/>
    </row>
    <row r="764" spans="1:11">
      <c r="A764" s="35"/>
      <c r="B764" s="1284" t="s">
        <v>1025</v>
      </c>
      <c r="C764" s="1284"/>
      <c r="D764" s="1284"/>
      <c r="E764" s="1284"/>
      <c r="F764" s="1284"/>
      <c r="G764" s="183"/>
    </row>
    <row r="765" spans="1:11">
      <c r="A765" s="13"/>
      <c r="B765" s="13"/>
      <c r="G765" s="183"/>
    </row>
    <row r="766" spans="1:11">
      <c r="A766" s="1288" t="s">
        <v>451</v>
      </c>
      <c r="B766" s="1288"/>
      <c r="C766" s="1288"/>
      <c r="D766" s="1288"/>
      <c r="E766" s="1288"/>
      <c r="F766" s="1288"/>
      <c r="G766" s="1288"/>
    </row>
    <row r="767" spans="1:11">
      <c r="A767" s="172"/>
      <c r="B767" s="172"/>
      <c r="C767" s="172"/>
      <c r="D767" s="178"/>
      <c r="G767" s="183"/>
    </row>
    <row r="768" spans="1:11">
      <c r="A768" s="35"/>
      <c r="B768" s="1280" t="s">
        <v>449</v>
      </c>
      <c r="C768" s="1280"/>
      <c r="D768" s="1280"/>
      <c r="E768" s="1280"/>
      <c r="F768" s="1280"/>
      <c r="G768" s="183"/>
    </row>
    <row r="769" spans="1:7" ht="14.25">
      <c r="A769" s="176"/>
      <c r="B769" s="176"/>
      <c r="D769" s="35"/>
      <c r="E769" s="35"/>
      <c r="F769" s="183"/>
      <c r="G769" s="183"/>
    </row>
    <row r="770" spans="1:7">
      <c r="A770" s="1288" t="s">
        <v>452</v>
      </c>
      <c r="B770" s="1288"/>
      <c r="C770" s="1288"/>
      <c r="D770" s="1288"/>
      <c r="E770" s="1288"/>
      <c r="F770" s="1288"/>
      <c r="G770" s="1288"/>
    </row>
    <row r="771" spans="1:7">
      <c r="C771" s="175"/>
      <c r="D771" s="173"/>
      <c r="E771" s="35"/>
      <c r="F771" s="183"/>
      <c r="G771" s="183"/>
    </row>
    <row r="772" spans="1:7">
      <c r="A772" s="35"/>
      <c r="B772" s="1280" t="s">
        <v>449</v>
      </c>
      <c r="C772" s="1280"/>
      <c r="D772" s="1280"/>
      <c r="E772" s="1280"/>
      <c r="F772" s="1280"/>
      <c r="G772" s="183"/>
    </row>
    <row r="773" spans="1:7">
      <c r="A773" s="35"/>
      <c r="B773" s="35"/>
      <c r="C773" s="179"/>
      <c r="D773" s="183"/>
      <c r="E773" s="183"/>
      <c r="F773" s="183"/>
      <c r="G773" s="183"/>
    </row>
    <row r="774" spans="1:7">
      <c r="A774" s="1288" t="s">
        <v>453</v>
      </c>
      <c r="B774" s="1288"/>
      <c r="C774" s="1288"/>
      <c r="D774" s="1288"/>
      <c r="E774" s="1288"/>
      <c r="F774" s="1288"/>
      <c r="G774" s="1288"/>
    </row>
    <row r="775" spans="1:7">
      <c r="A775" s="35"/>
      <c r="B775" s="35"/>
    </row>
    <row r="776" spans="1:7">
      <c r="A776" s="35"/>
      <c r="B776" s="1280" t="s">
        <v>449</v>
      </c>
      <c r="C776" s="1280"/>
      <c r="D776" s="1280"/>
      <c r="E776" s="1280"/>
      <c r="F776" s="1280"/>
    </row>
    <row r="777" spans="1:7">
      <c r="A777" s="179"/>
      <c r="B777" s="179"/>
      <c r="C777" s="179"/>
      <c r="D777" s="174"/>
      <c r="F777" s="183"/>
    </row>
    <row r="778" spans="1:7">
      <c r="A778" s="1288" t="s">
        <v>454</v>
      </c>
      <c r="B778" s="1288"/>
      <c r="C778" s="1288"/>
      <c r="D778" s="1288"/>
      <c r="E778" s="1288"/>
      <c r="F778" s="1288"/>
      <c r="G778" s="1288"/>
    </row>
    <row r="779" spans="1:7">
      <c r="A779" s="35"/>
      <c r="B779" s="35"/>
    </row>
    <row r="780" spans="1:7">
      <c r="A780" s="35"/>
      <c r="B780" s="1280" t="s">
        <v>449</v>
      </c>
      <c r="C780" s="1280"/>
      <c r="D780" s="1280"/>
      <c r="E780" s="1280"/>
      <c r="F780" s="1280"/>
    </row>
    <row r="781" spans="1:7">
      <c r="A781" s="179"/>
      <c r="B781" s="179"/>
      <c r="C781" s="179"/>
      <c r="D781" s="174"/>
      <c r="F781" s="183"/>
    </row>
    <row r="782" spans="1:7">
      <c r="A782" s="1288" t="s">
        <v>455</v>
      </c>
      <c r="B782" s="1288"/>
      <c r="C782" s="1288"/>
      <c r="D782" s="1288"/>
      <c r="E782" s="1288"/>
      <c r="F782" s="1288"/>
      <c r="G782" s="1288"/>
    </row>
    <row r="783" spans="1:7">
      <c r="A783" s="35"/>
      <c r="B783" s="35"/>
    </row>
    <row r="784" spans="1:7">
      <c r="A784" s="35"/>
      <c r="B784" s="1280" t="s">
        <v>449</v>
      </c>
      <c r="C784" s="1280"/>
      <c r="D784" s="1280"/>
      <c r="E784" s="1280"/>
      <c r="F784" s="1280"/>
    </row>
    <row r="785" spans="1:7">
      <c r="D785" s="174"/>
    </row>
    <row r="786" spans="1:7">
      <c r="A786" s="1288" t="s">
        <v>188</v>
      </c>
      <c r="B786" s="1288"/>
      <c r="C786" s="1288"/>
      <c r="D786" s="1288"/>
      <c r="E786" s="1288"/>
      <c r="F786" s="1288"/>
      <c r="G786" s="1288"/>
    </row>
    <row r="787" spans="1:7">
      <c r="A787" s="35"/>
      <c r="B787" s="35"/>
    </row>
    <row r="788" spans="1:7">
      <c r="A788" s="35"/>
      <c r="B788" s="1280" t="s">
        <v>449</v>
      </c>
      <c r="C788" s="1280"/>
      <c r="D788" s="1280"/>
      <c r="E788" s="1280"/>
      <c r="F788" s="1280"/>
    </row>
    <row r="789" spans="1:7">
      <c r="A789" s="35"/>
      <c r="B789" s="35"/>
      <c r="D789" s="174"/>
    </row>
    <row r="790" spans="1:7">
      <c r="A790" s="1288" t="s">
        <v>902</v>
      </c>
      <c r="B790" s="1288"/>
      <c r="C790" s="1288"/>
      <c r="D790" s="1288"/>
      <c r="E790" s="1288"/>
      <c r="F790" s="1288"/>
      <c r="G790" s="1288"/>
    </row>
    <row r="791" spans="1:7">
      <c r="A791" s="35"/>
      <c r="B791" s="35"/>
    </row>
    <row r="792" spans="1:7">
      <c r="A792" s="35"/>
      <c r="B792" s="1280" t="s">
        <v>449</v>
      </c>
      <c r="C792" s="1280"/>
      <c r="D792" s="1280"/>
      <c r="E792" s="1280"/>
      <c r="F792" s="1280"/>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52" zoomScaleNormal="100" zoomScaleSheetLayoutView="100" workbookViewId="0">
      <selection activeCell="A2" sqref="A2:J2"/>
    </sheetView>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3" t="s">
        <v>2134</v>
      </c>
      <c r="B2" s="1314"/>
      <c r="C2" s="1314"/>
      <c r="D2" s="1314"/>
      <c r="E2" s="1314"/>
      <c r="F2" s="1314"/>
      <c r="G2" s="1314"/>
      <c r="H2" s="1314"/>
      <c r="I2" s="1314"/>
      <c r="J2" s="1314"/>
    </row>
    <row r="3" spans="1:10" ht="15">
      <c r="A3" s="1317" t="s">
        <v>1426</v>
      </c>
      <c r="B3" s="1318"/>
      <c r="C3" s="1318"/>
      <c r="D3" s="1318"/>
      <c r="E3" s="1318"/>
      <c r="F3" s="1318"/>
      <c r="G3" s="1318"/>
      <c r="H3" s="1318"/>
      <c r="I3" s="1318"/>
      <c r="J3" s="1318"/>
    </row>
    <row r="4" spans="1:10" ht="12.75"/>
    <row r="5" spans="1:10" ht="12.75" customHeight="1">
      <c r="A5" s="1315" t="s">
        <v>2442</v>
      </c>
      <c r="B5" s="1315"/>
      <c r="C5" s="1315"/>
      <c r="D5" s="1315"/>
      <c r="E5" s="1315"/>
      <c r="F5" s="1315"/>
      <c r="G5" s="1315"/>
      <c r="H5" s="1315"/>
      <c r="I5" s="1315"/>
      <c r="J5" s="1315"/>
    </row>
    <row r="6" spans="1:10" ht="12.75">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75">
      <c r="A8" s="448"/>
      <c r="B8" s="448"/>
      <c r="C8" s="448"/>
      <c r="D8" s="448"/>
      <c r="E8" s="448"/>
      <c r="F8" s="448"/>
      <c r="G8" s="448"/>
      <c r="H8" s="448"/>
      <c r="I8" s="448"/>
      <c r="J8" s="448"/>
    </row>
    <row r="9" spans="1:10" ht="12.75" customHeight="1">
      <c r="A9" s="434" t="s">
        <v>2137</v>
      </c>
      <c r="B9" s="448"/>
      <c r="C9" s="448"/>
      <c r="D9" s="448"/>
      <c r="E9" s="448"/>
      <c r="F9" s="448"/>
      <c r="G9" s="448"/>
      <c r="H9" s="448"/>
      <c r="I9" s="448"/>
      <c r="J9" s="448"/>
    </row>
    <row r="10" spans="1:10" ht="12.75"/>
    <row r="11" spans="1:10" ht="12.75" customHeight="1">
      <c r="A11" s="1319" t="s">
        <v>2139</v>
      </c>
      <c r="B11" s="1319"/>
      <c r="C11" s="1319"/>
      <c r="D11" s="1319"/>
      <c r="E11" s="1319"/>
      <c r="F11" s="1319"/>
      <c r="G11" s="1319"/>
      <c r="H11" s="1319"/>
      <c r="I11" s="1319"/>
      <c r="J11" s="1319"/>
    </row>
    <row r="12" spans="1:10" ht="12.75">
      <c r="A12" s="1319"/>
      <c r="B12" s="1319"/>
      <c r="C12" s="1319"/>
      <c r="D12" s="1319"/>
      <c r="E12" s="1319"/>
      <c r="F12" s="1319"/>
      <c r="G12" s="1319"/>
      <c r="H12" s="1319"/>
      <c r="I12" s="1319"/>
      <c r="J12" s="1319"/>
    </row>
    <row r="13" spans="1:10" ht="12.75">
      <c r="A13" s="1319"/>
      <c r="B13" s="1319"/>
      <c r="C13" s="1319"/>
      <c r="D13" s="1319"/>
      <c r="E13" s="1319"/>
      <c r="F13" s="1319"/>
      <c r="G13" s="1319"/>
      <c r="H13" s="1319"/>
      <c r="I13" s="1319"/>
      <c r="J13" s="1319"/>
    </row>
    <row r="14" spans="1:10" ht="12.75">
      <c r="A14" s="1319"/>
      <c r="B14" s="1319"/>
      <c r="C14" s="1319"/>
      <c r="D14" s="1319"/>
      <c r="E14" s="1319"/>
      <c r="F14" s="1319"/>
      <c r="G14" s="1319"/>
      <c r="H14" s="1319"/>
      <c r="I14" s="1319"/>
      <c r="J14" s="1319"/>
    </row>
    <row r="15" spans="1:10" ht="12.75">
      <c r="A15" s="1319"/>
      <c r="B15" s="1319"/>
      <c r="C15" s="1319"/>
      <c r="D15" s="1319"/>
      <c r="E15" s="1319"/>
      <c r="F15" s="1319"/>
      <c r="G15" s="1319"/>
      <c r="H15" s="1319"/>
      <c r="I15" s="1319"/>
      <c r="J15" s="1319"/>
    </row>
    <row r="16" spans="1:10" ht="12.75">
      <c r="A16" s="1319"/>
      <c r="B16" s="1319"/>
      <c r="C16" s="1319"/>
      <c r="D16" s="1319"/>
      <c r="E16" s="1319"/>
      <c r="F16" s="1319"/>
      <c r="G16" s="1319"/>
      <c r="H16" s="1319"/>
      <c r="I16" s="1319"/>
      <c r="J16" s="1319"/>
    </row>
    <row r="17" spans="1:10" ht="12.75">
      <c r="A17" s="559"/>
      <c r="B17" s="559"/>
      <c r="C17" s="559"/>
      <c r="D17" s="559"/>
      <c r="E17" s="559"/>
      <c r="F17" s="559"/>
      <c r="G17" s="559"/>
      <c r="H17" s="559"/>
      <c r="I17" s="559"/>
      <c r="J17" s="559"/>
    </row>
    <row r="18" spans="1:10" ht="12.75">
      <c r="A18" s="511" t="s">
        <v>2138</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18" t="s">
        <v>1332</v>
      </c>
      <c r="B20" s="1318"/>
      <c r="C20" s="1318"/>
      <c r="D20" s="1318"/>
      <c r="E20" s="131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5" t="s">
        <v>1333</v>
      </c>
      <c r="B57" s="1315"/>
      <c r="C57" s="1315"/>
      <c r="D57" s="1315"/>
      <c r="E57" s="1315"/>
      <c r="F57" s="1315"/>
      <c r="G57" s="1315"/>
      <c r="H57" s="1315"/>
      <c r="I57" s="1315"/>
      <c r="J57" s="1315"/>
    </row>
    <row r="58" spans="1:10" ht="12.75">
      <c r="A58" s="1315"/>
      <c r="B58" s="1315"/>
      <c r="C58" s="1315"/>
      <c r="D58" s="1315"/>
      <c r="E58" s="1315"/>
      <c r="F58" s="1315"/>
      <c r="G58" s="1315"/>
      <c r="H58" s="1315"/>
      <c r="I58" s="1315"/>
      <c r="J58" s="1315"/>
    </row>
    <row r="59" spans="1:10" ht="12.75">
      <c r="A59" s="1315"/>
      <c r="B59" s="1315"/>
      <c r="C59" s="1315"/>
      <c r="D59" s="1315"/>
      <c r="E59" s="1315"/>
      <c r="F59" s="1315"/>
      <c r="G59" s="1315"/>
      <c r="H59" s="1315"/>
      <c r="I59" s="1315"/>
      <c r="J59" s="1315"/>
    </row>
    <row r="60" spans="1:10" ht="12.75"/>
    <row r="61" spans="1:10" ht="12.75">
      <c r="A61" s="434" t="s">
        <v>1332</v>
      </c>
    </row>
    <row r="62" spans="1:10" ht="12.75"/>
    <row r="63" spans="1:10" ht="12.75"/>
    <row r="64" spans="1:10" ht="12.75"/>
    <row r="65" spans="1:9" ht="12.75"/>
    <row r="66" spans="1:9" ht="12.75"/>
    <row r="67" spans="1:9" ht="12.75"/>
    <row r="68" spans="1:9" ht="12.75"/>
    <row r="69" spans="1:9" ht="12.75"/>
    <row r="70" spans="1:9" ht="12.75"/>
    <row r="71" spans="1:9" ht="12.75"/>
    <row r="72" spans="1:9" ht="12.75">
      <c r="A72" s="1316" t="s">
        <v>2135</v>
      </c>
      <c r="B72" s="1316"/>
      <c r="C72" s="1316"/>
      <c r="D72" s="1316"/>
      <c r="E72" s="1316"/>
      <c r="F72" s="1316"/>
      <c r="G72" s="1316"/>
      <c r="H72" s="1316"/>
      <c r="I72" s="1316"/>
    </row>
    <row r="73" spans="1:9" ht="12.75">
      <c r="A73" s="1267" t="s">
        <v>2440</v>
      </c>
      <c r="B73" s="1267"/>
      <c r="C73" s="1267"/>
      <c r="D73" s="1267"/>
      <c r="E73" s="1267"/>
    </row>
    <row r="74" spans="1:9" ht="12.75">
      <c r="A74" s="1267" t="s">
        <v>2441</v>
      </c>
      <c r="B74" s="1267"/>
      <c r="C74" s="1267"/>
      <c r="D74" s="1267"/>
      <c r="E74" s="1267"/>
    </row>
    <row r="75" spans="1:9" ht="12.75">
      <c r="A75" s="1267" t="s">
        <v>2136</v>
      </c>
      <c r="B75" s="1267"/>
      <c r="C75" s="1267"/>
      <c r="D75" s="1267"/>
      <c r="E75" s="1267"/>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zoomScale="90" zoomScaleNormal="90" zoomScaleSheetLayoutView="100" workbookViewId="0">
      <selection activeCell="B1105" sqref="B1105"/>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20" t="s">
        <v>2608</v>
      </c>
      <c r="B2" s="1320"/>
      <c r="C2" s="1320"/>
      <c r="D2" s="1320"/>
      <c r="E2" s="1320"/>
      <c r="F2" s="1320"/>
      <c r="G2" s="1320"/>
      <c r="H2" s="1320"/>
      <c r="I2" s="1320"/>
    </row>
    <row r="3" spans="1:13">
      <c r="A3" s="1321" t="s">
        <v>2002</v>
      </c>
      <c r="B3" s="1321"/>
      <c r="C3" s="1321"/>
      <c r="D3" s="1321"/>
      <c r="E3" s="1321"/>
      <c r="F3" s="1321"/>
      <c r="G3" s="1321"/>
      <c r="H3" s="1321"/>
      <c r="I3" s="1321"/>
    </row>
    <row r="4" spans="1:13">
      <c r="A4" s="1321"/>
      <c r="B4" s="1321"/>
      <c r="C4" s="1318"/>
      <c r="D4" s="1318"/>
      <c r="E4" s="1318"/>
      <c r="F4" s="1318"/>
      <c r="G4" s="1318"/>
    </row>
    <row r="5" spans="1:13">
      <c r="A5" s="1321"/>
      <c r="B5" s="1321"/>
      <c r="C5" s="1318"/>
      <c r="D5" s="1318"/>
      <c r="E5" s="1318"/>
      <c r="F5" s="1318"/>
      <c r="G5" s="1318"/>
    </row>
    <row r="6" spans="1:13">
      <c r="A6" s="1320" t="s">
        <v>1202</v>
      </c>
      <c r="B6" s="1320"/>
      <c r="C6" s="1332"/>
      <c r="D6" s="1332"/>
      <c r="E6" s="1332"/>
      <c r="F6" s="1332"/>
      <c r="G6" s="1332"/>
      <c r="I6" s="525" t="s">
        <v>2145</v>
      </c>
    </row>
    <row r="7" spans="1:13">
      <c r="A7" s="1320" t="s">
        <v>1203</v>
      </c>
      <c r="B7" s="1320"/>
      <c r="C7" s="1332"/>
      <c r="D7" s="1332"/>
      <c r="E7" s="1332"/>
      <c r="F7" s="1332"/>
      <c r="G7" s="1332"/>
      <c r="I7" s="525" t="s">
        <v>2146</v>
      </c>
    </row>
    <row r="8" spans="1:13">
      <c r="A8" s="516"/>
      <c r="B8" s="516"/>
      <c r="C8" s="517"/>
      <c r="D8" s="517"/>
      <c r="E8" s="517"/>
      <c r="F8" s="517"/>
    </row>
    <row r="9" spans="1:13">
      <c r="A9" s="1281" t="s">
        <v>1205</v>
      </c>
      <c r="B9" s="1281"/>
      <c r="C9" s="1281"/>
      <c r="D9" s="1281"/>
      <c r="E9" s="1281"/>
      <c r="F9" s="1281"/>
      <c r="G9" s="1281"/>
      <c r="H9" s="1071"/>
      <c r="I9" s="1072"/>
    </row>
    <row r="10" spans="1:13">
      <c r="A10" s="517"/>
      <c r="B10" s="517"/>
      <c r="E10" s="436"/>
    </row>
    <row r="11" spans="1:13" ht="13.7" customHeight="1">
      <c r="C11" s="517"/>
      <c r="D11" s="1333" t="s">
        <v>1204</v>
      </c>
      <c r="E11" s="1333"/>
      <c r="F11" s="1333"/>
    </row>
    <row r="12" spans="1:13">
      <c r="C12" s="517"/>
      <c r="D12" s="1333"/>
      <c r="E12" s="1333"/>
      <c r="F12" s="1333"/>
    </row>
    <row r="13" spans="1:13">
      <c r="A13" s="518"/>
      <c r="B13" s="518"/>
      <c r="C13" s="518"/>
      <c r="D13" s="1304" t="s">
        <v>1187</v>
      </c>
      <c r="E13" s="1304"/>
      <c r="F13" s="1304"/>
      <c r="M13" s="96"/>
    </row>
    <row r="14" spans="1:13">
      <c r="A14" s="518"/>
      <c r="B14" s="518"/>
      <c r="C14" s="518"/>
      <c r="D14" s="511"/>
      <c r="L14" s="336"/>
    </row>
    <row r="15" spans="1:13" ht="14.25">
      <c r="A15" s="519"/>
      <c r="B15" s="520" t="s">
        <v>2768</v>
      </c>
      <c r="C15" s="518"/>
      <c r="D15" s="1275" t="s">
        <v>2303</v>
      </c>
      <c r="E15" s="1275"/>
      <c r="F15" s="1275"/>
      <c r="I15" s="436" t="s">
        <v>2147</v>
      </c>
    </row>
    <row r="16" spans="1:13">
      <c r="A16" s="518"/>
      <c r="B16" s="518"/>
      <c r="C16" s="518"/>
      <c r="D16" s="1275"/>
      <c r="E16" s="1275"/>
      <c r="F16" s="1275"/>
    </row>
    <row r="17" spans="1:9">
      <c r="A17" s="518"/>
      <c r="B17" s="518"/>
      <c r="C17" s="518"/>
      <c r="D17" s="1275"/>
      <c r="E17" s="1275"/>
      <c r="F17" s="1275"/>
    </row>
    <row r="18" spans="1:9">
      <c r="A18" s="518"/>
      <c r="B18" s="518"/>
      <c r="C18" s="518"/>
      <c r="D18" s="480"/>
      <c r="E18" s="336" t="s">
        <v>2301</v>
      </c>
      <c r="F18" s="480"/>
    </row>
    <row r="19" spans="1:9">
      <c r="A19" s="518"/>
      <c r="B19" s="518"/>
      <c r="C19" s="518"/>
    </row>
    <row r="20" spans="1:9" ht="14.25">
      <c r="A20" s="519"/>
      <c r="B20" s="520" t="s">
        <v>2768</v>
      </c>
      <c r="D20" s="1275" t="s">
        <v>2304</v>
      </c>
      <c r="E20" s="1275"/>
      <c r="F20" s="1275"/>
      <c r="I20" s="436" t="s">
        <v>2148</v>
      </c>
    </row>
    <row r="21" spans="1:9" ht="14.25">
      <c r="A21" s="519"/>
      <c r="D21" s="1275"/>
      <c r="E21" s="1275"/>
      <c r="F21" s="1275"/>
    </row>
    <row r="22" spans="1:9" ht="14.25">
      <c r="A22" s="519"/>
      <c r="D22" s="424"/>
      <c r="E22" s="96" t="s">
        <v>2300</v>
      </c>
      <c r="F22" s="424"/>
    </row>
    <row r="23" spans="1:9" ht="14.25">
      <c r="A23" s="519"/>
      <c r="B23" s="519"/>
      <c r="D23" s="481"/>
    </row>
    <row r="24" spans="1:9" ht="14.25">
      <c r="A24" s="519"/>
      <c r="B24" s="520" t="s">
        <v>2624</v>
      </c>
      <c r="D24" s="1275" t="s">
        <v>1190</v>
      </c>
      <c r="E24" s="1275"/>
      <c r="F24" s="1275"/>
      <c r="I24" s="436" t="s">
        <v>2148</v>
      </c>
    </row>
    <row r="25" spans="1:9" ht="14.25">
      <c r="A25" s="519"/>
      <c r="B25" s="519"/>
      <c r="D25" s="1275"/>
      <c r="E25" s="1275"/>
      <c r="F25" s="1275"/>
    </row>
    <row r="26" spans="1:9"/>
    <row r="27" spans="1:9" ht="14.25">
      <c r="A27" s="519"/>
      <c r="B27" s="520" t="s">
        <v>2768</v>
      </c>
      <c r="D27" s="1275" t="s">
        <v>2443</v>
      </c>
      <c r="E27" s="1275"/>
      <c r="F27" s="1275"/>
      <c r="I27" s="436" t="s">
        <v>2151</v>
      </c>
    </row>
    <row r="28" spans="1:9">
      <c r="D28" s="1275"/>
      <c r="E28" s="1275"/>
      <c r="F28" s="1275"/>
    </row>
    <row r="29" spans="1:9">
      <c r="D29" s="1275"/>
      <c r="E29" s="1275"/>
      <c r="F29" s="1275"/>
    </row>
    <row r="30" spans="1:9">
      <c r="D30" s="1275"/>
      <c r="E30" s="1275"/>
      <c r="F30" s="1275"/>
    </row>
    <row r="31" spans="1:9">
      <c r="D31" s="1275"/>
      <c r="E31" s="1275"/>
      <c r="F31" s="1275"/>
    </row>
    <row r="32" spans="1:9">
      <c r="D32" s="482"/>
    </row>
    <row r="33" spans="1:9">
      <c r="B33" s="520" t="s">
        <v>2768</v>
      </c>
      <c r="D33" s="1275" t="s">
        <v>2444</v>
      </c>
      <c r="E33" s="1275"/>
      <c r="F33" s="1275"/>
      <c r="I33" s="436" t="s">
        <v>2147</v>
      </c>
    </row>
    <row r="34" spans="1:9">
      <c r="D34" s="1275"/>
      <c r="E34" s="1275"/>
      <c r="F34" s="1275"/>
    </row>
    <row r="35" spans="1:9" ht="14.25">
      <c r="A35" s="519"/>
      <c r="B35" s="519"/>
      <c r="D35" s="482"/>
    </row>
    <row r="36" spans="1:9" ht="14.45" customHeight="1">
      <c r="A36" s="519"/>
      <c r="B36" s="520" t="s">
        <v>2768</v>
      </c>
      <c r="D36" s="1275" t="s">
        <v>1357</v>
      </c>
      <c r="E36" s="1275"/>
      <c r="F36" s="1275"/>
      <c r="I36" s="436" t="s">
        <v>2218</v>
      </c>
    </row>
    <row r="37" spans="1:9" ht="14.25">
      <c r="A37" s="519"/>
      <c r="B37" s="519"/>
      <c r="D37" s="1275"/>
      <c r="E37" s="1275"/>
      <c r="F37" s="1275"/>
    </row>
    <row r="38" spans="1:9" ht="14.25">
      <c r="A38" s="519"/>
      <c r="B38" s="519"/>
      <c r="D38" s="1275"/>
      <c r="E38" s="1275"/>
      <c r="F38" s="1275"/>
    </row>
    <row r="39" spans="1:9" ht="14.25">
      <c r="A39" s="519"/>
      <c r="B39" s="519"/>
      <c r="D39" s="1275"/>
      <c r="E39" s="1275"/>
      <c r="F39" s="1275"/>
    </row>
    <row r="40" spans="1:9" ht="14.25">
      <c r="A40" s="519"/>
      <c r="B40" s="519"/>
    </row>
    <row r="41" spans="1:9" ht="14.25">
      <c r="A41" s="519"/>
      <c r="B41" s="520" t="s">
        <v>2768</v>
      </c>
      <c r="D41" s="1275" t="s">
        <v>1194</v>
      </c>
      <c r="E41" s="1275"/>
      <c r="F41" s="1275"/>
    </row>
    <row r="42" spans="1:9" ht="14.25">
      <c r="A42" s="519"/>
      <c r="B42" s="519"/>
      <c r="D42" s="1275"/>
      <c r="E42" s="1275"/>
      <c r="F42" s="1275"/>
    </row>
    <row r="43" spans="1:9" ht="14.25">
      <c r="A43" s="519"/>
      <c r="B43" s="519"/>
      <c r="D43" s="1275"/>
      <c r="E43" s="1275"/>
      <c r="F43" s="1275"/>
    </row>
    <row r="44" spans="1:9" ht="14.25">
      <c r="A44" s="519"/>
      <c r="B44" s="519"/>
      <c r="D44" s="1275"/>
      <c r="E44" s="1275"/>
      <c r="F44" s="1275"/>
    </row>
    <row r="45" spans="1:9" ht="14.25">
      <c r="A45" s="519"/>
      <c r="B45" s="519"/>
      <c r="D45" s="1275"/>
      <c r="E45" s="1275"/>
      <c r="F45" s="1275"/>
    </row>
    <row r="46" spans="1:9" ht="14.25">
      <c r="A46" s="519"/>
      <c r="B46" s="519"/>
      <c r="D46" s="480"/>
      <c r="E46" s="480"/>
      <c r="F46" s="480"/>
    </row>
    <row r="47" spans="1:9" ht="14.25">
      <c r="A47" s="519"/>
      <c r="B47" s="520" t="s">
        <v>2624</v>
      </c>
      <c r="D47" s="1275" t="s">
        <v>1195</v>
      </c>
      <c r="E47" s="1275"/>
      <c r="F47" s="1275"/>
      <c r="I47" s="436" t="s">
        <v>2218</v>
      </c>
    </row>
    <row r="48" spans="1:9" ht="14.25">
      <c r="A48" s="519"/>
      <c r="B48" s="519"/>
      <c r="D48" s="1275"/>
      <c r="E48" s="1275"/>
      <c r="F48" s="1275"/>
    </row>
    <row r="49" spans="1:9" ht="14.25">
      <c r="A49" s="519"/>
      <c r="B49" s="519"/>
      <c r="D49" s="1275"/>
      <c r="E49" s="1275"/>
      <c r="F49" s="1275"/>
    </row>
    <row r="50" spans="1:9" ht="23.25" customHeight="1">
      <c r="A50" s="519"/>
      <c r="B50" s="519"/>
      <c r="D50" s="1275"/>
      <c r="E50" s="1275"/>
      <c r="F50" s="1275"/>
    </row>
    <row r="51" spans="1:9" ht="14.25">
      <c r="A51" s="519"/>
      <c r="B51" s="519"/>
      <c r="D51" s="481"/>
    </row>
    <row r="52" spans="1:9" ht="14.45" customHeight="1">
      <c r="A52" s="519"/>
      <c r="B52" s="520" t="s">
        <v>2768</v>
      </c>
      <c r="D52" s="1275" t="s">
        <v>1196</v>
      </c>
      <c r="E52" s="1275"/>
      <c r="F52" s="1275"/>
      <c r="I52" s="436" t="s">
        <v>2218</v>
      </c>
    </row>
    <row r="53" spans="1:9" ht="14.25">
      <c r="A53" s="519"/>
      <c r="B53" s="519"/>
      <c r="D53" s="1275"/>
      <c r="E53" s="1275"/>
      <c r="F53" s="1275"/>
    </row>
    <row r="54" spans="1:9" ht="14.25">
      <c r="A54" s="519"/>
      <c r="B54" s="519"/>
      <c r="D54" s="1275"/>
      <c r="E54" s="1275"/>
      <c r="F54" s="1275"/>
    </row>
    <row r="55" spans="1:9" ht="14.25">
      <c r="A55" s="519"/>
      <c r="B55" s="519"/>
    </row>
    <row r="56" spans="1:9" ht="14.25">
      <c r="A56" s="519"/>
      <c r="B56" s="520" t="s">
        <v>2768</v>
      </c>
      <c r="D56" s="1334" t="s">
        <v>1197</v>
      </c>
      <c r="E56" s="1334"/>
      <c r="F56" s="1334"/>
    </row>
    <row r="57" spans="1:9" ht="14.25">
      <c r="A57" s="519"/>
      <c r="B57" s="519"/>
      <c r="D57" s="1334"/>
      <c r="E57" s="1334"/>
      <c r="F57" s="1334"/>
    </row>
    <row r="58" spans="1:9" ht="14.25">
      <c r="A58" s="519"/>
      <c r="B58" s="519"/>
      <c r="D58" s="424" t="s">
        <v>2302</v>
      </c>
      <c r="E58" s="480"/>
      <c r="F58" s="480"/>
    </row>
    <row r="59" spans="1:9" ht="14.25">
      <c r="A59" s="519"/>
      <c r="B59" s="519"/>
      <c r="D59" s="480"/>
      <c r="E59" s="336" t="s">
        <v>2301</v>
      </c>
      <c r="F59" s="480"/>
    </row>
    <row r="60" spans="1:9">
      <c r="D60" s="482"/>
    </row>
    <row r="61" spans="1:9" ht="14.25">
      <c r="A61" s="519"/>
      <c r="B61" s="520" t="s">
        <v>2624</v>
      </c>
      <c r="D61" s="1275" t="s">
        <v>1198</v>
      </c>
      <c r="E61" s="1275"/>
      <c r="F61" s="1275"/>
      <c r="I61" s="436" t="s">
        <v>2149</v>
      </c>
    </row>
    <row r="62" spans="1:9">
      <c r="D62" s="1275"/>
      <c r="E62" s="1275"/>
      <c r="F62" s="1275"/>
    </row>
    <row r="63" spans="1:9">
      <c r="D63" s="1275"/>
      <c r="E63" s="1275"/>
      <c r="F63" s="1275"/>
    </row>
    <row r="64" spans="1:9"/>
    <row r="65" spans="1:9" ht="14.25">
      <c r="A65" s="519"/>
      <c r="B65" s="520" t="s">
        <v>2624</v>
      </c>
      <c r="D65" s="1275" t="s">
        <v>1199</v>
      </c>
      <c r="E65" s="1275"/>
      <c r="F65" s="1275"/>
      <c r="I65" s="436" t="s">
        <v>2150</v>
      </c>
    </row>
    <row r="66" spans="1:9">
      <c r="D66" s="1275"/>
      <c r="E66" s="1275"/>
      <c r="F66" s="1275"/>
    </row>
    <row r="67" spans="1:9"/>
    <row r="68" spans="1:9" ht="14.25">
      <c r="A68" s="519"/>
      <c r="B68" s="520" t="s">
        <v>2768</v>
      </c>
      <c r="D68" s="1275" t="s">
        <v>1200</v>
      </c>
      <c r="E68" s="1275"/>
      <c r="F68" s="1275"/>
    </row>
    <row r="69" spans="1:9">
      <c r="D69" s="1275"/>
      <c r="E69" s="1275"/>
      <c r="F69" s="1275"/>
      <c r="I69" s="436" t="s">
        <v>2151</v>
      </c>
    </row>
    <row r="70" spans="1:9">
      <c r="D70" s="1275"/>
      <c r="E70" s="1275"/>
      <c r="F70" s="1275"/>
    </row>
    <row r="71" spans="1:9"/>
    <row r="72" spans="1:9" ht="14.25">
      <c r="A72" s="519"/>
      <c r="B72" s="520" t="s">
        <v>2768</v>
      </c>
      <c r="D72" s="1275" t="s">
        <v>1201</v>
      </c>
      <c r="E72" s="1275"/>
      <c r="F72" s="1275"/>
      <c r="I72" s="436" t="s">
        <v>2151</v>
      </c>
    </row>
    <row r="73" spans="1:9">
      <c r="D73" s="1275"/>
      <c r="E73" s="1275"/>
      <c r="F73" s="1275"/>
    </row>
    <row r="74" spans="1:9" ht="14.25">
      <c r="A74" s="519"/>
      <c r="B74" s="519"/>
      <c r="D74" s="481"/>
    </row>
    <row r="75" spans="1:9">
      <c r="A75" s="1281" t="s">
        <v>1108</v>
      </c>
      <c r="B75" s="1281"/>
      <c r="C75" s="1281"/>
      <c r="D75" s="1281"/>
      <c r="E75" s="1281"/>
      <c r="F75" s="1281"/>
      <c r="G75" s="1281"/>
      <c r="H75" s="1071"/>
      <c r="I75" s="1072"/>
    </row>
    <row r="76" spans="1:9"/>
    <row r="77" spans="1:9">
      <c r="C77" s="521"/>
      <c r="D77" s="1303" t="s">
        <v>1206</v>
      </c>
      <c r="E77" s="1303"/>
      <c r="F77" s="1303"/>
    </row>
    <row r="78" spans="1:9">
      <c r="A78" s="481"/>
      <c r="B78" s="481"/>
      <c r="D78" s="1275" t="s">
        <v>1233</v>
      </c>
      <c r="E78" s="1275"/>
      <c r="F78" s="1275"/>
    </row>
    <row r="79" spans="1:9">
      <c r="A79" s="481"/>
      <c r="B79" s="481"/>
    </row>
    <row r="80" spans="1:9" ht="13.7" customHeight="1">
      <c r="A80" s="519"/>
      <c r="B80" s="520" t="s">
        <v>2768</v>
      </c>
      <c r="D80" s="1275" t="s">
        <v>1401</v>
      </c>
      <c r="E80" s="1275"/>
      <c r="F80" s="1275"/>
      <c r="I80" s="436" t="s">
        <v>2152</v>
      </c>
    </row>
    <row r="81" spans="1:9" ht="14.25">
      <c r="A81" s="519"/>
      <c r="B81" s="519"/>
      <c r="D81" s="1275"/>
      <c r="E81" s="1275"/>
      <c r="F81" s="1275"/>
    </row>
    <row r="82" spans="1:9" ht="14.25">
      <c r="A82" s="519"/>
      <c r="B82" s="519"/>
      <c r="D82" s="1275"/>
      <c r="E82" s="1275"/>
      <c r="F82" s="1275"/>
    </row>
    <row r="83" spans="1:9" ht="14.25">
      <c r="A83" s="519"/>
      <c r="B83" s="519"/>
      <c r="D83" s="1275"/>
      <c r="E83" s="1275"/>
      <c r="F83" s="1275"/>
    </row>
    <row r="84" spans="1:9" ht="14.25">
      <c r="A84" s="519"/>
      <c r="B84" s="519"/>
      <c r="D84" s="1275"/>
      <c r="E84" s="1275"/>
      <c r="F84" s="1275"/>
    </row>
    <row r="85" spans="1:9" ht="14.25">
      <c r="A85" s="519"/>
      <c r="B85" s="519"/>
      <c r="D85" s="1275"/>
      <c r="E85" s="1275"/>
      <c r="F85" s="1275"/>
    </row>
    <row r="86" spans="1:9" ht="14.25">
      <c r="A86" s="519"/>
      <c r="B86" s="519"/>
      <c r="D86" s="1275"/>
      <c r="E86" s="1275"/>
      <c r="F86" s="1275"/>
    </row>
    <row r="87" spans="1:9" ht="14.25">
      <c r="A87" s="519"/>
      <c r="B87" s="519"/>
      <c r="D87" s="1275"/>
      <c r="E87" s="1275"/>
      <c r="F87" s="1275"/>
    </row>
    <row r="88" spans="1:9" ht="14.25">
      <c r="A88" s="519"/>
      <c r="B88" s="519"/>
      <c r="D88" s="417"/>
      <c r="E88" s="417"/>
      <c r="F88" s="417"/>
    </row>
    <row r="89" spans="1:9" ht="15" customHeight="1">
      <c r="A89" s="519"/>
      <c r="B89" s="520" t="s">
        <v>2768</v>
      </c>
      <c r="D89" s="1275" t="s">
        <v>2003</v>
      </c>
      <c r="E89" s="1275"/>
      <c r="F89" s="1275"/>
      <c r="I89" s="436" t="s">
        <v>2153</v>
      </c>
    </row>
    <row r="90" spans="1:9" ht="14.25">
      <c r="A90" s="519"/>
      <c r="B90" s="519"/>
      <c r="D90" s="1275"/>
      <c r="E90" s="1275"/>
      <c r="F90" s="1275"/>
    </row>
    <row r="91" spans="1:9" ht="14.25">
      <c r="A91" s="519"/>
      <c r="B91" s="519"/>
      <c r="D91" s="480"/>
      <c r="E91" s="480"/>
      <c r="F91" s="480"/>
    </row>
    <row r="92" spans="1:9" ht="14.25">
      <c r="A92" s="519"/>
      <c r="B92" s="520" t="s">
        <v>2768</v>
      </c>
      <c r="D92" s="1275" t="s">
        <v>2006</v>
      </c>
      <c r="E92" s="1275"/>
      <c r="F92" s="1275"/>
      <c r="I92" s="436" t="s">
        <v>2154</v>
      </c>
    </row>
    <row r="93" spans="1:9" ht="14.25">
      <c r="A93" s="519"/>
      <c r="B93" s="519"/>
      <c r="D93" s="1275"/>
      <c r="E93" s="1275"/>
      <c r="F93" s="1275"/>
    </row>
    <row r="94" spans="1:9" ht="14.25">
      <c r="A94" s="519"/>
      <c r="B94" s="519"/>
      <c r="D94" s="1275"/>
      <c r="E94" s="1275"/>
      <c r="F94" s="1275"/>
    </row>
    <row r="95" spans="1:9" ht="14.25">
      <c r="A95" s="519"/>
      <c r="B95" s="519"/>
      <c r="D95" s="480"/>
      <c r="E95" s="480"/>
      <c r="F95" s="480"/>
    </row>
    <row r="96" spans="1:9" ht="14.25">
      <c r="A96" s="519"/>
      <c r="B96" s="520" t="s">
        <v>2624</v>
      </c>
      <c r="D96" s="1275" t="s">
        <v>2005</v>
      </c>
      <c r="E96" s="1275"/>
      <c r="F96" s="1275"/>
      <c r="I96" s="436" t="s">
        <v>2199</v>
      </c>
    </row>
    <row r="97" spans="1:9" s="1024" customFormat="1" ht="14.25">
      <c r="A97" s="1022"/>
      <c r="B97" s="1022"/>
      <c r="C97" s="1023"/>
      <c r="D97" s="1275"/>
      <c r="E97" s="1275"/>
      <c r="F97" s="1275"/>
      <c r="I97" s="1063"/>
    </row>
    <row r="98" spans="1:9" ht="14.25">
      <c r="A98" s="519"/>
      <c r="B98" s="519"/>
      <c r="D98" s="424"/>
      <c r="E98" s="336" t="s">
        <v>2305</v>
      </c>
      <c r="F98" s="480"/>
    </row>
    <row r="99" spans="1:9" ht="14.25">
      <c r="A99" s="519"/>
      <c r="B99" s="519"/>
      <c r="D99" s="417"/>
      <c r="E99" s="417"/>
      <c r="F99" s="417"/>
    </row>
    <row r="100" spans="1:9" ht="14.25">
      <c r="A100" s="519"/>
      <c r="B100" s="520" t="s">
        <v>2624</v>
      </c>
      <c r="D100" s="1275" t="s">
        <v>2004</v>
      </c>
      <c r="E100" s="1275"/>
      <c r="F100" s="1275"/>
      <c r="I100" s="436" t="s">
        <v>2155</v>
      </c>
    </row>
    <row r="101" spans="1:9" ht="14.25">
      <c r="A101" s="519"/>
      <c r="B101" s="519"/>
      <c r="D101" s="1275"/>
      <c r="E101" s="1275"/>
      <c r="F101" s="1275"/>
    </row>
    <row r="102" spans="1:9" ht="14.25">
      <c r="A102" s="519"/>
      <c r="B102" s="519"/>
      <c r="D102" s="480"/>
      <c r="E102" s="480"/>
      <c r="F102" s="480"/>
    </row>
    <row r="103" spans="1:9" ht="14.45" customHeight="1">
      <c r="A103" s="519"/>
      <c r="B103" s="520" t="s">
        <v>2624</v>
      </c>
      <c r="D103" s="1275" t="s">
        <v>1337</v>
      </c>
      <c r="E103" s="1275"/>
      <c r="F103" s="1275"/>
      <c r="I103" s="436" t="s">
        <v>2156</v>
      </c>
    </row>
    <row r="104" spans="1:9" ht="14.25">
      <c r="A104" s="519"/>
      <c r="B104" s="519"/>
      <c r="D104" s="1275"/>
      <c r="E104" s="1275"/>
      <c r="F104" s="1275"/>
    </row>
    <row r="105" spans="1:9" ht="14.25">
      <c r="A105" s="519"/>
      <c r="B105" s="519"/>
      <c r="D105" s="1275"/>
      <c r="E105" s="1275"/>
      <c r="F105" s="1275"/>
    </row>
    <row r="106" spans="1:9" ht="14.25">
      <c r="A106" s="519"/>
      <c r="B106" s="519"/>
      <c r="D106" s="1275"/>
      <c r="E106" s="1275"/>
      <c r="F106" s="1275"/>
    </row>
    <row r="107" spans="1:9" ht="14.25">
      <c r="A107" s="519"/>
      <c r="B107" s="519"/>
      <c r="D107" s="1275"/>
      <c r="E107" s="1275"/>
      <c r="F107" s="1275"/>
    </row>
    <row r="108" spans="1:9" ht="14.25">
      <c r="A108" s="519"/>
      <c r="B108" s="519"/>
      <c r="D108" s="1275"/>
      <c r="E108" s="1275"/>
      <c r="F108" s="1275"/>
    </row>
    <row r="109" spans="1:9" ht="14.25">
      <c r="A109" s="519"/>
      <c r="B109" s="519"/>
      <c r="D109" s="1275"/>
      <c r="E109" s="1275"/>
      <c r="F109" s="1275"/>
    </row>
    <row r="110" spans="1:9" ht="14.25">
      <c r="A110" s="519"/>
      <c r="B110" s="519"/>
      <c r="D110" s="1275"/>
      <c r="E110" s="1275"/>
      <c r="F110" s="1275"/>
    </row>
    <row r="111" spans="1:9" ht="14.25">
      <c r="A111" s="519"/>
      <c r="B111" s="519"/>
      <c r="D111" s="1275"/>
      <c r="E111" s="1275"/>
      <c r="F111" s="1275"/>
    </row>
    <row r="112" spans="1:9" ht="14.25">
      <c r="A112" s="519"/>
      <c r="B112" s="519"/>
      <c r="D112" s="1275"/>
      <c r="E112" s="1275"/>
      <c r="F112" s="1275"/>
    </row>
    <row r="113" spans="1:9" ht="14.25">
      <c r="A113" s="519"/>
      <c r="B113" s="519"/>
      <c r="D113" s="1275"/>
      <c r="E113" s="1275"/>
      <c r="F113" s="1275"/>
    </row>
    <row r="114" spans="1:9" ht="14.25">
      <c r="A114" s="519"/>
      <c r="B114" s="519"/>
      <c r="D114" s="1275"/>
      <c r="E114" s="1275"/>
      <c r="F114" s="1275"/>
    </row>
    <row r="115" spans="1:9" ht="14.25">
      <c r="A115" s="519"/>
      <c r="B115" s="519"/>
      <c r="D115" s="1275"/>
      <c r="E115" s="1275"/>
      <c r="F115" s="1275"/>
    </row>
    <row r="116" spans="1:9" ht="14.25">
      <c r="A116" s="519"/>
      <c r="B116" s="519"/>
      <c r="D116" s="1275"/>
      <c r="E116" s="1275"/>
      <c r="F116" s="1275"/>
    </row>
    <row r="117" spans="1:9" ht="14.25">
      <c r="A117" s="519"/>
      <c r="B117" s="519"/>
      <c r="D117" s="1275"/>
      <c r="E117" s="1275"/>
      <c r="F117" s="1275"/>
    </row>
    <row r="118" spans="1:9" ht="14.25">
      <c r="A118" s="519"/>
      <c r="B118" s="519"/>
      <c r="D118" s="559"/>
      <c r="E118" s="559"/>
      <c r="F118" s="559"/>
    </row>
    <row r="119" spans="1:9" ht="14.25" customHeight="1">
      <c r="A119" s="519"/>
      <c r="B119" s="520" t="s">
        <v>2624</v>
      </c>
      <c r="D119" s="1302" t="s">
        <v>1208</v>
      </c>
      <c r="E119" s="1302"/>
      <c r="F119" s="1302"/>
    </row>
    <row r="120" spans="1:9" ht="14.25">
      <c r="A120" s="519"/>
      <c r="B120" s="519"/>
      <c r="D120" s="1302"/>
      <c r="E120" s="1302"/>
      <c r="F120" s="1302"/>
    </row>
    <row r="121" spans="1:9" ht="14.25">
      <c r="A121" s="519"/>
      <c r="B121" s="519"/>
      <c r="D121" s="1302"/>
      <c r="E121" s="1302"/>
      <c r="F121" s="1302"/>
    </row>
    <row r="122" spans="1:9" ht="14.25">
      <c r="A122" s="519"/>
      <c r="B122" s="519"/>
      <c r="D122" s="1302"/>
      <c r="E122" s="1302"/>
      <c r="F122" s="1302"/>
    </row>
    <row r="123" spans="1:9" ht="14.25">
      <c r="A123" s="519"/>
      <c r="B123" s="519"/>
      <c r="D123" s="1302"/>
      <c r="E123" s="1302"/>
      <c r="F123" s="1302"/>
    </row>
    <row r="124" spans="1:9" ht="14.25">
      <c r="A124" s="519"/>
      <c r="B124" s="519"/>
      <c r="D124" s="1302"/>
      <c r="E124" s="1302"/>
      <c r="F124" s="1302"/>
    </row>
    <row r="125" spans="1:9" ht="14.25">
      <c r="A125" s="519"/>
      <c r="B125" s="519"/>
      <c r="D125" s="1302"/>
      <c r="E125" s="1302"/>
      <c r="F125" s="1302"/>
    </row>
    <row r="126" spans="1:9" ht="14.25">
      <c r="A126" s="519"/>
      <c r="B126" s="519"/>
      <c r="D126" s="1302"/>
      <c r="E126" s="1302"/>
      <c r="F126" s="1302"/>
    </row>
    <row r="127" spans="1:9">
      <c r="C127" s="434"/>
      <c r="D127" s="560"/>
      <c r="E127" s="560"/>
      <c r="F127" s="560"/>
    </row>
    <row r="128" spans="1:9" ht="14.25">
      <c r="A128" s="519"/>
      <c r="B128" s="520" t="s">
        <v>2768</v>
      </c>
      <c r="C128" s="434"/>
      <c r="D128" s="1302" t="s">
        <v>2445</v>
      </c>
      <c r="E128" s="1302"/>
      <c r="F128" s="1302"/>
      <c r="I128" s="436" t="s">
        <v>2157</v>
      </c>
    </row>
    <row r="129" spans="1:9" ht="14.25">
      <c r="A129" s="519"/>
      <c r="B129" s="519"/>
      <c r="C129" s="434"/>
      <c r="D129" s="1302"/>
      <c r="E129" s="1302"/>
      <c r="F129" s="1302"/>
    </row>
    <row r="130" spans="1:9"/>
    <row r="131" spans="1:9" ht="14.25">
      <c r="A131" s="519"/>
      <c r="B131" s="520" t="s">
        <v>2768</v>
      </c>
      <c r="D131" s="1275" t="s">
        <v>1211</v>
      </c>
      <c r="E131" s="1275"/>
      <c r="F131" s="1275"/>
      <c r="I131" s="436" t="s">
        <v>2157</v>
      </c>
    </row>
    <row r="132" spans="1:9">
      <c r="D132" s="1275"/>
      <c r="E132" s="1275"/>
      <c r="F132" s="1275"/>
    </row>
    <row r="133" spans="1:9">
      <c r="D133" s="1275"/>
      <c r="E133" s="1275"/>
      <c r="F133" s="1275"/>
    </row>
    <row r="134" spans="1:9">
      <c r="D134" s="1275"/>
      <c r="E134" s="1275"/>
      <c r="F134" s="1275"/>
    </row>
    <row r="135" spans="1:9">
      <c r="D135" s="1275"/>
      <c r="E135" s="1275"/>
      <c r="F135" s="1275"/>
    </row>
    <row r="136" spans="1:9"/>
    <row r="137" spans="1:9" ht="14.25">
      <c r="A137" s="519"/>
      <c r="B137" s="520" t="s">
        <v>2768</v>
      </c>
      <c r="D137" s="1275" t="s">
        <v>1212</v>
      </c>
      <c r="E137" s="1275"/>
      <c r="F137" s="1275"/>
      <c r="I137" s="436" t="s">
        <v>2158</v>
      </c>
    </row>
    <row r="138" spans="1:9" s="449" customFormat="1" ht="13.7" customHeight="1">
      <c r="A138" s="523"/>
      <c r="B138" s="523"/>
      <c r="C138" s="523"/>
      <c r="D138" s="1275"/>
      <c r="E138" s="1275"/>
      <c r="F138" s="1275"/>
      <c r="I138" s="1064"/>
    </row>
    <row r="139" spans="1:9" ht="13.7" customHeight="1">
      <c r="D139" s="1275"/>
      <c r="E139" s="1275"/>
      <c r="F139" s="1275"/>
    </row>
    <row r="140" spans="1:9" ht="13.7" customHeight="1">
      <c r="D140" s="1275"/>
      <c r="E140" s="1275"/>
      <c r="F140" s="1275"/>
    </row>
    <row r="141" spans="1:9" ht="13.7" customHeight="1">
      <c r="D141" s="1275"/>
      <c r="E141" s="1275"/>
      <c r="F141" s="1275"/>
    </row>
    <row r="142" spans="1:9" ht="13.7" customHeight="1">
      <c r="A142" s="524"/>
      <c r="B142" s="524"/>
      <c r="D142" s="1275"/>
      <c r="E142" s="1275"/>
      <c r="F142" s="1275"/>
    </row>
    <row r="143" spans="1:9" ht="13.7" customHeight="1">
      <c r="D143" s="1275"/>
      <c r="E143" s="1275"/>
      <c r="F143" s="1275"/>
    </row>
    <row r="144" spans="1:9" ht="13.7" customHeight="1">
      <c r="D144" s="1275"/>
      <c r="E144" s="1275"/>
      <c r="F144" s="1275"/>
    </row>
    <row r="145" spans="2:9" ht="13.7" customHeight="1">
      <c r="D145" s="1275"/>
      <c r="E145" s="1275"/>
      <c r="F145" s="1275"/>
    </row>
    <row r="146" spans="2:9" ht="13.7" customHeight="1">
      <c r="D146" s="1275"/>
      <c r="E146" s="1275"/>
      <c r="F146" s="1275"/>
    </row>
    <row r="147" spans="2:9" ht="13.7" customHeight="1">
      <c r="D147" s="1275"/>
      <c r="E147" s="1275"/>
      <c r="F147" s="1275"/>
    </row>
    <row r="148" spans="2:9" ht="13.7" customHeight="1">
      <c r="D148" s="1275"/>
      <c r="E148" s="1275"/>
      <c r="F148" s="1275"/>
    </row>
    <row r="149" spans="2:9" ht="13.7" customHeight="1">
      <c r="D149" s="1275"/>
      <c r="E149" s="1275"/>
      <c r="F149" s="1275"/>
    </row>
    <row r="150" spans="2:9" ht="13.7" customHeight="1">
      <c r="D150" s="511"/>
      <c r="E150" s="481"/>
      <c r="F150" s="481"/>
    </row>
    <row r="151" spans="2:9" ht="13.7" customHeight="1">
      <c r="B151" s="520" t="s">
        <v>2624</v>
      </c>
      <c r="D151" s="1275" t="s">
        <v>1320</v>
      </c>
      <c r="E151" s="1275"/>
      <c r="F151" s="1275"/>
      <c r="I151" s="436" t="s">
        <v>2159</v>
      </c>
    </row>
    <row r="152" spans="2:9" ht="13.7" customHeight="1">
      <c r="D152" s="1275"/>
      <c r="E152" s="1275"/>
      <c r="F152" s="1275"/>
    </row>
    <row r="153" spans="2:9" ht="13.7" customHeight="1">
      <c r="D153" s="1275"/>
      <c r="E153" s="1275"/>
      <c r="F153" s="1275"/>
    </row>
    <row r="154" spans="2:9" ht="13.7" customHeight="1">
      <c r="D154" s="1275"/>
      <c r="E154" s="1275"/>
      <c r="F154" s="1275"/>
    </row>
    <row r="155" spans="2:9" ht="13.7" customHeight="1">
      <c r="D155" s="1275"/>
      <c r="E155" s="1275"/>
      <c r="F155" s="1275"/>
    </row>
    <row r="156" spans="2:9" ht="13.7" customHeight="1">
      <c r="D156" s="1275"/>
      <c r="E156" s="1275"/>
      <c r="F156" s="1275"/>
    </row>
    <row r="157" spans="2:9" ht="13.7" customHeight="1">
      <c r="D157" s="1275"/>
      <c r="E157" s="1275"/>
      <c r="F157" s="1275"/>
    </row>
    <row r="158" spans="2:9" ht="13.7" customHeight="1">
      <c r="D158" s="1275"/>
      <c r="E158" s="1275"/>
      <c r="F158" s="1275"/>
    </row>
    <row r="159" spans="2:9" ht="13.7" customHeight="1">
      <c r="D159" s="1275"/>
      <c r="E159" s="1275"/>
      <c r="F159" s="1275"/>
    </row>
    <row r="160" spans="2:9" ht="13.7" customHeight="1">
      <c r="D160" s="1275"/>
      <c r="E160" s="1275"/>
      <c r="F160" s="1275"/>
    </row>
    <row r="161" spans="1:9" ht="13.7" customHeight="1">
      <c r="D161" s="1275"/>
      <c r="E161" s="1275"/>
      <c r="F161" s="1275"/>
    </row>
    <row r="162" spans="1:9" ht="13.7" customHeight="1">
      <c r="D162" s="1275"/>
      <c r="E162" s="1275"/>
      <c r="F162" s="1275"/>
    </row>
    <row r="163" spans="1:9" ht="13.7" customHeight="1">
      <c r="D163" s="1275"/>
      <c r="E163" s="1275"/>
      <c r="F163" s="1275"/>
    </row>
    <row r="164" spans="1:9" ht="13.7" customHeight="1">
      <c r="D164" s="1275"/>
      <c r="E164" s="1275"/>
      <c r="F164" s="1275"/>
    </row>
    <row r="165" spans="1:9" ht="13.7" customHeight="1">
      <c r="D165" s="1275"/>
      <c r="E165" s="1275"/>
      <c r="F165" s="1275"/>
    </row>
    <row r="166" spans="1:9" ht="13.7" customHeight="1">
      <c r="D166" s="1275"/>
      <c r="E166" s="1275"/>
      <c r="F166" s="1275"/>
    </row>
    <row r="167" spans="1:9" ht="13.7" customHeight="1">
      <c r="D167" s="1275"/>
      <c r="E167" s="1275"/>
      <c r="F167" s="1275"/>
    </row>
    <row r="168" spans="1:9" ht="13.7" customHeight="1">
      <c r="D168" s="1275"/>
      <c r="E168" s="1275"/>
      <c r="F168" s="1275"/>
    </row>
    <row r="169" spans="1:9" ht="13.7" customHeight="1">
      <c r="D169" s="1335" t="s">
        <v>2469</v>
      </c>
      <c r="E169" s="1335"/>
      <c r="F169" s="1335"/>
      <c r="G169" s="542"/>
    </row>
    <row r="170" spans="1:9" ht="13.7" customHeight="1">
      <c r="D170" s="1308"/>
      <c r="E170" s="1308"/>
      <c r="F170" s="1308"/>
      <c r="G170" s="1308"/>
    </row>
    <row r="171" spans="1:9" ht="14.45" customHeight="1">
      <c r="A171" s="524"/>
      <c r="B171" s="520" t="s">
        <v>2624</v>
      </c>
      <c r="C171" s="511"/>
      <c r="D171" s="1263" t="s">
        <v>1367</v>
      </c>
      <c r="E171" s="1263"/>
      <c r="F171" s="1263"/>
      <c r="G171" s="511"/>
      <c r="I171" s="436" t="s">
        <v>2154</v>
      </c>
    </row>
    <row r="172" spans="1:9" ht="14.45" customHeight="1">
      <c r="A172" s="524"/>
      <c r="B172" s="524"/>
      <c r="C172" s="511"/>
      <c r="D172" s="1263"/>
      <c r="E172" s="1263"/>
      <c r="F172" s="1263"/>
      <c r="G172" s="511"/>
    </row>
    <row r="173" spans="1:9" ht="13.7" customHeight="1">
      <c r="A173" s="524"/>
      <c r="B173" s="524"/>
      <c r="C173" s="511"/>
      <c r="D173" s="1263"/>
      <c r="E173" s="1263"/>
      <c r="F173" s="1263"/>
      <c r="G173" s="511"/>
    </row>
    <row r="174" spans="1:9" ht="13.7" customHeight="1">
      <c r="A174" s="524"/>
      <c r="B174" s="524"/>
      <c r="C174" s="511"/>
      <c r="D174" s="511"/>
      <c r="E174" s="511"/>
      <c r="F174" s="511"/>
      <c r="G174" s="511"/>
    </row>
    <row r="175" spans="1:9" ht="13.7" customHeight="1">
      <c r="A175" s="524"/>
      <c r="B175" s="520" t="s">
        <v>2624</v>
      </c>
      <c r="C175" s="511"/>
      <c r="D175" s="1263" t="s">
        <v>1214</v>
      </c>
      <c r="E175" s="1263"/>
      <c r="F175" s="1263"/>
      <c r="G175" s="511"/>
      <c r="I175" s="436" t="s">
        <v>2160</v>
      </c>
    </row>
    <row r="176" spans="1:9" ht="13.7" customHeight="1">
      <c r="A176" s="524"/>
      <c r="B176" s="524"/>
      <c r="C176" s="511"/>
      <c r="D176" s="1263"/>
      <c r="E176" s="1263"/>
      <c r="F176" s="1263"/>
      <c r="G176" s="511"/>
    </row>
    <row r="177" spans="1:9" ht="13.7" customHeight="1">
      <c r="A177" s="524"/>
      <c r="B177" s="524"/>
      <c r="C177" s="511"/>
      <c r="D177" s="1263"/>
      <c r="E177" s="1263"/>
      <c r="F177" s="1263"/>
      <c r="G177" s="511"/>
    </row>
    <row r="178" spans="1:9" ht="13.7" customHeight="1">
      <c r="A178" s="524"/>
      <c r="B178" s="524"/>
      <c r="C178" s="511"/>
      <c r="D178" s="1263"/>
      <c r="E178" s="1263"/>
      <c r="F178" s="1263"/>
      <c r="G178" s="511"/>
    </row>
    <row r="179" spans="1:9" ht="13.7" customHeight="1">
      <c r="D179" s="481"/>
      <c r="E179" s="481"/>
      <c r="F179" s="481"/>
    </row>
    <row r="180" spans="1:9" ht="13.7" customHeight="1">
      <c r="B180" s="520" t="s">
        <v>2624</v>
      </c>
      <c r="D180" s="1297" t="s">
        <v>2446</v>
      </c>
      <c r="E180" s="1297"/>
      <c r="F180" s="1297"/>
      <c r="I180" s="436" t="s">
        <v>2161</v>
      </c>
    </row>
    <row r="181" spans="1:9" ht="13.7" customHeight="1">
      <c r="D181" s="1297"/>
      <c r="E181" s="1297"/>
      <c r="F181" s="1297"/>
    </row>
    <row r="182" spans="1:9" ht="13.7" customHeight="1">
      <c r="D182" s="1297"/>
      <c r="E182" s="1297"/>
      <c r="F182" s="1297"/>
    </row>
    <row r="183" spans="1:9" ht="13.7" customHeight="1">
      <c r="A183" s="525"/>
      <c r="B183" s="525"/>
      <c r="E183" s="481"/>
      <c r="F183" s="481"/>
    </row>
    <row r="184" spans="1:9">
      <c r="A184" s="1281" t="s">
        <v>2447</v>
      </c>
      <c r="B184" s="1281"/>
      <c r="C184" s="1281"/>
      <c r="D184" s="1281"/>
      <c r="E184" s="1281"/>
      <c r="F184" s="1281"/>
      <c r="G184" s="1281"/>
      <c r="H184" s="1071"/>
      <c r="I184" s="1072"/>
    </row>
    <row r="185" spans="1:9" ht="12" customHeight="1">
      <c r="D185" s="481"/>
      <c r="E185" s="481"/>
      <c r="F185" s="481"/>
    </row>
    <row r="186" spans="1:9">
      <c r="B186" s="1290" t="s">
        <v>449</v>
      </c>
      <c r="C186" s="1290"/>
      <c r="D186" s="1290"/>
      <c r="E186" s="1290"/>
      <c r="F186" s="1290"/>
    </row>
    <row r="187" spans="1:9">
      <c r="B187" s="424" t="s">
        <v>2140</v>
      </c>
      <c r="C187" s="424"/>
      <c r="D187" s="424"/>
      <c r="E187" s="424"/>
      <c r="F187" s="424"/>
    </row>
    <row r="188" spans="1:9" ht="12" customHeight="1">
      <c r="A188" s="517"/>
      <c r="B188" s="517"/>
      <c r="C188" s="517"/>
    </row>
    <row r="189" spans="1:9">
      <c r="A189" s="1281" t="s">
        <v>1110</v>
      </c>
      <c r="B189" s="1281"/>
      <c r="C189" s="1281"/>
      <c r="D189" s="1281"/>
      <c r="E189" s="1281"/>
      <c r="F189" s="1281"/>
      <c r="G189" s="1281"/>
      <c r="H189" s="1071"/>
      <c r="I189" s="1072"/>
    </row>
    <row r="190" spans="1:9" ht="12" customHeight="1">
      <c r="A190" s="436"/>
      <c r="B190" s="436"/>
      <c r="E190" s="436"/>
    </row>
    <row r="191" spans="1:9" ht="13.7" customHeight="1">
      <c r="A191" s="436"/>
      <c r="B191" s="436"/>
      <c r="D191" s="1303" t="s">
        <v>2007</v>
      </c>
      <c r="E191" s="1303"/>
      <c r="F191" s="1303"/>
    </row>
    <row r="192" spans="1:9">
      <c r="A192" s="436"/>
      <c r="B192" s="436"/>
      <c r="D192" s="1303"/>
      <c r="E192" s="1303"/>
      <c r="F192" s="1303"/>
    </row>
    <row r="193" spans="1:9">
      <c r="A193" s="436"/>
      <c r="B193" s="436"/>
      <c r="D193" s="1290" t="s">
        <v>1338</v>
      </c>
      <c r="E193" s="1290"/>
      <c r="F193" s="1290"/>
    </row>
    <row r="194" spans="1:9">
      <c r="A194" s="436"/>
      <c r="B194" s="436"/>
      <c r="D194" s="424"/>
      <c r="E194" s="424"/>
      <c r="F194" s="424"/>
    </row>
    <row r="195" spans="1:9">
      <c r="A195" s="436"/>
      <c r="B195" s="520" t="s">
        <v>2768</v>
      </c>
      <c r="D195" s="1280" t="s">
        <v>2008</v>
      </c>
      <c r="E195" s="1280"/>
      <c r="F195" s="1280"/>
      <c r="I195" s="436" t="s">
        <v>2210</v>
      </c>
    </row>
    <row r="196" spans="1:9">
      <c r="A196" s="436"/>
      <c r="B196" s="436"/>
      <c r="D196" s="1284" t="s">
        <v>2283</v>
      </c>
      <c r="E196" s="1284"/>
      <c r="F196" s="1284"/>
    </row>
    <row r="197" spans="1:9">
      <c r="A197" s="436"/>
      <c r="B197" s="436"/>
      <c r="D197" s="96" t="s">
        <v>2009</v>
      </c>
      <c r="E197" s="1331" t="s">
        <v>2306</v>
      </c>
      <c r="F197" s="1331"/>
    </row>
    <row r="198" spans="1:9">
      <c r="A198" s="436"/>
      <c r="B198" s="436"/>
      <c r="D198" s="3"/>
      <c r="E198" s="3"/>
      <c r="F198" s="3"/>
    </row>
    <row r="199" spans="1:9">
      <c r="A199" s="436"/>
      <c r="B199" s="520" t="s">
        <v>2624</v>
      </c>
      <c r="D199" s="1284" t="s">
        <v>2010</v>
      </c>
      <c r="E199" s="1284"/>
      <c r="F199" s="1284"/>
      <c r="I199" s="436" t="s">
        <v>2211</v>
      </c>
    </row>
    <row r="200" spans="1:9">
      <c r="A200" s="436"/>
      <c r="B200" s="436"/>
      <c r="D200" s="1280" t="s">
        <v>2283</v>
      </c>
      <c r="E200" s="1280"/>
      <c r="F200" s="1280"/>
    </row>
    <row r="201" spans="1:9">
      <c r="A201" s="436"/>
      <c r="B201" s="436"/>
      <c r="D201" s="57" t="s">
        <v>2011</v>
      </c>
      <c r="E201" s="1331" t="s">
        <v>2307</v>
      </c>
      <c r="F201" s="1331"/>
    </row>
    <row r="202" spans="1:9">
      <c r="A202" s="436"/>
      <c r="B202" s="436"/>
      <c r="D202" s="3"/>
      <c r="E202" s="3"/>
      <c r="F202" s="3"/>
    </row>
    <row r="203" spans="1:9">
      <c r="A203" s="436"/>
      <c r="B203" s="520" t="s">
        <v>2624</v>
      </c>
      <c r="D203" s="1284" t="s">
        <v>2012</v>
      </c>
      <c r="E203" s="1284"/>
      <c r="F203" s="1284"/>
      <c r="I203" s="436" t="s">
        <v>2212</v>
      </c>
    </row>
    <row r="204" spans="1:9">
      <c r="A204" s="436"/>
      <c r="B204" s="436"/>
      <c r="D204" s="1280" t="s">
        <v>2283</v>
      </c>
      <c r="E204" s="1280"/>
      <c r="F204" s="1280"/>
    </row>
    <row r="205" spans="1:9">
      <c r="A205" s="436"/>
      <c r="B205" s="436"/>
      <c r="D205" s="57" t="s">
        <v>2009</v>
      </c>
      <c r="E205" s="1331" t="s">
        <v>2308</v>
      </c>
      <c r="F205" s="1331"/>
    </row>
    <row r="206" spans="1:9">
      <c r="A206" s="436"/>
      <c r="B206" s="436"/>
      <c r="D206" s="424"/>
      <c r="E206" s="424"/>
      <c r="F206" s="424"/>
    </row>
    <row r="207" spans="1:9" ht="14.25" customHeight="1">
      <c r="A207" s="519"/>
      <c r="B207" s="520" t="s">
        <v>2624</v>
      </c>
      <c r="D207" s="418" t="s">
        <v>2276</v>
      </c>
      <c r="E207" s="417"/>
      <c r="F207" s="417"/>
      <c r="I207" s="436" t="s">
        <v>2213</v>
      </c>
    </row>
    <row r="208" spans="1:9" ht="14.25">
      <c r="A208" s="519"/>
      <c r="B208" s="519"/>
      <c r="D208" s="1280" t="s">
        <v>2283</v>
      </c>
      <c r="E208" s="1280"/>
      <c r="F208" s="1280"/>
    </row>
    <row r="209" spans="1:9">
      <c r="D209" s="417"/>
      <c r="E209" s="1331" t="s">
        <v>2309</v>
      </c>
      <c r="F209" s="1331"/>
    </row>
    <row r="210" spans="1:9">
      <c r="D210" s="482"/>
    </row>
    <row r="211" spans="1:9">
      <c r="B211" s="520" t="s">
        <v>2624</v>
      </c>
      <c r="D211" s="1284" t="s">
        <v>2013</v>
      </c>
      <c r="E211" s="1284"/>
      <c r="F211" s="1284"/>
      <c r="I211" s="436" t="s">
        <v>2214</v>
      </c>
    </row>
    <row r="212" spans="1:9">
      <c r="D212" s="1280" t="s">
        <v>2283</v>
      </c>
      <c r="E212" s="1280"/>
      <c r="F212" s="1280"/>
    </row>
    <row r="213" spans="1:9">
      <c r="D213" s="57" t="s">
        <v>2009</v>
      </c>
      <c r="E213" s="1331" t="s">
        <v>2310</v>
      </c>
      <c r="F213" s="1331"/>
    </row>
    <row r="214" spans="1:9">
      <c r="D214" s="486"/>
      <c r="E214" s="486"/>
      <c r="F214" s="486"/>
    </row>
    <row r="215" spans="1:9" ht="14.25">
      <c r="A215" s="519"/>
      <c r="B215" s="520" t="s">
        <v>2624</v>
      </c>
      <c r="D215" s="1275" t="s">
        <v>1359</v>
      </c>
      <c r="E215" s="1275"/>
      <c r="F215" s="1275"/>
    </row>
    <row r="216" spans="1:9" ht="14.45" customHeight="1">
      <c r="A216" s="519"/>
      <c r="B216" s="434"/>
      <c r="D216" s="1275"/>
      <c r="E216" s="1275"/>
      <c r="F216" s="1275"/>
    </row>
    <row r="217" spans="1:9" ht="14.25">
      <c r="A217" s="519"/>
      <c r="D217" s="1275"/>
      <c r="E217" s="1275"/>
      <c r="F217" s="1275"/>
    </row>
    <row r="218" spans="1:9" ht="14.25">
      <c r="A218" s="519"/>
      <c r="D218" s="1275"/>
      <c r="E218" s="1275"/>
      <c r="F218" s="1275"/>
    </row>
    <row r="219" spans="1:9">
      <c r="D219" s="486"/>
      <c r="E219" s="486"/>
      <c r="F219" s="486"/>
    </row>
    <row r="220" spans="1:9">
      <c r="A220" s="1281" t="s">
        <v>1111</v>
      </c>
      <c r="B220" s="1281"/>
      <c r="C220" s="1281"/>
      <c r="D220" s="1281"/>
      <c r="E220" s="1281"/>
      <c r="F220" s="1281"/>
      <c r="G220" s="1281"/>
      <c r="H220" s="1071"/>
      <c r="I220" s="1072"/>
    </row>
    <row r="221" spans="1:9" ht="12" customHeight="1">
      <c r="D221" s="481"/>
      <c r="E221" s="481"/>
      <c r="F221" s="481"/>
    </row>
    <row r="222" spans="1:9">
      <c r="C222" s="521"/>
      <c r="D222" s="1273" t="s">
        <v>210</v>
      </c>
      <c r="E222" s="1273"/>
      <c r="F222" s="1273"/>
    </row>
    <row r="223" spans="1:9">
      <c r="A223" s="517"/>
      <c r="B223" s="517"/>
      <c r="C223" s="517"/>
      <c r="D223" s="1304" t="s">
        <v>1240</v>
      </c>
      <c r="E223" s="1304"/>
      <c r="F223" s="1304"/>
    </row>
    <row r="224" spans="1:9" ht="12" customHeight="1">
      <c r="A224" s="525"/>
      <c r="B224" s="525"/>
      <c r="C224" s="525"/>
    </row>
    <row r="225" spans="1:9" ht="13.7" customHeight="1">
      <c r="A225" s="525"/>
      <c r="C225" s="525"/>
      <c r="D225" s="1273" t="s">
        <v>555</v>
      </c>
      <c r="E225" s="1273"/>
      <c r="F225" s="1273"/>
      <c r="I225" s="436" t="s">
        <v>2162</v>
      </c>
    </row>
    <row r="226" spans="1:9" ht="14.25">
      <c r="A226" s="519"/>
      <c r="B226" s="520" t="s">
        <v>2768</v>
      </c>
      <c r="D226" s="1275" t="s">
        <v>2014</v>
      </c>
      <c r="E226" s="1275"/>
      <c r="F226" s="1275"/>
    </row>
    <row r="227" spans="1:9" ht="14.25" customHeight="1">
      <c r="A227" s="519"/>
      <c r="B227" s="519"/>
      <c r="D227" s="1275"/>
      <c r="E227" s="1275"/>
      <c r="F227" s="1275"/>
    </row>
    <row r="228" spans="1:9" ht="14.25" customHeight="1">
      <c r="A228" s="519"/>
      <c r="B228" s="519"/>
      <c r="D228" s="1275"/>
      <c r="E228" s="1275"/>
      <c r="F228" s="1275"/>
    </row>
    <row r="229" spans="1:9" ht="14.25">
      <c r="A229" s="519"/>
      <c r="B229" s="519"/>
      <c r="D229" s="1275"/>
      <c r="E229" s="1275"/>
      <c r="F229" s="1275"/>
    </row>
    <row r="230" spans="1:9" ht="14.25">
      <c r="A230" s="519"/>
      <c r="B230" s="519"/>
      <c r="D230" s="480"/>
      <c r="E230" s="480"/>
      <c r="F230" s="480"/>
    </row>
    <row r="231" spans="1:9" ht="14.25">
      <c r="A231" s="519"/>
      <c r="B231" s="520" t="s">
        <v>2768</v>
      </c>
      <c r="D231" s="1275" t="s">
        <v>2015</v>
      </c>
      <c r="E231" s="1275"/>
      <c r="F231" s="1275"/>
      <c r="I231" s="436" t="s">
        <v>2163</v>
      </c>
    </row>
    <row r="232" spans="1:9" ht="14.25">
      <c r="A232" s="519"/>
      <c r="B232" s="519"/>
      <c r="D232" s="1275"/>
      <c r="E232" s="1275"/>
      <c r="F232" s="1275"/>
    </row>
    <row r="233" spans="1:9" ht="14.25">
      <c r="A233" s="519"/>
      <c r="B233" s="519"/>
      <c r="D233" s="1275"/>
      <c r="E233" s="1275"/>
      <c r="F233" s="1275"/>
    </row>
    <row r="234" spans="1:9" ht="14.25">
      <c r="A234" s="519"/>
      <c r="B234" s="519"/>
      <c r="D234" s="1275"/>
      <c r="E234" s="1275"/>
      <c r="F234" s="1275"/>
    </row>
    <row r="235" spans="1:9" ht="14.25" customHeight="1">
      <c r="A235" s="519"/>
      <c r="B235" s="519"/>
      <c r="D235" s="1275"/>
      <c r="E235" s="1275"/>
      <c r="F235" s="1275"/>
    </row>
    <row r="236" spans="1:9" ht="14.25" customHeight="1">
      <c r="A236" s="519"/>
      <c r="B236" s="519"/>
      <c r="D236" s="480"/>
      <c r="E236" s="480"/>
      <c r="F236" s="480"/>
    </row>
    <row r="237" spans="1:9" ht="14.25">
      <c r="A237" s="519"/>
      <c r="B237" s="519"/>
      <c r="D237" s="1275" t="s">
        <v>1236</v>
      </c>
      <c r="E237" s="1275"/>
      <c r="F237" s="1275"/>
      <c r="I237" s="436" t="s">
        <v>2162</v>
      </c>
    </row>
    <row r="238" spans="1:9" ht="14.25">
      <c r="A238" s="519"/>
      <c r="B238" s="519"/>
      <c r="D238" s="1275"/>
      <c r="E238" s="1275"/>
      <c r="F238" s="1275"/>
    </row>
    <row r="239" spans="1:9" ht="14.25">
      <c r="A239" s="519"/>
      <c r="B239" s="519"/>
      <c r="D239" s="1275"/>
      <c r="E239" s="1275"/>
      <c r="F239" s="1275"/>
    </row>
    <row r="240" spans="1:9" ht="14.25">
      <c r="A240" s="519"/>
      <c r="B240" s="519"/>
      <c r="D240" s="1275"/>
      <c r="E240" s="1275"/>
      <c r="F240" s="1275"/>
    </row>
    <row r="241" spans="1:9" ht="14.25">
      <c r="A241" s="519"/>
      <c r="B241" s="519"/>
      <c r="D241" s="1275"/>
      <c r="E241" s="1275"/>
      <c r="F241" s="1275"/>
    </row>
    <row r="242" spans="1:9" ht="14.25">
      <c r="A242" s="519"/>
      <c r="B242" s="519"/>
      <c r="D242" s="481"/>
      <c r="E242" s="481"/>
      <c r="F242" s="481"/>
    </row>
    <row r="243" spans="1:9" ht="14.25">
      <c r="A243" s="519"/>
      <c r="B243" s="520" t="s">
        <v>2624</v>
      </c>
      <c r="D243" s="1275" t="s">
        <v>2448</v>
      </c>
      <c r="E243" s="1275"/>
      <c r="F243" s="1275"/>
      <c r="I243" s="436" t="s">
        <v>2201</v>
      </c>
    </row>
    <row r="244" spans="1:9" ht="14.25">
      <c r="A244" s="519"/>
      <c r="B244" s="519"/>
      <c r="D244" s="1275"/>
      <c r="E244" s="1275"/>
      <c r="F244" s="1275"/>
    </row>
    <row r="245" spans="1:9" ht="14.25">
      <c r="A245" s="519"/>
      <c r="B245" s="519"/>
      <c r="D245" s="1275"/>
      <c r="E245" s="1275"/>
      <c r="F245" s="1275"/>
    </row>
    <row r="246" spans="1:9" ht="14.25">
      <c r="A246" s="519"/>
      <c r="B246" s="519"/>
      <c r="E246" s="1080" t="s">
        <v>2277</v>
      </c>
    </row>
    <row r="247" spans="1:9" ht="14.25">
      <c r="A247" s="519"/>
      <c r="B247" s="519"/>
      <c r="D247" s="481"/>
      <c r="E247" s="481"/>
      <c r="F247" s="481"/>
    </row>
    <row r="248" spans="1:9" ht="14.45" customHeight="1">
      <c r="A248" s="519"/>
      <c r="B248" s="520" t="s">
        <v>2624</v>
      </c>
      <c r="D248" s="1275" t="s">
        <v>2449</v>
      </c>
      <c r="E248" s="1275"/>
      <c r="F248" s="1275"/>
      <c r="I248" s="436" t="s">
        <v>2219</v>
      </c>
    </row>
    <row r="249" spans="1:9" ht="14.25">
      <c r="A249" s="519"/>
      <c r="B249" s="519"/>
      <c r="D249" s="1275"/>
      <c r="E249" s="1275"/>
      <c r="F249" s="1275"/>
    </row>
    <row r="250" spans="1:9" ht="14.25">
      <c r="A250" s="519"/>
      <c r="B250" s="519"/>
      <c r="D250" s="1275"/>
      <c r="E250" s="1275"/>
      <c r="F250" s="1275"/>
    </row>
    <row r="251" spans="1:9" ht="14.25">
      <c r="A251" s="519"/>
      <c r="B251" s="519"/>
      <c r="D251" s="1275"/>
      <c r="E251" s="1275"/>
      <c r="F251" s="1275"/>
    </row>
    <row r="252" spans="1:9" ht="14.25">
      <c r="A252" s="519"/>
      <c r="B252" s="519"/>
      <c r="D252" s="1275"/>
      <c r="E252" s="1275"/>
      <c r="F252" s="1275"/>
    </row>
    <row r="253" spans="1:9" ht="14.25">
      <c r="A253" s="519"/>
      <c r="B253" s="519"/>
      <c r="D253" s="480"/>
      <c r="E253" s="480"/>
      <c r="F253" s="480"/>
    </row>
    <row r="254" spans="1:9" ht="14.25">
      <c r="A254" s="519"/>
      <c r="B254" s="520" t="s">
        <v>2768</v>
      </c>
      <c r="D254" s="424" t="s">
        <v>2450</v>
      </c>
      <c r="E254" s="480"/>
      <c r="F254" s="480"/>
      <c r="I254" s="436" t="s">
        <v>2200</v>
      </c>
    </row>
    <row r="255" spans="1:9" ht="14.25">
      <c r="A255" s="519"/>
      <c r="B255" s="519"/>
      <c r="E255" s="1080" t="s">
        <v>2278</v>
      </c>
    </row>
    <row r="256" spans="1:9">
      <c r="D256" s="481"/>
      <c r="E256" s="481"/>
      <c r="F256" s="481"/>
    </row>
    <row r="257" spans="1:9" ht="14.25">
      <c r="A257" s="519"/>
      <c r="B257" s="520" t="s">
        <v>2768</v>
      </c>
      <c r="D257" s="1275" t="s">
        <v>1238</v>
      </c>
      <c r="E257" s="1275"/>
      <c r="F257" s="1275"/>
    </row>
    <row r="258" spans="1:9" ht="14.25">
      <c r="A258" s="519"/>
      <c r="B258" s="519"/>
      <c r="D258" s="1275"/>
      <c r="E258" s="1275"/>
      <c r="F258" s="1275"/>
    </row>
    <row r="259" spans="1:9">
      <c r="D259" s="526"/>
    </row>
    <row r="260" spans="1:9">
      <c r="A260" s="1281" t="s">
        <v>1112</v>
      </c>
      <c r="B260" s="1281"/>
      <c r="C260" s="1281"/>
      <c r="D260" s="1281"/>
      <c r="E260" s="1281"/>
      <c r="F260" s="1281"/>
      <c r="G260" s="1281"/>
      <c r="H260" s="1071"/>
      <c r="I260" s="1072"/>
    </row>
    <row r="261" spans="1:9">
      <c r="D261" s="526"/>
    </row>
    <row r="262" spans="1:9">
      <c r="C262" s="521"/>
      <c r="D262" s="1273" t="s">
        <v>1241</v>
      </c>
      <c r="E262" s="1273"/>
      <c r="F262" s="1273"/>
    </row>
    <row r="263" spans="1:9">
      <c r="A263" s="517"/>
      <c r="B263" s="517"/>
      <c r="C263" s="517"/>
      <c r="D263" s="481"/>
      <c r="E263" s="481"/>
      <c r="F263" s="481"/>
    </row>
    <row r="264" spans="1:9">
      <c r="A264" s="518"/>
      <c r="B264" s="518"/>
      <c r="C264" s="518"/>
      <c r="D264" s="1273" t="s">
        <v>271</v>
      </c>
      <c r="E264" s="1273"/>
      <c r="F264" s="1273"/>
      <c r="I264" s="436" t="s">
        <v>2202</v>
      </c>
    </row>
    <row r="265" spans="1:9" ht="14.45" customHeight="1">
      <c r="A265" s="519"/>
      <c r="B265" s="520" t="s">
        <v>2624</v>
      </c>
      <c r="D265" s="1275" t="s">
        <v>1339</v>
      </c>
      <c r="E265" s="1275"/>
      <c r="F265" s="1275"/>
    </row>
    <row r="266" spans="1:9">
      <c r="D266" s="1275"/>
      <c r="E266" s="1275"/>
      <c r="F266" s="1275"/>
    </row>
    <row r="267" spans="1:9">
      <c r="E267" s="1080" t="s">
        <v>2279</v>
      </c>
    </row>
    <row r="268" spans="1:9">
      <c r="D268" s="481"/>
      <c r="E268" s="481"/>
      <c r="F268" s="481"/>
    </row>
    <row r="269" spans="1:9" ht="14.45" customHeight="1">
      <c r="A269" s="519"/>
      <c r="B269" s="520" t="s">
        <v>2624</v>
      </c>
      <c r="D269" s="1275" t="s">
        <v>2451</v>
      </c>
      <c r="E269" s="1275"/>
      <c r="F269" s="1275"/>
      <c r="I269" s="436" t="s">
        <v>2220</v>
      </c>
    </row>
    <row r="270" spans="1:9">
      <c r="D270" s="1275"/>
      <c r="E270" s="1275"/>
      <c r="F270" s="1275"/>
    </row>
    <row r="271" spans="1:9">
      <c r="D271" s="1275"/>
      <c r="E271" s="1275"/>
      <c r="F271" s="1275"/>
    </row>
    <row r="272" spans="1:9">
      <c r="D272" s="1275"/>
      <c r="E272" s="1275"/>
      <c r="F272" s="1275"/>
    </row>
    <row r="273" spans="1:9">
      <c r="D273" s="1275"/>
      <c r="E273" s="1275"/>
      <c r="F273" s="1275"/>
    </row>
    <row r="274" spans="1:9">
      <c r="D274" s="1275"/>
      <c r="E274" s="1275"/>
      <c r="F274" s="1275"/>
    </row>
    <row r="275" spans="1:9">
      <c r="D275" s="481"/>
      <c r="E275" s="481"/>
      <c r="F275" s="481"/>
    </row>
    <row r="276" spans="1:9" ht="14.25">
      <c r="A276" s="519"/>
      <c r="B276" s="520" t="s">
        <v>2624</v>
      </c>
      <c r="D276" s="1275" t="s">
        <v>1244</v>
      </c>
      <c r="E276" s="1275"/>
      <c r="F276" s="1275"/>
    </row>
    <row r="277" spans="1:9">
      <c r="D277" s="1275"/>
      <c r="E277" s="1275"/>
      <c r="F277" s="1275"/>
    </row>
    <row r="278" spans="1:9">
      <c r="D278" s="1275"/>
      <c r="E278" s="1275"/>
      <c r="F278" s="1275"/>
    </row>
    <row r="279" spans="1:9">
      <c r="D279" s="527"/>
      <c r="E279" s="481"/>
      <c r="F279" s="481"/>
    </row>
    <row r="280" spans="1:9">
      <c r="A280" s="1281" t="s">
        <v>1113</v>
      </c>
      <c r="B280" s="1281"/>
      <c r="C280" s="1281"/>
      <c r="D280" s="1281"/>
      <c r="E280" s="1281"/>
      <c r="F280" s="1281"/>
      <c r="G280" s="1281"/>
      <c r="H280" s="1071"/>
      <c r="I280" s="1072"/>
    </row>
    <row r="281" spans="1:9">
      <c r="D281" s="527"/>
      <c r="E281" s="481"/>
      <c r="F281" s="481"/>
    </row>
    <row r="282" spans="1:9">
      <c r="C282" s="517"/>
      <c r="D282" s="1303" t="s">
        <v>1246</v>
      </c>
      <c r="E282" s="1303"/>
      <c r="F282" s="1303"/>
    </row>
    <row r="283" spans="1:9">
      <c r="C283" s="517"/>
      <c r="D283" s="1303"/>
      <c r="E283" s="1303"/>
      <c r="F283" s="1303"/>
    </row>
    <row r="284" spans="1:9">
      <c r="A284" s="518"/>
      <c r="B284" s="518"/>
      <c r="C284" s="518"/>
      <c r="D284" s="436"/>
    </row>
    <row r="285" spans="1:9">
      <c r="C285" s="518"/>
      <c r="D285" s="1273" t="s">
        <v>211</v>
      </c>
      <c r="E285" s="1273"/>
      <c r="F285" s="1273"/>
    </row>
    <row r="286" spans="1:9" ht="15.75" customHeight="1">
      <c r="A286" s="519"/>
      <c r="B286" s="519"/>
      <c r="D286" s="1328" t="s">
        <v>1247</v>
      </c>
      <c r="E286" s="1328"/>
      <c r="F286" s="1328"/>
    </row>
    <row r="287" spans="1:9">
      <c r="E287" s="481"/>
      <c r="F287" s="481"/>
    </row>
    <row r="288" spans="1:9" ht="14.25">
      <c r="A288" s="519"/>
      <c r="B288" s="520" t="s">
        <v>2768</v>
      </c>
      <c r="D288" s="1275" t="s">
        <v>1248</v>
      </c>
      <c r="E288" s="1275"/>
      <c r="F288" s="1275"/>
      <c r="I288" s="436" t="s">
        <v>2164</v>
      </c>
    </row>
    <row r="289" spans="1:9" ht="14.25">
      <c r="A289" s="519"/>
      <c r="B289" s="519"/>
      <c r="D289" s="1275"/>
      <c r="E289" s="1275"/>
      <c r="F289" s="1275"/>
    </row>
    <row r="290" spans="1:9">
      <c r="D290" s="481"/>
      <c r="E290" s="481"/>
      <c r="F290" s="481"/>
    </row>
    <row r="291" spans="1:9" ht="14.25">
      <c r="A291" s="519"/>
      <c r="B291" s="520" t="s">
        <v>2768</v>
      </c>
      <c r="D291" s="1275" t="s">
        <v>1249</v>
      </c>
      <c r="E291" s="1275"/>
      <c r="F291" s="1275"/>
      <c r="I291" s="436" t="s">
        <v>2164</v>
      </c>
    </row>
    <row r="292" spans="1:9" ht="14.25">
      <c r="A292" s="519"/>
      <c r="B292" s="519"/>
      <c r="D292" s="1275"/>
      <c r="E292" s="1275"/>
      <c r="F292" s="1275"/>
    </row>
    <row r="293" spans="1:9" ht="14.25">
      <c r="A293" s="519"/>
      <c r="B293" s="519"/>
      <c r="D293" s="1275"/>
      <c r="E293" s="1275"/>
      <c r="F293" s="1275"/>
    </row>
    <row r="294" spans="1:9">
      <c r="D294" s="481"/>
      <c r="E294" s="481"/>
      <c r="F294" s="481"/>
    </row>
    <row r="295" spans="1:9" ht="14.25">
      <c r="A295" s="519"/>
      <c r="B295" s="520" t="s">
        <v>2624</v>
      </c>
      <c r="D295" s="1275" t="s">
        <v>1250</v>
      </c>
      <c r="E295" s="1275"/>
      <c r="F295" s="1275"/>
      <c r="I295" s="436" t="s">
        <v>2164</v>
      </c>
    </row>
    <row r="296" spans="1:9" ht="14.25">
      <c r="A296" s="519"/>
      <c r="B296" s="519"/>
      <c r="D296" s="1275"/>
      <c r="E296" s="1275"/>
      <c r="F296" s="1275"/>
    </row>
    <row r="297" spans="1:9">
      <c r="A297" s="525"/>
      <c r="B297" s="525"/>
      <c r="E297" s="481"/>
      <c r="F297" s="481"/>
    </row>
    <row r="298" spans="1:9">
      <c r="A298" s="1281" t="s">
        <v>1114</v>
      </c>
      <c r="B298" s="1281"/>
      <c r="C298" s="1281"/>
      <c r="D298" s="1281"/>
      <c r="E298" s="1281"/>
      <c r="F298" s="1281"/>
      <c r="G298" s="1281"/>
      <c r="H298" s="1071"/>
      <c r="I298" s="1072"/>
    </row>
    <row r="299" spans="1:9">
      <c r="A299" s="525"/>
      <c r="B299" s="525"/>
      <c r="D299" s="481"/>
      <c r="E299" s="481"/>
      <c r="F299" s="481"/>
    </row>
    <row r="300" spans="1:9">
      <c r="C300" s="525"/>
      <c r="D300" s="1273" t="s">
        <v>691</v>
      </c>
      <c r="E300" s="1273"/>
      <c r="F300" s="1273"/>
    </row>
    <row r="301" spans="1:9">
      <c r="C301" s="525"/>
      <c r="D301" s="1304" t="s">
        <v>1251</v>
      </c>
      <c r="E301" s="1304"/>
      <c r="F301" s="1304"/>
    </row>
    <row r="302" spans="1:9">
      <c r="C302" s="525"/>
      <c r="D302" s="528"/>
    </row>
    <row r="303" spans="1:9">
      <c r="B303" s="520" t="s">
        <v>2768</v>
      </c>
      <c r="D303" s="1304" t="s">
        <v>1252</v>
      </c>
      <c r="E303" s="1304"/>
      <c r="F303" s="1304"/>
      <c r="I303" s="436" t="s">
        <v>2165</v>
      </c>
    </row>
    <row r="304" spans="1:9" ht="14.25">
      <c r="A304" s="519"/>
      <c r="B304" s="519"/>
      <c r="D304" s="529"/>
      <c r="E304" s="530"/>
      <c r="F304" s="530"/>
    </row>
    <row r="305" spans="1:9" ht="13.7" customHeight="1">
      <c r="B305" s="520" t="s">
        <v>2768</v>
      </c>
      <c r="D305" s="1325" t="s">
        <v>1363</v>
      </c>
      <c r="E305" s="1325"/>
      <c r="F305" s="1325"/>
      <c r="I305" s="436" t="s">
        <v>2165</v>
      </c>
    </row>
    <row r="306" spans="1:9" ht="14.25">
      <c r="A306" s="519"/>
      <c r="B306" s="519"/>
      <c r="D306" s="1325"/>
      <c r="E306" s="1325"/>
      <c r="F306" s="1325"/>
    </row>
    <row r="307" spans="1:9" ht="14.25">
      <c r="A307" s="519"/>
      <c r="B307" s="519"/>
      <c r="D307" s="1325"/>
      <c r="E307" s="1325"/>
      <c r="F307" s="1325"/>
    </row>
    <row r="308" spans="1:9" ht="14.25">
      <c r="A308" s="519"/>
      <c r="B308" s="519"/>
      <c r="D308" s="1325"/>
      <c r="E308" s="1325"/>
      <c r="F308" s="1325"/>
    </row>
    <row r="309" spans="1:9" ht="14.25">
      <c r="A309" s="519"/>
      <c r="B309" s="519"/>
      <c r="D309" s="1325"/>
      <c r="E309" s="1325"/>
      <c r="F309" s="1325"/>
    </row>
    <row r="310" spans="1:9" ht="14.25">
      <c r="A310" s="519"/>
      <c r="B310" s="519"/>
      <c r="D310" s="529"/>
      <c r="E310" s="530"/>
      <c r="F310" s="530"/>
    </row>
    <row r="311" spans="1:9" ht="13.7" customHeight="1">
      <c r="B311" s="520" t="s">
        <v>2768</v>
      </c>
      <c r="D311" s="1325" t="s">
        <v>1254</v>
      </c>
      <c r="E311" s="1325"/>
      <c r="F311" s="1325"/>
      <c r="I311" s="436" t="s">
        <v>2165</v>
      </c>
    </row>
    <row r="312" spans="1:9">
      <c r="D312" s="1325"/>
      <c r="E312" s="1325"/>
      <c r="F312" s="1325"/>
    </row>
    <row r="313" spans="1:9" ht="14.25">
      <c r="A313" s="519"/>
      <c r="B313" s="519"/>
      <c r="D313" s="529"/>
      <c r="E313" s="530"/>
      <c r="F313" s="530"/>
    </row>
    <row r="314" spans="1:9">
      <c r="B314" s="520" t="s">
        <v>2768</v>
      </c>
      <c r="D314" s="1304" t="s">
        <v>1255</v>
      </c>
      <c r="E314" s="1304"/>
      <c r="F314" s="1304"/>
      <c r="I314" s="436" t="s">
        <v>2151</v>
      </c>
    </row>
    <row r="315" spans="1:9">
      <c r="E315" s="481"/>
      <c r="F315" s="481"/>
    </row>
    <row r="316" spans="1:9" ht="14.25">
      <c r="A316" s="519"/>
      <c r="B316" s="520" t="s">
        <v>2768</v>
      </c>
      <c r="D316" s="1275" t="s">
        <v>2470</v>
      </c>
      <c r="E316" s="1275"/>
      <c r="F316" s="1275"/>
      <c r="I316" s="436" t="s">
        <v>2166</v>
      </c>
    </row>
    <row r="317" spans="1:9" ht="14.25">
      <c r="A317" s="519"/>
      <c r="B317" s="519"/>
      <c r="D317" s="1275"/>
      <c r="E317" s="1275"/>
      <c r="F317" s="1275"/>
    </row>
    <row r="318" spans="1:9" ht="14.25">
      <c r="A318" s="519"/>
      <c r="B318" s="519"/>
      <c r="D318" s="1275"/>
      <c r="E318" s="1275"/>
      <c r="F318" s="1275"/>
    </row>
    <row r="319" spans="1:9" ht="14.25">
      <c r="A319" s="519"/>
      <c r="B319" s="519"/>
      <c r="D319" s="1275"/>
      <c r="E319" s="1275"/>
      <c r="F319" s="1275"/>
    </row>
    <row r="320" spans="1:9" ht="14.25">
      <c r="A320" s="519"/>
      <c r="B320" s="519"/>
      <c r="D320" s="1275"/>
      <c r="E320" s="1275"/>
      <c r="F320" s="1275"/>
    </row>
    <row r="321" spans="1:9" ht="14.25">
      <c r="A321" s="519"/>
      <c r="B321" s="519"/>
      <c r="D321" s="1275"/>
      <c r="E321" s="1275"/>
      <c r="F321" s="1275"/>
    </row>
    <row r="322" spans="1:9" ht="14.25">
      <c r="A322" s="519"/>
      <c r="B322" s="519"/>
      <c r="D322" s="1275"/>
      <c r="E322" s="1275"/>
      <c r="F322" s="1275"/>
    </row>
    <row r="323" spans="1:9" ht="14.25">
      <c r="A323" s="519"/>
      <c r="B323" s="519"/>
      <c r="D323" s="1275"/>
      <c r="E323" s="1275"/>
      <c r="F323" s="1275"/>
    </row>
    <row r="324" spans="1:9" ht="14.25">
      <c r="A324" s="519"/>
      <c r="B324" s="519"/>
      <c r="D324" s="1275"/>
      <c r="E324" s="1275"/>
      <c r="F324" s="1275"/>
    </row>
    <row r="325" spans="1:9" ht="14.25">
      <c r="A325" s="519"/>
      <c r="B325" s="519"/>
      <c r="D325" s="1275"/>
      <c r="E325" s="1275"/>
      <c r="F325" s="1275"/>
    </row>
    <row r="326" spans="1:9" ht="14.25">
      <c r="A326" s="519"/>
      <c r="B326" s="519"/>
      <c r="D326" s="1275"/>
      <c r="E326" s="1275"/>
      <c r="F326" s="1275"/>
    </row>
    <row r="327" spans="1:9" ht="14.25">
      <c r="A327" s="519"/>
      <c r="B327" s="519"/>
      <c r="D327" s="1275"/>
      <c r="E327" s="1275"/>
      <c r="F327" s="1275"/>
    </row>
    <row r="328" spans="1:9" ht="14.25">
      <c r="A328" s="519"/>
      <c r="B328" s="519"/>
      <c r="D328" s="1275"/>
      <c r="E328" s="1275"/>
      <c r="F328" s="1275"/>
    </row>
    <row r="329" spans="1:9" ht="14.25">
      <c r="A329" s="519"/>
      <c r="B329" s="519"/>
      <c r="D329" s="1275"/>
      <c r="E329" s="1275"/>
      <c r="F329" s="1275"/>
    </row>
    <row r="330" spans="1:9" ht="14.25">
      <c r="A330" s="519"/>
      <c r="B330" s="519"/>
      <c r="D330" s="1275"/>
      <c r="E330" s="1275"/>
      <c r="F330" s="1275"/>
    </row>
    <row r="331" spans="1:9">
      <c r="D331" s="481"/>
      <c r="E331" s="481"/>
      <c r="F331" s="481"/>
    </row>
    <row r="332" spans="1:9" ht="14.25">
      <c r="A332" s="519"/>
      <c r="B332" s="520" t="s">
        <v>2768</v>
      </c>
      <c r="D332" s="1275" t="s">
        <v>1257</v>
      </c>
      <c r="E332" s="1275"/>
      <c r="F332" s="1275"/>
      <c r="I332" s="436" t="s">
        <v>2166</v>
      </c>
    </row>
    <row r="333" spans="1:9">
      <c r="D333" s="1275"/>
      <c r="E333" s="1275"/>
      <c r="F333" s="1275"/>
    </row>
    <row r="334" spans="1:9">
      <c r="D334" s="1275"/>
      <c r="E334" s="1275"/>
      <c r="F334" s="1275"/>
    </row>
    <row r="335" spans="1:9">
      <c r="D335" s="1275"/>
      <c r="E335" s="1275"/>
      <c r="F335" s="1275"/>
    </row>
    <row r="336" spans="1:9">
      <c r="D336" s="1275"/>
      <c r="E336" s="1275"/>
      <c r="F336" s="1275"/>
    </row>
    <row r="337" spans="1:9">
      <c r="D337" s="1275"/>
      <c r="E337" s="1275"/>
      <c r="F337" s="1275"/>
    </row>
    <row r="338" spans="1:9">
      <c r="D338" s="1275"/>
      <c r="E338" s="1275"/>
      <c r="F338" s="1275"/>
    </row>
    <row r="339" spans="1:9">
      <c r="D339" s="1275"/>
      <c r="E339" s="1275"/>
      <c r="F339" s="1275"/>
    </row>
    <row r="340" spans="1:9">
      <c r="D340" s="1275"/>
      <c r="E340" s="1275"/>
      <c r="F340" s="1275"/>
    </row>
    <row r="341" spans="1:9">
      <c r="D341" s="481"/>
      <c r="E341" s="481"/>
      <c r="F341" s="481"/>
    </row>
    <row r="342" spans="1:9" ht="14.25" customHeight="1">
      <c r="A342" s="519"/>
      <c r="B342" s="520" t="s">
        <v>2768</v>
      </c>
      <c r="D342" s="1275" t="s">
        <v>2284</v>
      </c>
      <c r="E342" s="1275"/>
      <c r="F342" s="1275"/>
      <c r="I342" s="436" t="s">
        <v>2203</v>
      </c>
    </row>
    <row r="343" spans="1:9">
      <c r="D343" s="1275"/>
      <c r="E343" s="1275"/>
      <c r="F343" s="1275"/>
    </row>
    <row r="344" spans="1:9">
      <c r="D344" s="1275"/>
      <c r="E344" s="1275"/>
      <c r="F344" s="1275"/>
    </row>
    <row r="345" spans="1:9">
      <c r="D345" s="1275"/>
      <c r="E345" s="1275"/>
      <c r="F345" s="1275"/>
    </row>
    <row r="346" spans="1:9">
      <c r="D346" s="418" t="s">
        <v>2283</v>
      </c>
      <c r="E346" s="417"/>
      <c r="F346" s="417"/>
    </row>
    <row r="347" spans="1:9">
      <c r="D347" s="417"/>
      <c r="E347" s="96" t="s">
        <v>2280</v>
      </c>
      <c r="G347" s="96"/>
    </row>
    <row r="348" spans="1:9">
      <c r="D348" s="480"/>
      <c r="E348" s="480"/>
      <c r="F348" s="480"/>
    </row>
    <row r="349" spans="1:9" ht="13.5" thickBot="1">
      <c r="A349" s="1059"/>
      <c r="B349" s="1059"/>
      <c r="C349" s="1059"/>
      <c r="D349" s="1336" t="s">
        <v>1019</v>
      </c>
      <c r="E349" s="1336"/>
      <c r="F349" s="1336"/>
      <c r="G349" s="1069"/>
      <c r="H349" s="1069"/>
      <c r="I349" s="1070"/>
    </row>
    <row r="350" spans="1:9" ht="13.5" thickTop="1">
      <c r="D350" s="1326" t="s">
        <v>1259</v>
      </c>
      <c r="E350" s="1326"/>
      <c r="F350" s="1326"/>
    </row>
    <row r="351" spans="1:9">
      <c r="D351" s="481"/>
      <c r="E351" s="481"/>
      <c r="F351" s="481"/>
    </row>
    <row r="352" spans="1:9">
      <c r="A352" s="511"/>
      <c r="B352" s="511"/>
      <c r="C352" s="511"/>
      <c r="D352" s="482"/>
      <c r="E352" s="482"/>
      <c r="F352" s="481"/>
      <c r="I352" s="436" t="s">
        <v>2167</v>
      </c>
    </row>
    <row r="353" spans="1:9" ht="14.25">
      <c r="A353" s="519"/>
      <c r="B353" s="520" t="s">
        <v>2768</v>
      </c>
      <c r="C353" s="522"/>
      <c r="D353" s="1304" t="s">
        <v>2282</v>
      </c>
      <c r="E353" s="1304"/>
      <c r="F353" s="1304"/>
      <c r="I353" s="1322" t="s">
        <v>2217</v>
      </c>
    </row>
    <row r="354" spans="1:9" ht="12.75" customHeight="1">
      <c r="D354" s="1081"/>
      <c r="E354" s="96" t="s">
        <v>2281</v>
      </c>
      <c r="F354" s="1081"/>
      <c r="I354" s="1323"/>
    </row>
    <row r="355" spans="1:9">
      <c r="D355" s="1275" t="s">
        <v>1386</v>
      </c>
      <c r="E355" s="1275"/>
      <c r="F355" s="1275"/>
      <c r="I355" s="1323"/>
    </row>
    <row r="356" spans="1:9">
      <c r="D356" s="1275"/>
      <c r="E356" s="1275"/>
      <c r="F356" s="1275"/>
      <c r="I356" s="1323"/>
    </row>
    <row r="357" spans="1:9">
      <c r="D357" s="1275"/>
      <c r="E357" s="1275"/>
      <c r="F357" s="1275"/>
      <c r="I357" s="1324"/>
    </row>
    <row r="358" spans="1:9" ht="14.25">
      <c r="A358" s="519"/>
      <c r="B358" s="520" t="s">
        <v>2768</v>
      </c>
      <c r="C358" s="511"/>
      <c r="D358" s="1308" t="s">
        <v>2452</v>
      </c>
      <c r="E358" s="1308"/>
      <c r="F358" s="1308"/>
      <c r="I358" s="434"/>
    </row>
    <row r="359" spans="1:9">
      <c r="A359" s="511"/>
      <c r="B359" s="511"/>
      <c r="C359" s="511"/>
      <c r="D359" s="482"/>
      <c r="E359" s="482"/>
      <c r="F359" s="481"/>
    </row>
    <row r="360" spans="1:9">
      <c r="A360" s="511"/>
      <c r="B360" s="520" t="s">
        <v>2768</v>
      </c>
      <c r="C360" s="511"/>
      <c r="D360" s="1263" t="s">
        <v>2453</v>
      </c>
      <c r="E360" s="1263"/>
      <c r="F360" s="1263"/>
    </row>
    <row r="361" spans="1:9">
      <c r="A361" s="511"/>
      <c r="B361" s="511"/>
      <c r="C361" s="511"/>
      <c r="D361" s="1263"/>
      <c r="E361" s="1263"/>
      <c r="F361" s="1263"/>
    </row>
    <row r="362" spans="1:9">
      <c r="A362" s="511"/>
      <c r="B362" s="511"/>
      <c r="C362" s="511"/>
      <c r="D362" s="1263"/>
      <c r="E362" s="1263"/>
      <c r="F362" s="1263"/>
    </row>
    <row r="363" spans="1:9">
      <c r="A363" s="511"/>
      <c r="B363" s="511"/>
      <c r="C363" s="511"/>
      <c r="D363" s="1263"/>
      <c r="E363" s="1263"/>
      <c r="F363" s="1263"/>
    </row>
    <row r="364" spans="1:9">
      <c r="A364" s="511"/>
      <c r="B364" s="511"/>
      <c r="C364" s="511"/>
      <c r="D364" s="1263"/>
      <c r="E364" s="1263"/>
      <c r="F364" s="1263"/>
    </row>
    <row r="365" spans="1:9">
      <c r="A365" s="511"/>
      <c r="B365" s="511"/>
      <c r="C365" s="511"/>
      <c r="D365" s="1263"/>
      <c r="E365" s="1263"/>
      <c r="F365" s="1263"/>
    </row>
    <row r="366" spans="1:9">
      <c r="A366" s="511"/>
      <c r="B366" s="511"/>
      <c r="C366" s="511"/>
      <c r="D366" s="1263"/>
      <c r="E366" s="1263"/>
      <c r="F366" s="1263"/>
    </row>
    <row r="367" spans="1:9">
      <c r="A367" s="511"/>
      <c r="B367" s="511"/>
      <c r="C367" s="511"/>
      <c r="D367" s="1263"/>
      <c r="E367" s="1263"/>
      <c r="F367" s="1263"/>
    </row>
    <row r="368" spans="1:9">
      <c r="A368" s="511"/>
      <c r="B368" s="511"/>
      <c r="C368" s="511"/>
      <c r="D368" s="1263"/>
      <c r="E368" s="1263"/>
      <c r="F368" s="1263"/>
    </row>
    <row r="369" spans="1:6">
      <c r="A369" s="511"/>
      <c r="B369" s="511"/>
      <c r="C369" s="511"/>
      <c r="D369" s="1263"/>
      <c r="E369" s="1263"/>
      <c r="F369" s="1263"/>
    </row>
    <row r="370" spans="1:6">
      <c r="A370" s="511"/>
      <c r="B370" s="511"/>
      <c r="C370" s="511"/>
      <c r="D370" s="1263"/>
      <c r="E370" s="1263"/>
      <c r="F370" s="1263"/>
    </row>
    <row r="371" spans="1:6">
      <c r="A371" s="511"/>
      <c r="B371" s="511"/>
      <c r="C371" s="511"/>
      <c r="D371" s="1263"/>
      <c r="E371" s="1263"/>
      <c r="F371" s="1263"/>
    </row>
    <row r="372" spans="1:6">
      <c r="A372" s="511"/>
      <c r="B372" s="511"/>
      <c r="C372" s="511"/>
      <c r="D372" s="486"/>
      <c r="E372" s="486"/>
      <c r="F372" s="486"/>
    </row>
    <row r="373" spans="1:6" ht="12.4" customHeight="1">
      <c r="A373" s="511"/>
      <c r="B373" s="520" t="s">
        <v>2768</v>
      </c>
      <c r="C373" s="511"/>
      <c r="D373" s="1319" t="s">
        <v>1366</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2768</v>
      </c>
      <c r="C378" s="511"/>
      <c r="D378" s="434" t="s">
        <v>2096</v>
      </c>
      <c r="E378" s="559"/>
      <c r="F378" s="559"/>
    </row>
    <row r="379" spans="1:6">
      <c r="A379" s="511"/>
      <c r="B379" s="511"/>
      <c r="C379" s="511"/>
      <c r="D379" s="434" t="s">
        <v>2097</v>
      </c>
      <c r="E379" s="559"/>
      <c r="F379" s="559"/>
    </row>
    <row r="380" spans="1:6">
      <c r="A380" s="511"/>
      <c r="B380" s="511"/>
      <c r="C380" s="511"/>
      <c r="D380" s="434" t="s">
        <v>2098</v>
      </c>
      <c r="E380" s="559"/>
      <c r="F380" s="559"/>
    </row>
    <row r="381" spans="1:6">
      <c r="A381" s="511"/>
      <c r="B381" s="511"/>
      <c r="C381" s="511"/>
      <c r="D381" s="434" t="s">
        <v>2099</v>
      </c>
      <c r="E381" s="559"/>
      <c r="F381" s="559"/>
    </row>
    <row r="382" spans="1:6">
      <c r="A382" s="511"/>
      <c r="B382" s="511"/>
      <c r="C382" s="511"/>
      <c r="D382" s="434" t="s">
        <v>2100</v>
      </c>
      <c r="E382" s="559"/>
      <c r="F382" s="559"/>
    </row>
    <row r="383" spans="1:6">
      <c r="A383" s="511"/>
      <c r="B383" s="511"/>
      <c r="C383" s="511"/>
      <c r="D383" s="434" t="s">
        <v>2101</v>
      </c>
      <c r="E383" s="559"/>
      <c r="F383" s="559"/>
    </row>
    <row r="384" spans="1:6">
      <c r="A384" s="511"/>
      <c r="B384" s="511"/>
      <c r="C384" s="511"/>
      <c r="E384" s="482"/>
      <c r="F384" s="481"/>
    </row>
    <row r="385" spans="1:6" ht="14.25">
      <c r="A385" s="519"/>
      <c r="B385" s="520" t="s">
        <v>2624</v>
      </c>
      <c r="C385" s="511"/>
      <c r="D385" s="1263" t="s">
        <v>1262</v>
      </c>
      <c r="E385" s="1263"/>
      <c r="F385" s="1263"/>
    </row>
    <row r="386" spans="1:6">
      <c r="A386" s="511"/>
      <c r="B386" s="511"/>
      <c r="C386" s="511"/>
      <c r="D386" s="1263"/>
      <c r="E386" s="1263"/>
      <c r="F386" s="1263"/>
    </row>
    <row r="387" spans="1:6">
      <c r="A387" s="511"/>
      <c r="B387" s="511"/>
      <c r="C387" s="511"/>
      <c r="D387" s="1263"/>
      <c r="E387" s="1263"/>
      <c r="F387" s="1263"/>
    </row>
    <row r="388" spans="1:6">
      <c r="A388" s="511"/>
      <c r="B388" s="511"/>
      <c r="C388" s="511"/>
      <c r="D388" s="1263"/>
      <c r="E388" s="1263"/>
      <c r="F388" s="1263"/>
    </row>
    <row r="389" spans="1:6">
      <c r="A389" s="511"/>
      <c r="B389" s="511"/>
      <c r="C389" s="511"/>
      <c r="D389" s="482"/>
      <c r="E389" s="482"/>
      <c r="F389" s="481"/>
    </row>
    <row r="390" spans="1:6">
      <c r="A390" s="511"/>
      <c r="B390" s="511"/>
      <c r="C390" s="511"/>
      <c r="D390" s="1263" t="s">
        <v>1263</v>
      </c>
      <c r="E390" s="1263"/>
      <c r="F390" s="1263"/>
    </row>
    <row r="391" spans="1:6">
      <c r="A391" s="511"/>
      <c r="B391" s="511"/>
      <c r="C391" s="511"/>
      <c r="D391" s="1263"/>
      <c r="E391" s="1263"/>
      <c r="F391" s="1263"/>
    </row>
    <row r="392" spans="1:6">
      <c r="A392" s="511"/>
      <c r="B392" s="511"/>
      <c r="C392" s="511"/>
      <c r="D392" s="1263"/>
      <c r="E392" s="1263"/>
      <c r="F392" s="1263"/>
    </row>
    <row r="393" spans="1:6">
      <c r="A393" s="511"/>
      <c r="B393" s="511"/>
      <c r="C393" s="511"/>
      <c r="D393" s="1263"/>
      <c r="E393" s="1263"/>
      <c r="F393" s="1263"/>
    </row>
    <row r="394" spans="1:6" ht="18" customHeight="1">
      <c r="A394" s="511"/>
      <c r="B394" s="511"/>
      <c r="C394" s="511"/>
      <c r="D394" s="1263"/>
      <c r="E394" s="1263"/>
      <c r="F394" s="1263"/>
    </row>
    <row r="395" spans="1:6">
      <c r="A395" s="511"/>
      <c r="B395" s="511"/>
      <c r="C395" s="511"/>
      <c r="D395" s="1263"/>
      <c r="E395" s="1263"/>
      <c r="F395" s="1263"/>
    </row>
    <row r="396" spans="1:6">
      <c r="A396" s="511"/>
      <c r="B396" s="511"/>
      <c r="C396" s="511"/>
      <c r="D396" s="1263"/>
      <c r="E396" s="1263"/>
      <c r="F396" s="1263"/>
    </row>
    <row r="397" spans="1:6">
      <c r="A397" s="511"/>
      <c r="B397" s="511"/>
      <c r="C397" s="511"/>
      <c r="D397" s="1263"/>
      <c r="E397" s="1263"/>
      <c r="F397" s="1263"/>
    </row>
    <row r="398" spans="1:6" ht="8.25" customHeight="1">
      <c r="A398" s="511"/>
      <c r="B398" s="511"/>
      <c r="C398" s="511"/>
      <c r="D398" s="1263"/>
      <c r="E398" s="1263"/>
      <c r="F398" s="1263"/>
    </row>
    <row r="399" spans="1:6" ht="13.7" customHeight="1">
      <c r="A399" s="511"/>
      <c r="B399" s="511"/>
      <c r="C399" s="511"/>
      <c r="D399" s="1263" t="s">
        <v>1264</v>
      </c>
      <c r="E399" s="1263"/>
      <c r="F399" s="1263"/>
    </row>
    <row r="400" spans="1:6">
      <c r="A400" s="511"/>
      <c r="B400" s="511"/>
      <c r="C400" s="511"/>
      <c r="D400" s="1263"/>
      <c r="E400" s="1263"/>
      <c r="F400" s="1263"/>
    </row>
    <row r="401" spans="1:6">
      <c r="A401" s="511"/>
      <c r="B401" s="511"/>
      <c r="C401" s="511"/>
      <c r="D401" s="1263"/>
      <c r="E401" s="1263"/>
      <c r="F401" s="1263"/>
    </row>
    <row r="402" spans="1:6">
      <c r="A402" s="511"/>
      <c r="B402" s="511"/>
      <c r="C402" s="511"/>
      <c r="D402" s="1263"/>
      <c r="E402" s="1263"/>
      <c r="F402" s="1263"/>
    </row>
    <row r="403" spans="1:6">
      <c r="A403" s="511"/>
      <c r="B403" s="511"/>
      <c r="C403" s="511"/>
      <c r="D403" s="1263"/>
      <c r="E403" s="1263"/>
      <c r="F403" s="1263"/>
    </row>
    <row r="404" spans="1:6">
      <c r="A404" s="511"/>
      <c r="B404" s="511"/>
      <c r="C404" s="511"/>
      <c r="D404" s="1263"/>
      <c r="E404" s="1263"/>
      <c r="F404" s="1263"/>
    </row>
    <row r="405" spans="1:6">
      <c r="A405" s="511"/>
      <c r="B405" s="511"/>
      <c r="C405" s="511"/>
      <c r="D405" s="1263"/>
      <c r="E405" s="1263"/>
      <c r="F405" s="1263"/>
    </row>
    <row r="406" spans="1:6">
      <c r="A406" s="511"/>
      <c r="B406" s="511"/>
      <c r="C406" s="511"/>
      <c r="D406" s="1263"/>
      <c r="E406" s="1263"/>
      <c r="F406" s="1263"/>
    </row>
    <row r="407" spans="1:6">
      <c r="A407" s="511"/>
      <c r="B407" s="511"/>
      <c r="C407" s="511"/>
      <c r="D407" s="1263"/>
      <c r="E407" s="1263"/>
      <c r="F407" s="1263"/>
    </row>
    <row r="408" spans="1:6">
      <c r="A408" s="511"/>
      <c r="B408" s="511"/>
      <c r="C408" s="511"/>
      <c r="D408" s="1263"/>
      <c r="E408" s="1263"/>
      <c r="F408" s="1263"/>
    </row>
    <row r="409" spans="1:6">
      <c r="A409" s="511"/>
      <c r="B409" s="511"/>
      <c r="C409" s="511"/>
      <c r="D409" s="1263"/>
      <c r="E409" s="1263"/>
      <c r="F409" s="1263"/>
    </row>
    <row r="410" spans="1:6">
      <c r="A410" s="511"/>
      <c r="B410" s="511"/>
      <c r="C410" s="511"/>
      <c r="D410" s="1263"/>
      <c r="E410" s="1263"/>
      <c r="F410" s="1263"/>
    </row>
    <row r="411" spans="1:6">
      <c r="A411" s="511"/>
      <c r="B411" s="511"/>
      <c r="C411" s="531"/>
      <c r="D411" s="1263"/>
      <c r="E411" s="1263"/>
      <c r="F411" s="1263"/>
    </row>
    <row r="412" spans="1:6">
      <c r="A412" s="511"/>
      <c r="B412" s="511"/>
      <c r="C412" s="531"/>
      <c r="D412" s="1263"/>
      <c r="E412" s="1263"/>
      <c r="F412" s="1263"/>
    </row>
    <row r="413" spans="1:6">
      <c r="A413" s="511"/>
      <c r="B413" s="511"/>
      <c r="C413" s="511"/>
      <c r="D413" s="1263"/>
      <c r="E413" s="1263"/>
      <c r="F413" s="1263"/>
    </row>
    <row r="414" spans="1:6">
      <c r="A414" s="511"/>
      <c r="B414" s="511"/>
      <c r="C414" s="531"/>
      <c r="D414" s="1263"/>
      <c r="E414" s="1263"/>
      <c r="F414" s="1263"/>
    </row>
    <row r="415" spans="1:6">
      <c r="A415" s="511"/>
      <c r="B415" s="511"/>
      <c r="C415" s="531"/>
      <c r="D415" s="1263"/>
      <c r="E415" s="1263"/>
      <c r="F415" s="1263"/>
    </row>
    <row r="416" spans="1:6">
      <c r="A416" s="511"/>
      <c r="B416" s="511"/>
      <c r="C416" s="531"/>
      <c r="D416" s="1263"/>
      <c r="E416" s="1263"/>
      <c r="F416" s="1263"/>
    </row>
    <row r="417" spans="1:6">
      <c r="A417" s="511"/>
      <c r="B417" s="511"/>
      <c r="C417" s="511"/>
      <c r="D417" s="482"/>
      <c r="E417" s="482"/>
      <c r="F417" s="481"/>
    </row>
    <row r="418" spans="1:6">
      <c r="A418" s="511"/>
      <c r="B418" s="520" t="s">
        <v>2768</v>
      </c>
      <c r="C418" s="511"/>
      <c r="D418" s="1263" t="s">
        <v>1265</v>
      </c>
      <c r="E418" s="1263"/>
      <c r="F418" s="1263"/>
    </row>
    <row r="419" spans="1:6">
      <c r="A419" s="511"/>
      <c r="B419" s="511"/>
      <c r="C419" s="511"/>
      <c r="D419" s="1263"/>
      <c r="E419" s="1263"/>
      <c r="F419" s="1263"/>
    </row>
    <row r="420" spans="1:6">
      <c r="A420" s="511"/>
      <c r="B420" s="511"/>
      <c r="C420" s="511"/>
      <c r="D420" s="486"/>
      <c r="E420" s="486"/>
      <c r="F420" s="486"/>
    </row>
    <row r="421" spans="1:6" ht="14.45" customHeight="1">
      <c r="A421" s="519"/>
      <c r="B421" s="520" t="s">
        <v>2768</v>
      </c>
      <c r="D421" s="1263" t="s">
        <v>2204</v>
      </c>
      <c r="E421" s="1263"/>
      <c r="F421" s="1263"/>
    </row>
    <row r="422" spans="1:6" ht="14.45" customHeight="1">
      <c r="A422" s="519"/>
      <c r="D422" s="1263"/>
      <c r="E422" s="1263"/>
      <c r="F422" s="1263"/>
    </row>
    <row r="423" spans="1:6" ht="14.45" customHeight="1">
      <c r="A423" s="519"/>
      <c r="D423" s="1263"/>
      <c r="E423" s="1263"/>
      <c r="F423" s="1263"/>
    </row>
    <row r="424" spans="1:6" ht="14.45" customHeight="1">
      <c r="A424" s="519"/>
      <c r="D424" s="1263"/>
      <c r="E424" s="1263"/>
      <c r="F424" s="1263"/>
    </row>
    <row r="425" spans="1:6" ht="14.45" customHeight="1">
      <c r="A425" s="519"/>
      <c r="D425" s="1263"/>
      <c r="E425" s="1263"/>
      <c r="F425" s="1263"/>
    </row>
    <row r="426" spans="1:6" ht="14.45" customHeight="1">
      <c r="A426" s="519"/>
      <c r="D426" s="417"/>
      <c r="E426" s="417"/>
      <c r="F426" s="417"/>
    </row>
    <row r="427" spans="1:6" ht="13.7" customHeight="1">
      <c r="A427" s="519"/>
      <c r="B427" s="520" t="s">
        <v>2768</v>
      </c>
      <c r="C427" s="511"/>
      <c r="D427" s="1263" t="s">
        <v>1388</v>
      </c>
      <c r="E427" s="1263"/>
      <c r="F427" s="1263"/>
    </row>
    <row r="428" spans="1:6" ht="14.25">
      <c r="A428" s="532"/>
      <c r="B428" s="532"/>
      <c r="C428" s="511"/>
      <c r="D428" s="1263"/>
      <c r="E428" s="1263"/>
      <c r="F428" s="1263"/>
    </row>
    <row r="429" spans="1:6" ht="14.25">
      <c r="A429" s="532"/>
      <c r="B429" s="532"/>
      <c r="C429" s="511"/>
      <c r="D429" s="1263"/>
      <c r="E429" s="1263"/>
      <c r="F429" s="1263"/>
    </row>
    <row r="430" spans="1:6" ht="14.25">
      <c r="A430" s="532"/>
      <c r="B430" s="532"/>
      <c r="C430" s="511"/>
      <c r="D430" s="1263"/>
      <c r="E430" s="1263"/>
      <c r="F430" s="1263"/>
    </row>
    <row r="431" spans="1:6" ht="15.75" customHeight="1">
      <c r="A431" s="532"/>
      <c r="B431" s="532"/>
      <c r="C431" s="511"/>
      <c r="D431" s="1327" t="s">
        <v>2471</v>
      </c>
      <c r="E431" s="1263"/>
      <c r="F431" s="1263"/>
    </row>
    <row r="432" spans="1:6">
      <c r="D432" s="481"/>
      <c r="E432" s="481"/>
      <c r="F432" s="481"/>
    </row>
    <row r="433" spans="1:6" ht="14.25">
      <c r="A433" s="519"/>
      <c r="B433" s="520" t="s">
        <v>2768</v>
      </c>
      <c r="C433" s="522"/>
      <c r="D433" s="1275" t="s">
        <v>2454</v>
      </c>
      <c r="E433" s="1275"/>
      <c r="F433" s="1275"/>
    </row>
    <row r="434" spans="1:6" ht="14.25">
      <c r="A434" s="519"/>
      <c r="B434" s="519"/>
      <c r="D434" s="1275"/>
      <c r="E434" s="1275"/>
      <c r="F434" s="1275"/>
    </row>
    <row r="435" spans="1:6">
      <c r="D435" s="1275"/>
      <c r="E435" s="1275"/>
      <c r="F435" s="1275"/>
    </row>
    <row r="436" spans="1:6">
      <c r="D436" s="1275"/>
      <c r="E436" s="1275"/>
      <c r="F436" s="1275"/>
    </row>
    <row r="437" spans="1:6">
      <c r="D437" s="1275"/>
      <c r="E437" s="1275"/>
      <c r="F437" s="1275"/>
    </row>
    <row r="438" spans="1:6">
      <c r="D438" s="1275"/>
      <c r="E438" s="1275"/>
      <c r="F438" s="1275"/>
    </row>
    <row r="439" spans="1:6">
      <c r="D439" s="1275"/>
      <c r="E439" s="1275"/>
      <c r="F439" s="1275"/>
    </row>
    <row r="440" spans="1:6">
      <c r="D440" s="1275"/>
      <c r="E440" s="1275"/>
      <c r="F440" s="1275"/>
    </row>
    <row r="441" spans="1:6">
      <c r="D441" s="1275"/>
      <c r="E441" s="1275"/>
      <c r="F441" s="1275"/>
    </row>
    <row r="442" spans="1:6">
      <c r="D442" s="1275"/>
      <c r="E442" s="1275"/>
      <c r="F442" s="1275"/>
    </row>
    <row r="443" spans="1:6">
      <c r="D443" s="1275"/>
      <c r="E443" s="1275"/>
      <c r="F443" s="1275"/>
    </row>
    <row r="444" spans="1:6">
      <c r="D444" s="1275"/>
      <c r="E444" s="1275"/>
      <c r="F444" s="1275"/>
    </row>
    <row r="445" spans="1:6">
      <c r="D445" s="1275"/>
      <c r="E445" s="1275"/>
      <c r="F445" s="1275"/>
    </row>
    <row r="446" spans="1:6">
      <c r="A446" s="434"/>
      <c r="B446" s="434"/>
      <c r="C446" s="434"/>
      <c r="D446" s="1275"/>
      <c r="E446" s="1275"/>
      <c r="F446" s="1275"/>
    </row>
    <row r="447" spans="1:6">
      <c r="A447" s="434"/>
      <c r="B447" s="434"/>
      <c r="C447" s="434"/>
      <c r="D447" s="1275"/>
      <c r="E447" s="1275"/>
      <c r="F447" s="1275"/>
    </row>
    <row r="448" spans="1:6">
      <c r="A448" s="434"/>
      <c r="B448" s="434"/>
      <c r="C448" s="434"/>
      <c r="D448" s="1275"/>
      <c r="E448" s="1275"/>
      <c r="F448" s="1275"/>
    </row>
    <row r="449" spans="1:6">
      <c r="A449" s="434"/>
      <c r="B449" s="434"/>
      <c r="C449" s="434"/>
      <c r="D449" s="1275"/>
      <c r="E449" s="1275"/>
      <c r="F449" s="1275"/>
    </row>
    <row r="450" spans="1:6">
      <c r="A450" s="434"/>
      <c r="B450" s="434"/>
      <c r="C450" s="434"/>
      <c r="D450" s="1275"/>
      <c r="E450" s="1275"/>
      <c r="F450" s="1275"/>
    </row>
    <row r="451" spans="1:6">
      <c r="A451" s="434"/>
      <c r="B451" s="434"/>
      <c r="C451" s="434"/>
      <c r="D451" s="1275"/>
      <c r="E451" s="1275"/>
      <c r="F451" s="1275"/>
    </row>
    <row r="452" spans="1:6">
      <c r="A452" s="434"/>
      <c r="B452" s="434"/>
      <c r="C452" s="434"/>
      <c r="D452" s="1275"/>
      <c r="E452" s="1275"/>
      <c r="F452" s="1275"/>
    </row>
    <row r="453" spans="1:6">
      <c r="A453" s="434"/>
      <c r="B453" s="434"/>
      <c r="C453" s="434"/>
      <c r="D453" s="1275"/>
      <c r="E453" s="1275"/>
      <c r="F453" s="1275"/>
    </row>
    <row r="454" spans="1:6">
      <c r="A454" s="434"/>
      <c r="B454" s="434"/>
      <c r="C454" s="434"/>
      <c r="D454" s="1275"/>
      <c r="E454" s="1275"/>
      <c r="F454" s="1275"/>
    </row>
    <row r="455" spans="1:6">
      <c r="A455" s="434"/>
      <c r="B455" s="434"/>
      <c r="C455" s="434"/>
      <c r="D455" s="1275"/>
      <c r="E455" s="1275"/>
      <c r="F455" s="1275"/>
    </row>
    <row r="456" spans="1:6">
      <c r="A456" s="434"/>
      <c r="B456" s="434"/>
      <c r="C456" s="434"/>
      <c r="D456" s="1275"/>
      <c r="E456" s="1275"/>
      <c r="F456" s="1275"/>
    </row>
    <row r="457" spans="1:6">
      <c r="A457" s="434"/>
      <c r="B457" s="434"/>
      <c r="C457" s="434"/>
      <c r="D457" s="1275"/>
      <c r="E457" s="1275"/>
      <c r="F457" s="1275"/>
    </row>
    <row r="458" spans="1:6">
      <c r="A458" s="434"/>
      <c r="B458" s="434"/>
      <c r="C458" s="434"/>
      <c r="D458" s="1275"/>
      <c r="E458" s="1275"/>
      <c r="F458" s="1275"/>
    </row>
    <row r="459" spans="1:6">
      <c r="A459" s="434"/>
      <c r="B459" s="434"/>
      <c r="C459" s="434"/>
      <c r="D459" s="1275"/>
      <c r="E459" s="1275"/>
      <c r="F459" s="1275"/>
    </row>
    <row r="460" spans="1:6">
      <c r="A460" s="434"/>
      <c r="B460" s="434"/>
      <c r="C460" s="434"/>
      <c r="D460" s="1275"/>
      <c r="E460" s="1275"/>
      <c r="F460" s="1275"/>
    </row>
    <row r="461" spans="1:6">
      <c r="A461" s="434"/>
      <c r="B461" s="434"/>
      <c r="C461" s="434"/>
      <c r="D461" s="1275"/>
      <c r="E461" s="1275"/>
      <c r="F461" s="1275"/>
    </row>
    <row r="462" spans="1:6">
      <c r="D462" s="1275"/>
      <c r="E462" s="1275"/>
      <c r="F462" s="1275"/>
    </row>
    <row r="463" spans="1:6" ht="40.700000000000003" customHeight="1">
      <c r="D463" s="1275"/>
      <c r="E463" s="1275"/>
      <c r="F463" s="1275"/>
    </row>
    <row r="464" spans="1:6">
      <c r="D464" s="481"/>
      <c r="E464" s="481"/>
      <c r="F464" s="481"/>
    </row>
    <row r="465" spans="1:6" ht="14.25">
      <c r="A465" s="519"/>
      <c r="B465" s="520" t="s">
        <v>2768</v>
      </c>
      <c r="C465" s="522"/>
      <c r="D465" s="1275" t="s">
        <v>1270</v>
      </c>
      <c r="E465" s="1275"/>
      <c r="F465" s="1275"/>
    </row>
    <row r="466" spans="1:6">
      <c r="D466" s="1275"/>
      <c r="E466" s="1275"/>
      <c r="F466" s="1275"/>
    </row>
    <row r="467" spans="1:6">
      <c r="D467" s="1275"/>
      <c r="E467" s="1275"/>
      <c r="F467" s="1275"/>
    </row>
    <row r="468" spans="1:6">
      <c r="D468" s="480"/>
      <c r="E468" s="480"/>
      <c r="F468" s="480"/>
    </row>
    <row r="469" spans="1:6" ht="14.25">
      <c r="B469" s="520" t="s">
        <v>2768</v>
      </c>
      <c r="C469" s="519"/>
      <c r="D469" s="1275" t="s">
        <v>1340</v>
      </c>
      <c r="E469" s="1275"/>
      <c r="F469" s="1275"/>
    </row>
    <row r="470" spans="1:6">
      <c r="D470" s="1275"/>
      <c r="E470" s="1275"/>
      <c r="F470" s="1275"/>
    </row>
    <row r="471" spans="1:6">
      <c r="D471" s="481"/>
      <c r="E471" s="481"/>
      <c r="F471" s="481"/>
    </row>
    <row r="472" spans="1:6" ht="14.25">
      <c r="B472" s="520" t="s">
        <v>2768</v>
      </c>
      <c r="C472" s="519"/>
      <c r="D472" s="1275" t="s">
        <v>1272</v>
      </c>
      <c r="E472" s="1275"/>
      <c r="F472" s="1275"/>
    </row>
    <row r="473" spans="1:6">
      <c r="D473" s="1275"/>
      <c r="E473" s="1275"/>
      <c r="F473" s="1275"/>
    </row>
    <row r="474" spans="1:6">
      <c r="D474" s="1275"/>
      <c r="E474" s="1275"/>
      <c r="F474" s="1275"/>
    </row>
    <row r="475" spans="1:6">
      <c r="D475" s="1275"/>
      <c r="E475" s="1275"/>
      <c r="F475" s="1275"/>
    </row>
    <row r="476" spans="1:6">
      <c r="B476" s="520" t="s">
        <v>2768</v>
      </c>
      <c r="D476" s="1275"/>
      <c r="E476" s="1275"/>
      <c r="F476" s="1275"/>
    </row>
    <row r="477" spans="1:6">
      <c r="A477" s="434"/>
      <c r="B477" s="434"/>
      <c r="C477" s="434"/>
      <c r="D477" s="1275"/>
      <c r="E477" s="1275"/>
      <c r="F477" s="1275"/>
    </row>
    <row r="478" spans="1:6">
      <c r="A478" s="434"/>
      <c r="C478" s="434"/>
      <c r="D478" s="1275"/>
      <c r="E478" s="1275"/>
      <c r="F478" s="1275"/>
    </row>
    <row r="479" spans="1:6">
      <c r="A479" s="434"/>
      <c r="B479" s="520" t="s">
        <v>2768</v>
      </c>
      <c r="C479" s="434"/>
      <c r="D479" s="1275"/>
      <c r="E479" s="1275"/>
      <c r="F479" s="1275"/>
    </row>
    <row r="480" spans="1:6">
      <c r="A480" s="434"/>
      <c r="B480" s="434"/>
      <c r="C480" s="434"/>
      <c r="D480" s="1275"/>
      <c r="E480" s="1275"/>
      <c r="F480" s="1275"/>
    </row>
    <row r="481" spans="1:9">
      <c r="A481" s="434"/>
      <c r="C481" s="434"/>
      <c r="D481" s="1275"/>
      <c r="E481" s="1275"/>
      <c r="F481" s="1275"/>
    </row>
    <row r="482" spans="1:9">
      <c r="A482" s="434"/>
      <c r="C482" s="434"/>
      <c r="D482" s="1275"/>
      <c r="E482" s="1275"/>
      <c r="F482" s="1275"/>
    </row>
    <row r="483" spans="1:9">
      <c r="A483" s="434"/>
      <c r="C483" s="434"/>
      <c r="D483" s="1275"/>
      <c r="E483" s="1275"/>
      <c r="F483" s="1275"/>
    </row>
    <row r="484" spans="1:9">
      <c r="A484" s="434"/>
      <c r="B484" s="520" t="s">
        <v>2768</v>
      </c>
      <c r="C484" s="434"/>
      <c r="D484" s="1275"/>
      <c r="E484" s="1275"/>
      <c r="F484" s="1275"/>
    </row>
    <row r="485" spans="1:9">
      <c r="A485" s="434"/>
      <c r="C485" s="434"/>
      <c r="D485" s="1275"/>
      <c r="E485" s="1275"/>
      <c r="F485" s="1275"/>
    </row>
    <row r="486" spans="1:9">
      <c r="A486" s="434"/>
      <c r="B486" s="520" t="s">
        <v>2768</v>
      </c>
      <c r="C486" s="434"/>
      <c r="D486" s="1275" t="s">
        <v>1273</v>
      </c>
      <c r="E486" s="1275"/>
      <c r="F486" s="1275"/>
    </row>
    <row r="487" spans="1:9">
      <c r="A487" s="434"/>
      <c r="B487" s="434"/>
      <c r="C487" s="434"/>
      <c r="D487" s="1275"/>
      <c r="E487" s="1275"/>
      <c r="F487" s="1275"/>
    </row>
    <row r="488" spans="1:9">
      <c r="A488" s="434"/>
      <c r="B488" s="434"/>
      <c r="C488" s="434"/>
      <c r="D488" s="1275"/>
      <c r="E488" s="1275"/>
      <c r="F488" s="1275"/>
    </row>
    <row r="489" spans="1:9">
      <c r="A489" s="434"/>
      <c r="B489" s="434"/>
      <c r="C489" s="434"/>
      <c r="D489" s="1275"/>
      <c r="E489" s="1275"/>
      <c r="F489" s="1275"/>
    </row>
    <row r="490" spans="1:9">
      <c r="D490" s="1275"/>
      <c r="E490" s="1275"/>
      <c r="F490" s="1275"/>
    </row>
    <row r="491" spans="1:9">
      <c r="D491" s="481"/>
      <c r="E491" s="481"/>
      <c r="F491" s="481"/>
    </row>
    <row r="492" spans="1:9">
      <c r="B492" s="520" t="s">
        <v>2768</v>
      </c>
      <c r="D492" s="1304" t="s">
        <v>1274</v>
      </c>
      <c r="E492" s="1304"/>
      <c r="F492" s="1304"/>
    </row>
    <row r="493" spans="1:9">
      <c r="A493" s="481"/>
      <c r="B493" s="481"/>
    </row>
    <row r="494" spans="1:9">
      <c r="A494" s="1281" t="s">
        <v>1115</v>
      </c>
      <c r="B494" s="1281"/>
      <c r="C494" s="1281"/>
      <c r="D494" s="1281"/>
      <c r="E494" s="1281"/>
      <c r="F494" s="1281"/>
      <c r="G494" s="1281"/>
      <c r="H494" s="1071"/>
      <c r="I494" s="1072"/>
    </row>
    <row r="495" spans="1:9">
      <c r="A495" s="481"/>
      <c r="B495" s="481"/>
    </row>
    <row r="496" spans="1:9">
      <c r="D496" s="1311" t="s">
        <v>912</v>
      </c>
      <c r="E496" s="1311"/>
      <c r="F496" s="1311"/>
    </row>
    <row r="497" spans="1:9" ht="14.25">
      <c r="A497" s="519"/>
      <c r="B497" s="519"/>
      <c r="D497" s="1308" t="s">
        <v>1275</v>
      </c>
      <c r="E497" s="1308"/>
      <c r="F497" s="1308"/>
    </row>
    <row r="498" spans="1:9" ht="14.25">
      <c r="A498" s="519"/>
      <c r="B498" s="519"/>
      <c r="D498" s="482"/>
    </row>
    <row r="499" spans="1:9" ht="14.25">
      <c r="A499" s="519"/>
      <c r="B499" s="520" t="s">
        <v>2768</v>
      </c>
      <c r="D499" s="1263" t="s">
        <v>1276</v>
      </c>
      <c r="E499" s="1263"/>
      <c r="F499" s="1263"/>
      <c r="I499" s="436" t="s">
        <v>2168</v>
      </c>
    </row>
    <row r="500" spans="1:9" ht="14.25">
      <c r="A500" s="519"/>
      <c r="B500" s="519"/>
      <c r="D500" s="1263"/>
      <c r="E500" s="1263"/>
      <c r="F500" s="1263"/>
    </row>
    <row r="501" spans="1:9" ht="14.25">
      <c r="A501" s="519"/>
      <c r="B501" s="519"/>
      <c r="D501" s="481"/>
    </row>
    <row r="502" spans="1:9" ht="12.75" customHeight="1">
      <c r="B502" s="520" t="s">
        <v>2768</v>
      </c>
      <c r="D502" s="1297" t="s">
        <v>1431</v>
      </c>
      <c r="E502" s="1297"/>
      <c r="F502" s="1297"/>
      <c r="I502" s="436" t="s">
        <v>2169</v>
      </c>
    </row>
    <row r="503" spans="1:9" ht="14.25">
      <c r="A503" s="519"/>
      <c r="D503" s="1297"/>
      <c r="E503" s="1297"/>
      <c r="F503" s="1297"/>
    </row>
    <row r="504" spans="1:9" ht="14.25">
      <c r="A504" s="519"/>
      <c r="B504" s="519"/>
      <c r="D504" s="1297"/>
      <c r="E504" s="1297"/>
      <c r="F504" s="1297"/>
    </row>
    <row r="505" spans="1:9" ht="14.25">
      <c r="A505" s="519"/>
      <c r="B505" s="519"/>
      <c r="D505" s="1297"/>
      <c r="E505" s="1297"/>
      <c r="F505" s="1297"/>
    </row>
    <row r="506" spans="1:9" ht="14.25">
      <c r="A506" s="519"/>
      <c r="D506" s="555"/>
      <c r="E506" s="555"/>
      <c r="F506" s="555"/>
    </row>
    <row r="507" spans="1:9" ht="14.25">
      <c r="A507" s="519"/>
      <c r="B507" s="520" t="s">
        <v>2768</v>
      </c>
      <c r="D507" s="1304" t="s">
        <v>1279</v>
      </c>
      <c r="E507" s="1304"/>
      <c r="F507" s="1304"/>
      <c r="I507" s="436" t="s">
        <v>2170</v>
      </c>
    </row>
    <row r="508" spans="1:9" ht="14.25">
      <c r="A508" s="519"/>
      <c r="B508" s="519"/>
      <c r="D508" s="481"/>
    </row>
    <row r="509" spans="1:9" ht="14.25">
      <c r="A509" s="519"/>
      <c r="B509" s="520" t="s">
        <v>2768</v>
      </c>
      <c r="D509" s="1275" t="s">
        <v>1280</v>
      </c>
      <c r="E509" s="1275"/>
      <c r="F509" s="1275"/>
      <c r="I509" s="436" t="s">
        <v>2170</v>
      </c>
    </row>
    <row r="510" spans="1:9" ht="14.25">
      <c r="A510" s="519"/>
      <c r="D510" s="1275"/>
      <c r="E510" s="1275"/>
      <c r="F510" s="1275"/>
    </row>
    <row r="511" spans="1:9">
      <c r="A511" s="525"/>
      <c r="B511" s="525"/>
      <c r="D511" s="482"/>
    </row>
    <row r="512" spans="1:9">
      <c r="A512" s="525"/>
      <c r="B512" s="520" t="s">
        <v>2624</v>
      </c>
      <c r="D512" s="1304" t="s">
        <v>1281</v>
      </c>
      <c r="E512" s="1304"/>
      <c r="F512" s="1304"/>
      <c r="I512" s="436" t="s">
        <v>2223</v>
      </c>
    </row>
    <row r="513" spans="1:9" ht="14.25">
      <c r="A513" s="519"/>
      <c r="B513" s="519"/>
      <c r="D513" s="481"/>
    </row>
    <row r="514" spans="1:9">
      <c r="A514" s="1281" t="s">
        <v>1116</v>
      </c>
      <c r="B514" s="1281"/>
      <c r="C514" s="1281"/>
      <c r="D514" s="1281"/>
      <c r="E514" s="1281"/>
      <c r="F514" s="1281"/>
      <c r="G514" s="1281"/>
      <c r="H514" s="1071"/>
      <c r="I514" s="1072"/>
    </row>
    <row r="515" spans="1:9" ht="12" customHeight="1">
      <c r="A515" s="519"/>
      <c r="B515" s="519"/>
      <c r="D515" s="481"/>
    </row>
    <row r="516" spans="1:9">
      <c r="C516" s="517"/>
      <c r="D516" s="1273" t="s">
        <v>817</v>
      </c>
      <c r="E516" s="1273"/>
      <c r="F516" s="1273"/>
    </row>
    <row r="517" spans="1:9">
      <c r="C517" s="517"/>
      <c r="D517" s="541" t="s">
        <v>1342</v>
      </c>
      <c r="E517" s="541"/>
      <c r="F517" s="541"/>
    </row>
    <row r="518" spans="1:9">
      <c r="C518" s="517"/>
      <c r="D518" s="541" t="s">
        <v>1343</v>
      </c>
      <c r="E518" s="541"/>
      <c r="F518" s="541"/>
    </row>
    <row r="519" spans="1:9">
      <c r="C519" s="517"/>
      <c r="D519" s="516"/>
      <c r="E519" s="516"/>
      <c r="F519" s="516"/>
    </row>
    <row r="520" spans="1:9" ht="13.7" customHeight="1">
      <c r="A520" s="518"/>
      <c r="B520" s="520" t="s">
        <v>2768</v>
      </c>
      <c r="C520" s="518"/>
      <c r="D520" s="1263" t="s">
        <v>2455</v>
      </c>
      <c r="E520" s="1263"/>
      <c r="F520" s="1263"/>
      <c r="I520" s="436" t="s">
        <v>2205</v>
      </c>
    </row>
    <row r="521" spans="1:9">
      <c r="A521" s="518"/>
      <c r="B521" s="518"/>
      <c r="C521" s="518"/>
      <c r="D521" s="1263"/>
      <c r="E521" s="1263"/>
      <c r="F521" s="1263"/>
    </row>
    <row r="522" spans="1:9">
      <c r="A522" s="518"/>
      <c r="B522" s="518"/>
      <c r="C522" s="518"/>
      <c r="D522" s="486"/>
      <c r="E522" s="486"/>
      <c r="F522" s="486"/>
      <c r="I522" s="434"/>
    </row>
    <row r="523" spans="1:9" ht="12.75" customHeight="1">
      <c r="A523" s="518"/>
      <c r="B523" s="520" t="s">
        <v>2768</v>
      </c>
      <c r="D523" s="418" t="s">
        <v>2285</v>
      </c>
      <c r="E523" s="417"/>
      <c r="F523" s="417"/>
      <c r="I523" s="436" t="s">
        <v>2171</v>
      </c>
    </row>
    <row r="524" spans="1:9">
      <c r="A524" s="518"/>
      <c r="B524" s="518"/>
      <c r="C524" s="518"/>
      <c r="D524" s="417"/>
      <c r="E524" s="96" t="s">
        <v>2286</v>
      </c>
    </row>
    <row r="525" spans="1:9">
      <c r="A525" s="518"/>
      <c r="B525" s="518"/>
      <c r="D525" s="1319" t="s">
        <v>2456</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15" customHeight="1">
      <c r="A529" s="518"/>
      <c r="B529" s="520" t="s">
        <v>2624</v>
      </c>
      <c r="C529" s="518"/>
      <c r="D529" s="1275" t="s">
        <v>2457</v>
      </c>
      <c r="E529" s="1275"/>
      <c r="F529" s="1275"/>
      <c r="I529" s="436" t="s">
        <v>2171</v>
      </c>
    </row>
    <row r="530" spans="1:9">
      <c r="A530" s="518"/>
      <c r="B530" s="518"/>
      <c r="C530" s="518"/>
      <c r="D530" s="1275"/>
      <c r="E530" s="1275"/>
      <c r="F530" s="1275"/>
    </row>
    <row r="531" spans="1:9" ht="12" customHeight="1">
      <c r="A531" s="481"/>
      <c r="B531" s="481"/>
      <c r="C531" s="522"/>
      <c r="D531" s="481"/>
      <c r="F531" s="483"/>
    </row>
    <row r="532" spans="1:9">
      <c r="A532" s="1281" t="s">
        <v>1117</v>
      </c>
      <c r="B532" s="1281"/>
      <c r="C532" s="1281"/>
      <c r="D532" s="1281"/>
      <c r="E532" s="1281"/>
      <c r="F532" s="1281"/>
      <c r="G532" s="1281"/>
      <c r="H532" s="1071"/>
      <c r="I532" s="1072"/>
    </row>
    <row r="533" spans="1:9">
      <c r="A533" s="481"/>
      <c r="B533" s="481"/>
      <c r="C533" s="522"/>
      <c r="F533" s="483"/>
    </row>
    <row r="534" spans="1:9">
      <c r="B534" s="1290" t="s">
        <v>449</v>
      </c>
      <c r="C534" s="1290"/>
      <c r="D534" s="1290"/>
      <c r="E534" s="1290"/>
      <c r="F534" s="1290"/>
    </row>
    <row r="535" spans="1:9">
      <c r="A535" s="481"/>
      <c r="B535" s="481"/>
      <c r="C535" s="522"/>
      <c r="D535" s="481"/>
      <c r="F535" s="481"/>
    </row>
    <row r="536" spans="1:9">
      <c r="A536" s="1282" t="s">
        <v>1118</v>
      </c>
      <c r="B536" s="1282"/>
      <c r="C536" s="1282"/>
      <c r="D536" s="1282"/>
      <c r="E536" s="1282"/>
      <c r="F536" s="1282"/>
      <c r="G536" s="1282"/>
      <c r="H536" s="1071"/>
      <c r="I536" s="1072"/>
    </row>
    <row r="537" spans="1:9">
      <c r="A537" s="481"/>
      <c r="B537" s="481"/>
      <c r="C537" s="522"/>
      <c r="D537" s="481"/>
      <c r="F537" s="481"/>
    </row>
    <row r="538" spans="1:9">
      <c r="C538" s="522"/>
      <c r="D538" s="1273" t="s">
        <v>692</v>
      </c>
      <c r="E538" s="1273"/>
      <c r="F538" s="1273"/>
    </row>
    <row r="539" spans="1:9">
      <c r="C539" s="522"/>
      <c r="D539" s="1304" t="s">
        <v>1175</v>
      </c>
      <c r="E539" s="1304"/>
      <c r="F539" s="1304"/>
    </row>
    <row r="540" spans="1:9">
      <c r="C540" s="522"/>
      <c r="D540" s="481"/>
      <c r="E540" s="481"/>
      <c r="F540" s="481"/>
    </row>
    <row r="541" spans="1:9" ht="13.7" customHeight="1">
      <c r="A541" s="519"/>
      <c r="B541" s="520" t="s">
        <v>2768</v>
      </c>
      <c r="C541" s="522"/>
      <c r="D541" s="1304" t="s">
        <v>913</v>
      </c>
      <c r="E541" s="1304"/>
      <c r="F541" s="1304"/>
      <c r="I541" s="436" t="s">
        <v>2221</v>
      </c>
    </row>
    <row r="542" spans="1:9" ht="13.7" customHeight="1">
      <c r="A542" s="522"/>
      <c r="B542" s="522"/>
      <c r="C542" s="522"/>
      <c r="D542" s="481"/>
    </row>
    <row r="543" spans="1:9" ht="14.25">
      <c r="A543" s="519"/>
      <c r="B543" s="520" t="s">
        <v>2768</v>
      </c>
      <c r="C543" s="522"/>
      <c r="D543" s="1275" t="s">
        <v>1176</v>
      </c>
      <c r="E543" s="1275"/>
      <c r="F543" s="1275"/>
      <c r="I543" s="436" t="s">
        <v>2221</v>
      </c>
    </row>
    <row r="544" spans="1:9">
      <c r="A544" s="522"/>
      <c r="B544" s="522"/>
      <c r="C544" s="522"/>
      <c r="D544" s="1275"/>
      <c r="E544" s="1275"/>
      <c r="F544" s="1275"/>
    </row>
    <row r="545" spans="1:9">
      <c r="A545" s="522"/>
      <c r="B545" s="522"/>
      <c r="C545" s="522"/>
      <c r="D545" s="481"/>
      <c r="E545" s="481"/>
      <c r="F545" s="481"/>
    </row>
    <row r="546" spans="1:9" ht="14.25">
      <c r="A546" s="519"/>
      <c r="B546" s="520" t="s">
        <v>2768</v>
      </c>
      <c r="C546" s="522"/>
      <c r="D546" s="1275" t="s">
        <v>1177</v>
      </c>
      <c r="E546" s="1275"/>
      <c r="F546" s="1275"/>
      <c r="I546" s="436" t="s">
        <v>2172</v>
      </c>
    </row>
    <row r="547" spans="1:9">
      <c r="A547" s="522"/>
      <c r="B547" s="522"/>
      <c r="C547" s="522"/>
      <c r="D547" s="1275"/>
      <c r="E547" s="1275"/>
      <c r="F547" s="1275"/>
    </row>
    <row r="548" spans="1:9">
      <c r="A548" s="522"/>
      <c r="B548" s="522"/>
      <c r="C548" s="522"/>
      <c r="D548" s="481"/>
      <c r="E548" s="481"/>
      <c r="F548" s="481"/>
    </row>
    <row r="549" spans="1:9" ht="14.25">
      <c r="A549" s="519"/>
      <c r="B549" s="520" t="s">
        <v>2768</v>
      </c>
      <c r="C549" s="522"/>
      <c r="D549" s="1275" t="s">
        <v>1178</v>
      </c>
      <c r="E549" s="1275"/>
      <c r="F549" s="1275"/>
      <c r="I549" s="436" t="s">
        <v>2173</v>
      </c>
    </row>
    <row r="550" spans="1:9">
      <c r="A550" s="522"/>
      <c r="B550" s="522"/>
      <c r="C550" s="522"/>
      <c r="D550" s="1275"/>
      <c r="E550" s="1275"/>
      <c r="F550" s="1275"/>
    </row>
    <row r="551" spans="1:9">
      <c r="A551" s="522"/>
      <c r="B551" s="522"/>
      <c r="C551" s="522"/>
      <c r="D551" s="481"/>
      <c r="E551" s="481"/>
      <c r="F551" s="481"/>
    </row>
    <row r="552" spans="1:9" ht="14.25">
      <c r="A552" s="519"/>
      <c r="B552" s="520" t="s">
        <v>2768</v>
      </c>
      <c r="C552" s="522"/>
      <c r="D552" s="1275" t="s">
        <v>1179</v>
      </c>
      <c r="E552" s="1275"/>
      <c r="F552" s="1275"/>
      <c r="I552" s="436" t="s">
        <v>2222</v>
      </c>
    </row>
    <row r="553" spans="1:9">
      <c r="A553" s="522"/>
      <c r="B553" s="522"/>
      <c r="C553" s="522"/>
      <c r="D553" s="1275"/>
      <c r="E553" s="1275"/>
      <c r="F553" s="1275"/>
    </row>
    <row r="554" spans="1:9">
      <c r="A554" s="522"/>
      <c r="B554" s="522"/>
      <c r="C554" s="522"/>
      <c r="D554" s="1275"/>
      <c r="E554" s="1275"/>
      <c r="F554" s="1275"/>
    </row>
    <row r="555" spans="1:9">
      <c r="A555" s="522"/>
      <c r="B555" s="522"/>
      <c r="C555" s="522"/>
      <c r="D555" s="481"/>
      <c r="E555" s="481"/>
      <c r="F555" s="481"/>
    </row>
    <row r="556" spans="1:9" ht="14.25">
      <c r="A556" s="519"/>
      <c r="B556" s="520" t="s">
        <v>2624</v>
      </c>
      <c r="C556" s="522"/>
      <c r="D556" s="1275" t="s">
        <v>1297</v>
      </c>
      <c r="E556" s="1275"/>
      <c r="F556" s="1275"/>
      <c r="I556" s="436" t="s">
        <v>2221</v>
      </c>
    </row>
    <row r="557" spans="1:9">
      <c r="A557" s="522"/>
      <c r="B557" s="522"/>
      <c r="C557" s="522"/>
      <c r="D557" s="1275"/>
      <c r="E557" s="1275"/>
      <c r="F557" s="1275"/>
    </row>
    <row r="558" spans="1:9">
      <c r="A558" s="522"/>
      <c r="B558" s="522"/>
      <c r="C558" s="522"/>
      <c r="D558" s="481"/>
      <c r="E558" s="481"/>
      <c r="F558" s="481"/>
    </row>
    <row r="559" spans="1:9" ht="14.25">
      <c r="A559" s="519"/>
      <c r="B559" s="520" t="s">
        <v>2768</v>
      </c>
      <c r="C559" s="522"/>
      <c r="D559" s="1275" t="s">
        <v>1181</v>
      </c>
      <c r="E559" s="1275"/>
      <c r="F559" s="1275"/>
      <c r="I559" s="436" t="s">
        <v>2221</v>
      </c>
    </row>
    <row r="560" spans="1:9">
      <c r="A560" s="522"/>
      <c r="B560" s="522"/>
      <c r="C560" s="522"/>
      <c r="D560" s="1275"/>
      <c r="E560" s="1275"/>
      <c r="F560" s="1275"/>
    </row>
    <row r="561" spans="1:9">
      <c r="A561" s="522"/>
      <c r="B561" s="522"/>
      <c r="C561" s="522"/>
      <c r="D561" s="481"/>
      <c r="E561" s="481"/>
      <c r="F561" s="481"/>
    </row>
    <row r="562" spans="1:9" ht="14.25">
      <c r="A562" s="519"/>
      <c r="B562" s="520" t="s">
        <v>2768</v>
      </c>
      <c r="C562" s="522"/>
      <c r="D562" s="1304" t="s">
        <v>1182</v>
      </c>
      <c r="E562" s="1304"/>
      <c r="F562" s="1304"/>
      <c r="I562" s="436" t="s">
        <v>2224</v>
      </c>
    </row>
    <row r="563" spans="1:9">
      <c r="A563" s="525"/>
      <c r="B563" s="525"/>
      <c r="C563" s="522"/>
      <c r="D563" s="1304" t="s">
        <v>2288</v>
      </c>
      <c r="E563" s="1304"/>
      <c r="F563" s="1304"/>
    </row>
    <row r="564" spans="1:9">
      <c r="A564" s="525"/>
      <c r="B564" s="525"/>
      <c r="C564" s="522"/>
      <c r="E564" s="96" t="s">
        <v>2287</v>
      </c>
      <c r="F564" s="436"/>
    </row>
    <row r="565" spans="1:9" ht="14.25">
      <c r="A565" s="519"/>
      <c r="B565" s="519"/>
      <c r="C565" s="522"/>
      <c r="E565" s="481"/>
      <c r="F565" s="481"/>
    </row>
    <row r="566" spans="1:9" ht="14.25">
      <c r="A566" s="519"/>
      <c r="B566" s="520" t="s">
        <v>2768</v>
      </c>
      <c r="C566" s="522"/>
      <c r="D566" s="1304" t="s">
        <v>1184</v>
      </c>
      <c r="E566" s="1304"/>
      <c r="F566" s="1304"/>
      <c r="I566" s="436" t="s">
        <v>2174</v>
      </c>
    </row>
    <row r="567" spans="1:9">
      <c r="C567" s="522"/>
      <c r="D567" s="1275" t="s">
        <v>1185</v>
      </c>
      <c r="E567" s="1275"/>
      <c r="F567" s="1275"/>
    </row>
    <row r="568" spans="1:9">
      <c r="A568" s="522"/>
      <c r="B568" s="522"/>
      <c r="C568" s="522"/>
      <c r="D568" s="1275"/>
      <c r="E568" s="1275"/>
      <c r="F568" s="1275"/>
    </row>
    <row r="569" spans="1:9">
      <c r="A569" s="522"/>
      <c r="B569" s="522"/>
      <c r="C569" s="522"/>
      <c r="D569" s="1275"/>
      <c r="E569" s="1275"/>
      <c r="F569" s="1275"/>
    </row>
    <row r="570" spans="1:9">
      <c r="A570" s="522"/>
      <c r="B570" s="522"/>
      <c r="C570" s="522"/>
      <c r="D570" s="481"/>
      <c r="E570" s="481"/>
      <c r="F570" s="481"/>
    </row>
    <row r="571" spans="1:9" ht="14.25">
      <c r="A571" s="519"/>
      <c r="B571" s="520" t="s">
        <v>2768</v>
      </c>
      <c r="C571" s="522"/>
      <c r="D571" s="1275" t="s">
        <v>2458</v>
      </c>
      <c r="E571" s="1275"/>
      <c r="F571" s="1275"/>
      <c r="I571" s="436" t="s">
        <v>2175</v>
      </c>
    </row>
    <row r="572" spans="1:9" ht="14.25">
      <c r="A572" s="519"/>
      <c r="B572" s="519"/>
      <c r="C572" s="522"/>
      <c r="D572" s="1275"/>
      <c r="E572" s="1275"/>
      <c r="F572" s="1275"/>
    </row>
    <row r="573" spans="1:9" ht="14.25">
      <c r="A573" s="519"/>
      <c r="B573" s="519"/>
      <c r="C573" s="522"/>
      <c r="D573" s="1275"/>
      <c r="E573" s="1275"/>
      <c r="F573" s="1275"/>
    </row>
    <row r="574" spans="1:9" ht="14.25">
      <c r="A574" s="519"/>
      <c r="B574" s="519"/>
      <c r="C574" s="522"/>
      <c r="D574" s="1275"/>
      <c r="E574" s="1275"/>
      <c r="F574" s="1275"/>
    </row>
    <row r="575" spans="1:9" ht="14.25">
      <c r="A575" s="519"/>
      <c r="B575" s="519"/>
      <c r="C575" s="522"/>
      <c r="D575" s="481"/>
      <c r="E575" s="481"/>
      <c r="F575" s="481"/>
    </row>
    <row r="576" spans="1:9">
      <c r="A576" s="1281" t="s">
        <v>1119</v>
      </c>
      <c r="B576" s="1281"/>
      <c r="C576" s="1281"/>
      <c r="D576" s="1281"/>
      <c r="E576" s="1281"/>
      <c r="F576" s="1281"/>
      <c r="G576" s="1281"/>
      <c r="H576" s="1071"/>
      <c r="I576" s="1072"/>
    </row>
    <row r="577" spans="1:9">
      <c r="A577" s="522"/>
      <c r="B577" s="522"/>
      <c r="C577" s="522"/>
      <c r="E577" s="481"/>
      <c r="F577" s="481"/>
    </row>
    <row r="578" spans="1:9" ht="12.75" customHeight="1">
      <c r="C578" s="517"/>
      <c r="D578" s="1303" t="s">
        <v>212</v>
      </c>
      <c r="E578" s="1303"/>
      <c r="F578" s="1303"/>
    </row>
    <row r="579" spans="1:9">
      <c r="A579" s="518"/>
      <c r="B579" s="518"/>
      <c r="C579" s="518"/>
      <c r="D579" s="1297" t="s">
        <v>1135</v>
      </c>
      <c r="E579" s="1297"/>
      <c r="F579" s="1297"/>
    </row>
    <row r="580" spans="1:9">
      <c r="A580" s="434"/>
      <c r="B580" s="434"/>
      <c r="C580" s="518"/>
      <c r="D580" s="534"/>
      <c r="I580" s="436" t="s">
        <v>2176</v>
      </c>
    </row>
    <row r="581" spans="1:9">
      <c r="A581" s="518"/>
      <c r="B581" s="520" t="s">
        <v>2768</v>
      </c>
      <c r="D581" s="1297" t="s">
        <v>919</v>
      </c>
      <c r="E581" s="1297"/>
      <c r="F581" s="1297"/>
    </row>
    <row r="582" spans="1:9">
      <c r="A582" s="525"/>
      <c r="B582" s="525"/>
      <c r="D582" s="511"/>
    </row>
    <row r="583" spans="1:9">
      <c r="A583" s="525"/>
      <c r="B583" s="520" t="s">
        <v>2768</v>
      </c>
      <c r="D583" s="1297" t="s">
        <v>2459</v>
      </c>
      <c r="E583" s="1297"/>
      <c r="F583" s="1297"/>
      <c r="I583" s="436" t="s">
        <v>2178</v>
      </c>
    </row>
    <row r="584" spans="1:9">
      <c r="A584" s="525"/>
      <c r="B584" s="525"/>
      <c r="D584" s="1297"/>
      <c r="E584" s="1297"/>
      <c r="F584" s="1297"/>
      <c r="I584" s="436" t="s">
        <v>2177</v>
      </c>
    </row>
    <row r="585" spans="1:9">
      <c r="A585" s="525"/>
      <c r="B585" s="525"/>
      <c r="D585" s="1297"/>
      <c r="E585" s="1297"/>
      <c r="F585" s="1297"/>
    </row>
    <row r="586" spans="1:9">
      <c r="A586" s="525"/>
      <c r="B586" s="525"/>
      <c r="D586" s="1297"/>
      <c r="E586" s="1297"/>
      <c r="F586" s="1297"/>
    </row>
    <row r="587" spans="1:9">
      <c r="A587" s="525"/>
      <c r="B587" s="520" t="s">
        <v>2624</v>
      </c>
      <c r="D587" s="1297" t="s">
        <v>1137</v>
      </c>
      <c r="E587" s="1297"/>
      <c r="F587" s="1297"/>
    </row>
    <row r="588" spans="1:9">
      <c r="A588" s="525"/>
      <c r="B588" s="525"/>
      <c r="D588" s="1297"/>
      <c r="E588" s="1297"/>
      <c r="F588" s="1297"/>
    </row>
    <row r="589" spans="1:9">
      <c r="A589" s="525"/>
      <c r="B589" s="525"/>
      <c r="D589" s="1297"/>
      <c r="E589" s="1297"/>
      <c r="F589" s="1297"/>
    </row>
    <row r="590" spans="1:9">
      <c r="A590" s="525"/>
      <c r="B590" s="525"/>
      <c r="D590" s="1297"/>
      <c r="E590" s="1297"/>
      <c r="F590" s="1297"/>
    </row>
    <row r="591" spans="1:9">
      <c r="A591" s="525"/>
      <c r="B591" s="525"/>
      <c r="D591" s="474"/>
      <c r="E591" s="474"/>
      <c r="F591" s="474"/>
    </row>
    <row r="592" spans="1:9">
      <c r="A592" s="525"/>
      <c r="B592" s="520" t="s">
        <v>2768</v>
      </c>
      <c r="D592" s="1297" t="s">
        <v>2460</v>
      </c>
      <c r="E592" s="1297"/>
      <c r="F592" s="1297"/>
    </row>
    <row r="593" spans="1:9">
      <c r="A593" s="525"/>
      <c r="B593" s="525"/>
      <c r="D593" s="1297"/>
      <c r="E593" s="1297"/>
      <c r="F593" s="1297"/>
    </row>
    <row r="594" spans="1:9">
      <c r="A594" s="525"/>
      <c r="B594" s="525"/>
      <c r="D594" s="534"/>
    </row>
    <row r="595" spans="1:9">
      <c r="A595" s="525"/>
      <c r="B595" s="520" t="s">
        <v>2624</v>
      </c>
      <c r="D595" s="1297" t="s">
        <v>1139</v>
      </c>
      <c r="E595" s="1297"/>
      <c r="F595" s="1297"/>
      <c r="I595" s="436" t="s">
        <v>2225</v>
      </c>
    </row>
    <row r="596" spans="1:9">
      <c r="A596" s="525"/>
      <c r="B596" s="525"/>
      <c r="D596" s="1297"/>
      <c r="E596" s="1297"/>
      <c r="F596" s="1297"/>
    </row>
    <row r="597" spans="1:9" ht="14.25">
      <c r="A597" s="519"/>
      <c r="B597" s="519"/>
      <c r="D597" s="534"/>
    </row>
    <row r="598" spans="1:9">
      <c r="A598" s="1281" t="s">
        <v>1120</v>
      </c>
      <c r="B598" s="1281"/>
      <c r="C598" s="1281"/>
      <c r="D598" s="1281"/>
      <c r="E598" s="1281"/>
      <c r="F598" s="1281"/>
      <c r="G598" s="1281"/>
      <c r="H598" s="1071"/>
      <c r="I598" s="1072"/>
    </row>
    <row r="599" spans="1:9"/>
    <row r="600" spans="1:9">
      <c r="D600" s="1273" t="s">
        <v>1220</v>
      </c>
      <c r="E600" s="1273"/>
      <c r="F600" s="1273"/>
    </row>
    <row r="601" spans="1:9">
      <c r="D601" s="1274" t="s">
        <v>1221</v>
      </c>
      <c r="E601" s="1274"/>
      <c r="F601" s="1274"/>
    </row>
    <row r="602" spans="1:9">
      <c r="D602" s="479"/>
    </row>
    <row r="603" spans="1:9" ht="14.25" customHeight="1">
      <c r="A603" s="519"/>
      <c r="B603" s="520" t="s">
        <v>2768</v>
      </c>
      <c r="D603" s="1337" t="s">
        <v>2289</v>
      </c>
      <c r="E603" s="1337"/>
      <c r="F603" s="1337"/>
      <c r="I603" s="436" t="s">
        <v>2206</v>
      </c>
    </row>
    <row r="604" spans="1:9">
      <c r="D604" s="1337"/>
      <c r="E604" s="1337"/>
      <c r="F604" s="1337"/>
    </row>
    <row r="605" spans="1:9">
      <c r="D605" s="417"/>
      <c r="E605" s="1080" t="s">
        <v>2290</v>
      </c>
      <c r="F605" s="417"/>
    </row>
    <row r="606" spans="1:9"/>
    <row r="607" spans="1:9">
      <c r="A607" s="1281" t="s">
        <v>1121</v>
      </c>
      <c r="B607" s="1281"/>
      <c r="C607" s="1281"/>
      <c r="D607" s="1281"/>
      <c r="E607" s="1281"/>
      <c r="F607" s="1281"/>
      <c r="G607" s="1281"/>
      <c r="H607" s="1071"/>
      <c r="I607" s="1072"/>
    </row>
    <row r="608" spans="1:9">
      <c r="A608" s="481"/>
      <c r="B608" s="481"/>
    </row>
    <row r="609" spans="1:9">
      <c r="A609" s="517"/>
      <c r="B609" s="517"/>
      <c r="C609" s="517"/>
      <c r="D609" s="1276" t="s">
        <v>1223</v>
      </c>
      <c r="E609" s="1276"/>
      <c r="F609" s="1276"/>
    </row>
    <row r="610" spans="1:9">
      <c r="A610" s="517"/>
      <c r="B610" s="517"/>
      <c r="C610" s="517"/>
      <c r="D610" s="1276"/>
      <c r="E610" s="1276"/>
      <c r="F610" s="1276"/>
    </row>
    <row r="611" spans="1:9">
      <c r="C611" s="518"/>
      <c r="D611" s="1274" t="s">
        <v>1224</v>
      </c>
      <c r="E611" s="1274"/>
      <c r="F611" s="1274"/>
    </row>
    <row r="612" spans="1:9">
      <c r="C612" s="518"/>
      <c r="D612" s="479"/>
      <c r="E612" s="479"/>
      <c r="F612" s="479"/>
    </row>
    <row r="613" spans="1:9" ht="12.75" customHeight="1">
      <c r="A613" s="525"/>
      <c r="B613" s="520" t="s">
        <v>2768</v>
      </c>
      <c r="D613" s="1277" t="s">
        <v>1225</v>
      </c>
      <c r="E613" s="1277"/>
      <c r="F613" s="1277"/>
      <c r="I613" s="436" t="s">
        <v>2226</v>
      </c>
    </row>
    <row r="614" spans="1:9">
      <c r="D614" s="1277"/>
      <c r="E614" s="1277"/>
      <c r="F614" s="1277"/>
    </row>
    <row r="615" spans="1:9"/>
    <row r="616" spans="1:9">
      <c r="B616" s="520" t="s">
        <v>2768</v>
      </c>
      <c r="D616" s="1277" t="s">
        <v>1226</v>
      </c>
      <c r="E616" s="1277"/>
      <c r="F616" s="1277"/>
      <c r="I616" s="436" t="s">
        <v>2179</v>
      </c>
    </row>
    <row r="617" spans="1:9">
      <c r="C617" s="535"/>
      <c r="D617" s="1277"/>
      <c r="E617" s="1277"/>
      <c r="F617" s="1277"/>
    </row>
    <row r="618" spans="1:9">
      <c r="C618" s="535"/>
    </row>
    <row r="619" spans="1:9">
      <c r="B619" s="520" t="s">
        <v>2624</v>
      </c>
      <c r="C619" s="535"/>
      <c r="D619" s="1277" t="s">
        <v>1227</v>
      </c>
      <c r="E619" s="1277"/>
      <c r="F619" s="1277"/>
      <c r="I619" s="436" t="s">
        <v>2227</v>
      </c>
    </row>
    <row r="620" spans="1:9">
      <c r="C620" s="535"/>
      <c r="D620" s="1277"/>
      <c r="E620" s="1277"/>
      <c r="F620" s="1277"/>
      <c r="I620" s="1068" t="s">
        <v>2228</v>
      </c>
    </row>
    <row r="621" spans="1:9">
      <c r="C621" s="535"/>
    </row>
    <row r="622" spans="1:9">
      <c r="A622" s="1281" t="s">
        <v>1122</v>
      </c>
      <c r="B622" s="1281"/>
      <c r="C622" s="1281"/>
      <c r="D622" s="1281"/>
      <c r="E622" s="1281"/>
      <c r="F622" s="1281"/>
      <c r="G622" s="1281"/>
      <c r="H622" s="1071"/>
      <c r="I622" s="1072"/>
    </row>
    <row r="623" spans="1:9">
      <c r="A623" s="517"/>
      <c r="B623" s="517"/>
      <c r="C623" s="517"/>
    </row>
    <row r="624" spans="1:9">
      <c r="C624" s="525"/>
      <c r="D624" s="1273" t="s">
        <v>1228</v>
      </c>
      <c r="E624" s="1273"/>
      <c r="F624" s="1273"/>
    </row>
    <row r="625" spans="1:9">
      <c r="A625" s="525"/>
      <c r="B625" s="525"/>
      <c r="D625" s="436"/>
    </row>
    <row r="626" spans="1:9" ht="14.25" customHeight="1">
      <c r="A626" s="519"/>
      <c r="B626" s="520" t="s">
        <v>2768</v>
      </c>
      <c r="D626" s="1337" t="s">
        <v>2461</v>
      </c>
      <c r="E626" s="1337"/>
      <c r="F626" s="1337"/>
      <c r="I626" s="436" t="s">
        <v>2207</v>
      </c>
    </row>
    <row r="627" spans="1:9">
      <c r="D627" s="1337"/>
      <c r="E627" s="1337"/>
      <c r="F627" s="1337"/>
    </row>
    <row r="628" spans="1:9">
      <c r="D628" s="417"/>
      <c r="E628" s="1080" t="s">
        <v>2292</v>
      </c>
      <c r="F628" s="417"/>
    </row>
    <row r="629" spans="1:9">
      <c r="D629" s="1275" t="s">
        <v>2291</v>
      </c>
      <c r="E629" s="1275"/>
      <c r="F629" s="1275"/>
    </row>
    <row r="630" spans="1:9">
      <c r="D630" s="1275"/>
      <c r="E630" s="1275"/>
      <c r="F630" s="1275"/>
    </row>
    <row r="631" spans="1:9">
      <c r="D631" s="1275"/>
      <c r="E631" s="1275"/>
      <c r="F631" s="1275"/>
    </row>
    <row r="632" spans="1:9">
      <c r="D632" s="480"/>
      <c r="E632" s="480"/>
      <c r="F632" s="480"/>
    </row>
    <row r="633" spans="1:9" ht="14.25">
      <c r="A633" s="519"/>
      <c r="B633" s="520" t="s">
        <v>2624</v>
      </c>
      <c r="D633" s="1275" t="s">
        <v>1230</v>
      </c>
      <c r="E633" s="1275"/>
      <c r="F633" s="1275"/>
      <c r="I633" s="436" t="s">
        <v>2229</v>
      </c>
    </row>
    <row r="634" spans="1:9">
      <c r="A634" s="522"/>
      <c r="B634" s="522"/>
      <c r="C634" s="522"/>
      <c r="D634" s="1275"/>
      <c r="E634" s="1275"/>
      <c r="F634" s="1275"/>
    </row>
    <row r="635" spans="1:9">
      <c r="A635" s="522"/>
      <c r="B635" s="522"/>
      <c r="C635" s="522"/>
      <c r="D635" s="481"/>
      <c r="E635" s="481"/>
      <c r="F635" s="481"/>
    </row>
    <row r="636" spans="1:9" ht="14.25">
      <c r="A636" s="519"/>
      <c r="B636" s="520" t="s">
        <v>2624</v>
      </c>
      <c r="C636" s="522"/>
      <c r="D636" s="1275" t="s">
        <v>1372</v>
      </c>
      <c r="E636" s="1275"/>
      <c r="F636" s="1275"/>
      <c r="I636" s="436" t="s">
        <v>2180</v>
      </c>
    </row>
    <row r="637" spans="1:9" ht="14.25">
      <c r="A637" s="519"/>
      <c r="B637" s="519"/>
      <c r="C637" s="522"/>
      <c r="D637" s="1275"/>
      <c r="E637" s="1275"/>
      <c r="F637" s="1275"/>
    </row>
    <row r="638" spans="1:9" ht="14.25">
      <c r="A638" s="519"/>
      <c r="B638" s="519"/>
      <c r="C638" s="522"/>
      <c r="D638" s="1275"/>
      <c r="E638" s="1275"/>
      <c r="F638" s="1275"/>
    </row>
    <row r="639" spans="1:9">
      <c r="A639" s="522"/>
      <c r="B639" s="520" t="s">
        <v>2624</v>
      </c>
      <c r="C639" s="522"/>
      <c r="D639" s="1304" t="s">
        <v>1232</v>
      </c>
      <c r="E639" s="1304"/>
      <c r="F639" s="1304"/>
      <c r="I639" s="436" t="s">
        <v>2180</v>
      </c>
    </row>
    <row r="640" spans="1:9">
      <c r="A640" s="522"/>
      <c r="B640" s="522"/>
      <c r="C640" s="522"/>
      <c r="D640" s="481"/>
      <c r="E640" s="481"/>
      <c r="F640" s="481"/>
    </row>
    <row r="641" spans="1:9">
      <c r="A641" s="1281" t="s">
        <v>1123</v>
      </c>
      <c r="B641" s="1281"/>
      <c r="C641" s="1281"/>
      <c r="D641" s="1281"/>
      <c r="E641" s="1281"/>
      <c r="F641" s="1281"/>
      <c r="G641" s="1281"/>
      <c r="H641" s="1071"/>
      <c r="I641" s="1072"/>
    </row>
    <row r="642" spans="1:9">
      <c r="A642" s="481"/>
      <c r="B642" s="481"/>
      <c r="C642" s="522"/>
      <c r="D642" s="481"/>
      <c r="E642" s="481"/>
      <c r="F642" s="481"/>
    </row>
    <row r="643" spans="1:9">
      <c r="C643" s="517"/>
      <c r="D643" s="1273" t="s">
        <v>1282</v>
      </c>
      <c r="E643" s="1273"/>
      <c r="F643" s="1273"/>
    </row>
    <row r="644" spans="1:9">
      <c r="A644" s="518"/>
      <c r="B644" s="518"/>
      <c r="C644" s="518"/>
      <c r="D644" s="1304" t="s">
        <v>1283</v>
      </c>
      <c r="E644" s="1304"/>
      <c r="F644" s="1304"/>
    </row>
    <row r="645" spans="1:9">
      <c r="A645" s="518"/>
      <c r="B645" s="518"/>
      <c r="C645" s="518"/>
      <c r="D645" s="481"/>
      <c r="E645" s="481"/>
      <c r="F645" s="481"/>
    </row>
    <row r="646" spans="1:9" ht="12.75" customHeight="1">
      <c r="B646" s="520" t="s">
        <v>2624</v>
      </c>
      <c r="C646" s="522"/>
      <c r="D646" s="1275" t="s">
        <v>1445</v>
      </c>
      <c r="E646" s="1275"/>
      <c r="F646" s="1275"/>
      <c r="I646" s="436" t="s">
        <v>2232</v>
      </c>
    </row>
    <row r="647" spans="1:9">
      <c r="D647" s="1275"/>
      <c r="E647" s="1275"/>
      <c r="F647" s="1275"/>
    </row>
    <row r="648" spans="1:9">
      <c r="D648" s="1275"/>
      <c r="E648" s="1275"/>
      <c r="F648" s="1275"/>
    </row>
    <row r="649" spans="1:9">
      <c r="D649" s="1275"/>
      <c r="E649" s="1275"/>
      <c r="F649" s="1275"/>
    </row>
    <row r="650" spans="1:9" ht="14.45" customHeight="1">
      <c r="A650" s="519"/>
      <c r="B650" s="519"/>
      <c r="C650" s="522"/>
      <c r="D650" s="417"/>
      <c r="E650" s="417"/>
      <c r="F650" s="417"/>
    </row>
    <row r="651" spans="1:9" ht="12.75" customHeight="1">
      <c r="A651" s="518"/>
      <c r="B651" s="520" t="s">
        <v>2624</v>
      </c>
      <c r="C651" s="522"/>
      <c r="D651" s="1275" t="s">
        <v>1447</v>
      </c>
      <c r="E651" s="1275"/>
      <c r="F651" s="1275"/>
      <c r="I651" s="436" t="s">
        <v>2232</v>
      </c>
    </row>
    <row r="652" spans="1:9" ht="14.25">
      <c r="A652" s="518"/>
      <c r="B652" s="519"/>
      <c r="C652" s="522"/>
      <c r="D652" s="1275"/>
      <c r="E652" s="1275"/>
      <c r="F652" s="1275"/>
    </row>
    <row r="653" spans="1:9" ht="14.25">
      <c r="A653" s="518"/>
      <c r="B653" s="519"/>
      <c r="C653" s="522"/>
      <c r="D653" s="1275"/>
      <c r="E653" s="1275"/>
      <c r="F653" s="1275"/>
    </row>
    <row r="654" spans="1:9" ht="14.25">
      <c r="A654" s="518"/>
      <c r="B654" s="519"/>
      <c r="C654" s="522"/>
      <c r="D654" s="1275"/>
      <c r="E654" s="1275"/>
      <c r="F654" s="1275"/>
    </row>
    <row r="655" spans="1:9" ht="14.25">
      <c r="A655" s="518"/>
      <c r="B655" s="519"/>
      <c r="C655" s="522"/>
      <c r="D655" s="1275"/>
      <c r="E655" s="1275"/>
      <c r="F655" s="1275"/>
    </row>
    <row r="656" spans="1:9" ht="14.25" customHeight="1">
      <c r="A656" s="518"/>
      <c r="B656" s="519"/>
      <c r="C656" s="522"/>
      <c r="F656" s="418"/>
    </row>
    <row r="657" spans="1:11" ht="12.75" customHeight="1">
      <c r="A657" s="518"/>
      <c r="B657" s="520" t="s">
        <v>2624</v>
      </c>
      <c r="C657" s="522"/>
      <c r="D657" s="1275" t="s">
        <v>1446</v>
      </c>
      <c r="E657" s="1275"/>
      <c r="F657" s="1275"/>
      <c r="I657" s="436" t="s">
        <v>2232</v>
      </c>
    </row>
    <row r="658" spans="1:11" ht="14.25">
      <c r="A658" s="518"/>
      <c r="B658" s="519"/>
      <c r="C658" s="522"/>
      <c r="D658" s="1275"/>
      <c r="E658" s="1275"/>
      <c r="F658" s="1275"/>
    </row>
    <row r="659" spans="1:11" ht="14.25">
      <c r="A659" s="519"/>
      <c r="B659" s="519"/>
      <c r="C659" s="522"/>
      <c r="D659" s="1275"/>
      <c r="E659" s="1275"/>
      <c r="F659" s="1275"/>
    </row>
    <row r="660" spans="1:11" ht="14.25">
      <c r="A660" s="519"/>
      <c r="B660" s="519"/>
      <c r="C660" s="522"/>
      <c r="D660" s="1275"/>
      <c r="E660" s="1275"/>
      <c r="F660" s="1275"/>
    </row>
    <row r="661" spans="1:11" ht="14.25">
      <c r="A661" s="519"/>
      <c r="B661" s="519"/>
      <c r="C661" s="522"/>
      <c r="D661" s="480"/>
      <c r="E661" s="480"/>
      <c r="F661" s="480"/>
    </row>
    <row r="662" spans="1:11" ht="12.75" customHeight="1">
      <c r="A662" s="518"/>
      <c r="B662" s="520" t="s">
        <v>2624</v>
      </c>
      <c r="C662" s="522"/>
      <c r="D662" s="1275" t="s">
        <v>2462</v>
      </c>
      <c r="E662" s="1275"/>
      <c r="F662" s="1275"/>
      <c r="I662" s="436" t="s">
        <v>2232</v>
      </c>
    </row>
    <row r="663" spans="1:11" ht="12.75" customHeight="1">
      <c r="A663" s="518"/>
      <c r="B663" s="519"/>
      <c r="C663" s="522"/>
      <c r="D663" s="1275"/>
      <c r="E663" s="1275"/>
      <c r="F663" s="1275"/>
    </row>
    <row r="664" spans="1:11" ht="12.75" customHeight="1">
      <c r="A664" s="518"/>
      <c r="B664" s="519"/>
      <c r="C664" s="522"/>
      <c r="D664" s="1275"/>
      <c r="E664" s="1275"/>
      <c r="F664" s="1275"/>
    </row>
    <row r="665" spans="1:11" ht="12.75" customHeight="1">
      <c r="A665" s="518"/>
      <c r="B665" s="519"/>
      <c r="C665" s="522"/>
      <c r="D665" s="1275"/>
      <c r="E665" s="1275"/>
      <c r="F665" s="1275"/>
    </row>
    <row r="666" spans="1:11" ht="12.75" customHeight="1">
      <c r="A666" s="518"/>
      <c r="B666" s="519"/>
      <c r="C666" s="522"/>
      <c r="D666" s="1275"/>
      <c r="E666" s="1275"/>
      <c r="F666" s="1275"/>
    </row>
    <row r="667" spans="1:11" ht="12.75" customHeight="1">
      <c r="A667" s="518"/>
      <c r="B667" s="519"/>
      <c r="C667" s="522"/>
      <c r="D667" s="1275"/>
      <c r="E667" s="1275"/>
      <c r="F667" s="1275"/>
    </row>
    <row r="668" spans="1:11" ht="12.75" customHeight="1">
      <c r="A668" s="518"/>
      <c r="B668" s="519"/>
      <c r="C668" s="522"/>
      <c r="D668" s="1275"/>
      <c r="E668" s="1275"/>
      <c r="F668" s="1275"/>
    </row>
    <row r="669" spans="1:11" ht="12.75" customHeight="1">
      <c r="A669" s="518"/>
      <c r="B669" s="519"/>
      <c r="C669" s="522"/>
      <c r="D669" s="1275"/>
      <c r="E669" s="1275"/>
      <c r="F669" s="1275"/>
    </row>
    <row r="670" spans="1:11" ht="12.75" customHeight="1">
      <c r="A670" s="518"/>
      <c r="B670" s="519"/>
      <c r="C670" s="522"/>
      <c r="D670" s="1275"/>
      <c r="E670" s="1275"/>
      <c r="F670" s="1275"/>
    </row>
    <row r="671" spans="1:11">
      <c r="A671" s="522"/>
      <c r="B671" s="522"/>
      <c r="C671" s="522"/>
      <c r="D671" s="481"/>
      <c r="E671" s="481"/>
      <c r="F671" s="481"/>
    </row>
    <row r="672" spans="1:11">
      <c r="A672" s="1281" t="s">
        <v>1124</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73" t="s">
        <v>100</v>
      </c>
      <c r="E674" s="1273"/>
      <c r="F674" s="1273"/>
      <c r="H674" s="536"/>
      <c r="I674" s="1065"/>
      <c r="J674" s="536"/>
      <c r="K674" s="536"/>
    </row>
    <row r="675" spans="1:11">
      <c r="A675" s="517"/>
      <c r="B675" s="517"/>
      <c r="C675" s="517"/>
      <c r="D675" s="1273" t="s">
        <v>124</v>
      </c>
      <c r="E675" s="1273"/>
      <c r="F675" s="1273"/>
      <c r="H675" s="536"/>
      <c r="I675" s="1065"/>
      <c r="J675" s="536"/>
      <c r="K675" s="536"/>
    </row>
    <row r="676" spans="1:11">
      <c r="A676" s="518"/>
      <c r="B676" s="518"/>
      <c r="C676" s="518"/>
      <c r="D676" s="1304" t="s">
        <v>1160</v>
      </c>
      <c r="E676" s="1304"/>
      <c r="F676" s="1304"/>
      <c r="H676" s="536"/>
      <c r="I676" s="1065"/>
      <c r="J676" s="536"/>
      <c r="K676" s="536"/>
    </row>
    <row r="677" spans="1:11">
      <c r="A677" s="518"/>
      <c r="B677" s="518"/>
      <c r="C677" s="518"/>
      <c r="H677" s="536"/>
      <c r="I677" s="1065"/>
      <c r="J677" s="536"/>
      <c r="K677" s="536"/>
    </row>
    <row r="678" spans="1:11" ht="14.25">
      <c r="A678" s="519"/>
      <c r="B678" s="520" t="s">
        <v>2624</v>
      </c>
      <c r="C678" s="518"/>
      <c r="D678" s="1304" t="s">
        <v>915</v>
      </c>
      <c r="E678" s="1304"/>
      <c r="F678" s="1304"/>
      <c r="H678" s="536"/>
      <c r="I678" s="1065" t="s">
        <v>2208</v>
      </c>
      <c r="J678" s="536"/>
      <c r="K678" s="536"/>
    </row>
    <row r="679" spans="1:11">
      <c r="A679" s="518"/>
      <c r="B679" s="518"/>
      <c r="C679" s="518"/>
      <c r="D679" s="1304" t="s">
        <v>926</v>
      </c>
      <c r="E679" s="1304"/>
      <c r="F679" s="1304"/>
      <c r="H679" s="536"/>
      <c r="I679" s="1065"/>
      <c r="J679" s="536"/>
      <c r="K679" s="536"/>
    </row>
    <row r="680" spans="1:11" ht="12.75" customHeight="1">
      <c r="A680" s="518"/>
      <c r="B680" s="518"/>
      <c r="C680" s="518"/>
      <c r="E680" s="1080" t="s">
        <v>2294</v>
      </c>
      <c r="F680" s="452"/>
      <c r="H680" s="536"/>
      <c r="I680" s="1065"/>
      <c r="J680" s="536"/>
      <c r="K680" s="536"/>
    </row>
    <row r="681" spans="1:11">
      <c r="A681" s="518"/>
      <c r="B681" s="518"/>
      <c r="C681" s="518"/>
      <c r="E681" s="536" t="s">
        <v>2293</v>
      </c>
      <c r="F681" s="452"/>
      <c r="I681" s="1065"/>
      <c r="J681" s="536"/>
      <c r="K681" s="536"/>
    </row>
    <row r="682" spans="1:11">
      <c r="A682" s="518"/>
      <c r="B682" s="518"/>
      <c r="C682" s="518"/>
      <c r="D682" s="537"/>
      <c r="E682" s="481"/>
      <c r="H682" s="536"/>
      <c r="I682" s="1065"/>
      <c r="J682" s="536"/>
      <c r="K682" s="536"/>
    </row>
    <row r="683" spans="1:11" ht="14.25">
      <c r="A683" s="519"/>
      <c r="B683" s="520" t="s">
        <v>2624</v>
      </c>
      <c r="C683" s="518"/>
      <c r="D683" s="1275" t="s">
        <v>2463</v>
      </c>
      <c r="E683" s="1275"/>
      <c r="F683" s="1275"/>
      <c r="H683" s="536"/>
      <c r="I683" s="1065" t="s">
        <v>2230</v>
      </c>
      <c r="J683" s="536"/>
      <c r="K683" s="536"/>
    </row>
    <row r="684" spans="1:11">
      <c r="A684" s="525"/>
      <c r="B684" s="525"/>
      <c r="C684" s="518"/>
      <c r="D684" s="1275"/>
      <c r="E684" s="1275"/>
      <c r="F684" s="1275"/>
      <c r="H684" s="536"/>
      <c r="I684" s="1065"/>
      <c r="J684" s="536"/>
      <c r="K684" s="536"/>
    </row>
    <row r="685" spans="1:11">
      <c r="A685" s="518"/>
      <c r="B685" s="518"/>
      <c r="C685" s="518"/>
      <c r="D685" s="1275"/>
      <c r="E685" s="1275"/>
      <c r="F685" s="1275"/>
      <c r="H685" s="536"/>
      <c r="I685" s="1065"/>
      <c r="J685" s="536"/>
      <c r="K685" s="536"/>
    </row>
    <row r="686" spans="1:11">
      <c r="A686" s="518"/>
      <c r="B686" s="518"/>
      <c r="C686" s="518"/>
      <c r="H686" s="536"/>
      <c r="I686" s="1065" t="s">
        <v>2209</v>
      </c>
      <c r="J686" s="536"/>
      <c r="K686" s="536"/>
    </row>
    <row r="687" spans="1:11" ht="14.25">
      <c r="A687" s="519"/>
      <c r="B687" s="520" t="s">
        <v>2768</v>
      </c>
      <c r="C687" s="518"/>
      <c r="D687" s="1304" t="s">
        <v>954</v>
      </c>
      <c r="E687" s="1304"/>
      <c r="F687" s="1304"/>
      <c r="H687" s="536"/>
      <c r="I687" s="1065"/>
      <c r="J687" s="536"/>
      <c r="K687" s="536"/>
    </row>
    <row r="688" spans="1:11" ht="14.25">
      <c r="A688" s="519"/>
      <c r="B688" s="519"/>
      <c r="C688" s="518"/>
      <c r="D688" s="1304" t="s">
        <v>926</v>
      </c>
      <c r="E688" s="1304"/>
      <c r="F688" s="1304"/>
      <c r="H688" s="536"/>
      <c r="I688" s="1065"/>
      <c r="J688" s="536"/>
      <c r="K688" s="536"/>
    </row>
    <row r="689" spans="1:11">
      <c r="A689" s="518"/>
      <c r="B689" s="518"/>
      <c r="C689" s="518"/>
      <c r="E689" s="1080" t="s">
        <v>2295</v>
      </c>
      <c r="F689" s="436"/>
      <c r="H689" s="536"/>
      <c r="I689" s="1065"/>
      <c r="J689" s="536"/>
      <c r="K689" s="536"/>
    </row>
    <row r="690" spans="1:11">
      <c r="A690" s="518"/>
      <c r="B690" s="518"/>
      <c r="C690" s="518"/>
      <c r="D690" s="436"/>
      <c r="H690" s="536"/>
      <c r="I690" s="1065"/>
      <c r="J690" s="536"/>
      <c r="K690" s="536"/>
    </row>
    <row r="691" spans="1:11" ht="14.25">
      <c r="A691" s="519"/>
      <c r="B691" s="520" t="s">
        <v>2624</v>
      </c>
      <c r="C691" s="518"/>
      <c r="D691" s="1275" t="s">
        <v>1173</v>
      </c>
      <c r="E691" s="1275"/>
      <c r="F691" s="1275"/>
      <c r="H691" s="536"/>
      <c r="I691" s="1065" t="s">
        <v>2181</v>
      </c>
      <c r="J691" s="536"/>
      <c r="K691" s="536"/>
    </row>
    <row r="692" spans="1:11">
      <c r="A692" s="518"/>
      <c r="B692" s="518"/>
      <c r="C692" s="518"/>
      <c r="D692" s="1275"/>
      <c r="E692" s="1275"/>
      <c r="F692" s="1275"/>
      <c r="H692" s="536"/>
      <c r="I692" s="1065"/>
      <c r="J692" s="536"/>
      <c r="K692" s="536"/>
    </row>
    <row r="693" spans="1:11">
      <c r="A693" s="518"/>
      <c r="B693" s="518"/>
      <c r="C693" s="518"/>
      <c r="D693" s="1275"/>
      <c r="E693" s="1275"/>
      <c r="F693" s="1275"/>
      <c r="H693" s="536"/>
      <c r="I693" s="1065"/>
      <c r="J693" s="536"/>
      <c r="K693" s="536"/>
    </row>
    <row r="694" spans="1:11">
      <c r="A694" s="518"/>
      <c r="B694" s="518"/>
      <c r="C694" s="518"/>
      <c r="D694" s="1275"/>
      <c r="E694" s="1275"/>
      <c r="F694" s="1275"/>
      <c r="H694" s="536"/>
      <c r="I694" s="1065"/>
      <c r="J694" s="536"/>
      <c r="K694" s="536"/>
    </row>
    <row r="695" spans="1:11">
      <c r="A695" s="518"/>
      <c r="B695" s="518"/>
      <c r="C695" s="518"/>
      <c r="D695" s="1275"/>
      <c r="E695" s="1275"/>
      <c r="F695" s="1275"/>
      <c r="H695" s="536"/>
      <c r="I695" s="1065"/>
      <c r="J695" s="536"/>
      <c r="K695" s="536"/>
    </row>
    <row r="696" spans="1:11">
      <c r="A696" s="518"/>
      <c r="B696" s="518"/>
      <c r="C696" s="518"/>
      <c r="D696" s="1275"/>
      <c r="E696" s="1275"/>
      <c r="F696" s="1275"/>
      <c r="H696" s="536"/>
      <c r="I696" s="1065"/>
      <c r="J696" s="536"/>
      <c r="K696" s="536"/>
    </row>
    <row r="697" spans="1:11">
      <c r="A697" s="518"/>
      <c r="B697" s="518"/>
      <c r="C697" s="518"/>
      <c r="D697" s="480"/>
      <c r="E697" s="480"/>
      <c r="F697" s="480"/>
      <c r="H697" s="536"/>
      <c r="I697" s="1065"/>
      <c r="J697" s="536"/>
      <c r="K697" s="536"/>
    </row>
    <row r="698" spans="1:11">
      <c r="A698" s="518"/>
      <c r="B698" s="520" t="s">
        <v>2624</v>
      </c>
      <c r="C698" s="518"/>
      <c r="D698" s="1275" t="s">
        <v>1344</v>
      </c>
      <c r="E698" s="1275"/>
      <c r="F698" s="1275"/>
      <c r="H698" s="536"/>
      <c r="I698" s="1065" t="s">
        <v>2181</v>
      </c>
      <c r="J698" s="536"/>
      <c r="K698" s="536"/>
    </row>
    <row r="699" spans="1:11">
      <c r="A699" s="518"/>
      <c r="B699" s="518"/>
      <c r="C699" s="518"/>
      <c r="D699" s="1275"/>
      <c r="E699" s="1275"/>
      <c r="F699" s="1275"/>
      <c r="H699" s="536"/>
      <c r="I699" s="1065"/>
      <c r="J699" s="536"/>
      <c r="K699" s="536"/>
    </row>
    <row r="700" spans="1:11">
      <c r="A700" s="518"/>
      <c r="B700" s="518"/>
      <c r="C700" s="518"/>
      <c r="D700" s="480"/>
      <c r="E700" s="480"/>
      <c r="F700" s="480"/>
      <c r="H700" s="536"/>
      <c r="I700" s="1065"/>
      <c r="J700" s="536"/>
      <c r="K700" s="536"/>
    </row>
    <row r="701" spans="1:11" ht="14.25">
      <c r="A701" s="519"/>
      <c r="B701" s="520" t="s">
        <v>2624</v>
      </c>
      <c r="C701" s="518"/>
      <c r="D701" s="1275" t="s">
        <v>1164</v>
      </c>
      <c r="E701" s="1275"/>
      <c r="F701" s="1275"/>
      <c r="H701" s="536"/>
      <c r="I701" s="1065" t="s">
        <v>2181</v>
      </c>
      <c r="J701" s="536"/>
      <c r="K701" s="536"/>
    </row>
    <row r="702" spans="1:11">
      <c r="A702" s="518"/>
      <c r="B702" s="518"/>
      <c r="C702" s="518"/>
      <c r="D702" s="1275"/>
      <c r="E702" s="1275"/>
      <c r="F702" s="1275"/>
      <c r="H702" s="536"/>
      <c r="I702" s="1065"/>
      <c r="J702" s="536"/>
      <c r="K702" s="536"/>
    </row>
    <row r="703" spans="1:11">
      <c r="A703" s="518"/>
      <c r="B703" s="518"/>
      <c r="C703" s="518"/>
      <c r="D703" s="1275"/>
      <c r="E703" s="1275"/>
      <c r="F703" s="1275"/>
      <c r="H703" s="536"/>
      <c r="I703" s="1065"/>
      <c r="J703" s="536"/>
      <c r="K703" s="536"/>
    </row>
    <row r="704" spans="1:11" ht="15" customHeight="1">
      <c r="A704" s="518"/>
      <c r="B704" s="518"/>
      <c r="C704" s="518"/>
      <c r="D704" s="1275"/>
      <c r="E704" s="1275"/>
      <c r="F704" s="1275"/>
      <c r="H704" s="536"/>
      <c r="I704" s="1065"/>
      <c r="J704" s="536"/>
      <c r="K704" s="536"/>
    </row>
    <row r="705" spans="1:11" ht="15" customHeight="1">
      <c r="A705" s="518"/>
      <c r="B705" s="518"/>
      <c r="C705" s="518"/>
      <c r="D705" s="1275"/>
      <c r="E705" s="1275"/>
      <c r="F705" s="1275"/>
      <c r="H705" s="536"/>
      <c r="I705" s="1065"/>
      <c r="J705" s="536"/>
      <c r="K705" s="536"/>
    </row>
    <row r="706" spans="1:11">
      <c r="A706" s="518"/>
      <c r="B706" s="518"/>
      <c r="C706" s="518"/>
      <c r="D706" s="1275"/>
      <c r="E706" s="1275"/>
      <c r="F706" s="1275"/>
      <c r="H706" s="536"/>
      <c r="I706" s="1065"/>
      <c r="J706" s="536"/>
      <c r="K706" s="536"/>
    </row>
    <row r="707" spans="1:11">
      <c r="A707" s="518"/>
      <c r="B707" s="518"/>
      <c r="C707" s="518"/>
      <c r="D707" s="1275"/>
      <c r="E707" s="1275"/>
      <c r="F707" s="1275"/>
      <c r="H707" s="536"/>
      <c r="I707" s="1065"/>
      <c r="J707" s="536"/>
      <c r="K707" s="536"/>
    </row>
    <row r="708" spans="1:11">
      <c r="A708" s="518"/>
      <c r="B708" s="518"/>
      <c r="C708" s="518"/>
      <c r="D708" s="1275"/>
      <c r="E708" s="1275"/>
      <c r="F708" s="1275"/>
      <c r="H708" s="536"/>
      <c r="I708" s="1065"/>
      <c r="J708" s="536"/>
      <c r="K708" s="536"/>
    </row>
    <row r="709" spans="1:11" ht="15" customHeight="1">
      <c r="A709" s="518"/>
      <c r="B709" s="518"/>
      <c r="C709" s="518"/>
      <c r="D709" s="1275"/>
      <c r="E709" s="1275"/>
      <c r="F709" s="1275"/>
      <c r="H709" s="536"/>
      <c r="I709" s="1065"/>
      <c r="J709" s="536"/>
      <c r="K709" s="536"/>
    </row>
    <row r="710" spans="1:11">
      <c r="A710" s="518"/>
      <c r="B710" s="518"/>
      <c r="C710" s="518"/>
      <c r="D710" s="1275"/>
      <c r="E710" s="1275"/>
      <c r="F710" s="1275"/>
      <c r="H710" s="536"/>
      <c r="I710" s="1065"/>
      <c r="J710" s="536"/>
      <c r="K710" s="536"/>
    </row>
    <row r="711" spans="1:11">
      <c r="A711" s="518"/>
      <c r="B711" s="518"/>
      <c r="C711" s="518"/>
      <c r="D711" s="1275"/>
      <c r="E711" s="1275"/>
      <c r="F711" s="1275"/>
      <c r="H711" s="536"/>
      <c r="I711" s="1065"/>
      <c r="J711" s="536"/>
      <c r="K711" s="536"/>
    </row>
    <row r="712" spans="1:11">
      <c r="A712" s="518"/>
      <c r="B712" s="518"/>
      <c r="C712" s="518"/>
      <c r="D712" s="1275"/>
      <c r="E712" s="1275"/>
      <c r="F712" s="1275"/>
      <c r="H712" s="536"/>
      <c r="I712" s="1065"/>
      <c r="J712" s="536"/>
      <c r="K712" s="536"/>
    </row>
    <row r="713" spans="1:11">
      <c r="A713" s="518"/>
      <c r="B713" s="518"/>
      <c r="C713" s="518"/>
      <c r="D713" s="1275"/>
      <c r="E713" s="1275"/>
      <c r="F713" s="1275"/>
      <c r="H713" s="536"/>
      <c r="I713" s="1065"/>
      <c r="J713" s="536"/>
      <c r="K713" s="536"/>
    </row>
    <row r="714" spans="1:11">
      <c r="A714" s="518"/>
      <c r="B714" s="520" t="s">
        <v>2768</v>
      </c>
      <c r="C714" s="518"/>
      <c r="D714" s="1275" t="s">
        <v>1171</v>
      </c>
      <c r="E714" s="1275"/>
      <c r="F714" s="1275"/>
      <c r="H714" s="536"/>
      <c r="I714" s="1065" t="s">
        <v>2231</v>
      </c>
      <c r="J714" s="536"/>
      <c r="K714" s="536"/>
    </row>
    <row r="715" spans="1:11">
      <c r="A715" s="518"/>
      <c r="B715" s="518"/>
      <c r="C715" s="518"/>
      <c r="D715" s="1275"/>
      <c r="E715" s="1275"/>
      <c r="F715" s="1275"/>
      <c r="H715" s="536"/>
      <c r="I715" s="1065"/>
      <c r="J715" s="536"/>
      <c r="K715" s="536"/>
    </row>
    <row r="716" spans="1:11">
      <c r="A716" s="518"/>
      <c r="B716" s="518"/>
      <c r="C716" s="518"/>
      <c r="D716" s="480"/>
      <c r="E716" s="480"/>
      <c r="F716" s="480"/>
      <c r="H716" s="536"/>
      <c r="I716" s="1065"/>
      <c r="J716" s="536"/>
      <c r="K716" s="536"/>
    </row>
    <row r="717" spans="1:11">
      <c r="A717" s="518"/>
      <c r="B717" s="520" t="s">
        <v>2624</v>
      </c>
      <c r="C717" s="518"/>
      <c r="D717" s="1275" t="s">
        <v>1165</v>
      </c>
      <c r="E717" s="1275"/>
      <c r="F717" s="1275"/>
      <c r="H717" s="536"/>
      <c r="I717" s="1065" t="s">
        <v>2231</v>
      </c>
      <c r="J717" s="536"/>
      <c r="K717" s="536"/>
    </row>
    <row r="718" spans="1:11">
      <c r="A718" s="518"/>
      <c r="B718" s="518"/>
      <c r="C718" s="518"/>
      <c r="D718" s="1275"/>
      <c r="E718" s="1275"/>
      <c r="F718" s="1275"/>
      <c r="H718" s="536"/>
      <c r="I718" s="1065"/>
      <c r="J718" s="536"/>
      <c r="K718" s="536"/>
    </row>
    <row r="719" spans="1:11">
      <c r="A719" s="518"/>
      <c r="B719" s="518"/>
      <c r="C719" s="518"/>
      <c r="D719" s="1275"/>
      <c r="E719" s="1275"/>
      <c r="F719" s="1275"/>
      <c r="H719" s="536"/>
      <c r="I719" s="1065"/>
      <c r="J719" s="536"/>
      <c r="K719" s="536"/>
    </row>
    <row r="720" spans="1:11">
      <c r="A720" s="518"/>
      <c r="B720" s="518"/>
      <c r="C720" s="518"/>
      <c r="H720" s="536"/>
      <c r="I720" s="1065"/>
      <c r="J720" s="536"/>
      <c r="K720" s="536"/>
    </row>
    <row r="721" spans="1:11">
      <c r="A721" s="518"/>
      <c r="B721" s="520" t="s">
        <v>2624</v>
      </c>
      <c r="C721" s="518"/>
      <c r="D721" s="1275" t="s">
        <v>1166</v>
      </c>
      <c r="E721" s="1275"/>
      <c r="F721" s="1275"/>
      <c r="H721" s="536"/>
      <c r="I721" s="1065" t="s">
        <v>2231</v>
      </c>
      <c r="J721" s="536"/>
      <c r="K721" s="536"/>
    </row>
    <row r="722" spans="1:11">
      <c r="A722" s="518"/>
      <c r="B722" s="518"/>
      <c r="C722" s="518"/>
      <c r="D722" s="1275"/>
      <c r="E722" s="1275"/>
      <c r="F722" s="1275"/>
      <c r="H722" s="536"/>
      <c r="I722" s="1065"/>
      <c r="J722" s="536"/>
      <c r="K722" s="536"/>
    </row>
    <row r="723" spans="1:11">
      <c r="A723" s="518"/>
      <c r="B723" s="518"/>
      <c r="C723" s="518"/>
      <c r="D723" s="1275"/>
      <c r="E723" s="1275"/>
      <c r="F723" s="1275"/>
      <c r="H723" s="536"/>
      <c r="I723" s="1065"/>
      <c r="J723" s="536"/>
      <c r="K723" s="536"/>
    </row>
    <row r="724" spans="1:11">
      <c r="A724" s="518"/>
      <c r="B724" s="518"/>
      <c r="C724" s="518"/>
      <c r="H724" s="536"/>
      <c r="I724" s="1065"/>
      <c r="J724" s="536"/>
      <c r="K724" s="536"/>
    </row>
    <row r="725" spans="1:11" ht="14.25">
      <c r="A725" s="519"/>
      <c r="B725" s="520" t="s">
        <v>2624</v>
      </c>
      <c r="C725" s="518"/>
      <c r="D725" s="1275" t="s">
        <v>1167</v>
      </c>
      <c r="E725" s="1275"/>
      <c r="F725" s="1275"/>
      <c r="H725" s="536"/>
      <c r="I725" s="1065" t="s">
        <v>2182</v>
      </c>
      <c r="J725" s="536"/>
      <c r="K725" s="536"/>
    </row>
    <row r="726" spans="1:11">
      <c r="A726" s="518"/>
      <c r="B726" s="518"/>
      <c r="C726" s="518"/>
      <c r="D726" s="1275"/>
      <c r="E726" s="1275"/>
      <c r="F726" s="1275"/>
      <c r="H726" s="536"/>
      <c r="I726" s="1065"/>
      <c r="J726" s="536"/>
      <c r="K726" s="536"/>
    </row>
    <row r="727" spans="1:11">
      <c r="A727" s="518"/>
      <c r="B727" s="518"/>
      <c r="C727" s="518"/>
      <c r="D727" s="1275"/>
      <c r="E727" s="1275"/>
      <c r="F727" s="1275"/>
      <c r="H727" s="536"/>
      <c r="I727" s="1065"/>
      <c r="J727" s="536"/>
      <c r="K727" s="536"/>
    </row>
    <row r="728" spans="1:11">
      <c r="A728" s="518"/>
      <c r="B728" s="518"/>
      <c r="C728" s="518"/>
      <c r="D728" s="1275"/>
      <c r="E728" s="1275"/>
      <c r="F728" s="1275"/>
      <c r="H728" s="536"/>
      <c r="I728" s="1065"/>
      <c r="J728" s="536"/>
      <c r="K728" s="536"/>
    </row>
    <row r="729" spans="1:11">
      <c r="A729" s="518"/>
      <c r="B729" s="518"/>
      <c r="C729" s="518"/>
      <c r="D729" s="527"/>
      <c r="H729" s="536"/>
      <c r="I729" s="1065"/>
      <c r="J729" s="536"/>
      <c r="K729" s="536"/>
    </row>
    <row r="730" spans="1:11" ht="14.25">
      <c r="A730" s="519"/>
      <c r="B730" s="520" t="s">
        <v>2768</v>
      </c>
      <c r="C730" s="518"/>
      <c r="D730" s="1275" t="s">
        <v>2618</v>
      </c>
      <c r="E730" s="1275"/>
      <c r="F730" s="1275"/>
      <c r="H730" s="536"/>
      <c r="I730" s="1065" t="s">
        <v>2198</v>
      </c>
      <c r="J730" s="536"/>
      <c r="K730" s="536"/>
    </row>
    <row r="731" spans="1:11">
      <c r="A731" s="518"/>
      <c r="B731" s="518"/>
      <c r="C731" s="518"/>
      <c r="D731" s="1275"/>
      <c r="E731" s="1275"/>
      <c r="F731" s="1275"/>
      <c r="H731" s="536"/>
      <c r="I731" s="1065"/>
      <c r="J731" s="536"/>
      <c r="K731" s="536"/>
    </row>
    <row r="732" spans="1:11">
      <c r="A732" s="518"/>
      <c r="B732" s="518"/>
      <c r="C732" s="518"/>
      <c r="D732" s="1275"/>
      <c r="E732" s="1275"/>
      <c r="F732" s="1275"/>
      <c r="H732" s="536"/>
      <c r="I732" s="1065"/>
      <c r="J732" s="536"/>
      <c r="K732" s="536"/>
    </row>
    <row r="733" spans="1:11">
      <c r="A733" s="518"/>
      <c r="B733" s="518"/>
      <c r="C733" s="518"/>
      <c r="D733" s="1275"/>
      <c r="E733" s="1275"/>
      <c r="F733" s="1275"/>
      <c r="H733" s="536"/>
      <c r="I733" s="1065"/>
      <c r="J733" s="536"/>
      <c r="K733" s="536"/>
    </row>
    <row r="734" spans="1:11">
      <c r="A734" s="518"/>
      <c r="B734" s="518"/>
      <c r="C734" s="518"/>
      <c r="D734" s="1275"/>
      <c r="E734" s="1275"/>
      <c r="F734" s="1275"/>
      <c r="H734" s="536"/>
      <c r="I734" s="1065"/>
      <c r="J734" s="536"/>
      <c r="K734" s="536"/>
    </row>
    <row r="735" spans="1:11">
      <c r="A735" s="518"/>
      <c r="B735" s="518"/>
      <c r="C735" s="518"/>
      <c r="D735" s="1275"/>
      <c r="E735" s="1275"/>
      <c r="F735" s="1275"/>
      <c r="H735" s="536"/>
      <c r="I735" s="1065"/>
      <c r="J735" s="536"/>
      <c r="K735" s="536"/>
    </row>
    <row r="736" spans="1:11">
      <c r="A736" s="518"/>
      <c r="B736" s="518"/>
      <c r="C736" s="518"/>
      <c r="D736" s="1275"/>
      <c r="E736" s="1275"/>
      <c r="F736" s="1275"/>
      <c r="H736" s="536"/>
      <c r="I736" s="1065"/>
      <c r="J736" s="536"/>
      <c r="K736" s="536"/>
    </row>
    <row r="737" spans="1:11">
      <c r="A737" s="518"/>
      <c r="B737" s="518"/>
      <c r="C737" s="518"/>
      <c r="D737" s="1287" t="s">
        <v>2472</v>
      </c>
      <c r="E737" s="1287"/>
      <c r="F737" s="1287"/>
      <c r="H737" s="536"/>
      <c r="I737" s="1065"/>
      <c r="J737" s="536"/>
      <c r="K737" s="536"/>
    </row>
    <row r="738" spans="1:11">
      <c r="A738" s="518"/>
      <c r="B738" s="518"/>
      <c r="C738" s="518"/>
      <c r="D738" s="370"/>
      <c r="H738" s="536"/>
      <c r="I738" s="1065"/>
      <c r="J738" s="536"/>
      <c r="K738" s="536"/>
    </row>
    <row r="739" spans="1:11">
      <c r="A739" s="1282" t="s">
        <v>1125</v>
      </c>
      <c r="B739" s="1282"/>
      <c r="C739" s="1282"/>
      <c r="D739" s="1282"/>
      <c r="E739" s="1282"/>
      <c r="F739" s="1282"/>
      <c r="G739" s="1282"/>
      <c r="H739" s="1073"/>
      <c r="I739" s="1074"/>
      <c r="J739" s="536"/>
      <c r="K739" s="536"/>
    </row>
    <row r="740" spans="1:11">
      <c r="A740" s="518"/>
      <c r="B740" s="518"/>
      <c r="C740" s="518"/>
      <c r="D740" s="527"/>
      <c r="G740" s="536"/>
      <c r="H740" s="536"/>
      <c r="I740" s="1065"/>
      <c r="J740" s="536"/>
      <c r="K740" s="536"/>
    </row>
    <row r="741" spans="1:11" ht="13.7" customHeight="1">
      <c r="C741" s="518"/>
      <c r="D741" s="1303" t="s">
        <v>1141</v>
      </c>
      <c r="E741" s="1303"/>
      <c r="F741" s="1303"/>
      <c r="G741" s="536"/>
      <c r="H741" s="536"/>
      <c r="I741" s="1065"/>
      <c r="J741" s="536"/>
      <c r="K741" s="536"/>
    </row>
    <row r="742" spans="1:11">
      <c r="A742" s="518"/>
      <c r="B742" s="518"/>
      <c r="C742" s="518"/>
      <c r="D742" s="1290" t="s">
        <v>1142</v>
      </c>
      <c r="E742" s="1290"/>
      <c r="F742" s="1290"/>
      <c r="G742" s="536"/>
      <c r="H742" s="536"/>
      <c r="I742" s="1065"/>
      <c r="J742" s="536"/>
      <c r="K742" s="536"/>
    </row>
    <row r="743" spans="1:11">
      <c r="A743" s="518"/>
      <c r="B743" s="518"/>
      <c r="C743" s="518"/>
      <c r="G743" s="536"/>
      <c r="H743" s="536"/>
      <c r="I743" s="1065"/>
      <c r="J743" s="536"/>
      <c r="K743" s="536"/>
    </row>
    <row r="744" spans="1:11" ht="14.25">
      <c r="A744" s="519"/>
      <c r="B744" s="520" t="s">
        <v>2768</v>
      </c>
      <c r="D744" s="1275" t="s">
        <v>1143</v>
      </c>
      <c r="E744" s="1275"/>
      <c r="F744" s="1275"/>
      <c r="G744" s="536"/>
      <c r="H744" s="536"/>
      <c r="I744" s="1065" t="s">
        <v>2183</v>
      </c>
      <c r="J744" s="536"/>
      <c r="K744" s="536"/>
    </row>
    <row r="745" spans="1:11" ht="10.5" customHeight="1">
      <c r="D745" s="1275"/>
      <c r="E745" s="1275"/>
      <c r="F745" s="1275"/>
      <c r="G745" s="536"/>
      <c r="H745" s="536"/>
      <c r="I745" s="1065"/>
      <c r="J745" s="536"/>
      <c r="K745" s="536"/>
    </row>
    <row r="746" spans="1:11">
      <c r="D746" s="1275"/>
      <c r="E746" s="1275"/>
      <c r="F746" s="1275"/>
      <c r="G746" s="536"/>
      <c r="H746" s="536"/>
      <c r="I746" s="1065"/>
      <c r="J746" s="536"/>
      <c r="K746" s="536"/>
    </row>
    <row r="747" spans="1:11">
      <c r="D747" s="1275"/>
      <c r="E747" s="1275"/>
      <c r="F747" s="1275"/>
      <c r="G747" s="536"/>
      <c r="H747" s="536"/>
      <c r="I747" s="1065"/>
      <c r="J747" s="536"/>
      <c r="K747" s="536"/>
    </row>
    <row r="748" spans="1:11">
      <c r="D748" s="1275"/>
      <c r="E748" s="1275"/>
      <c r="F748" s="1275"/>
      <c r="G748" s="536"/>
      <c r="H748" s="536"/>
      <c r="I748" s="1065"/>
      <c r="J748" s="536"/>
      <c r="K748" s="536"/>
    </row>
    <row r="749" spans="1:11" ht="15.6" customHeight="1">
      <c r="D749" s="1275"/>
      <c r="E749" s="1275"/>
      <c r="F749" s="1275"/>
      <c r="G749" s="536"/>
      <c r="H749" s="536"/>
      <c r="I749" s="1065"/>
      <c r="J749" s="536"/>
      <c r="K749" s="536"/>
    </row>
    <row r="750" spans="1:11">
      <c r="D750" s="534"/>
      <c r="E750" s="481"/>
      <c r="F750" s="481"/>
      <c r="G750" s="536"/>
      <c r="H750" s="536"/>
      <c r="I750" s="1065"/>
      <c r="J750" s="536"/>
      <c r="K750" s="536"/>
    </row>
    <row r="751" spans="1:11" s="540" customFormat="1" ht="14.25">
      <c r="A751" s="538"/>
      <c r="B751" s="520" t="s">
        <v>2768</v>
      </c>
      <c r="C751" s="539"/>
      <c r="D751" s="1275" t="s">
        <v>1389</v>
      </c>
      <c r="E751" s="1275"/>
      <c r="F751" s="1275"/>
      <c r="I751" s="1066" t="s">
        <v>2183</v>
      </c>
    </row>
    <row r="752" spans="1:11" s="540" customFormat="1">
      <c r="A752" s="539"/>
      <c r="B752" s="539"/>
      <c r="C752" s="539"/>
      <c r="D752" s="1275"/>
      <c r="E752" s="1275"/>
      <c r="F752" s="1275"/>
      <c r="I752" s="1066"/>
    </row>
    <row r="753" spans="1:11" s="540" customFormat="1">
      <c r="A753" s="539"/>
      <c r="B753" s="539"/>
      <c r="C753" s="539"/>
      <c r="D753" s="1275"/>
      <c r="E753" s="1275"/>
      <c r="F753" s="1275"/>
      <c r="I753" s="1066"/>
    </row>
    <row r="754" spans="1:11" s="540" customFormat="1">
      <c r="A754" s="539"/>
      <c r="B754" s="539"/>
      <c r="C754" s="539"/>
      <c r="D754" s="1275"/>
      <c r="E754" s="1275"/>
      <c r="F754" s="1275"/>
      <c r="I754" s="1066"/>
    </row>
    <row r="755" spans="1:11" s="540" customFormat="1">
      <c r="A755" s="539"/>
      <c r="B755" s="539"/>
      <c r="C755" s="539"/>
      <c r="D755" s="534"/>
      <c r="I755" s="1066"/>
    </row>
    <row r="756" spans="1:11" s="540" customFormat="1" ht="14.25">
      <c r="A756" s="519"/>
      <c r="B756" s="520" t="s">
        <v>2768</v>
      </c>
      <c r="C756" s="539"/>
      <c r="D756" s="1277" t="s">
        <v>1390</v>
      </c>
      <c r="E756" s="1277"/>
      <c r="F756" s="1277"/>
      <c r="I756" s="1066" t="s">
        <v>2184</v>
      </c>
    </row>
    <row r="757" spans="1:11" s="540" customFormat="1">
      <c r="A757" s="539"/>
      <c r="B757" s="539"/>
      <c r="C757" s="539"/>
      <c r="D757" s="1277"/>
      <c r="E757" s="1277"/>
      <c r="F757" s="1277"/>
      <c r="I757" s="1066"/>
    </row>
    <row r="758" spans="1:11" s="540" customFormat="1">
      <c r="A758" s="539"/>
      <c r="B758" s="539"/>
      <c r="C758" s="539"/>
      <c r="D758" s="1277"/>
      <c r="E758" s="1277"/>
      <c r="F758" s="1277"/>
      <c r="I758" s="1066"/>
    </row>
    <row r="759" spans="1:11">
      <c r="D759" s="534"/>
      <c r="E759" s="481"/>
      <c r="F759" s="481"/>
      <c r="G759" s="536"/>
      <c r="H759" s="536"/>
      <c r="I759" s="1065"/>
      <c r="J759" s="536"/>
      <c r="K759" s="536"/>
    </row>
    <row r="760" spans="1:11" ht="14.25">
      <c r="A760" s="519"/>
      <c r="B760" s="520" t="s">
        <v>2768</v>
      </c>
      <c r="D760" s="1275" t="s">
        <v>1341</v>
      </c>
      <c r="E760" s="1275"/>
      <c r="F760" s="1275"/>
      <c r="G760" s="536"/>
      <c r="H760" s="536"/>
      <c r="I760" s="1065" t="s">
        <v>2183</v>
      </c>
      <c r="J760" s="536"/>
      <c r="K760" s="536"/>
    </row>
    <row r="761" spans="1:11">
      <c r="D761" s="1275"/>
      <c r="E761" s="1275"/>
      <c r="F761" s="1275"/>
      <c r="G761" s="536"/>
      <c r="H761" s="536"/>
      <c r="I761" s="1065"/>
      <c r="J761" s="536"/>
      <c r="K761" s="536"/>
    </row>
    <row r="762" spans="1:11">
      <c r="D762" s="480"/>
      <c r="E762" s="480"/>
      <c r="F762" s="480"/>
      <c r="G762" s="536"/>
      <c r="H762" s="536"/>
      <c r="I762" s="1065"/>
      <c r="J762" s="536"/>
      <c r="K762" s="536"/>
    </row>
    <row r="763" spans="1:11">
      <c r="B763" s="520" t="s">
        <v>2624</v>
      </c>
      <c r="D763" s="1275" t="s">
        <v>1358</v>
      </c>
      <c r="E763" s="1275"/>
      <c r="F763" s="1275"/>
      <c r="G763" s="536"/>
      <c r="H763" s="536"/>
      <c r="I763" s="1065" t="s">
        <v>2183</v>
      </c>
      <c r="J763" s="536"/>
      <c r="K763" s="536"/>
    </row>
    <row r="764" spans="1:11">
      <c r="D764" s="1275"/>
      <c r="E764" s="1275"/>
      <c r="F764" s="1275"/>
      <c r="G764" s="536"/>
      <c r="H764" s="536"/>
      <c r="I764" s="1065"/>
      <c r="J764" s="536"/>
      <c r="K764" s="536"/>
    </row>
    <row r="765" spans="1:11">
      <c r="D765" s="1275"/>
      <c r="E765" s="1275"/>
      <c r="F765" s="1275"/>
      <c r="G765" s="536"/>
      <c r="H765" s="536"/>
      <c r="I765" s="1065"/>
      <c r="J765" s="536"/>
      <c r="K765" s="536"/>
    </row>
    <row r="766" spans="1:11">
      <c r="D766" s="480"/>
      <c r="E766" s="480"/>
      <c r="F766" s="480"/>
      <c r="G766" s="536"/>
      <c r="H766" s="536"/>
      <c r="I766" s="1065"/>
      <c r="J766" s="536"/>
      <c r="K766" s="536"/>
    </row>
    <row r="767" spans="1:11">
      <c r="A767" s="1329" t="s">
        <v>2063</v>
      </c>
      <c r="B767" s="1329"/>
      <c r="C767" s="1329"/>
      <c r="D767" s="1329"/>
      <c r="E767" s="1329"/>
      <c r="F767" s="1329"/>
      <c r="G767" s="1329"/>
      <c r="H767" s="1071"/>
      <c r="I767" s="1072"/>
    </row>
    <row r="768" spans="1:11">
      <c r="A768" s="57"/>
      <c r="B768" s="57"/>
      <c r="C768" s="386"/>
      <c r="D768" s="3"/>
      <c r="E768" s="3"/>
      <c r="F768" s="3"/>
      <c r="G768" s="3"/>
    </row>
    <row r="769" spans="1:9">
      <c r="A769" s="57"/>
      <c r="B769" s="57"/>
      <c r="C769" s="386"/>
      <c r="D769" s="1330" t="s">
        <v>2117</v>
      </c>
      <c r="E769" s="1330"/>
      <c r="F769" s="1330"/>
      <c r="G769" s="3"/>
    </row>
    <row r="770" spans="1:9">
      <c r="A770" s="57"/>
      <c r="B770" s="57"/>
      <c r="C770" s="386"/>
      <c r="D770" s="1308" t="s">
        <v>2016</v>
      </c>
      <c r="E770" s="1308"/>
      <c r="F770" s="1308"/>
      <c r="G770" s="3"/>
    </row>
    <row r="771" spans="1:9">
      <c r="A771" s="57"/>
      <c r="B771" s="57"/>
      <c r="C771" s="386"/>
      <c r="D771" s="482"/>
      <c r="E771" s="482"/>
      <c r="F771" s="482"/>
      <c r="G771" s="3"/>
    </row>
    <row r="772" spans="1:9">
      <c r="A772" s="57"/>
      <c r="B772" s="520" t="s">
        <v>2768</v>
      </c>
      <c r="C772" s="386"/>
      <c r="D772" s="1293" t="s">
        <v>2017</v>
      </c>
      <c r="E772" s="1293"/>
      <c r="F772" s="1293"/>
      <c r="G772" s="3"/>
      <c r="I772" s="1065" t="s">
        <v>2233</v>
      </c>
    </row>
    <row r="773" spans="1:9">
      <c r="A773" s="57"/>
      <c r="B773" s="57"/>
      <c r="C773" s="386"/>
      <c r="D773" s="1293"/>
      <c r="E773" s="1293"/>
      <c r="F773" s="1293"/>
      <c r="G773" s="3"/>
    </row>
    <row r="774" spans="1:9">
      <c r="A774" s="175"/>
      <c r="B774" s="175"/>
      <c r="C774" s="175"/>
      <c r="D774" s="1293"/>
      <c r="E774" s="1293"/>
      <c r="F774" s="1293"/>
      <c r="G774" s="118"/>
    </row>
    <row r="775" spans="1:9">
      <c r="A775" s="386"/>
      <c r="B775" s="386"/>
      <c r="C775" s="386"/>
      <c r="D775" s="174"/>
      <c r="E775" s="3"/>
      <c r="F775" s="3"/>
      <c r="G775" s="3"/>
    </row>
    <row r="776" spans="1:9">
      <c r="A776" s="172"/>
      <c r="B776" s="520" t="s">
        <v>2624</v>
      </c>
      <c r="C776" s="172"/>
      <c r="D776" s="1293" t="s">
        <v>2018</v>
      </c>
      <c r="E776" s="1293"/>
      <c r="F776" s="1293"/>
      <c r="G776" s="3"/>
      <c r="I776" s="1065" t="s">
        <v>2233</v>
      </c>
    </row>
    <row r="777" spans="1:9">
      <c r="A777" s="172"/>
      <c r="B777" s="172"/>
      <c r="C777" s="172"/>
      <c r="D777" s="1293"/>
      <c r="E777" s="1293"/>
      <c r="F777" s="1293"/>
      <c r="G777" s="3"/>
    </row>
    <row r="778" spans="1:9">
      <c r="A778" s="172"/>
      <c r="B778" s="172"/>
      <c r="C778" s="172"/>
      <c r="D778" s="1293"/>
      <c r="E778" s="1293"/>
      <c r="F778" s="1293"/>
      <c r="G778" s="3"/>
    </row>
    <row r="779" spans="1:9">
      <c r="A779" s="175"/>
      <c r="B779" s="175"/>
      <c r="C779" s="175"/>
      <c r="D779" s="3"/>
      <c r="E779" s="1025"/>
      <c r="F779" s="1025"/>
      <c r="G779" s="1025"/>
    </row>
    <row r="780" spans="1:9" ht="14.25">
      <c r="A780" s="176"/>
      <c r="B780" s="520" t="s">
        <v>2624</v>
      </c>
      <c r="C780" s="1026"/>
      <c r="D780" s="1293" t="s">
        <v>2019</v>
      </c>
      <c r="E780" s="1293"/>
      <c r="F780" s="1293"/>
      <c r="G780" s="1025"/>
      <c r="I780" s="1065" t="s">
        <v>2233</v>
      </c>
    </row>
    <row r="781" spans="1:9" ht="14.25">
      <c r="A781" s="176"/>
      <c r="B781" s="176"/>
      <c r="C781" s="1026"/>
      <c r="D781" s="1293"/>
      <c r="E781" s="1293"/>
      <c r="F781" s="1293"/>
      <c r="G781" s="1025"/>
    </row>
    <row r="782" spans="1:9" ht="14.25">
      <c r="A782" s="176"/>
      <c r="B782" s="176"/>
      <c r="C782" s="1026"/>
      <c r="D782" s="1293"/>
      <c r="E782" s="1293"/>
      <c r="F782" s="1293"/>
      <c r="G782" s="1025"/>
    </row>
    <row r="783" spans="1:9" ht="14.25">
      <c r="A783" s="176"/>
      <c r="B783" s="176"/>
      <c r="C783" s="1026"/>
      <c r="D783" s="118"/>
      <c r="E783" s="3"/>
      <c r="F783" s="3"/>
      <c r="G783" s="1025"/>
    </row>
    <row r="784" spans="1:9" ht="14.25">
      <c r="A784" s="176"/>
      <c r="B784" s="520" t="s">
        <v>2768</v>
      </c>
      <c r="C784" s="1026"/>
      <c r="D784" s="1293" t="s">
        <v>2020</v>
      </c>
      <c r="E784" s="1293"/>
      <c r="F784" s="1293"/>
      <c r="G784" s="1025"/>
      <c r="I784" s="1065" t="s">
        <v>2233</v>
      </c>
    </row>
    <row r="785" spans="1:9" ht="14.25">
      <c r="A785" s="176"/>
      <c r="B785" s="176"/>
      <c r="C785" s="1026"/>
      <c r="D785" s="1293"/>
      <c r="E785" s="1293"/>
      <c r="F785" s="1293"/>
      <c r="G785" s="1025"/>
    </row>
    <row r="786" spans="1:9" ht="14.25">
      <c r="A786" s="176"/>
      <c r="B786" s="176"/>
      <c r="C786" s="1026"/>
      <c r="D786" s="1293"/>
      <c r="E786" s="1293"/>
      <c r="F786" s="1293"/>
      <c r="G786" s="1025"/>
    </row>
    <row r="787" spans="1:9" ht="14.25">
      <c r="A787" s="176"/>
      <c r="B787" s="176"/>
      <c r="C787" s="1026"/>
      <c r="D787" s="1293"/>
      <c r="E787" s="1293"/>
      <c r="F787" s="1293"/>
      <c r="G787" s="1025"/>
    </row>
    <row r="788" spans="1:9" ht="14.25">
      <c r="A788" s="176"/>
      <c r="B788" s="176"/>
      <c r="C788" s="1026"/>
      <c r="D788" s="1293"/>
      <c r="E788" s="1293"/>
      <c r="F788" s="1293"/>
      <c r="G788" s="1025"/>
    </row>
    <row r="789" spans="1:9" ht="14.25">
      <c r="A789" s="176"/>
      <c r="B789" s="176"/>
      <c r="C789" s="1026"/>
      <c r="D789" s="1293"/>
      <c r="E789" s="1293"/>
      <c r="F789" s="1293"/>
      <c r="G789" s="1025"/>
    </row>
    <row r="790" spans="1:9" ht="14.25">
      <c r="A790" s="176"/>
      <c r="B790" s="176"/>
      <c r="C790" s="1026"/>
      <c r="D790" s="1293" t="s">
        <v>2064</v>
      </c>
      <c r="E790" s="1293"/>
      <c r="F790" s="1293"/>
      <c r="G790" s="1025"/>
    </row>
    <row r="791" spans="1:9" ht="14.25">
      <c r="A791" s="176"/>
      <c r="B791" s="176"/>
      <c r="C791" s="1026"/>
      <c r="D791" s="1293"/>
      <c r="E791" s="1293"/>
      <c r="F791" s="1293"/>
      <c r="G791" s="1025"/>
    </row>
    <row r="792" spans="1:9" ht="14.25">
      <c r="A792" s="176"/>
      <c r="B792" s="176"/>
      <c r="C792" s="1026"/>
      <c r="D792" s="1293"/>
      <c r="E792" s="1293"/>
      <c r="F792" s="1293"/>
      <c r="G792" s="1025"/>
    </row>
    <row r="793" spans="1:9" ht="14.25">
      <c r="A793" s="176"/>
      <c r="B793" s="386"/>
      <c r="C793" s="1026"/>
      <c r="D793" s="1027"/>
      <c r="E793" s="1027"/>
      <c r="F793" s="1027"/>
      <c r="G793" s="1025"/>
    </row>
    <row r="794" spans="1:9" ht="14.25">
      <c r="A794" s="176"/>
      <c r="B794" s="520" t="s">
        <v>2768</v>
      </c>
      <c r="C794" s="1026"/>
      <c r="D794" s="1293" t="s">
        <v>2021</v>
      </c>
      <c r="E794" s="1293"/>
      <c r="F794" s="1293"/>
      <c r="G794" s="1025"/>
      <c r="I794" s="1065" t="s">
        <v>2233</v>
      </c>
    </row>
    <row r="795" spans="1:9" ht="14.25">
      <c r="A795" s="176"/>
      <c r="B795" s="176"/>
      <c r="C795" s="1026"/>
      <c r="D795" s="1293"/>
      <c r="E795" s="1293"/>
      <c r="F795" s="1293"/>
      <c r="G795" s="1025"/>
    </row>
    <row r="796" spans="1:9" ht="14.25">
      <c r="A796" s="176"/>
      <c r="B796" s="176"/>
      <c r="C796" s="1026"/>
      <c r="D796" s="1293"/>
      <c r="E796" s="1293"/>
      <c r="F796" s="1293"/>
      <c r="G796" s="1025"/>
    </row>
    <row r="797" spans="1:9" ht="14.25">
      <c r="A797" s="176"/>
      <c r="B797" s="176"/>
      <c r="C797" s="1026"/>
      <c r="D797" s="1293"/>
      <c r="E797" s="1293"/>
      <c r="F797" s="1293"/>
      <c r="G797" s="1025"/>
    </row>
    <row r="798" spans="1:9" ht="14.25">
      <c r="A798" s="176"/>
      <c r="B798" s="176"/>
      <c r="C798" s="1026"/>
      <c r="D798" s="1293"/>
      <c r="E798" s="1293"/>
      <c r="F798" s="1293"/>
      <c r="G798" s="1025"/>
    </row>
    <row r="799" spans="1:9" ht="14.25">
      <c r="A799" s="176"/>
      <c r="B799" s="176"/>
      <c r="C799" s="1026"/>
      <c r="D799" s="1293"/>
      <c r="E799" s="1293"/>
      <c r="F799" s="1293"/>
      <c r="G799" s="1025"/>
    </row>
    <row r="800" spans="1:9" ht="14.25">
      <c r="A800" s="176"/>
      <c r="B800" s="176"/>
      <c r="C800" s="1026"/>
      <c r="D800" s="1019"/>
      <c r="E800" s="1019"/>
      <c r="F800" s="1019"/>
      <c r="G800" s="1025"/>
    </row>
    <row r="801" spans="1:9" ht="14.25">
      <c r="A801" s="176"/>
      <c r="B801" s="520" t="s">
        <v>2768</v>
      </c>
      <c r="C801" s="1026"/>
      <c r="D801" s="1293" t="s">
        <v>2022</v>
      </c>
      <c r="E801" s="1293"/>
      <c r="F801" s="1293"/>
      <c r="G801" s="1025"/>
      <c r="I801" s="1065" t="s">
        <v>2233</v>
      </c>
    </row>
    <row r="802" spans="1:9" ht="14.25">
      <c r="A802" s="176"/>
      <c r="B802" s="176"/>
      <c r="C802" s="1026"/>
      <c r="D802" s="1293"/>
      <c r="E802" s="1293"/>
      <c r="F802" s="1293"/>
      <c r="G802" s="1025"/>
    </row>
    <row r="803" spans="1:9" ht="14.25">
      <c r="A803" s="176"/>
      <c r="B803" s="176"/>
      <c r="C803" s="1026"/>
      <c r="D803" s="1293"/>
      <c r="E803" s="1293"/>
      <c r="F803" s="1293"/>
      <c r="G803" s="1025"/>
    </row>
    <row r="804" spans="1:9" ht="14.25">
      <c r="A804" s="176"/>
      <c r="B804" s="176"/>
      <c r="C804" s="1026"/>
      <c r="D804" s="1293"/>
      <c r="E804" s="1293"/>
      <c r="F804" s="1293"/>
      <c r="G804" s="1025"/>
    </row>
    <row r="805" spans="1:9" ht="14.25">
      <c r="A805" s="176"/>
      <c r="B805" s="176"/>
      <c r="C805" s="1026"/>
      <c r="D805" s="1293"/>
      <c r="E805" s="1293"/>
      <c r="F805" s="1293"/>
      <c r="G805" s="1025"/>
    </row>
    <row r="806" spans="1:9" ht="14.25">
      <c r="A806" s="176"/>
      <c r="B806" s="176"/>
      <c r="C806" s="1026"/>
      <c r="D806" s="1293"/>
      <c r="E806" s="1293"/>
      <c r="F806" s="1293"/>
      <c r="G806" s="1025"/>
    </row>
    <row r="807" spans="1:9" ht="14.25">
      <c r="A807" s="176"/>
      <c r="B807" s="176"/>
      <c r="C807" s="1026"/>
      <c r="D807" s="1019"/>
      <c r="E807" s="1019"/>
      <c r="F807" s="1019"/>
      <c r="G807" s="1025"/>
    </row>
    <row r="808" spans="1:9" ht="14.25">
      <c r="A808" s="176"/>
      <c r="B808" s="520" t="s">
        <v>2624</v>
      </c>
      <c r="C808" s="1026"/>
      <c r="D808" s="1301" t="s">
        <v>2023</v>
      </c>
      <c r="E808" s="1301"/>
      <c r="F808" s="1301"/>
      <c r="G808" s="1025"/>
      <c r="I808" s="1065" t="s">
        <v>2233</v>
      </c>
    </row>
    <row r="809" spans="1:9" ht="14.25">
      <c r="A809" s="176"/>
      <c r="B809" s="176"/>
      <c r="C809" s="1026"/>
      <c r="D809" s="1301"/>
      <c r="E809" s="1301"/>
      <c r="F809" s="1301"/>
      <c r="G809" s="1025"/>
    </row>
    <row r="810" spans="1:9">
      <c r="A810" s="13"/>
      <c r="B810" s="13"/>
      <c r="C810" s="1026"/>
      <c r="D810" s="1301"/>
      <c r="E810" s="1301"/>
      <c r="F810" s="1301"/>
      <c r="G810" s="1025"/>
    </row>
    <row r="811" spans="1:9" ht="14.25">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288" t="s">
        <v>2024</v>
      </c>
      <c r="B815" s="1288"/>
      <c r="C815" s="1288"/>
      <c r="D815" s="1288"/>
      <c r="E815" s="1288"/>
      <c r="F815" s="1288"/>
      <c r="G815" s="1288"/>
      <c r="H815" s="1071"/>
      <c r="I815" s="1072"/>
    </row>
    <row r="816" spans="1:9" ht="12.75" customHeight="1">
      <c r="A816" s="172"/>
      <c r="B816" s="172"/>
      <c r="C816" s="1026"/>
      <c r="D816" s="1025"/>
      <c r="E816" s="1025"/>
      <c r="F816" s="1025"/>
      <c r="G816" s="1025"/>
    </row>
    <row r="817" spans="1:9" ht="12.75" customHeight="1">
      <c r="A817" s="176"/>
      <c r="B817" s="176"/>
      <c r="C817" s="386"/>
      <c r="D817" s="1292" t="s">
        <v>2065</v>
      </c>
      <c r="E817" s="1292"/>
      <c r="F817" s="1292"/>
      <c r="G817" s="3"/>
    </row>
    <row r="818" spans="1:9" ht="14.25" customHeight="1">
      <c r="A818" s="176"/>
      <c r="B818" s="176"/>
      <c r="C818" s="386"/>
      <c r="D818" s="1260" t="s">
        <v>2025</v>
      </c>
      <c r="E818" s="1260"/>
      <c r="F818" s="1260"/>
      <c r="G818" s="3"/>
    </row>
    <row r="819" spans="1:9" ht="12.75" customHeight="1">
      <c r="A819" s="176"/>
      <c r="B819" s="176"/>
      <c r="C819" s="386"/>
      <c r="D819" s="475"/>
      <c r="E819" s="475"/>
      <c r="F819" s="475"/>
      <c r="G819" s="3"/>
    </row>
    <row r="820" spans="1:9" ht="12.75" customHeight="1">
      <c r="A820" s="386"/>
      <c r="B820" s="520" t="s">
        <v>2768</v>
      </c>
      <c r="C820" s="1026"/>
      <c r="D820" s="1260" t="s">
        <v>2026</v>
      </c>
      <c r="E820" s="1260"/>
      <c r="F820" s="1260"/>
      <c r="G820" s="3"/>
      <c r="I820" s="436" t="s">
        <v>2201</v>
      </c>
    </row>
    <row r="821" spans="1:9" ht="14.25" customHeight="1">
      <c r="A821" s="13"/>
      <c r="B821" s="13"/>
      <c r="C821" s="1026"/>
      <c r="E821" s="1080" t="s">
        <v>2277</v>
      </c>
      <c r="F821" s="1082"/>
      <c r="G821" s="3"/>
    </row>
    <row r="822" spans="1:9" ht="12.75" customHeight="1">
      <c r="A822" s="13"/>
      <c r="B822" s="13"/>
      <c r="C822" s="1026"/>
      <c r="D822" s="1028"/>
      <c r="E822" s="3"/>
      <c r="F822" s="3"/>
      <c r="G822" s="3"/>
    </row>
    <row r="823" spans="1:9" ht="14.25" hidden="1" customHeight="1">
      <c r="A823" s="13"/>
      <c r="B823" s="520" t="s">
        <v>309</v>
      </c>
      <c r="C823" s="1026"/>
      <c r="D823" s="1339" t="s">
        <v>2473</v>
      </c>
      <c r="E823" s="1339"/>
      <c r="F823" s="1339"/>
      <c r="G823" s="3"/>
    </row>
    <row r="824" spans="1:9" ht="12.75" hidden="1" customHeight="1">
      <c r="A824" s="13"/>
      <c r="B824" s="13"/>
      <c r="C824" s="1026"/>
      <c r="D824" s="1339"/>
      <c r="E824" s="1339"/>
      <c r="F824" s="1339"/>
      <c r="G824" s="3"/>
    </row>
    <row r="825" spans="1:9" ht="12.75" hidden="1" customHeight="1">
      <c r="A825" s="13"/>
      <c r="B825" s="13"/>
      <c r="C825" s="1026"/>
      <c r="D825" s="1339"/>
      <c r="E825" s="1339"/>
      <c r="F825" s="1339"/>
      <c r="G825" s="3"/>
    </row>
    <row r="826" spans="1:9" ht="12.75" hidden="1" customHeight="1">
      <c r="A826" s="13"/>
      <c r="B826" s="13"/>
      <c r="C826" s="1026"/>
      <c r="D826" s="1339"/>
      <c r="E826" s="1339"/>
      <c r="F826" s="1339"/>
      <c r="G826" s="3"/>
    </row>
    <row r="827" spans="1:9" ht="12.75" hidden="1" customHeight="1">
      <c r="A827" s="13"/>
      <c r="B827" s="13"/>
      <c r="C827" s="1026"/>
      <c r="D827" s="1339"/>
      <c r="E827" s="1339"/>
      <c r="F827" s="1339"/>
      <c r="G827" s="3"/>
    </row>
    <row r="828" spans="1:9" ht="12.75" hidden="1" customHeight="1">
      <c r="A828" s="13"/>
      <c r="B828" s="13"/>
      <c r="C828" s="1026"/>
      <c r="D828" s="1339"/>
      <c r="E828" s="1339"/>
      <c r="F828" s="1339"/>
      <c r="G828" s="3"/>
    </row>
    <row r="829" spans="1:9" ht="12.75" hidden="1" customHeight="1">
      <c r="A829" s="13"/>
      <c r="B829" s="13"/>
      <c r="C829" s="1026"/>
      <c r="D829" s="1339"/>
      <c r="E829" s="1339"/>
      <c r="F829" s="1339"/>
      <c r="G829" s="3"/>
    </row>
    <row r="830" spans="1:9" ht="12.75" hidden="1" customHeight="1">
      <c r="A830" s="13"/>
      <c r="B830" s="13"/>
      <c r="C830" s="1026"/>
      <c r="D830" s="1339"/>
      <c r="E830" s="1339"/>
      <c r="F830" s="1339"/>
      <c r="G830" s="3"/>
    </row>
    <row r="831" spans="1:9" ht="12.75" hidden="1" customHeight="1">
      <c r="A831" s="13"/>
      <c r="B831" s="13"/>
      <c r="C831" s="1026"/>
      <c r="D831" s="1339"/>
      <c r="E831" s="1339"/>
      <c r="F831" s="1339"/>
      <c r="G831" s="3"/>
    </row>
    <row r="832" spans="1:9" ht="12.75" hidden="1" customHeight="1">
      <c r="A832" s="13"/>
      <c r="B832" s="13"/>
      <c r="C832" s="1026"/>
      <c r="D832" s="1339"/>
      <c r="E832" s="1339"/>
      <c r="F832" s="1339"/>
      <c r="G832" s="3"/>
    </row>
    <row r="833" spans="1:9" ht="12.75" hidden="1" customHeight="1">
      <c r="A833" s="13"/>
      <c r="B833" s="13"/>
      <c r="C833" s="1026"/>
      <c r="D833" s="1028"/>
      <c r="E833" s="3"/>
      <c r="F833" s="3"/>
      <c r="G833" s="3"/>
    </row>
    <row r="834" spans="1:9" ht="12.75" customHeight="1">
      <c r="A834" s="176"/>
      <c r="B834" s="520" t="s">
        <v>2768</v>
      </c>
      <c r="C834" s="1026"/>
      <c r="D834" s="1260" t="s">
        <v>2027</v>
      </c>
      <c r="E834" s="1260"/>
      <c r="F834" s="1260"/>
      <c r="G834" s="3"/>
      <c r="I834" s="436" t="s">
        <v>2219</v>
      </c>
    </row>
    <row r="835" spans="1:9" ht="12.75" customHeight="1">
      <c r="A835" s="176"/>
      <c r="B835" s="176"/>
      <c r="C835" s="1026"/>
      <c r="D835" s="1260"/>
      <c r="E835" s="1260"/>
      <c r="F835" s="1260"/>
      <c r="G835" s="3"/>
    </row>
    <row r="836" spans="1:9" ht="12.75" customHeight="1">
      <c r="A836" s="176"/>
      <c r="B836" s="176"/>
      <c r="C836" s="1026"/>
      <c r="D836" s="1260"/>
      <c r="E836" s="1260"/>
      <c r="F836" s="1260"/>
      <c r="G836" s="3"/>
    </row>
    <row r="837" spans="1:9" ht="12.75" customHeight="1">
      <c r="A837" s="176"/>
      <c r="B837" s="176"/>
      <c r="C837" s="1026"/>
      <c r="D837" s="118"/>
      <c r="E837" s="3"/>
      <c r="F837" s="3"/>
      <c r="G837" s="3"/>
    </row>
    <row r="838" spans="1:9" ht="12.75" customHeight="1">
      <c r="A838" s="1029"/>
      <c r="B838" s="520" t="s">
        <v>2624</v>
      </c>
      <c r="C838" s="1026"/>
      <c r="D838" s="1292" t="s">
        <v>2028</v>
      </c>
      <c r="E838" s="1292"/>
      <c r="F838" s="1292"/>
      <c r="G838" s="3"/>
    </row>
    <row r="839" spans="1:9" ht="12.75" customHeight="1">
      <c r="A839" s="386"/>
      <c r="B839" s="1029"/>
      <c r="C839" s="1026"/>
      <c r="D839" s="1292"/>
      <c r="E839" s="1292"/>
      <c r="F839" s="1292"/>
      <c r="G839" s="3"/>
    </row>
    <row r="840" spans="1:9" ht="12.75" customHeight="1">
      <c r="A840" s="176"/>
      <c r="B840" s="386"/>
      <c r="C840" s="1026"/>
      <c r="D840" s="1260" t="s">
        <v>2464</v>
      </c>
      <c r="E840" s="1260"/>
      <c r="F840" s="1260"/>
      <c r="G840" s="3"/>
    </row>
    <row r="841" spans="1:9" ht="12.75" customHeight="1">
      <c r="A841" s="176"/>
      <c r="B841" s="176"/>
      <c r="C841" s="1026"/>
      <c r="D841" s="1260"/>
      <c r="E841" s="1260"/>
      <c r="F841" s="1260"/>
      <c r="G841" s="3"/>
    </row>
    <row r="842" spans="1:9" ht="12.75" customHeight="1">
      <c r="A842" s="176"/>
      <c r="B842" s="176"/>
      <c r="C842" s="1026"/>
      <c r="D842" s="1260"/>
      <c r="E842" s="1260"/>
      <c r="F842" s="1260"/>
      <c r="G842" s="3"/>
    </row>
    <row r="843" spans="1:9" ht="12.75" customHeight="1">
      <c r="A843" s="176"/>
      <c r="B843" s="176"/>
      <c r="C843" s="1026"/>
      <c r="D843" s="1260"/>
      <c r="E843" s="1260"/>
      <c r="F843" s="1260"/>
      <c r="G843" s="3"/>
    </row>
    <row r="844" spans="1:9" ht="12.75" customHeight="1">
      <c r="A844" s="176"/>
      <c r="B844" s="176"/>
      <c r="C844" s="1026"/>
      <c r="D844" s="1260"/>
      <c r="E844" s="1260"/>
      <c r="F844" s="1260"/>
      <c r="G844" s="3"/>
    </row>
    <row r="845" spans="1:9" ht="12.75" customHeight="1">
      <c r="A845" s="176"/>
      <c r="B845" s="176"/>
      <c r="C845" s="1026"/>
      <c r="D845" s="1260"/>
      <c r="E845" s="1260"/>
      <c r="F845" s="1260"/>
      <c r="G845" s="3"/>
    </row>
    <row r="846" spans="1:9" ht="12.75" customHeight="1">
      <c r="A846" s="176"/>
      <c r="B846" s="176"/>
      <c r="C846" s="1026"/>
      <c r="D846" s="118"/>
      <c r="E846" s="3"/>
      <c r="F846" s="3"/>
      <c r="G846" s="3"/>
    </row>
    <row r="847" spans="1:9" ht="12.75" customHeight="1">
      <c r="A847" s="176"/>
      <c r="B847" s="520" t="s">
        <v>2624</v>
      </c>
      <c r="C847" s="1026"/>
      <c r="D847" s="1260" t="s">
        <v>2029</v>
      </c>
      <c r="E847" s="1260"/>
      <c r="F847" s="1260"/>
      <c r="G847" s="3"/>
      <c r="I847" s="436" t="s">
        <v>2202</v>
      </c>
    </row>
    <row r="848" spans="1:9" ht="12.75" customHeight="1">
      <c r="A848" s="176"/>
      <c r="B848" s="176"/>
      <c r="C848" s="1026"/>
      <c r="D848" s="1260" t="s">
        <v>2030</v>
      </c>
      <c r="E848" s="1260"/>
      <c r="F848" s="1260"/>
      <c r="G848" s="3"/>
    </row>
    <row r="849" spans="1:9" ht="12.75" customHeight="1">
      <c r="A849" s="176"/>
      <c r="B849" s="176"/>
      <c r="C849" s="1026"/>
      <c r="E849" s="1080" t="s">
        <v>2279</v>
      </c>
      <c r="F849" s="1082"/>
      <c r="G849" s="3"/>
    </row>
    <row r="850" spans="1:9" ht="12.75" customHeight="1">
      <c r="A850" s="176"/>
      <c r="B850" s="176"/>
      <c r="C850" s="1026"/>
      <c r="D850" s="118"/>
      <c r="E850" s="3"/>
      <c r="F850" s="3"/>
      <c r="G850" s="3"/>
    </row>
    <row r="851" spans="1:9" ht="12.75" customHeight="1">
      <c r="A851" s="176"/>
      <c r="B851" s="520" t="s">
        <v>2624</v>
      </c>
      <c r="C851" s="1026"/>
      <c r="D851" s="1260" t="s">
        <v>2031</v>
      </c>
      <c r="E851" s="1260"/>
      <c r="F851" s="1260"/>
      <c r="G851" s="3"/>
      <c r="I851" s="436" t="s">
        <v>2220</v>
      </c>
    </row>
    <row r="852" spans="1:9" ht="12.75" customHeight="1">
      <c r="A852" s="176"/>
      <c r="B852" s="176"/>
      <c r="C852" s="1026"/>
      <c r="D852" s="1260"/>
      <c r="E852" s="1260"/>
      <c r="F852" s="1260"/>
      <c r="G852" s="3"/>
    </row>
    <row r="853" spans="1:9" ht="12.75" customHeight="1">
      <c r="A853" s="176"/>
      <c r="B853" s="176"/>
      <c r="C853" s="1026"/>
      <c r="D853" s="1260"/>
      <c r="E853" s="1260"/>
      <c r="F853" s="1260"/>
      <c r="G853" s="3"/>
    </row>
    <row r="854" spans="1:9" ht="12.75" customHeight="1">
      <c r="A854" s="176"/>
      <c r="B854" s="176"/>
      <c r="C854" s="1026"/>
      <c r="D854" s="1260"/>
      <c r="E854" s="1260"/>
      <c r="F854" s="1260"/>
      <c r="G854" s="3"/>
    </row>
    <row r="855" spans="1:9" ht="12.75" customHeight="1">
      <c r="A855" s="172"/>
      <c r="B855" s="172"/>
      <c r="C855" s="172"/>
      <c r="D855" s="118"/>
      <c r="E855" s="3"/>
      <c r="F855" s="3"/>
      <c r="G855" s="3"/>
    </row>
    <row r="856" spans="1:9" ht="12.75" customHeight="1">
      <c r="A856" s="1020" t="s">
        <v>2032</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2066</v>
      </c>
      <c r="E858" s="1279"/>
      <c r="F858" s="1279"/>
      <c r="G858" s="1025"/>
    </row>
    <row r="859" spans="1:9" ht="12.75" customHeight="1">
      <c r="A859" s="386"/>
      <c r="B859" s="386"/>
      <c r="C859" s="175"/>
      <c r="D859" s="1338" t="s">
        <v>2033</v>
      </c>
      <c r="E859" s="1338"/>
      <c r="F859" s="1338"/>
      <c r="G859" s="1025"/>
    </row>
    <row r="860" spans="1:9" ht="12.75" customHeight="1">
      <c r="A860" s="386"/>
      <c r="B860" s="386"/>
      <c r="C860" s="175"/>
      <c r="D860" s="1032"/>
      <c r="E860" s="1032"/>
      <c r="F860" s="1032"/>
      <c r="G860" s="1025"/>
    </row>
    <row r="861" spans="1:9" ht="12.75" customHeight="1">
      <c r="A861" s="176"/>
      <c r="B861" s="520" t="s">
        <v>2768</v>
      </c>
      <c r="C861" s="386"/>
      <c r="D861" s="1280" t="s">
        <v>2034</v>
      </c>
      <c r="E861" s="1280"/>
      <c r="F861" s="1280"/>
      <c r="G861" s="1025"/>
      <c r="I861" s="436" t="s">
        <v>2202</v>
      </c>
    </row>
    <row r="862" spans="1:9" ht="12.75" customHeight="1">
      <c r="A862" s="386"/>
      <c r="B862" s="386"/>
      <c r="C862" s="386"/>
      <c r="D862" s="2" t="s">
        <v>2009</v>
      </c>
      <c r="E862" s="1080" t="s">
        <v>2279</v>
      </c>
      <c r="F862" s="1083"/>
      <c r="G862" s="1025"/>
    </row>
    <row r="863" spans="1:9" ht="12.75" customHeight="1">
      <c r="A863" s="386"/>
      <c r="B863" s="386"/>
      <c r="C863" s="386"/>
      <c r="D863" s="118"/>
      <c r="E863" s="1025"/>
      <c r="F863" s="1025"/>
      <c r="G863" s="1025"/>
    </row>
    <row r="864" spans="1:9" ht="12.75" customHeight="1">
      <c r="A864" s="176"/>
      <c r="B864" s="520" t="s">
        <v>2768</v>
      </c>
      <c r="C864" s="386"/>
      <c r="D864" s="1260" t="s">
        <v>2035</v>
      </c>
      <c r="E864" s="1309"/>
      <c r="F864" s="1309"/>
      <c r="G864" s="3"/>
      <c r="I864" s="436" t="s">
        <v>2220</v>
      </c>
    </row>
    <row r="865" spans="1:9" ht="12.75" customHeight="1">
      <c r="A865" s="386"/>
      <c r="B865" s="386"/>
      <c r="C865" s="386"/>
      <c r="D865" s="1309"/>
      <c r="E865" s="1309"/>
      <c r="F865" s="1309"/>
      <c r="G865" s="3"/>
    </row>
    <row r="866" spans="1:9" ht="12.75" customHeight="1">
      <c r="A866" s="386"/>
      <c r="B866" s="386"/>
      <c r="C866" s="386"/>
      <c r="D866" s="118"/>
      <c r="E866" s="3"/>
      <c r="F866" s="3"/>
      <c r="G866" s="3"/>
    </row>
    <row r="867" spans="1:9" ht="12.75" customHeight="1">
      <c r="A867" s="386"/>
      <c r="B867" s="520" t="s">
        <v>2624</v>
      </c>
      <c r="C867" s="386"/>
      <c r="D867" s="1340" t="s">
        <v>2036</v>
      </c>
      <c r="E867" s="1340"/>
      <c r="F867" s="1340"/>
      <c r="G867" s="1025"/>
    </row>
    <row r="868" spans="1:9" ht="12.75" customHeight="1">
      <c r="A868" s="386"/>
      <c r="B868" s="1033"/>
      <c r="C868" s="386"/>
      <c r="D868" s="1340"/>
      <c r="E868" s="1340"/>
      <c r="F868" s="1340"/>
      <c r="G868" s="1025"/>
    </row>
    <row r="869" spans="1:9" ht="12.75" customHeight="1">
      <c r="A869" s="176"/>
      <c r="B869"/>
      <c r="C869" s="386"/>
      <c r="D869" s="1260" t="s">
        <v>2464</v>
      </c>
      <c r="E869" s="1260"/>
      <c r="F869" s="1260"/>
      <c r="G869" s="1025"/>
    </row>
    <row r="870" spans="1:9" ht="12.75" customHeight="1">
      <c r="A870" s="176"/>
      <c r="B870" s="176"/>
      <c r="C870" s="386"/>
      <c r="D870" s="1260"/>
      <c r="E870" s="1260"/>
      <c r="F870" s="1260"/>
      <c r="G870" s="1025"/>
    </row>
    <row r="871" spans="1:9" ht="12.75" customHeight="1">
      <c r="A871" s="176"/>
      <c r="B871" s="176"/>
      <c r="C871" s="386"/>
      <c r="D871" s="1260"/>
      <c r="E871" s="1260"/>
      <c r="F871" s="1260"/>
      <c r="G871" s="1025"/>
    </row>
    <row r="872" spans="1:9" ht="12.75" customHeight="1">
      <c r="A872" s="176"/>
      <c r="B872" s="176"/>
      <c r="C872" s="386"/>
      <c r="D872" s="1260"/>
      <c r="E872" s="1260"/>
      <c r="F872" s="1260"/>
      <c r="G872" s="1025"/>
    </row>
    <row r="873" spans="1:9" ht="12.75" customHeight="1">
      <c r="A873" s="176"/>
      <c r="B873" s="176"/>
      <c r="C873" s="386"/>
      <c r="D873" s="1260"/>
      <c r="E873" s="1260"/>
      <c r="F873" s="1260"/>
      <c r="G873" s="1025"/>
    </row>
    <row r="874" spans="1:9" ht="12.75" customHeight="1">
      <c r="A874" s="176"/>
      <c r="B874" s="176"/>
      <c r="C874" s="386"/>
      <c r="D874" s="1260"/>
      <c r="E874" s="1260"/>
      <c r="F874" s="1260"/>
      <c r="G874" s="1025"/>
    </row>
    <row r="875" spans="1:9" ht="12.75" customHeight="1">
      <c r="A875" s="176"/>
      <c r="B875" s="176"/>
      <c r="C875" s="386"/>
      <c r="D875" s="118"/>
      <c r="E875" s="1025"/>
      <c r="F875" s="1025"/>
      <c r="G875" s="1025"/>
    </row>
    <row r="876" spans="1:9" ht="12.75" customHeight="1">
      <c r="A876" s="176"/>
      <c r="B876" s="520" t="s">
        <v>2624</v>
      </c>
      <c r="C876" s="386"/>
      <c r="D876" s="1284" t="s">
        <v>2029</v>
      </c>
      <c r="E876" s="1284"/>
      <c r="F876" s="1284"/>
      <c r="G876" s="1025"/>
      <c r="I876" s="436" t="s">
        <v>2202</v>
      </c>
    </row>
    <row r="877" spans="1:9" ht="12.75" customHeight="1">
      <c r="A877" s="176"/>
      <c r="B877" s="176"/>
      <c r="C877" s="386"/>
      <c r="D877" s="1284" t="s">
        <v>2030</v>
      </c>
      <c r="E877" s="1284"/>
      <c r="F877" s="1284"/>
      <c r="G877" s="1025"/>
    </row>
    <row r="878" spans="1:9" ht="12.75" customHeight="1">
      <c r="A878" s="176"/>
      <c r="B878" s="176"/>
      <c r="C878" s="386"/>
      <c r="D878" s="2" t="s">
        <v>1428</v>
      </c>
      <c r="E878" s="1080" t="s">
        <v>2279</v>
      </c>
      <c r="F878" s="1084"/>
      <c r="G878" s="1025"/>
    </row>
    <row r="879" spans="1:9" ht="12.75" customHeight="1">
      <c r="A879" s="176"/>
      <c r="B879" s="176"/>
      <c r="C879" s="386"/>
      <c r="D879" s="118"/>
      <c r="E879" s="1025"/>
      <c r="F879" s="1025"/>
      <c r="G879" s="1025"/>
    </row>
    <row r="880" spans="1:9" ht="12.75" customHeight="1">
      <c r="A880" s="176"/>
      <c r="B880" s="520" t="s">
        <v>2624</v>
      </c>
      <c r="C880" s="386"/>
      <c r="D880" s="1260" t="s">
        <v>2031</v>
      </c>
      <c r="E880" s="1260"/>
      <c r="F880" s="1260"/>
      <c r="G880" s="1025"/>
      <c r="I880" s="436" t="s">
        <v>2220</v>
      </c>
    </row>
    <row r="881" spans="1:9" ht="12.75" customHeight="1">
      <c r="A881" s="176"/>
      <c r="B881" s="176"/>
      <c r="C881" s="386"/>
      <c r="D881" s="1260"/>
      <c r="E881" s="1260"/>
      <c r="F881" s="1260"/>
      <c r="G881" s="1025"/>
    </row>
    <row r="882" spans="1:9" ht="12.75" customHeight="1">
      <c r="A882" s="176"/>
      <c r="B882" s="176"/>
      <c r="C882" s="386"/>
      <c r="D882" s="1260"/>
      <c r="E882" s="1260"/>
      <c r="F882" s="1260"/>
      <c r="G882" s="1025"/>
    </row>
    <row r="883" spans="1:9" ht="12.75" customHeight="1">
      <c r="A883" s="176"/>
      <c r="B883" s="176"/>
      <c r="C883" s="386"/>
      <c r="D883" s="1260"/>
      <c r="E883" s="1260"/>
      <c r="F883" s="1260"/>
      <c r="G883" s="1025"/>
    </row>
    <row r="884" spans="1:9" ht="12.75" customHeight="1">
      <c r="A884" s="118"/>
      <c r="B884" s="118"/>
      <c r="C884" s="1026"/>
      <c r="D884" s="1025"/>
      <c r="E884" s="1025"/>
      <c r="F884" s="1025"/>
      <c r="G884" s="1025"/>
    </row>
    <row r="885" spans="1:9" ht="12.75" customHeight="1">
      <c r="A885" s="1288" t="s">
        <v>2067</v>
      </c>
      <c r="B885" s="1288"/>
      <c r="C885" s="1288"/>
      <c r="D885" s="1288"/>
      <c r="E885" s="1288"/>
      <c r="F885" s="1288"/>
      <c r="G885" s="1288"/>
      <c r="H885" s="1071"/>
      <c r="I885" s="1072"/>
    </row>
    <row r="886" spans="1:9" ht="12.75" customHeight="1">
      <c r="A886" s="57"/>
      <c r="B886" s="57"/>
      <c r="C886" s="57"/>
      <c r="D886" s="57"/>
      <c r="E886" s="57"/>
      <c r="F886" s="57"/>
      <c r="G886" s="57"/>
    </row>
    <row r="887" spans="1:9" ht="12.75" customHeight="1">
      <c r="A887" s="57"/>
      <c r="B887" s="57"/>
      <c r="C887" s="57"/>
      <c r="D887" s="1294" t="s">
        <v>2073</v>
      </c>
      <c r="E887" s="1294"/>
      <c r="F887" s="1294"/>
      <c r="G887" s="57"/>
    </row>
    <row r="888" spans="1:9" ht="12.75" customHeight="1">
      <c r="A888" s="57"/>
      <c r="B888" s="57"/>
      <c r="C888" s="57"/>
      <c r="D888" s="1018"/>
      <c r="E888" s="1018"/>
      <c r="F888" s="1018"/>
      <c r="G888" s="57"/>
    </row>
    <row r="889" spans="1:9" ht="12.75" customHeight="1">
      <c r="A889" s="57"/>
      <c r="B889" s="520" t="s">
        <v>2768</v>
      </c>
      <c r="C889" s="57"/>
      <c r="D889" s="1021" t="s">
        <v>2074</v>
      </c>
      <c r="E889" s="1018"/>
      <c r="F889" s="1018"/>
      <c r="G889" s="57"/>
      <c r="I889" s="436" t="s">
        <v>2234</v>
      </c>
    </row>
    <row r="890" spans="1:9" ht="12.75" customHeight="1">
      <c r="A890" s="57"/>
      <c r="B890" s="57"/>
      <c r="C890" s="57"/>
      <c r="D890" s="1018"/>
      <c r="E890" s="1018"/>
      <c r="F890" s="1018"/>
      <c r="G890" s="57"/>
    </row>
    <row r="891" spans="1:9" ht="12.75" customHeight="1">
      <c r="A891" s="386"/>
      <c r="B891" s="386"/>
      <c r="C891" s="1026"/>
      <c r="D891" s="1294" t="s">
        <v>2068</v>
      </c>
      <c r="E891" s="1294"/>
      <c r="F891" s="1294"/>
      <c r="G891" s="1025"/>
    </row>
    <row r="892" spans="1:9" ht="12.75" customHeight="1">
      <c r="A892" s="172"/>
      <c r="B892" s="172"/>
      <c r="C892" s="172"/>
      <c r="D892" s="1280" t="s">
        <v>2037</v>
      </c>
      <c r="E892" s="1280"/>
      <c r="F892" s="1280"/>
      <c r="G892" s="1025"/>
    </row>
    <row r="893" spans="1:9" ht="12.75" customHeight="1">
      <c r="A893" s="1026"/>
      <c r="B893" s="1026"/>
      <c r="C893" s="1026"/>
      <c r="D893" s="2"/>
      <c r="E893" s="1025"/>
      <c r="F893" s="1025"/>
      <c r="G893" s="1025"/>
    </row>
    <row r="894" spans="1:9" ht="12.75" customHeight="1">
      <c r="A894" s="176"/>
      <c r="B894" s="520" t="s">
        <v>2768</v>
      </c>
      <c r="C894" s="386"/>
      <c r="D894" s="1260" t="s">
        <v>2041</v>
      </c>
      <c r="E894" s="1260"/>
      <c r="F894" s="1260"/>
      <c r="G894" s="3"/>
      <c r="I894" s="436" t="s">
        <v>2186</v>
      </c>
    </row>
    <row r="895" spans="1:9" ht="12.75" customHeight="1">
      <c r="A895" s="386"/>
      <c r="B895" s="386"/>
      <c r="C895" s="386"/>
      <c r="D895" s="1260"/>
      <c r="E895" s="1260"/>
      <c r="F895" s="1260"/>
      <c r="G895" s="3"/>
    </row>
    <row r="896" spans="1:9" ht="12.75" customHeight="1">
      <c r="A896" s="172"/>
      <c r="B896" s="172"/>
      <c r="C896" s="172"/>
      <c r="D896" s="1260" t="s">
        <v>2040</v>
      </c>
      <c r="E896" s="1260"/>
      <c r="F896" s="1260"/>
      <c r="G896" s="1025"/>
    </row>
    <row r="897" spans="1:9" ht="12.75" customHeight="1">
      <c r="A897" s="172"/>
      <c r="B897" s="172"/>
      <c r="C897" s="172"/>
      <c r="D897" s="1260"/>
      <c r="E897" s="1260"/>
      <c r="F897" s="1260"/>
      <c r="G897" s="1025"/>
    </row>
    <row r="898" spans="1:9" ht="12.75" customHeight="1">
      <c r="A898" s="172"/>
      <c r="B898" s="172"/>
      <c r="C898" s="172"/>
      <c r="D898" s="3"/>
      <c r="E898" s="3"/>
      <c r="F898" s="1025"/>
      <c r="G898" s="1025"/>
    </row>
    <row r="899" spans="1:9" ht="12.75" customHeight="1">
      <c r="A899" s="176"/>
      <c r="B899" s="520" t="s">
        <v>2768</v>
      </c>
      <c r="C899" s="175"/>
      <c r="D899" s="1264" t="s">
        <v>2038</v>
      </c>
      <c r="E899" s="1264"/>
      <c r="F899" s="1264"/>
      <c r="G899" s="1025"/>
      <c r="I899" s="436" t="s">
        <v>2185</v>
      </c>
    </row>
    <row r="900" spans="1:9" ht="12.75" customHeight="1">
      <c r="A900" s="176"/>
      <c r="B900" s="176"/>
      <c r="C900" s="175"/>
      <c r="D900" s="1264"/>
      <c r="E900" s="1264"/>
      <c r="F900" s="1264"/>
      <c r="G900" s="1025"/>
    </row>
    <row r="901" spans="1:9" ht="12.75" customHeight="1">
      <c r="A901" s="176"/>
      <c r="B901" s="176"/>
      <c r="C901" s="175"/>
      <c r="D901" s="1264"/>
      <c r="E901" s="1264"/>
      <c r="F901" s="1264"/>
      <c r="G901" s="1025"/>
    </row>
    <row r="902" spans="1:9" ht="12.75" customHeight="1">
      <c r="A902" s="176"/>
      <c r="B902" s="176"/>
      <c r="C902" s="175"/>
      <c r="D902" s="1264"/>
      <c r="E902" s="1264"/>
      <c r="F902" s="1264"/>
      <c r="G902" s="1025"/>
    </row>
    <row r="903" spans="1:9" ht="12.75" customHeight="1">
      <c r="A903" s="176"/>
      <c r="B903" s="176"/>
      <c r="C903" s="175"/>
      <c r="D903" s="1264"/>
      <c r="E903" s="1264"/>
      <c r="F903" s="1264"/>
      <c r="G903" s="1025"/>
    </row>
    <row r="904" spans="1:9" ht="12.75" customHeight="1">
      <c r="A904" s="175"/>
      <c r="B904" s="175"/>
      <c r="C904" s="175"/>
      <c r="D904" s="1264"/>
      <c r="E904" s="1264"/>
      <c r="F904" s="1264"/>
      <c r="G904" s="1025"/>
    </row>
    <row r="905" spans="1:9" ht="12.75" customHeight="1">
      <c r="A905" s="175"/>
      <c r="B905" s="175"/>
      <c r="C905" s="175"/>
      <c r="D905" s="1264"/>
      <c r="E905" s="1264"/>
      <c r="F905" s="1264"/>
      <c r="G905" s="1025"/>
    </row>
    <row r="906" spans="1:9" ht="12.75" customHeight="1">
      <c r="A906" s="175"/>
      <c r="B906" s="175"/>
      <c r="C906" s="175"/>
      <c r="D906" s="1264"/>
      <c r="E906" s="1264"/>
      <c r="F906" s="1264"/>
      <c r="G906" s="1025"/>
    </row>
    <row r="907" spans="1:9" ht="12.75" customHeight="1">
      <c r="A907" s="175"/>
      <c r="B907" s="175"/>
      <c r="C907" s="175"/>
      <c r="D907" s="364"/>
      <c r="E907" s="364"/>
      <c r="F907" s="364"/>
      <c r="G907" s="1025"/>
    </row>
    <row r="908" spans="1:9" ht="12.75" customHeight="1">
      <c r="A908" s="1026"/>
      <c r="B908" s="520" t="s">
        <v>2624</v>
      </c>
      <c r="C908" s="1026"/>
      <c r="D908" s="1260" t="s">
        <v>2042</v>
      </c>
      <c r="E908" s="1260"/>
      <c r="F908" s="1260"/>
      <c r="G908" s="1025"/>
    </row>
    <row r="909" spans="1:9" ht="12.75" customHeight="1">
      <c r="A909" s="1026"/>
      <c r="B909" s="1026"/>
      <c r="C909" s="1026"/>
      <c r="D909" s="1260"/>
      <c r="E909" s="1260"/>
      <c r="F909" s="1260"/>
      <c r="G909" s="1025"/>
    </row>
    <row r="910" spans="1:9" ht="12.75" customHeight="1">
      <c r="A910" s="1026"/>
      <c r="B910" s="1026"/>
      <c r="C910" s="1026"/>
      <c r="D910" s="1025"/>
      <c r="E910" s="1025"/>
      <c r="F910" s="1025"/>
      <c r="G910" s="1025"/>
    </row>
    <row r="911" spans="1:9" ht="12.75" customHeight="1">
      <c r="A911" s="1026"/>
      <c r="B911" s="520" t="s">
        <v>2624</v>
      </c>
      <c r="C911" s="1026"/>
      <c r="D911" s="1301" t="s">
        <v>2043</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2624</v>
      </c>
      <c r="C916" s="1026"/>
      <c r="D916" s="1280" t="s">
        <v>2465</v>
      </c>
      <c r="E916" s="1280"/>
      <c r="F916" s="1280"/>
      <c r="G916" s="1025"/>
    </row>
    <row r="917" spans="1:9" ht="12.75" customHeight="1">
      <c r="A917" s="1026"/>
      <c r="B917" s="1026"/>
      <c r="C917" s="1026"/>
      <c r="D917" s="118"/>
      <c r="E917" s="1025"/>
      <c r="F917" s="1025"/>
      <c r="G917" s="1025"/>
    </row>
    <row r="918" spans="1:9" ht="12.75" customHeight="1">
      <c r="A918" s="1026"/>
      <c r="B918" s="520" t="s">
        <v>2624</v>
      </c>
      <c r="C918" s="1026"/>
      <c r="D918" s="1280" t="s">
        <v>2466</v>
      </c>
      <c r="E918" s="1280"/>
      <c r="F918" s="1280"/>
      <c r="G918" s="1025"/>
    </row>
    <row r="919" spans="1:9" ht="12.75" customHeight="1">
      <c r="A919" s="175"/>
      <c r="B919" s="175"/>
      <c r="C919" s="175"/>
      <c r="D919" s="2"/>
      <c r="E919" s="3"/>
      <c r="F919" s="1025"/>
      <c r="G919" s="1025"/>
    </row>
    <row r="920" spans="1:9" ht="12.75" customHeight="1">
      <c r="A920" s="1034"/>
      <c r="B920" s="520" t="s">
        <v>2768</v>
      </c>
      <c r="C920" s="1035"/>
      <c r="D920" s="1264" t="s">
        <v>2039</v>
      </c>
      <c r="E920" s="1264"/>
      <c r="F920" s="1264"/>
      <c r="G920" s="1036"/>
      <c r="I920" s="436" t="s">
        <v>2235</v>
      </c>
    </row>
    <row r="921" spans="1:9" ht="12.75" customHeight="1">
      <c r="A921" s="1034"/>
      <c r="B921" s="1034"/>
      <c r="C921" s="1035"/>
      <c r="D921" s="1264"/>
      <c r="E921" s="1264"/>
      <c r="F921" s="1264"/>
      <c r="G921" s="1036"/>
    </row>
    <row r="922" spans="1:9" ht="12.75" customHeight="1">
      <c r="A922" s="1034"/>
      <c r="B922" s="1034"/>
      <c r="C922" s="1035"/>
      <c r="D922" s="1264"/>
      <c r="E922" s="1264"/>
      <c r="F922" s="1264"/>
      <c r="G922" s="1036"/>
    </row>
    <row r="923" spans="1:9" ht="12.75" customHeight="1">
      <c r="A923" s="1034"/>
      <c r="B923" s="1034"/>
      <c r="C923" s="1035"/>
      <c r="D923" s="1264"/>
      <c r="E923" s="1264"/>
      <c r="F923" s="1264"/>
      <c r="G923" s="1036"/>
    </row>
    <row r="924" spans="1:9" ht="12.75" customHeight="1">
      <c r="A924" s="1034"/>
      <c r="B924" s="1034"/>
      <c r="C924" s="1035"/>
      <c r="D924" s="1264"/>
      <c r="E924" s="1264"/>
      <c r="F924" s="1264"/>
      <c r="G924" s="1036"/>
    </row>
    <row r="925" spans="1:9" ht="12.75" customHeight="1">
      <c r="A925" s="1034"/>
      <c r="B925" s="1034"/>
      <c r="C925" s="1035"/>
      <c r="D925" s="1264"/>
      <c r="E925" s="1264"/>
      <c r="F925" s="1264"/>
      <c r="G925" s="1036"/>
    </row>
    <row r="926" spans="1:9" ht="12.75" customHeight="1">
      <c r="A926" s="1034"/>
      <c r="B926" s="1034"/>
      <c r="C926" s="1035"/>
      <c r="D926" s="1264"/>
      <c r="E926" s="1264"/>
      <c r="F926" s="1264"/>
      <c r="G926" s="1036"/>
    </row>
    <row r="927" spans="1:9" ht="12.75" customHeight="1">
      <c r="A927" s="1034"/>
      <c r="B927" s="1034"/>
      <c r="C927" s="1035"/>
      <c r="D927" s="1264"/>
      <c r="E927" s="1264"/>
      <c r="F927" s="1264"/>
      <c r="G927" s="1036"/>
    </row>
    <row r="928" spans="1:9" ht="12.75" customHeight="1">
      <c r="A928" s="1034"/>
      <c r="B928" s="1034"/>
      <c r="C928" s="1035"/>
      <c r="D928" s="1264"/>
      <c r="E928" s="1264"/>
      <c r="F928" s="1264"/>
      <c r="G928" s="1036"/>
    </row>
    <row r="929" spans="1:9" ht="12.75" customHeight="1">
      <c r="A929" s="175"/>
      <c r="B929" s="175"/>
      <c r="C929" s="175"/>
      <c r="D929" s="2"/>
      <c r="E929" s="3"/>
      <c r="F929" s="1025"/>
      <c r="G929" s="1025"/>
    </row>
    <row r="930" spans="1:9" ht="12.75" customHeight="1">
      <c r="A930" s="176"/>
      <c r="B930" s="520" t="s">
        <v>2768</v>
      </c>
      <c r="C930" s="175"/>
      <c r="D930" s="1341" t="s">
        <v>2237</v>
      </c>
      <c r="E930" s="1341"/>
      <c r="F930" s="1341"/>
      <c r="G930" s="1025"/>
      <c r="I930" s="436" t="s">
        <v>2235</v>
      </c>
    </row>
    <row r="931" spans="1:9" ht="12.75" customHeight="1">
      <c r="A931" s="176"/>
      <c r="B931" s="176"/>
      <c r="C931" s="175"/>
      <c r="D931" s="1341"/>
      <c r="E931" s="1341"/>
      <c r="F931" s="1341"/>
      <c r="G931" s="1025"/>
    </row>
    <row r="932" spans="1:9" ht="12.75" customHeight="1">
      <c r="A932" s="176"/>
      <c r="B932" s="176"/>
      <c r="C932" s="175"/>
      <c r="D932" s="1341"/>
      <c r="E932" s="1341"/>
      <c r="F932" s="1341"/>
      <c r="G932" s="1025"/>
    </row>
    <row r="933" spans="1:9" ht="12.75" customHeight="1">
      <c r="A933" s="176"/>
      <c r="B933" s="176"/>
      <c r="C933" s="175"/>
      <c r="D933" s="1341"/>
      <c r="E933" s="1341"/>
      <c r="F933" s="1341"/>
      <c r="G933" s="1025"/>
    </row>
    <row r="934" spans="1:9" ht="12.75" customHeight="1">
      <c r="A934" s="176"/>
      <c r="B934" s="176"/>
      <c r="C934" s="175"/>
      <c r="D934" s="1341"/>
      <c r="E934" s="1341"/>
      <c r="F934" s="1341"/>
      <c r="G934" s="1025"/>
    </row>
    <row r="935" spans="1:9" ht="12.75" customHeight="1">
      <c r="A935" s="176"/>
      <c r="B935" s="176"/>
      <c r="C935" s="175"/>
      <c r="D935" s="1341"/>
      <c r="E935" s="1341"/>
      <c r="F935" s="1341"/>
      <c r="G935" s="1025"/>
    </row>
    <row r="936" spans="1:9" ht="12.75" customHeight="1">
      <c r="A936" s="176"/>
      <c r="B936" s="176"/>
      <c r="C936" s="175"/>
      <c r="D936" s="1341"/>
      <c r="E936" s="1341"/>
      <c r="F936" s="1341"/>
      <c r="G936" s="1025"/>
    </row>
    <row r="937" spans="1:9" ht="12.75" customHeight="1">
      <c r="A937" s="176"/>
      <c r="B937" s="176"/>
      <c r="C937" s="175"/>
      <c r="D937" s="1067"/>
      <c r="E937" s="1067"/>
      <c r="F937" s="1067"/>
      <c r="G937" s="1025"/>
    </row>
    <row r="938" spans="1:9" ht="12.75" customHeight="1">
      <c r="A938" s="176"/>
      <c r="B938" s="520" t="s">
        <v>2768</v>
      </c>
      <c r="C938" s="175"/>
      <c r="D938" s="1263" t="s">
        <v>2559</v>
      </c>
      <c r="E938" s="1263"/>
      <c r="F938" s="1263"/>
      <c r="G938" s="1025"/>
    </row>
    <row r="939" spans="1:9" ht="12.75" customHeight="1">
      <c r="A939" s="176"/>
      <c r="B939" s="176"/>
      <c r="C939" s="175"/>
      <c r="D939" s="1263"/>
      <c r="E939" s="1263"/>
      <c r="F939" s="1263"/>
      <c r="G939" s="1025"/>
    </row>
    <row r="940" spans="1:9" ht="12.75" customHeight="1">
      <c r="A940" s="176"/>
      <c r="B940" s="176"/>
      <c r="C940" s="175"/>
      <c r="D940" s="1263"/>
      <c r="E940" s="1263"/>
      <c r="F940" s="1263"/>
      <c r="G940" s="1025"/>
    </row>
    <row r="941" spans="1:9" ht="12.75" customHeight="1">
      <c r="A941" s="176"/>
      <c r="B941" s="176"/>
      <c r="C941" s="175"/>
      <c r="D941" s="1263"/>
      <c r="E941" s="1263"/>
      <c r="F941" s="1263"/>
      <c r="G941" s="1025"/>
    </row>
    <row r="942" spans="1:9" ht="12.75" customHeight="1">
      <c r="A942" s="176"/>
      <c r="B942" s="176"/>
      <c r="C942" s="175"/>
      <c r="D942" s="1263"/>
      <c r="E942" s="1263"/>
      <c r="F942" s="1263"/>
      <c r="G942" s="1025"/>
    </row>
    <row r="943" spans="1:9" ht="12.75" customHeight="1">
      <c r="A943" s="176"/>
      <c r="B943" s="176"/>
      <c r="C943" s="175"/>
      <c r="D943" s="1263"/>
      <c r="E943" s="1263"/>
      <c r="F943" s="1263"/>
      <c r="G943" s="1025"/>
    </row>
    <row r="944" spans="1:9" ht="12.75" customHeight="1">
      <c r="A944" s="176"/>
      <c r="B944" s="176"/>
      <c r="C944" s="175"/>
      <c r="D944" s="1067"/>
      <c r="E944" s="1067"/>
      <c r="F944" s="1067"/>
      <c r="G944" s="1025"/>
    </row>
    <row r="945" spans="1:9" ht="12.75" customHeight="1">
      <c r="A945" s="1026"/>
      <c r="B945" s="520" t="s">
        <v>2624</v>
      </c>
      <c r="C945" s="1026"/>
      <c r="D945" s="1301" t="s">
        <v>2044</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2624</v>
      </c>
      <c r="C950" s="175"/>
      <c r="D950" s="1264" t="s">
        <v>2236</v>
      </c>
      <c r="E950" s="1264"/>
      <c r="F950" s="1264"/>
      <c r="G950" s="1025"/>
      <c r="I950" s="436" t="s">
        <v>2235</v>
      </c>
    </row>
    <row r="951" spans="1:9" ht="12.75" customHeight="1">
      <c r="A951" s="176"/>
      <c r="B951" s="176"/>
      <c r="C951" s="175"/>
      <c r="D951" s="1264"/>
      <c r="E951" s="1264"/>
      <c r="F951" s="1264"/>
      <c r="G951" s="1025"/>
    </row>
    <row r="952" spans="1:9" ht="12.75" customHeight="1">
      <c r="A952" s="176"/>
      <c r="B952" s="176"/>
      <c r="C952" s="175"/>
      <c r="D952" s="1264"/>
      <c r="E952" s="1264"/>
      <c r="F952" s="1264"/>
      <c r="G952" s="1025"/>
    </row>
    <row r="953" spans="1:9" ht="12.75" customHeight="1">
      <c r="A953" s="176"/>
      <c r="B953" s="176"/>
      <c r="C953" s="175"/>
      <c r="D953" s="1264"/>
      <c r="E953" s="1264"/>
      <c r="F953" s="1264"/>
      <c r="G953" s="1025"/>
    </row>
    <row r="954" spans="1:9" ht="12.75" customHeight="1">
      <c r="A954" s="1026"/>
      <c r="B954" s="1026"/>
      <c r="C954" s="1026"/>
      <c r="D954" s="1017"/>
      <c r="E954" s="1017"/>
      <c r="F954" s="1017"/>
      <c r="G954" s="1017"/>
    </row>
    <row r="955" spans="1:9" ht="12.75" customHeight="1">
      <c r="A955" s="386"/>
      <c r="B955" s="386"/>
      <c r="C955" s="386"/>
      <c r="D955" s="1279" t="s">
        <v>2045</v>
      </c>
      <c r="E955" s="1279"/>
      <c r="F955" s="1279"/>
      <c r="G955" s="3"/>
    </row>
    <row r="956" spans="1:9" ht="12.75" customHeight="1">
      <c r="A956" s="176"/>
      <c r="B956" s="520" t="s">
        <v>2624</v>
      </c>
      <c r="C956" s="386"/>
      <c r="D956" s="1280" t="s">
        <v>2069</v>
      </c>
      <c r="E956" s="1280"/>
      <c r="F956" s="1280"/>
      <c r="G956" s="3"/>
      <c r="I956" s="436" t="s">
        <v>2235</v>
      </c>
    </row>
    <row r="957" spans="1:9" ht="12.75" customHeight="1">
      <c r="A957" s="386"/>
      <c r="B957" s="386"/>
      <c r="C957" s="386"/>
      <c r="D957" s="3"/>
      <c r="E957" s="3"/>
      <c r="F957" s="3"/>
      <c r="G957" s="3"/>
    </row>
    <row r="958" spans="1:9" ht="12.75" customHeight="1">
      <c r="A958" s="386"/>
      <c r="B958" s="386"/>
      <c r="C958" s="386"/>
      <c r="D958" s="1279" t="s">
        <v>2046</v>
      </c>
      <c r="E958" s="1279"/>
      <c r="F958" s="1279"/>
      <c r="G958"/>
    </row>
    <row r="959" spans="1:9" ht="12.75" customHeight="1">
      <c r="A959" s="176"/>
      <c r="B959" s="520" t="s">
        <v>2768</v>
      </c>
      <c r="C959" s="386"/>
      <c r="D959" s="1260" t="s">
        <v>2467</v>
      </c>
      <c r="E959" s="1260"/>
      <c r="F959" s="1260"/>
      <c r="G959"/>
      <c r="I959" s="436" t="s">
        <v>2235</v>
      </c>
    </row>
    <row r="960" spans="1:9" ht="12.75" customHeight="1">
      <c r="A960" s="176"/>
      <c r="B960" s="176"/>
      <c r="C960" s="386"/>
      <c r="D960" s="1260"/>
      <c r="E960" s="1260"/>
      <c r="F960" s="1260"/>
      <c r="G960"/>
    </row>
    <row r="961" spans="1:9" ht="12.75" customHeight="1">
      <c r="A961" s="176"/>
      <c r="B961" s="176"/>
      <c r="C961" s="386"/>
      <c r="D961" s="1260"/>
      <c r="E961" s="1260"/>
      <c r="F961" s="1260"/>
      <c r="G961"/>
    </row>
    <row r="962" spans="1:9" ht="12.75" customHeight="1">
      <c r="A962" s="176"/>
      <c r="B962" s="176"/>
      <c r="C962" s="386"/>
      <c r="D962" s="1260"/>
      <c r="E962" s="1260"/>
      <c r="F962" s="1260"/>
      <c r="G962"/>
    </row>
    <row r="963" spans="1:9" ht="12.75" customHeight="1">
      <c r="A963" s="176"/>
      <c r="B963" s="176"/>
      <c r="C963" s="386"/>
      <c r="D963" s="1260"/>
      <c r="E963" s="1260"/>
      <c r="F963" s="1260"/>
      <c r="G963"/>
    </row>
    <row r="964" spans="1:9" ht="12.75" customHeight="1">
      <c r="A964" s="176"/>
      <c r="B964" s="176"/>
      <c r="C964" s="386"/>
      <c r="D964" s="1260"/>
      <c r="E964" s="1260"/>
      <c r="F964" s="1260"/>
      <c r="G964"/>
    </row>
    <row r="965" spans="1:9" ht="12.75" customHeight="1">
      <c r="A965" s="176"/>
      <c r="B965" s="176"/>
      <c r="C965" s="386"/>
      <c r="D965" s="1260"/>
      <c r="E965" s="1260"/>
      <c r="F965" s="1260"/>
      <c r="G965"/>
    </row>
    <row r="966" spans="1:9" ht="12.75" customHeight="1">
      <c r="A966" s="176"/>
      <c r="B966" s="176"/>
      <c r="C966" s="386"/>
      <c r="D966" s="1260"/>
      <c r="E966" s="1260"/>
      <c r="F966" s="1260"/>
      <c r="G966"/>
    </row>
    <row r="967" spans="1:9" ht="12.75" customHeight="1">
      <c r="A967" s="176"/>
      <c r="B967" s="176"/>
      <c r="C967" s="386"/>
      <c r="D967" s="1260"/>
      <c r="E967" s="1260"/>
      <c r="F967" s="1260"/>
      <c r="G967"/>
    </row>
    <row r="968" spans="1:9" ht="12.75" customHeight="1">
      <c r="A968" s="176"/>
      <c r="B968" s="176"/>
      <c r="C968" s="386"/>
      <c r="D968" s="1260"/>
      <c r="E968" s="1260"/>
      <c r="F968" s="1260"/>
      <c r="G968"/>
    </row>
    <row r="969" spans="1:9" ht="12.75" customHeight="1">
      <c r="A969" s="176"/>
      <c r="B969" s="176"/>
      <c r="C969" s="386"/>
      <c r="D969" s="1260"/>
      <c r="E969" s="1260"/>
      <c r="F969" s="1260"/>
      <c r="G969"/>
    </row>
    <row r="970" spans="1:9" ht="12.75" customHeight="1">
      <c r="A970" s="176"/>
      <c r="B970" s="176"/>
      <c r="C970" s="386"/>
      <c r="D970" s="1260"/>
      <c r="E970" s="1260"/>
      <c r="F970" s="1260"/>
      <c r="G970"/>
    </row>
    <row r="971" spans="1:9" ht="12.75" customHeight="1">
      <c r="A971" s="176"/>
      <c r="B971" s="176"/>
      <c r="C971" s="386"/>
      <c r="D971" s="1260"/>
      <c r="E971" s="1260"/>
      <c r="F971" s="1260"/>
      <c r="G971"/>
    </row>
    <row r="972" spans="1:9" ht="12.75" customHeight="1">
      <c r="A972" s="176"/>
      <c r="B972" s="176"/>
      <c r="C972" s="386"/>
      <c r="D972" s="1260"/>
      <c r="E972" s="1260"/>
      <c r="F972" s="1260"/>
      <c r="G972"/>
    </row>
    <row r="973" spans="1:9" ht="12.75" customHeight="1">
      <c r="A973" s="176"/>
      <c r="B973" s="176"/>
      <c r="C973" s="386"/>
      <c r="D973" s="1260"/>
      <c r="E973" s="1260"/>
      <c r="F973" s="1260"/>
      <c r="G973" s="3"/>
    </row>
    <row r="974" spans="1:9" ht="12.75" customHeight="1">
      <c r="A974" s="386"/>
      <c r="B974" s="386"/>
      <c r="C974" s="386"/>
      <c r="D974" s="3"/>
      <c r="E974" s="3"/>
      <c r="F974" s="3"/>
      <c r="G974" s="3"/>
    </row>
    <row r="975" spans="1:9" ht="12.75" customHeight="1">
      <c r="A975" s="1288" t="s">
        <v>2047</v>
      </c>
      <c r="B975" s="1288"/>
      <c r="C975" s="1288"/>
      <c r="D975" s="1288"/>
      <c r="E975" s="1288"/>
      <c r="F975" s="1288"/>
      <c r="G975" s="1288"/>
      <c r="H975" s="1071"/>
      <c r="I975" s="1072"/>
    </row>
    <row r="976" spans="1:9" ht="12.75" customHeight="1">
      <c r="A976" s="118"/>
      <c r="B976" s="118"/>
      <c r="C976" s="386"/>
      <c r="D976" s="3"/>
      <c r="E976" s="3"/>
      <c r="F976" s="3"/>
      <c r="G976" s="3"/>
    </row>
    <row r="977" spans="1:9" ht="12.75" customHeight="1">
      <c r="A977" s="386"/>
      <c r="B977" s="386"/>
      <c r="C977" s="1026"/>
      <c r="D977" s="1279" t="s">
        <v>2070</v>
      </c>
      <c r="E977" s="1279"/>
      <c r="F977" s="1279"/>
      <c r="G977" s="3"/>
    </row>
    <row r="978" spans="1:9" ht="12.75" customHeight="1">
      <c r="A978" s="172"/>
      <c r="B978" s="172"/>
      <c r="C978" s="172"/>
      <c r="D978" s="1280" t="s">
        <v>2048</v>
      </c>
      <c r="E978" s="1280"/>
      <c r="F978" s="1280"/>
      <c r="G978" s="3"/>
    </row>
    <row r="979" spans="1:9" ht="12.75" customHeight="1">
      <c r="A979" s="172"/>
      <c r="B979" s="172"/>
      <c r="C979" s="172"/>
      <c r="D979" s="3"/>
      <c r="E979" s="3"/>
      <c r="F979" s="1025"/>
      <c r="G979"/>
    </row>
    <row r="980" spans="1:9" ht="12.75" customHeight="1">
      <c r="A980" s="386"/>
      <c r="B980" s="520" t="s">
        <v>2768</v>
      </c>
      <c r="C980" s="386"/>
      <c r="D980" s="1343" t="s">
        <v>2297</v>
      </c>
      <c r="E980" s="1343"/>
      <c r="F980" s="1343"/>
      <c r="G980"/>
      <c r="I980" s="436" t="s">
        <v>2215</v>
      </c>
    </row>
    <row r="981" spans="1:9" ht="12.75" customHeight="1">
      <c r="A981" s="386"/>
      <c r="B981" s="386"/>
      <c r="C981" s="386"/>
      <c r="D981" s="1343"/>
      <c r="E981" s="1343"/>
      <c r="F981" s="1343"/>
      <c r="G981"/>
    </row>
    <row r="982" spans="1:9" ht="12.75" customHeight="1">
      <c r="A982" s="386"/>
      <c r="B982" s="386"/>
      <c r="C982" s="386"/>
      <c r="D982" s="1082"/>
      <c r="E982" s="1080" t="s">
        <v>2298</v>
      </c>
      <c r="F982" s="1082"/>
      <c r="G982"/>
    </row>
    <row r="983" spans="1:9" ht="12.75" customHeight="1">
      <c r="A983" s="386"/>
      <c r="B983" s="386"/>
      <c r="C983" s="386"/>
      <c r="D983" s="1266" t="s">
        <v>2296</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2624</v>
      </c>
      <c r="C988" s="175"/>
      <c r="D988" s="1260" t="s">
        <v>2049</v>
      </c>
      <c r="E988" s="1260"/>
      <c r="F988" s="1260"/>
      <c r="G988"/>
    </row>
    <row r="989" spans="1:9" ht="12.75" customHeight="1">
      <c r="A989" s="175"/>
      <c r="B989" s="175"/>
      <c r="C989" s="175"/>
      <c r="D989" s="1260"/>
      <c r="E989" s="1260"/>
      <c r="F989" s="1260"/>
      <c r="G989"/>
    </row>
    <row r="990" spans="1:9" ht="12.75" customHeight="1">
      <c r="A990" s="175"/>
      <c r="B990" s="175"/>
      <c r="C990" s="175"/>
      <c r="D990" s="1260"/>
      <c r="E990" s="1260"/>
      <c r="F990" s="1260"/>
      <c r="G990"/>
    </row>
    <row r="991" spans="1:9" ht="12.75" customHeight="1">
      <c r="A991" s="175"/>
      <c r="B991" s="175"/>
      <c r="C991" s="175"/>
      <c r="D991" s="1260"/>
      <c r="E991" s="1260"/>
      <c r="F991" s="1260"/>
      <c r="G991"/>
    </row>
    <row r="992" spans="1:9" ht="12.75" customHeight="1">
      <c r="A992" s="175"/>
      <c r="B992" s="175"/>
      <c r="C992" s="175"/>
      <c r="D992" s="475"/>
      <c r="E992" s="475"/>
      <c r="F992" s="475"/>
      <c r="G992"/>
    </row>
    <row r="993" spans="1:7" ht="12.75" customHeight="1">
      <c r="A993" s="175"/>
      <c r="B993" s="520" t="s">
        <v>2624</v>
      </c>
      <c r="C993" s="175"/>
      <c r="D993" s="1260" t="s">
        <v>2050</v>
      </c>
      <c r="E993" s="1260"/>
      <c r="F993" s="1260"/>
      <c r="G993"/>
    </row>
    <row r="994" spans="1:7" ht="12.75" customHeight="1">
      <c r="A994" s="175"/>
      <c r="B994" s="175"/>
      <c r="C994" s="175"/>
      <c r="D994" s="1260"/>
      <c r="E994" s="1260"/>
      <c r="F994" s="1260"/>
      <c r="G994"/>
    </row>
    <row r="995" spans="1:7" ht="12.75" customHeight="1">
      <c r="A995" s="175"/>
      <c r="B995" s="175"/>
      <c r="C995" s="175"/>
      <c r="D995" s="475"/>
      <c r="E995" s="475"/>
      <c r="F995" s="475"/>
      <c r="G995"/>
    </row>
    <row r="996" spans="1:7" ht="12.75" customHeight="1">
      <c r="A996" s="176"/>
      <c r="B996" s="520" t="s">
        <v>2624</v>
      </c>
      <c r="C996" s="386"/>
      <c r="D996" s="1280" t="s">
        <v>2051</v>
      </c>
      <c r="E996" s="1280"/>
      <c r="F996" s="1280"/>
      <c r="G996"/>
    </row>
    <row r="997" spans="1:7" ht="12.75" customHeight="1">
      <c r="A997" s="386"/>
      <c r="B997" s="386"/>
      <c r="C997" s="386"/>
      <c r="D997" s="3"/>
      <c r="E997" s="3"/>
      <c r="F997" s="3"/>
      <c r="G997"/>
    </row>
    <row r="998" spans="1:7" ht="12.75" customHeight="1">
      <c r="A998" s="176"/>
      <c r="B998" s="520" t="s">
        <v>2624</v>
      </c>
      <c r="C998" s="386"/>
      <c r="D998" s="1280" t="s">
        <v>2052</v>
      </c>
      <c r="E998" s="1280"/>
      <c r="F998" s="1280"/>
      <c r="G998"/>
    </row>
    <row r="999" spans="1:7" ht="12.75" customHeight="1">
      <c r="A999" s="386"/>
      <c r="B999" s="386"/>
      <c r="C999" s="386"/>
      <c r="D999" s="118"/>
      <c r="E999" s="3"/>
      <c r="F999" s="3"/>
      <c r="G999"/>
    </row>
    <row r="1000" spans="1:7" ht="12.75" customHeight="1">
      <c r="A1000" s="176"/>
      <c r="B1000" s="520" t="s">
        <v>2768</v>
      </c>
      <c r="C1000" s="386"/>
      <c r="D1000" s="1280" t="s">
        <v>2053</v>
      </c>
      <c r="E1000" s="1280"/>
      <c r="F1000" s="1280"/>
      <c r="G1000"/>
    </row>
    <row r="1001" spans="1:7" ht="12.75" customHeight="1">
      <c r="A1001" s="386"/>
      <c r="B1001" s="386"/>
      <c r="C1001" s="386"/>
      <c r="D1001" s="118"/>
      <c r="E1001" s="3"/>
      <c r="F1001" s="3"/>
      <c r="G1001"/>
    </row>
    <row r="1002" spans="1:7" ht="12.75" customHeight="1">
      <c r="A1002" s="176"/>
      <c r="B1002" s="520" t="s">
        <v>2624</v>
      </c>
      <c r="C1002" s="386"/>
      <c r="D1002" s="1260" t="s">
        <v>2054</v>
      </c>
      <c r="E1002" s="1260"/>
      <c r="F1002" s="1260"/>
      <c r="G1002"/>
    </row>
    <row r="1003" spans="1:7" ht="12.75" customHeight="1">
      <c r="A1003" s="176"/>
      <c r="B1003" s="176"/>
      <c r="C1003" s="386"/>
      <c r="D1003" s="1260"/>
      <c r="E1003" s="1260"/>
      <c r="F1003" s="1260"/>
      <c r="G1003"/>
    </row>
    <row r="1004" spans="1:7" ht="12.75" customHeight="1">
      <c r="A1004" s="176"/>
      <c r="B1004" s="176"/>
      <c r="C1004" s="386"/>
      <c r="D1004" s="118"/>
      <c r="E1004" s="3"/>
      <c r="F1004" s="3"/>
      <c r="G1004" s="3"/>
    </row>
    <row r="1005" spans="1:7" ht="12.75" customHeight="1">
      <c r="A1005" s="272"/>
      <c r="B1005" s="520" t="s">
        <v>2624</v>
      </c>
      <c r="C1005" s="1037"/>
      <c r="D1005" s="1293" t="s">
        <v>2055</v>
      </c>
      <c r="E1005" s="1293"/>
      <c r="F1005" s="1293"/>
      <c r="G1005" s="1038"/>
    </row>
    <row r="1006" spans="1:7" ht="12.75" customHeight="1">
      <c r="A1006" s="1037"/>
      <c r="B1006" s="1037"/>
      <c r="C1006" s="1037"/>
      <c r="D1006" s="1293"/>
      <c r="E1006" s="1293"/>
      <c r="F1006" s="1293"/>
      <c r="G1006" s="1038"/>
    </row>
    <row r="1007" spans="1:7" ht="12.75" customHeight="1">
      <c r="A1007" s="1037"/>
      <c r="B1007" s="1037"/>
      <c r="C1007" s="1037"/>
      <c r="D1007" s="1021"/>
      <c r="E1007" s="1038"/>
      <c r="F1007" s="1038"/>
      <c r="G1007" s="1038"/>
    </row>
    <row r="1008" spans="1:7" ht="12.75" customHeight="1">
      <c r="A1008" s="272"/>
      <c r="B1008" s="520" t="s">
        <v>2768</v>
      </c>
      <c r="C1008" s="1037"/>
      <c r="D1008" s="1342" t="s">
        <v>2056</v>
      </c>
      <c r="E1008" s="1342"/>
      <c r="F1008" s="1342"/>
      <c r="G1008" s="1038"/>
    </row>
    <row r="1009" spans="1:9" ht="12.75" customHeight="1">
      <c r="A1009" s="1037"/>
      <c r="B1009" s="1037"/>
      <c r="C1009" s="1037"/>
      <c r="D1009" s="1021"/>
      <c r="E1009" s="1038"/>
      <c r="F1009" s="1038"/>
      <c r="G1009" s="1038"/>
    </row>
    <row r="1010" spans="1:9" ht="12.75" customHeight="1">
      <c r="A1010" s="176"/>
      <c r="B1010" s="520" t="s">
        <v>2624</v>
      </c>
      <c r="C1010" s="386"/>
      <c r="D1010" s="1280" t="s">
        <v>2057</v>
      </c>
      <c r="E1010" s="1280"/>
      <c r="F1010" s="1280"/>
      <c r="G1010" s="3"/>
    </row>
    <row r="1011" spans="1:9" ht="12.75" customHeight="1">
      <c r="A1011" s="176"/>
      <c r="B1011" s="176"/>
      <c r="C1011" s="386"/>
      <c r="D1011" s="118"/>
      <c r="E1011" s="3"/>
      <c r="F1011" s="3"/>
      <c r="G1011" s="3"/>
    </row>
    <row r="1012" spans="1:9" ht="12.75" customHeight="1">
      <c r="A1012" s="176"/>
      <c r="B1012" s="520" t="s">
        <v>2624</v>
      </c>
      <c r="C1012" s="386"/>
      <c r="D1012" s="1260" t="s">
        <v>2058</v>
      </c>
      <c r="E1012" s="1260"/>
      <c r="F1012" s="1260"/>
      <c r="G1012" s="3"/>
    </row>
    <row r="1013" spans="1:9" ht="12.75" customHeight="1">
      <c r="A1013" s="176"/>
      <c r="B1013" s="176"/>
      <c r="C1013" s="386"/>
      <c r="D1013" s="1260"/>
      <c r="E1013" s="1260"/>
      <c r="F1013" s="1260"/>
      <c r="G1013" s="3"/>
    </row>
    <row r="1014" spans="1:9" ht="12.75" customHeight="1">
      <c r="A1014" s="386"/>
      <c r="B1014" s="386"/>
      <c r="C1014" s="386"/>
      <c r="D1014" s="3"/>
      <c r="E1014" s="3"/>
      <c r="F1014" s="3"/>
      <c r="G1014" s="3"/>
    </row>
    <row r="1015" spans="1:9" ht="12.75" customHeight="1">
      <c r="A1015" s="1288" t="s">
        <v>2059</v>
      </c>
      <c r="B1015" s="1288"/>
      <c r="C1015" s="1288"/>
      <c r="D1015" s="1288"/>
      <c r="E1015" s="1288"/>
      <c r="F1015" s="1288"/>
      <c r="G1015" s="1288"/>
      <c r="H1015" s="1071"/>
      <c r="I1015" s="1072"/>
    </row>
    <row r="1016" spans="1:9" ht="12.75" customHeight="1">
      <c r="A1016" s="386"/>
      <c r="B1016" s="386"/>
      <c r="C1016" s="386"/>
      <c r="D1016" s="3"/>
      <c r="E1016" s="3"/>
      <c r="F1016" s="3"/>
      <c r="G1016" s="3"/>
    </row>
    <row r="1017" spans="1:9" ht="12.75" customHeight="1">
      <c r="A1017" s="386"/>
      <c r="B1017" s="386"/>
      <c r="C1017" s="386"/>
      <c r="D1017" s="1294" t="s">
        <v>2060</v>
      </c>
      <c r="E1017" s="1294"/>
      <c r="F1017" s="1294"/>
      <c r="G1017" s="3"/>
    </row>
    <row r="1018" spans="1:9" ht="12.75" customHeight="1">
      <c r="A1018" s="386"/>
      <c r="B1018" s="386"/>
      <c r="C1018" s="386"/>
      <c r="D1018" s="1342" t="s">
        <v>2061</v>
      </c>
      <c r="E1018" s="1342"/>
      <c r="F1018" s="1342"/>
      <c r="G1018" s="3"/>
    </row>
    <row r="1019" spans="1:9" ht="12.75" customHeight="1">
      <c r="A1019" s="172"/>
      <c r="B1019" s="172"/>
      <c r="C1019" s="172"/>
      <c r="D1019" s="3"/>
      <c r="E1019" s="3"/>
      <c r="F1019" s="3"/>
      <c r="G1019" s="3"/>
    </row>
    <row r="1020" spans="1:9" ht="12.75" customHeight="1">
      <c r="A1020" s="176"/>
      <c r="B1020" s="176"/>
      <c r="C1020" s="175"/>
      <c r="D1020" s="1294" t="s">
        <v>2075</v>
      </c>
      <c r="E1020" s="1294"/>
      <c r="F1020" s="1294"/>
      <c r="G1020" s="3"/>
      <c r="I1020" s="436" t="s">
        <v>2187</v>
      </c>
    </row>
    <row r="1021" spans="1:9" ht="12.75" customHeight="1">
      <c r="A1021" s="386"/>
      <c r="B1021" s="520" t="s">
        <v>2768</v>
      </c>
      <c r="C1021" s="386"/>
      <c r="D1021" s="1342" t="s">
        <v>1429</v>
      </c>
      <c r="E1021" s="1342"/>
      <c r="F1021" s="1342"/>
      <c r="G1021" s="3"/>
    </row>
    <row r="1022" spans="1:9" ht="12.75" customHeight="1">
      <c r="A1022" s="386"/>
      <c r="B1022" s="176"/>
      <c r="C1022" s="386"/>
      <c r="D1022" s="1342" t="s">
        <v>2062</v>
      </c>
      <c r="E1022" s="1342"/>
      <c r="F1022" s="1342"/>
      <c r="G1022" s="3"/>
    </row>
    <row r="1023" spans="1:9" ht="12.75" customHeight="1">
      <c r="A1023" s="386"/>
      <c r="B1023" s="386"/>
      <c r="C1023" s="386"/>
      <c r="D1023" s="1342"/>
      <c r="E1023" s="1342"/>
      <c r="F1023" s="1342"/>
      <c r="G1023" s="3"/>
    </row>
    <row r="1024" spans="1:9" ht="12.75" customHeight="1">
      <c r="A1024" s="1288" t="s">
        <v>2071</v>
      </c>
      <c r="B1024" s="1288"/>
      <c r="C1024" s="1288"/>
      <c r="D1024" s="1288"/>
      <c r="E1024" s="1288"/>
      <c r="F1024" s="1288"/>
      <c r="G1024" s="1288"/>
      <c r="H1024" s="1071"/>
      <c r="I1024" s="1072"/>
    </row>
    <row r="1025" spans="1:9" ht="12.75" customHeight="1">
      <c r="A1025" s="118"/>
      <c r="B1025" s="118"/>
      <c r="C1025" s="386"/>
      <c r="D1025" s="3"/>
      <c r="E1025" s="3"/>
      <c r="F1025" s="3"/>
      <c r="G1025" s="3"/>
    </row>
    <row r="1026" spans="1:9" ht="12.75" hidden="1" customHeight="1">
      <c r="A1026" s="118"/>
      <c r="B1026" s="434"/>
      <c r="D1026" s="1289" t="s">
        <v>1430</v>
      </c>
      <c r="E1026" s="1289"/>
      <c r="F1026" s="1289"/>
      <c r="G1026" s="3"/>
    </row>
    <row r="1027" spans="1:9" ht="12.75" hidden="1" customHeight="1">
      <c r="A1027" s="118"/>
      <c r="B1027" s="520" t="s">
        <v>309</v>
      </c>
      <c r="D1027" s="1274" t="s">
        <v>1429</v>
      </c>
      <c r="E1027" s="1274"/>
      <c r="F1027" s="1274"/>
      <c r="G1027" s="3"/>
    </row>
    <row r="1028" spans="1:9" ht="12.75" hidden="1" customHeight="1">
      <c r="A1028" s="118"/>
      <c r="B1028" s="434"/>
      <c r="D1028" s="1274" t="s">
        <v>2072</v>
      </c>
      <c r="E1028" s="1274"/>
      <c r="F1028" s="1274"/>
      <c r="G1028" s="3"/>
    </row>
    <row r="1029" spans="1:9" ht="12.75" hidden="1" customHeight="1">
      <c r="A1029" s="118"/>
      <c r="B1029" s="434"/>
      <c r="D1029" s="479"/>
      <c r="E1029" s="479"/>
      <c r="F1029" s="479"/>
      <c r="G1029" s="3"/>
    </row>
    <row r="1030" spans="1:9" ht="12.75" customHeight="1">
      <c r="A1030" s="118"/>
      <c r="B1030" s="118"/>
      <c r="C1030" s="386"/>
      <c r="D1030" s="1348" t="s">
        <v>1132</v>
      </c>
      <c r="E1030" s="1348"/>
      <c r="F1030" s="1348"/>
      <c r="G1030" s="3"/>
      <c r="I1030" s="436" t="s">
        <v>2216</v>
      </c>
    </row>
    <row r="1031" spans="1:9" ht="12.75" customHeight="1">
      <c r="A1031" s="346"/>
      <c r="B1031" s="346"/>
      <c r="C1031" s="346"/>
      <c r="D1031" s="1284" t="s">
        <v>1149</v>
      </c>
      <c r="E1031" s="1284"/>
      <c r="F1031" s="1284"/>
      <c r="G1031" s="98"/>
    </row>
    <row r="1032" spans="1:9" ht="12.75" customHeight="1">
      <c r="A1032" s="176"/>
      <c r="B1032" s="520" t="s">
        <v>2624</v>
      </c>
      <c r="C1032" s="386"/>
      <c r="D1032" s="1284" t="s">
        <v>1026</v>
      </c>
      <c r="E1032" s="1284"/>
      <c r="F1032" s="1284"/>
      <c r="G1032" s="3"/>
    </row>
    <row r="1033" spans="1:9" ht="12.75" customHeight="1">
      <c r="A1033" s="386"/>
      <c r="B1033" s="386"/>
      <c r="C1033" s="386"/>
      <c r="D1033" s="1080" t="s">
        <v>2299</v>
      </c>
      <c r="E1033" s="96"/>
      <c r="F1033" s="96"/>
      <c r="G1033" s="3"/>
    </row>
    <row r="1034" spans="1:9">
      <c r="A1034" s="434"/>
      <c r="B1034" s="434"/>
      <c r="C1034" s="434"/>
    </row>
    <row r="1035" spans="1:9">
      <c r="A1035" s="1288" t="s">
        <v>2092</v>
      </c>
      <c r="B1035" s="1288"/>
      <c r="C1035" s="1288"/>
      <c r="D1035" s="1288"/>
      <c r="E1035" s="1288"/>
      <c r="F1035" s="1288"/>
      <c r="G1035" s="1288"/>
      <c r="H1035" s="1071"/>
      <c r="I1035" s="1072"/>
    </row>
    <row r="1036" spans="1:9">
      <c r="A1036" s="434"/>
      <c r="B1036" s="434"/>
      <c r="C1036" s="434"/>
    </row>
    <row r="1037" spans="1:9">
      <c r="A1037" s="434"/>
      <c r="B1037" s="434"/>
      <c r="C1037" s="434"/>
      <c r="D1037" s="436" t="s">
        <v>2078</v>
      </c>
    </row>
    <row r="1038" spans="1:9">
      <c r="A1038" s="434"/>
      <c r="B1038" s="434"/>
      <c r="C1038" s="434"/>
      <c r="D1038" s="434" t="s">
        <v>2077</v>
      </c>
    </row>
    <row r="1039" spans="1:9">
      <c r="A1039" s="434"/>
      <c r="B1039" s="434"/>
      <c r="C1039" s="434"/>
      <c r="D1039" s="436"/>
    </row>
    <row r="1040" spans="1:9">
      <c r="A1040" s="434"/>
      <c r="B1040" s="520" t="s">
        <v>2768</v>
      </c>
      <c r="C1040" s="434"/>
      <c r="D1040" s="1345" t="s">
        <v>2076</v>
      </c>
      <c r="E1040" s="1345"/>
      <c r="F1040" s="1345"/>
      <c r="I1040" s="436" t="s">
        <v>2188</v>
      </c>
    </row>
    <row r="1041" spans="1:9">
      <c r="A1041" s="434"/>
      <c r="B1041" s="434"/>
      <c r="C1041" s="434"/>
      <c r="D1041" s="1345"/>
      <c r="E1041" s="1345"/>
      <c r="F1041" s="1345"/>
    </row>
    <row r="1042" spans="1:9">
      <c r="A1042" s="434"/>
      <c r="B1042" s="434"/>
      <c r="C1042" s="434"/>
      <c r="D1042" s="1345"/>
      <c r="E1042" s="1345"/>
      <c r="F1042" s="1345"/>
    </row>
    <row r="1043" spans="1:9">
      <c r="A1043" s="434"/>
      <c r="B1043" s="434"/>
      <c r="C1043" s="434"/>
      <c r="D1043" s="1345"/>
      <c r="E1043" s="1345"/>
      <c r="F1043" s="1345"/>
    </row>
    <row r="1044" spans="1:9">
      <c r="A1044" s="434"/>
      <c r="B1044" s="434"/>
      <c r="C1044" s="434"/>
    </row>
    <row r="1045" spans="1:9">
      <c r="A1045" s="434"/>
      <c r="B1045" s="434"/>
      <c r="C1045" s="434"/>
      <c r="D1045" s="436" t="s">
        <v>1485</v>
      </c>
    </row>
    <row r="1046" spans="1:9">
      <c r="A1046" s="434"/>
      <c r="B1046" s="434"/>
      <c r="C1046" s="434"/>
      <c r="D1046" s="434" t="s">
        <v>2079</v>
      </c>
    </row>
    <row r="1047" spans="1:9">
      <c r="A1047" s="434"/>
      <c r="B1047" s="434"/>
      <c r="C1047" s="434"/>
    </row>
    <row r="1048" spans="1:9">
      <c r="A1048" s="434"/>
      <c r="B1048" s="520" t="s">
        <v>2624</v>
      </c>
      <c r="C1048" s="434"/>
      <c r="D1048" s="434" t="s">
        <v>2074</v>
      </c>
      <c r="I1048" s="436" t="s">
        <v>2189</v>
      </c>
    </row>
    <row r="1049" spans="1:9">
      <c r="A1049" s="434"/>
      <c r="B1049" s="434"/>
      <c r="C1049" s="434"/>
    </row>
    <row r="1050" spans="1:9">
      <c r="A1050" s="434"/>
      <c r="B1050" s="520" t="s">
        <v>2624</v>
      </c>
      <c r="C1050" s="434"/>
      <c r="D1050" s="1345" t="s">
        <v>2080</v>
      </c>
      <c r="E1050" s="1345"/>
      <c r="F1050" s="1345"/>
      <c r="I1050" s="436" t="s">
        <v>2190</v>
      </c>
    </row>
    <row r="1051" spans="1:9">
      <c r="A1051" s="434"/>
      <c r="B1051" s="434"/>
      <c r="C1051" s="434"/>
      <c r="D1051" s="1345"/>
      <c r="E1051" s="1345"/>
      <c r="F1051" s="1345"/>
    </row>
    <row r="1052" spans="1:9">
      <c r="A1052" s="434"/>
      <c r="B1052" s="434"/>
      <c r="C1052" s="434"/>
      <c r="D1052" s="1345"/>
      <c r="E1052" s="1345"/>
      <c r="F1052" s="1345"/>
    </row>
    <row r="1053" spans="1:9">
      <c r="A1053" s="434"/>
      <c r="B1053" s="434"/>
      <c r="C1053" s="434"/>
      <c r="D1053" s="1345"/>
      <c r="E1053" s="1345"/>
      <c r="F1053" s="1345"/>
    </row>
    <row r="1054" spans="1:9">
      <c r="A1054" s="434"/>
      <c r="B1054" s="434"/>
      <c r="C1054" s="434"/>
      <c r="D1054" s="1345"/>
      <c r="E1054" s="1345"/>
      <c r="F1054" s="1345"/>
    </row>
    <row r="1055" spans="1:9">
      <c r="A1055" s="434"/>
      <c r="B1055" s="434"/>
      <c r="C1055" s="434"/>
    </row>
    <row r="1056" spans="1:9">
      <c r="A1056" s="1288" t="s">
        <v>2081</v>
      </c>
      <c r="B1056" s="1288"/>
      <c r="C1056" s="1288"/>
      <c r="D1056" s="1288"/>
      <c r="E1056" s="1288"/>
      <c r="F1056" s="1288"/>
      <c r="G1056" s="1288"/>
      <c r="H1056" s="1071"/>
      <c r="I1056" s="1072"/>
    </row>
    <row r="1057" spans="1:9">
      <c r="A1057" s="434"/>
      <c r="B1057" s="434"/>
      <c r="C1057" s="434"/>
    </row>
    <row r="1058" spans="1:9">
      <c r="A1058" s="434"/>
      <c r="B1058" s="434"/>
      <c r="C1058" s="434"/>
    </row>
    <row r="1059" spans="1:9">
      <c r="A1059" s="434"/>
      <c r="B1059" s="520" t="s">
        <v>2768</v>
      </c>
      <c r="C1059" s="434"/>
      <c r="D1059" s="562" t="s">
        <v>2084</v>
      </c>
      <c r="I1059" s="436" t="s">
        <v>2191</v>
      </c>
    </row>
    <row r="1060" spans="1:9">
      <c r="A1060" s="434"/>
      <c r="B1060" s="434"/>
      <c r="C1060" s="434"/>
      <c r="D1060" s="562" t="s">
        <v>2086</v>
      </c>
    </row>
    <row r="1061" spans="1:9">
      <c r="A1061" s="434"/>
      <c r="B1061" s="434"/>
      <c r="C1061" s="434"/>
      <c r="D1061" s="562"/>
    </row>
    <row r="1062" spans="1:9">
      <c r="A1062" s="434"/>
      <c r="B1062" s="520" t="s">
        <v>2768</v>
      </c>
      <c r="C1062" s="434"/>
      <c r="D1062" s="562" t="s">
        <v>2087</v>
      </c>
      <c r="I1062" s="436" t="s">
        <v>2192</v>
      </c>
    </row>
    <row r="1063" spans="1:9">
      <c r="A1063" s="434"/>
      <c r="B1063" s="434"/>
      <c r="C1063" s="434"/>
      <c r="D1063" s="562" t="s">
        <v>2085</v>
      </c>
    </row>
    <row r="1064" spans="1:9">
      <c r="A1064" s="434"/>
      <c r="B1064" s="434"/>
      <c r="C1064" s="434"/>
      <c r="D1064" s="562"/>
    </row>
    <row r="1065" spans="1:9">
      <c r="A1065" s="434"/>
      <c r="B1065" s="520" t="s">
        <v>2624</v>
      </c>
      <c r="C1065" s="434"/>
      <c r="D1065" s="119" t="s">
        <v>2090</v>
      </c>
      <c r="I1065" s="436" t="s">
        <v>2193</v>
      </c>
    </row>
    <row r="1066" spans="1:9">
      <c r="A1066" s="434"/>
      <c r="B1066" s="434"/>
      <c r="C1066" s="434"/>
      <c r="D1066" s="1260" t="s">
        <v>2091</v>
      </c>
      <c r="E1066" s="1260"/>
      <c r="F1066" s="1260"/>
    </row>
    <row r="1067" spans="1:9">
      <c r="A1067" s="434"/>
      <c r="B1067" s="434"/>
      <c r="C1067" s="434"/>
      <c r="D1067" s="1260"/>
      <c r="E1067" s="1260"/>
      <c r="F1067" s="1260"/>
    </row>
    <row r="1068" spans="1:9">
      <c r="A1068" s="434"/>
      <c r="B1068" s="434"/>
      <c r="C1068" s="434"/>
      <c r="D1068" s="1260"/>
      <c r="E1068" s="1260"/>
      <c r="F1068" s="1260"/>
    </row>
    <row r="1069" spans="1:9">
      <c r="A1069" s="434"/>
      <c r="B1069" s="434"/>
      <c r="C1069" s="434"/>
      <c r="D1069" s="1260"/>
      <c r="E1069" s="1260"/>
      <c r="F1069" s="1260"/>
    </row>
    <row r="1070" spans="1:9">
      <c r="A1070" s="434"/>
      <c r="B1070" s="434"/>
      <c r="C1070" s="434"/>
      <c r="D1070" s="119" t="s">
        <v>2089</v>
      </c>
    </row>
    <row r="1071" spans="1:9">
      <c r="A1071" s="434"/>
      <c r="B1071" s="434"/>
      <c r="C1071" s="434"/>
      <c r="D1071" s="119"/>
    </row>
    <row r="1072" spans="1:9">
      <c r="A1072" s="434"/>
      <c r="B1072" s="434"/>
      <c r="C1072" s="434"/>
      <c r="D1072" s="562" t="s">
        <v>2082</v>
      </c>
      <c r="I1072" s="436" t="s">
        <v>2194</v>
      </c>
    </row>
    <row r="1073" spans="1:9">
      <c r="A1073" s="434"/>
      <c r="B1073" s="520" t="s">
        <v>2624</v>
      </c>
      <c r="C1073" s="434"/>
      <c r="D1073" s="1344" t="s">
        <v>2083</v>
      </c>
      <c r="E1073" s="1344"/>
      <c r="F1073" s="1344"/>
    </row>
    <row r="1074" spans="1:9">
      <c r="A1074" s="434"/>
      <c r="B1074" s="434"/>
      <c r="C1074" s="434"/>
      <c r="D1074" s="1344"/>
      <c r="E1074" s="1344"/>
      <c r="F1074" s="1344"/>
    </row>
    <row r="1075" spans="1:9">
      <c r="A1075" s="434"/>
      <c r="B1075" s="434"/>
      <c r="C1075" s="434"/>
      <c r="D1075" s="1344"/>
      <c r="E1075" s="1344"/>
      <c r="F1075" s="1344"/>
    </row>
    <row r="1076" spans="1:9">
      <c r="A1076" s="434"/>
      <c r="B1076" s="434"/>
      <c r="C1076" s="434"/>
      <c r="D1076" s="1344"/>
      <c r="E1076" s="1344"/>
      <c r="F1076" s="1344"/>
    </row>
    <row r="1077" spans="1:9">
      <c r="A1077" s="434"/>
      <c r="B1077" s="434"/>
      <c r="C1077" s="434"/>
      <c r="D1077" s="1344"/>
      <c r="E1077" s="1344"/>
      <c r="F1077" s="1344"/>
    </row>
    <row r="1078" spans="1:9">
      <c r="A1078" s="434"/>
      <c r="B1078" s="434"/>
      <c r="C1078" s="434"/>
      <c r="D1078" s="562" t="s">
        <v>2088</v>
      </c>
    </row>
    <row r="1079" spans="1:9">
      <c r="A1079" s="434"/>
      <c r="B1079" s="434"/>
      <c r="C1079" s="434"/>
    </row>
    <row r="1080" spans="1:9">
      <c r="A1080" s="1288" t="s">
        <v>2093</v>
      </c>
      <c r="B1080" s="1288"/>
      <c r="C1080" s="1288"/>
      <c r="D1080" s="1288"/>
      <c r="E1080" s="1288"/>
      <c r="F1080" s="1288"/>
      <c r="G1080" s="1288"/>
      <c r="H1080" s="1071"/>
      <c r="I1080" s="1072"/>
    </row>
    <row r="1081" spans="1:9">
      <c r="A1081" s="434"/>
      <c r="B1081" s="434"/>
      <c r="C1081" s="434"/>
    </row>
    <row r="1082" spans="1:9">
      <c r="A1082" s="434"/>
      <c r="B1082" s="434"/>
      <c r="C1082" s="434"/>
    </row>
    <row r="1083" spans="1:9" ht="12.75" customHeight="1">
      <c r="A1083" s="434"/>
      <c r="B1083" s="520" t="s">
        <v>2624</v>
      </c>
      <c r="C1083" s="434"/>
      <c r="D1083" s="1346" t="s">
        <v>2311</v>
      </c>
      <c r="E1083" s="1346"/>
      <c r="F1083" s="1346"/>
      <c r="I1083" s="436" t="s">
        <v>2195</v>
      </c>
    </row>
    <row r="1084" spans="1:9">
      <c r="A1084" s="434"/>
      <c r="B1084" s="434"/>
      <c r="C1084" s="434"/>
      <c r="D1084" s="1346"/>
      <c r="E1084" s="1346"/>
      <c r="F1084" s="1346"/>
    </row>
    <row r="1085" spans="1:9">
      <c r="A1085" s="434"/>
      <c r="B1085" s="434"/>
      <c r="C1085" s="434"/>
      <c r="D1085" s="1347" t="s">
        <v>2616</v>
      </c>
      <c r="E1085" s="1260"/>
      <c r="F1085" s="1260"/>
    </row>
    <row r="1086" spans="1:9">
      <c r="A1086" s="434"/>
      <c r="B1086" s="434"/>
      <c r="C1086" s="434"/>
      <c r="D1086" s="562"/>
    </row>
    <row r="1087" spans="1:9">
      <c r="A1087" s="434"/>
      <c r="B1087" s="520" t="s">
        <v>2624</v>
      </c>
      <c r="C1087" s="434"/>
      <c r="D1087" s="1344" t="s">
        <v>2094</v>
      </c>
      <c r="E1087" s="1344"/>
      <c r="F1087" s="1344"/>
      <c r="I1087" s="436" t="s">
        <v>2196</v>
      </c>
    </row>
    <row r="1088" spans="1:9">
      <c r="A1088" s="434"/>
      <c r="B1088" s="434"/>
      <c r="C1088" s="434"/>
      <c r="D1088" s="1344"/>
      <c r="E1088" s="1344"/>
      <c r="F1088" s="1344"/>
    </row>
    <row r="1089" spans="1:9">
      <c r="A1089" s="434"/>
      <c r="B1089" s="434"/>
      <c r="C1089" s="434"/>
      <c r="D1089" s="562"/>
    </row>
    <row r="1090" spans="1:9">
      <c r="A1090" s="434"/>
      <c r="B1090" s="520" t="s">
        <v>2768</v>
      </c>
      <c r="C1090" s="434"/>
      <c r="D1090" s="1344" t="s">
        <v>2240</v>
      </c>
      <c r="E1090" s="1344"/>
      <c r="F1090" s="1344"/>
      <c r="I1090" s="436" t="s">
        <v>2238</v>
      </c>
    </row>
    <row r="1091" spans="1:9">
      <c r="A1091" s="434"/>
      <c r="B1091" s="434"/>
      <c r="C1091" s="434"/>
      <c r="D1091" s="1344"/>
      <c r="E1091" s="1344"/>
      <c r="F1091" s="1344"/>
    </row>
    <row r="1092" spans="1:9">
      <c r="A1092" s="434"/>
      <c r="B1092" s="434"/>
      <c r="C1092" s="434"/>
      <c r="D1092" s="1344"/>
      <c r="E1092" s="1344"/>
      <c r="F1092" s="1344"/>
    </row>
    <row r="1093" spans="1:9">
      <c r="A1093" s="434"/>
      <c r="B1093" s="434"/>
      <c r="C1093" s="434"/>
      <c r="D1093" s="1344"/>
      <c r="E1093" s="1344"/>
      <c r="F1093" s="1344"/>
    </row>
    <row r="1094" spans="1:9">
      <c r="A1094" s="434"/>
      <c r="B1094" s="434"/>
      <c r="C1094" s="434"/>
      <c r="D1094" s="1344"/>
      <c r="E1094" s="1344"/>
      <c r="F1094" s="1344"/>
    </row>
    <row r="1095" spans="1:9">
      <c r="A1095" s="434"/>
      <c r="B1095" s="434"/>
      <c r="C1095" s="434"/>
      <c r="D1095" s="1344"/>
      <c r="E1095" s="1344"/>
      <c r="F1095" s="1344"/>
    </row>
    <row r="1096" spans="1:9">
      <c r="A1096" s="434"/>
      <c r="B1096" s="434"/>
      <c r="C1096" s="434"/>
      <c r="D1096" s="562" t="s">
        <v>2239</v>
      </c>
      <c r="I1096" s="434"/>
    </row>
    <row r="1097" spans="1:9">
      <c r="A1097" s="434"/>
      <c r="B1097" s="520" t="s">
        <v>2624</v>
      </c>
      <c r="C1097" s="434"/>
      <c r="D1097" s="1344" t="s">
        <v>2095</v>
      </c>
      <c r="E1097" s="1344"/>
      <c r="F1097" s="1344"/>
      <c r="I1097" s="436" t="s">
        <v>2197</v>
      </c>
    </row>
    <row r="1098" spans="1:9">
      <c r="A1098" s="434"/>
      <c r="B1098" s="434"/>
      <c r="C1098" s="434"/>
      <c r="D1098" s="1344"/>
      <c r="E1098" s="1344"/>
      <c r="F1098" s="1344"/>
    </row>
    <row r="1099" spans="1:9">
      <c r="A1099" s="434"/>
      <c r="B1099" s="434"/>
      <c r="C1099" s="434"/>
      <c r="D1099" s="1344"/>
      <c r="E1099" s="1344"/>
      <c r="F1099" s="1344"/>
    </row>
    <row r="1100" spans="1:9">
      <c r="A1100" s="434"/>
      <c r="B1100" s="434"/>
      <c r="C1100" s="434"/>
      <c r="D1100" s="562"/>
    </row>
    <row r="1101" spans="1:9">
      <c r="A1101" s="434"/>
      <c r="B1101" s="520" t="s">
        <v>2768</v>
      </c>
      <c r="C1101" s="434"/>
      <c r="D1101" s="1266" t="s">
        <v>2241</v>
      </c>
      <c r="E1101" s="1266"/>
      <c r="F1101" s="1266"/>
      <c r="I1101" s="436" t="s">
        <v>2198</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2624</v>
      </c>
      <c r="C1105" s="434"/>
      <c r="D1105" s="1260" t="s">
        <v>2243</v>
      </c>
      <c r="E1105" s="1260"/>
      <c r="F1105" s="1260"/>
      <c r="I1105" s="436" t="s">
        <v>2242</v>
      </c>
    </row>
    <row r="1106" spans="1:9">
      <c r="A1106" s="434"/>
      <c r="B1106" s="434"/>
      <c r="C1106" s="434"/>
      <c r="D1106" s="1260"/>
      <c r="E1106" s="1260"/>
      <c r="F1106" s="1260"/>
    </row>
    <row r="1107" spans="1:9">
      <c r="A1107" s="434"/>
      <c r="B1107" s="434"/>
      <c r="C1107" s="434"/>
      <c r="D1107" s="1260"/>
      <c r="E1107" s="1260"/>
      <c r="F1107" s="1260"/>
    </row>
    <row r="1108" spans="1:9">
      <c r="A1108" s="434"/>
      <c r="B1108" s="434"/>
      <c r="C1108" s="434"/>
      <c r="D1108" s="1260"/>
      <c r="E1108" s="1260"/>
      <c r="F1108" s="1260"/>
    </row>
    <row r="1109" spans="1:9">
      <c r="A1109" s="434"/>
      <c r="B1109" s="434"/>
      <c r="C1109" s="434"/>
      <c r="D1109" s="1017"/>
      <c r="E1109" s="1017"/>
      <c r="F1109" s="1017"/>
    </row>
    <row r="1110" spans="1:9" ht="38.25">
      <c r="A1110" s="434"/>
      <c r="B1110" s="434"/>
      <c r="C1110" s="434"/>
      <c r="I1110" s="448" t="s">
        <v>2468</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3"/>
      <c r="H1523" s="1273"/>
      <c r="I1523" s="127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zoomScaleNormal="100" zoomScaleSheetLayoutView="80" workbookViewId="0">
      <selection activeCell="AT263" sqref="AT263"/>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730" t="s">
        <v>101</v>
      </c>
      <c r="B8" s="1730"/>
      <c r="C8" s="1730"/>
      <c r="D8" s="1730"/>
      <c r="E8" s="1730"/>
      <c r="F8" s="1730"/>
      <c r="G8" s="1730"/>
      <c r="H8" s="1730"/>
      <c r="I8" s="1730"/>
      <c r="J8" s="1730"/>
      <c r="K8" s="1730"/>
      <c r="L8" s="1730"/>
      <c r="M8" s="1730"/>
      <c r="N8" s="1730"/>
      <c r="O8" s="1730"/>
      <c r="P8" s="1730"/>
      <c r="Q8" s="1730"/>
      <c r="R8" s="1730"/>
      <c r="S8" s="1730"/>
      <c r="T8" s="1730"/>
      <c r="U8" s="1730"/>
      <c r="V8" s="1730"/>
      <c r="W8" s="1730"/>
      <c r="X8" s="1730"/>
      <c r="Y8" s="1730"/>
      <c r="Z8" s="1730"/>
      <c r="AA8" s="1730"/>
      <c r="AB8" s="1730"/>
      <c r="AC8" s="1730"/>
      <c r="AD8" s="1730"/>
      <c r="AE8" s="1730"/>
      <c r="AF8" s="1730"/>
      <c r="AG8" s="1730"/>
      <c r="AH8" s="1730"/>
      <c r="AI8" s="1730"/>
      <c r="AJ8" s="1730"/>
      <c r="AK8" s="1730"/>
      <c r="AL8" s="1730"/>
      <c r="AM8" s="935"/>
      <c r="AN8" s="935"/>
      <c r="AO8" s="935"/>
      <c r="AP8" s="935"/>
      <c r="AQ8" s="935"/>
      <c r="AR8" s="935"/>
      <c r="AS8" s="935"/>
      <c r="AT8" s="935"/>
      <c r="AU8" s="935"/>
      <c r="AV8" s="935"/>
      <c r="AW8" s="935"/>
      <c r="AX8" s="935"/>
      <c r="AY8" s="935"/>
    </row>
    <row r="9" spans="1:51" ht="12.95" customHeight="1">
      <c r="A9" s="1300" t="s">
        <v>2474</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2.95" customHeight="1">
      <c r="A10" s="1300" t="s">
        <v>2607</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2.95" customHeight="1">
      <c r="A11" s="1300" t="s">
        <v>1838</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2.95" customHeight="1">
      <c r="A12" s="1555" t="s">
        <v>2623</v>
      </c>
      <c r="B12" s="1556"/>
      <c r="C12" s="1556"/>
      <c r="D12" s="1556"/>
      <c r="E12" s="1556"/>
      <c r="F12" s="1556"/>
      <c r="G12" s="1556"/>
      <c r="H12" s="1556"/>
      <c r="I12" s="1556"/>
      <c r="J12" s="1556"/>
      <c r="K12" s="1556"/>
      <c r="L12" s="1556"/>
      <c r="M12" s="1556"/>
      <c r="N12" s="1556"/>
      <c r="O12" s="1556"/>
      <c r="P12" s="1556"/>
      <c r="Q12" s="1556"/>
      <c r="R12" s="1556"/>
      <c r="S12" s="1556"/>
      <c r="T12" s="1556"/>
      <c r="U12" s="1556"/>
      <c r="V12" s="1556"/>
      <c r="W12" s="1556"/>
      <c r="X12" s="1556"/>
      <c r="Y12" s="1556"/>
      <c r="Z12" s="1556"/>
      <c r="AA12" s="1556"/>
      <c r="AB12" s="1556"/>
      <c r="AC12" s="1556"/>
      <c r="AD12" s="1556"/>
      <c r="AE12" s="1556"/>
      <c r="AF12" s="1556"/>
      <c r="AG12" s="1556"/>
      <c r="AH12" s="1556"/>
      <c r="AI12" s="1556"/>
      <c r="AJ12" s="1556"/>
      <c r="AK12" s="1556"/>
      <c r="AL12" s="1556"/>
      <c r="AM12" s="6"/>
      <c r="AN12" s="6"/>
      <c r="AO12" s="6"/>
      <c r="AP12" s="6"/>
      <c r="AQ12" s="6"/>
      <c r="AR12" s="6"/>
      <c r="AS12" s="6"/>
      <c r="AT12" s="6"/>
      <c r="AU12" s="6"/>
      <c r="AV12" s="6"/>
      <c r="AW12" s="6"/>
      <c r="AX12" s="6"/>
      <c r="AY12" s="6"/>
    </row>
    <row r="13" spans="1:51" ht="12.95" customHeight="1">
      <c r="A13" s="1270" t="s">
        <v>2475</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936"/>
      <c r="AN13" s="936"/>
      <c r="AO13" s="936"/>
      <c r="AP13" s="936"/>
      <c r="AQ13" s="936"/>
      <c r="AR13" s="936"/>
      <c r="AS13" s="936"/>
      <c r="AT13" s="936"/>
      <c r="AU13" s="936"/>
      <c r="AV13" s="936"/>
      <c r="AW13" s="936"/>
      <c r="AX13" s="936"/>
      <c r="AY13" s="936"/>
    </row>
    <row r="14" spans="1:51" ht="12.95" customHeight="1" thickBo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2476</v>
      </c>
      <c r="C16" s="4"/>
      <c r="D16" s="4"/>
      <c r="E16" s="4"/>
      <c r="F16" s="4"/>
      <c r="G16" s="4"/>
      <c r="H16" s="1543" t="s">
        <v>2648</v>
      </c>
      <c r="I16" s="1544"/>
      <c r="J16" s="1544"/>
      <c r="K16" s="1544"/>
      <c r="L16" s="1544"/>
      <c r="M16" s="1544"/>
      <c r="N16" s="1544"/>
      <c r="O16" s="1544"/>
      <c r="P16" s="1544"/>
      <c r="Q16" s="1544"/>
      <c r="R16" s="1544"/>
      <c r="S16" s="1544"/>
      <c r="T16" s="1544"/>
      <c r="U16" s="1544"/>
      <c r="V16" s="1544"/>
      <c r="W16" s="1544"/>
      <c r="X16" s="1544"/>
      <c r="Y16" s="1544"/>
      <c r="Z16" s="1544"/>
      <c r="AA16" s="1544"/>
      <c r="AB16" s="1544"/>
      <c r="AC16" s="1544"/>
      <c r="AD16" s="1544"/>
      <c r="AE16" s="1544"/>
      <c r="AF16" s="1544"/>
      <c r="AG16" s="1544"/>
      <c r="AH16" s="1544"/>
      <c r="AI16" s="1544"/>
      <c r="AJ16" s="1544"/>
    </row>
    <row r="17" spans="1:52" ht="12.95" customHeight="1"/>
    <row r="18" spans="1:52" ht="12.95" customHeight="1">
      <c r="A18" s="57" t="s">
        <v>102</v>
      </c>
      <c r="C18" s="4"/>
      <c r="D18" s="4"/>
      <c r="E18" s="4"/>
      <c r="F18" s="4"/>
      <c r="G18" s="4"/>
      <c r="H18" s="1514" t="s">
        <v>2640</v>
      </c>
      <c r="I18" s="1539"/>
      <c r="J18" s="1539"/>
      <c r="K18" s="1539"/>
      <c r="L18" s="1539"/>
      <c r="M18" s="1539"/>
      <c r="N18" s="1539"/>
      <c r="O18" s="1539"/>
      <c r="P18" s="1539"/>
      <c r="Q18" s="1539"/>
      <c r="R18" s="1539"/>
      <c r="S18" s="1539"/>
      <c r="T18" s="1539"/>
      <c r="U18" s="1539"/>
      <c r="V18" s="1539"/>
      <c r="W18" s="1539"/>
      <c r="X18" s="1539"/>
      <c r="Y18" s="1539"/>
      <c r="Z18" s="1539"/>
      <c r="AA18" s="1539"/>
      <c r="AB18" s="1539"/>
      <c r="AC18" s="1539"/>
      <c r="AD18" s="1539"/>
      <c r="AE18" s="1539"/>
      <c r="AF18" s="1539"/>
      <c r="AG18" s="1539"/>
      <c r="AH18" s="1539"/>
      <c r="AI18" s="1539"/>
      <c r="AJ18" s="1539"/>
    </row>
    <row r="19" spans="1:52" ht="12.95" customHeight="1"/>
    <row r="20" spans="1:52" ht="12.95" customHeight="1">
      <c r="A20" s="1551" t="s">
        <v>901</v>
      </c>
      <c r="B20" s="1551"/>
      <c r="C20" s="1551"/>
      <c r="D20" s="1551"/>
      <c r="E20" s="1551"/>
      <c r="F20" s="1551"/>
      <c r="G20" s="1551"/>
      <c r="H20" s="1551"/>
      <c r="I20" s="1551"/>
      <c r="J20" s="1551"/>
      <c r="K20" s="1551"/>
      <c r="L20" s="1551"/>
      <c r="M20" s="1551"/>
      <c r="N20" s="1551"/>
      <c r="O20" s="1551"/>
      <c r="P20" s="1551"/>
      <c r="Q20" s="1551"/>
      <c r="R20" s="1551"/>
      <c r="S20" s="1551"/>
      <c r="T20" s="1551"/>
      <c r="U20" s="1551"/>
      <c r="V20" s="1551"/>
      <c r="W20" s="1551"/>
      <c r="X20" s="1551"/>
      <c r="Y20" s="1551"/>
      <c r="Z20" s="1551"/>
      <c r="AA20" s="1551"/>
      <c r="AB20" s="1551"/>
      <c r="AC20" s="1551"/>
      <c r="AD20" s="1551"/>
      <c r="AE20" s="1551"/>
      <c r="AF20" s="1551"/>
      <c r="AG20" s="1551"/>
      <c r="AH20" s="1551"/>
      <c r="AI20" s="1551"/>
      <c r="AJ20" s="1551"/>
      <c r="AK20" s="1551"/>
      <c r="AL20" s="1551"/>
      <c r="AM20" s="937"/>
      <c r="AN20" s="937"/>
      <c r="AO20" s="937"/>
      <c r="AP20" s="937"/>
      <c r="AQ20" s="937"/>
      <c r="AR20" s="937"/>
      <c r="AS20" s="937"/>
      <c r="AT20" s="937"/>
      <c r="AU20" s="937"/>
      <c r="AV20" s="937"/>
      <c r="AW20" s="937"/>
      <c r="AX20" s="937"/>
      <c r="AY20" s="937"/>
    </row>
    <row r="21" spans="1:52" ht="12.95" customHeight="1">
      <c r="A21" s="1558" t="s">
        <v>1066</v>
      </c>
      <c r="B21" s="1558"/>
      <c r="C21" s="1558"/>
      <c r="D21" s="1558"/>
      <c r="E21" s="1558"/>
      <c r="F21" s="1558"/>
      <c r="G21" s="1558"/>
      <c r="H21" s="1558"/>
      <c r="I21" s="1558"/>
      <c r="J21" s="1558"/>
      <c r="K21" s="1558"/>
      <c r="L21" s="1558"/>
      <c r="M21" s="1558"/>
      <c r="N21" s="1558"/>
      <c r="O21" s="1558"/>
      <c r="P21" s="1558"/>
      <c r="Q21" s="1558"/>
      <c r="R21" s="1558"/>
      <c r="S21" s="1558"/>
      <c r="T21" s="1558"/>
      <c r="U21" s="1558"/>
      <c r="V21" s="1558"/>
      <c r="W21" s="1558"/>
      <c r="X21" s="1558"/>
      <c r="Y21" s="1558"/>
      <c r="Z21" s="1558"/>
      <c r="AA21" s="1558"/>
      <c r="AB21" s="1558"/>
      <c r="AC21" s="1558"/>
      <c r="AD21" s="1558"/>
      <c r="AE21" s="1558"/>
      <c r="AF21" s="1558"/>
      <c r="AG21" s="1558"/>
      <c r="AH21" s="1558"/>
      <c r="AI21" s="1558"/>
      <c r="AJ21" s="1558"/>
      <c r="AK21" s="1558"/>
      <c r="AL21" s="1558"/>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2477</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57">
        <f>'Basis &amp; Credits'!AB56</f>
        <v>1640934</v>
      </c>
      <c r="N26" s="1557"/>
      <c r="O26" s="1557"/>
      <c r="P26" s="1557"/>
      <c r="Q26" s="1557"/>
      <c r="R26" s="4" t="s">
        <v>783</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496">
        <f>'Basis &amp; Credits'!AB77</f>
        <v>0</v>
      </c>
      <c r="N27" s="1496"/>
      <c r="O27" s="1496"/>
      <c r="P27" s="1496"/>
      <c r="Q27" s="1496"/>
      <c r="R27" s="3" t="s">
        <v>1425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2478</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1436</v>
      </c>
      <c r="C33" s="554"/>
      <c r="D33" s="554"/>
      <c r="E33" s="554"/>
      <c r="F33" s="554"/>
      <c r="G33" s="554"/>
      <c r="H33" s="554"/>
      <c r="I33" s="554"/>
      <c r="J33" s="554"/>
      <c r="K33" s="554"/>
      <c r="L33" s="554"/>
      <c r="M33" s="554"/>
      <c r="N33" s="554"/>
      <c r="O33" s="1373" t="s">
        <v>678</v>
      </c>
      <c r="P33" s="1373"/>
      <c r="Q33" s="554" t="s">
        <v>1437</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1439</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1438</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1440</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1441</v>
      </c>
      <c r="AZ37" s="20"/>
    </row>
    <row r="38" spans="1:52" ht="12.95" customHeight="1">
      <c r="A38" s="3" t="s">
        <v>1442</v>
      </c>
      <c r="AZ38" s="20"/>
    </row>
    <row r="39" spans="1:52" ht="12.95" customHeight="1">
      <c r="AZ39" s="20"/>
    </row>
    <row r="40" spans="1:52" ht="12.95" customHeight="1">
      <c r="A40" s="554" t="s">
        <v>2479</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2480</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1465</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2481</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1466</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2482</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1467</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1468</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1469</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2483</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1470</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1471</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2484</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2485</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2486</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2487</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2488</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2489</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2490</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2491</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2492</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2493</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2494</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780</v>
      </c>
      <c r="B117" s="22"/>
      <c r="C117" s="22"/>
    </row>
    <row r="118" spans="1:51" ht="12.95" customHeight="1"/>
    <row r="119" spans="1:51" ht="12.95" customHeight="1">
      <c r="A119" s="91" t="s">
        <v>2495</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548">
        <v>4</v>
      </c>
      <c r="H122" s="1548"/>
      <c r="I122" s="3" t="s">
        <v>183</v>
      </c>
      <c r="L122" s="1548" t="s">
        <v>2711</v>
      </c>
      <c r="M122" s="1548"/>
      <c r="N122" s="1548"/>
      <c r="O122" s="1564" t="s">
        <v>2712</v>
      </c>
      <c r="P122" s="1564"/>
      <c r="Q122" s="1564"/>
      <c r="R122" s="1564"/>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467" t="s">
        <v>2679</v>
      </c>
      <c r="D124" s="1467"/>
      <c r="E124" s="1467"/>
      <c r="F124" s="1467"/>
      <c r="G124" s="1467"/>
      <c r="H124" s="1467"/>
      <c r="I124" s="1467"/>
      <c r="J124" s="1467"/>
      <c r="K124" s="1467"/>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637</v>
      </c>
      <c r="Y126" s="1548"/>
      <c r="Z126" s="1548"/>
      <c r="AA126" s="1548"/>
      <c r="AB126" s="1548"/>
      <c r="AC126" s="1548"/>
      <c r="AD126" s="1548"/>
      <c r="AE126" s="1548"/>
      <c r="AF126" s="1548"/>
      <c r="AG126" s="1548"/>
      <c r="AH126" s="1548"/>
      <c r="AI126" s="1548"/>
      <c r="AJ126" s="1548"/>
      <c r="AK126" s="1548"/>
    </row>
    <row r="127" spans="1:51" ht="12.95"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548" t="s">
        <v>2709</v>
      </c>
      <c r="Z129" s="1548"/>
      <c r="AA129" s="1548"/>
      <c r="AB129" s="1548"/>
      <c r="AC129" s="1548"/>
      <c r="AD129" s="1548"/>
      <c r="AE129" s="1548"/>
      <c r="AF129" s="1548"/>
      <c r="AG129" s="1548"/>
      <c r="AH129" s="1548"/>
      <c r="AI129" s="1548"/>
      <c r="AJ129" s="1548"/>
      <c r="AK129" s="1548"/>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548" t="s">
        <v>2710</v>
      </c>
      <c r="Z132" s="1548"/>
      <c r="AA132" s="1548"/>
      <c r="AB132" s="1548"/>
      <c r="AC132" s="1548"/>
      <c r="AD132" s="1548"/>
      <c r="AE132" s="1548"/>
      <c r="AF132" s="1548"/>
      <c r="AG132" s="1548"/>
      <c r="AH132" s="1548"/>
      <c r="AI132" s="1548"/>
      <c r="AJ132" s="1548"/>
      <c r="AK132" s="1548"/>
      <c r="AL132" s="3"/>
      <c r="AM132" s="3"/>
      <c r="AN132" s="3"/>
      <c r="AO132" s="3"/>
      <c r="AP132" s="3"/>
      <c r="AQ132" s="3"/>
      <c r="AR132" s="3"/>
      <c r="AS132" s="3"/>
      <c r="AT132" s="3"/>
      <c r="AU132" s="3"/>
      <c r="AV132" s="3"/>
      <c r="AW132" s="3"/>
      <c r="AX132" s="3"/>
      <c r="AY132" s="3"/>
    </row>
    <row r="133" spans="1:51" ht="12.95"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514" t="s">
        <v>2632</v>
      </c>
      <c r="P153" s="1539"/>
      <c r="Q153" s="1539"/>
      <c r="R153" s="1539"/>
      <c r="S153" s="1539"/>
      <c r="T153" s="1539"/>
      <c r="U153" s="1539"/>
      <c r="V153" s="1539"/>
      <c r="W153" s="1539"/>
      <c r="X153" s="1539"/>
      <c r="Y153" s="1539"/>
      <c r="Z153" s="1539"/>
      <c r="AA153" s="1539"/>
      <c r="AB153" s="1539"/>
      <c r="AC153" s="1539"/>
      <c r="AD153" s="1539"/>
      <c r="AE153" s="1539"/>
      <c r="AF153" s="1539"/>
      <c r="AG153" s="1539"/>
      <c r="AH153" s="1539"/>
    </row>
    <row r="154" spans="1:72" ht="12.95" customHeight="1">
      <c r="D154" s="325" t="s">
        <v>443</v>
      </c>
      <c r="O154" s="1394" t="s">
        <v>2625</v>
      </c>
      <c r="P154" s="1466"/>
      <c r="Q154" s="1466"/>
      <c r="R154" s="1466"/>
      <c r="S154" s="1466"/>
      <c r="T154" s="1466"/>
      <c r="U154" s="1466"/>
      <c r="V154" s="1466"/>
      <c r="W154" s="1466"/>
      <c r="X154" s="1466"/>
      <c r="Y154" s="1466"/>
      <c r="Z154" s="1466"/>
      <c r="AA154" s="1466"/>
      <c r="AB154" s="1466"/>
      <c r="AC154" s="1466"/>
      <c r="AD154" s="1466"/>
      <c r="AE154" s="1466"/>
      <c r="AF154" s="1466"/>
      <c r="AG154" s="1466"/>
      <c r="AH154" s="1466"/>
    </row>
    <row r="155" spans="1:72" ht="12.95" customHeight="1">
      <c r="D155" s="8" t="s">
        <v>444</v>
      </c>
      <c r="F155" s="8"/>
      <c r="G155" s="8"/>
      <c r="H155" s="8"/>
      <c r="I155" s="8"/>
      <c r="J155" s="8"/>
      <c r="K155" s="8"/>
      <c r="L155" s="8"/>
      <c r="M155" s="8"/>
      <c r="N155" s="8"/>
      <c r="O155" s="1560" t="s">
        <v>2626</v>
      </c>
      <c r="P155" s="1561"/>
      <c r="Q155" s="1561"/>
      <c r="R155" s="1561"/>
      <c r="S155" s="1561"/>
      <c r="T155" s="1561"/>
      <c r="U155" s="1561"/>
      <c r="V155" s="1561"/>
      <c r="W155" s="1561"/>
      <c r="X155" s="1561"/>
      <c r="Y155" s="1561"/>
      <c r="Z155" s="1561"/>
      <c r="AA155" s="1561"/>
      <c r="AB155" s="1561"/>
      <c r="AC155" s="1561"/>
      <c r="AD155" s="1561"/>
      <c r="AE155" s="1561"/>
      <c r="AF155" s="1561"/>
      <c r="AG155" s="1561"/>
      <c r="AH155" s="1561"/>
    </row>
    <row r="156" spans="1:72" ht="12.95" customHeight="1">
      <c r="D156" t="s">
        <v>315</v>
      </c>
      <c r="O156" s="1395" t="s">
        <v>2627</v>
      </c>
      <c r="P156" s="1395"/>
      <c r="Q156" s="1395"/>
      <c r="R156" s="1395"/>
      <c r="S156" s="1395"/>
      <c r="T156" s="1395"/>
      <c r="U156" s="1395"/>
      <c r="V156" s="1395"/>
      <c r="W156" s="1395"/>
      <c r="X156" s="1395"/>
      <c r="Y156" s="1395"/>
      <c r="Z156" s="1395"/>
      <c r="AA156" s="1395"/>
      <c r="AB156" s="1395"/>
      <c r="AC156" s="1395"/>
      <c r="AD156" s="1395"/>
      <c r="AE156" s="1395"/>
      <c r="AF156" s="1395"/>
      <c r="AG156" s="1395"/>
      <c r="AH156" s="1395"/>
      <c r="BT156" t="s">
        <v>309</v>
      </c>
    </row>
    <row r="157" spans="1:72" ht="12.95" customHeight="1">
      <c r="D157" t="s">
        <v>316</v>
      </c>
      <c r="O157" s="1514" t="s">
        <v>2628</v>
      </c>
      <c r="P157" s="1539"/>
      <c r="Q157" s="1539"/>
      <c r="R157" s="1539"/>
      <c r="S157" s="1539"/>
      <c r="T157" s="1539"/>
      <c r="U157" s="1539"/>
      <c r="V157" s="1539"/>
      <c r="W157" s="1539"/>
      <c r="X157" s="1539"/>
      <c r="Y157" s="8"/>
      <c r="Z157" s="8"/>
      <c r="AA157" s="8"/>
      <c r="AB157" s="8"/>
      <c r="AC157" s="8"/>
      <c r="AD157" s="8"/>
      <c r="AE157" s="8"/>
      <c r="AF157" s="8"/>
      <c r="BN157" s="23" t="s">
        <v>645</v>
      </c>
      <c r="BT157" t="s">
        <v>485</v>
      </c>
    </row>
    <row r="158" spans="1:72" ht="12.95" customHeight="1">
      <c r="D158" t="s">
        <v>317</v>
      </c>
      <c r="O158" s="1562">
        <v>92706</v>
      </c>
      <c r="P158" s="1562"/>
      <c r="Q158" s="1562"/>
      <c r="R158" s="1562"/>
      <c r="S158" s="9"/>
      <c r="T158" s="9"/>
      <c r="U158" s="9"/>
      <c r="V158" s="9"/>
      <c r="W158" s="9"/>
      <c r="X158" s="9"/>
      <c r="Y158" s="9"/>
      <c r="Z158" s="9"/>
      <c r="AA158" s="9"/>
      <c r="AB158" s="9"/>
      <c r="AC158" s="9"/>
      <c r="AD158" s="9"/>
      <c r="AE158" s="9"/>
      <c r="AF158" s="9"/>
      <c r="BN158" s="23" t="s">
        <v>646</v>
      </c>
      <c r="BT158" t="s">
        <v>486</v>
      </c>
    </row>
    <row r="159" spans="1:72" ht="12.95" customHeight="1">
      <c r="D159" t="s">
        <v>318</v>
      </c>
      <c r="O159" s="1468" t="s">
        <v>2629</v>
      </c>
      <c r="P159" s="1468"/>
      <c r="Q159" s="1468"/>
      <c r="R159" s="1468"/>
      <c r="S159" s="1468"/>
      <c r="T159" s="1468"/>
      <c r="V159" s="97" t="s">
        <v>273</v>
      </c>
      <c r="W159" s="1563"/>
      <c r="X159" s="1563"/>
      <c r="Y159" s="10"/>
      <c r="Z159" s="10"/>
      <c r="AA159" s="10"/>
      <c r="AB159" s="10"/>
      <c r="AC159" s="10"/>
      <c r="AD159" s="10"/>
      <c r="AE159" s="10"/>
      <c r="AF159" s="10"/>
      <c r="BN159" s="23" t="s">
        <v>341</v>
      </c>
      <c r="BT159" t="s">
        <v>487</v>
      </c>
    </row>
    <row r="160" spans="1:72" ht="12.95" customHeight="1">
      <c r="D160" t="s">
        <v>319</v>
      </c>
      <c r="O160" s="1468" t="s">
        <v>2630</v>
      </c>
      <c r="P160" s="1468"/>
      <c r="Q160" s="1468"/>
      <c r="R160" s="1468"/>
      <c r="S160" s="1468"/>
      <c r="T160" s="1468"/>
      <c r="U160" s="10"/>
      <c r="V160" s="10"/>
      <c r="W160" s="10"/>
      <c r="X160" s="10"/>
      <c r="Y160" s="10"/>
      <c r="Z160" s="10"/>
      <c r="AA160" s="10"/>
      <c r="AB160" s="10"/>
      <c r="AC160" s="10"/>
      <c r="AD160" s="10"/>
      <c r="AE160" s="10"/>
      <c r="AF160" s="10"/>
      <c r="BN160" s="23" t="s">
        <v>669</v>
      </c>
      <c r="BT160" t="s">
        <v>488</v>
      </c>
    </row>
    <row r="161" spans="1:72" ht="12.95" customHeight="1">
      <c r="D161" t="s">
        <v>320</v>
      </c>
      <c r="O161" s="1469" t="s">
        <v>2631</v>
      </c>
      <c r="P161" s="1469"/>
      <c r="Q161" s="1469"/>
      <c r="R161" s="1469"/>
      <c r="S161" s="1469"/>
      <c r="T161" s="1469"/>
      <c r="U161" s="1469"/>
      <c r="V161" s="1469"/>
      <c r="W161" s="1469"/>
      <c r="X161" s="1469"/>
      <c r="Y161" s="1469"/>
      <c r="Z161" s="1469"/>
      <c r="AA161" s="1469"/>
      <c r="AB161" s="1469"/>
      <c r="AC161" s="1469"/>
      <c r="AD161" s="1469"/>
      <c r="AE161" s="1469"/>
      <c r="AF161" s="1469"/>
      <c r="AG161" s="1469"/>
      <c r="AH161" s="1469"/>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83</v>
      </c>
      <c r="D163" s="3" t="s">
        <v>2517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470" t="s">
        <v>1387</v>
      </c>
      <c r="E164" s="1470"/>
      <c r="F164" s="1470"/>
      <c r="G164" s="1470"/>
      <c r="H164" s="1470"/>
      <c r="I164" s="1470"/>
      <c r="J164" s="1470"/>
      <c r="K164" s="1470"/>
      <c r="L164" s="1470"/>
      <c r="M164" s="1470"/>
      <c r="N164" s="1470"/>
      <c r="O164" s="1470"/>
      <c r="P164" s="1470"/>
      <c r="Q164" s="1470"/>
      <c r="R164" s="1470"/>
      <c r="S164" s="1470"/>
      <c r="T164" s="1470"/>
      <c r="U164" s="1470"/>
      <c r="V164" s="1470"/>
      <c r="W164" s="1470"/>
      <c r="X164" s="1470"/>
      <c r="Y164" s="1470"/>
      <c r="Z164" s="1470"/>
      <c r="AA164" s="1470"/>
      <c r="AB164" s="1470"/>
      <c r="AC164" s="1470"/>
      <c r="AD164" s="1470"/>
      <c r="AE164" s="1470"/>
      <c r="AF164" s="1470"/>
      <c r="AG164" s="1470"/>
      <c r="AH164" s="1470"/>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442" t="s">
        <v>548</v>
      </c>
      <c r="B169" s="1442"/>
      <c r="C169" s="1442"/>
      <c r="D169" s="1442"/>
      <c r="E169" s="1442"/>
      <c r="F169" s="1442"/>
      <c r="G169" s="1442"/>
      <c r="H169" s="1442"/>
      <c r="I169" s="1442"/>
      <c r="J169" s="1442"/>
      <c r="K169" s="1442"/>
      <c r="L169" s="1442"/>
      <c r="M169" s="1442"/>
      <c r="N169" s="1442"/>
      <c r="O169" s="1442"/>
      <c r="P169" s="1442"/>
      <c r="Q169" s="1442"/>
      <c r="R169" s="1442"/>
      <c r="S169" s="1442"/>
      <c r="T169" s="1442"/>
      <c r="U169" s="1442"/>
      <c r="V169" s="1442"/>
      <c r="W169" s="1442"/>
      <c r="X169" s="1442"/>
      <c r="Y169" s="1442"/>
      <c r="Z169" s="1442"/>
      <c r="AA169" s="1442"/>
      <c r="AB169" s="1442"/>
      <c r="AC169" s="1442"/>
      <c r="AD169" s="1442"/>
      <c r="AE169" s="1442"/>
      <c r="AF169" s="1442"/>
      <c r="AG169" s="1442"/>
      <c r="AH169" s="1442"/>
      <c r="AI169" s="1442"/>
      <c r="AJ169" s="1442"/>
      <c r="AK169" s="1442"/>
      <c r="AL169" s="1442"/>
      <c r="AM169" s="95"/>
      <c r="AN169" s="95"/>
      <c r="AO169" s="95"/>
      <c r="AP169" s="95"/>
      <c r="AQ169" s="95"/>
      <c r="AR169" s="95"/>
      <c r="AS169" s="95"/>
      <c r="AT169" s="95"/>
      <c r="AU169" s="95"/>
      <c r="AV169" s="95"/>
      <c r="AW169" s="95"/>
      <c r="AX169" s="95"/>
      <c r="AY169" s="95"/>
      <c r="BN169" s="23" t="s">
        <v>682</v>
      </c>
      <c r="BT169" t="s">
        <v>497</v>
      </c>
    </row>
    <row r="170" spans="1:72" ht="12.95" customHeight="1" thickBot="1">
      <c r="A170" s="1443"/>
      <c r="B170" s="1443"/>
      <c r="C170" s="1443"/>
      <c r="D170" s="1443"/>
      <c r="E170" s="1443"/>
      <c r="F170" s="1443"/>
      <c r="G170" s="1443"/>
      <c r="H170" s="1443"/>
      <c r="I170" s="1443"/>
      <c r="J170" s="1443"/>
      <c r="K170" s="1443"/>
      <c r="L170" s="1443"/>
      <c r="M170" s="1443"/>
      <c r="N170" s="1443"/>
      <c r="O170" s="1443"/>
      <c r="P170" s="1443"/>
      <c r="Q170" s="1443"/>
      <c r="R170" s="1443"/>
      <c r="S170" s="1443"/>
      <c r="T170" s="1443"/>
      <c r="U170" s="1443"/>
      <c r="V170" s="1443"/>
      <c r="W170" s="1443"/>
      <c r="X170" s="1443"/>
      <c r="Y170" s="1443"/>
      <c r="Z170" s="1443"/>
      <c r="AA170" s="1443"/>
      <c r="AB170" s="1443"/>
      <c r="AC170" s="1443"/>
      <c r="AD170" s="1443"/>
      <c r="AE170" s="1443"/>
      <c r="AF170" s="1443"/>
      <c r="AG170" s="1443"/>
      <c r="AH170" s="1443"/>
      <c r="AI170" s="1443"/>
      <c r="AJ170" s="1443"/>
      <c r="AK170" s="1443"/>
      <c r="AL170" s="1443"/>
      <c r="AM170" s="95"/>
      <c r="AN170" s="95"/>
      <c r="AO170" s="95"/>
      <c r="AP170" s="95"/>
      <c r="AQ170" s="95"/>
      <c r="AR170" s="95"/>
      <c r="AS170" s="95"/>
      <c r="AT170" s="95"/>
      <c r="AU170" s="95"/>
      <c r="AV170" s="95"/>
      <c r="AW170" s="95"/>
      <c r="AX170" s="95"/>
      <c r="AY170" s="95"/>
      <c r="BN170" s="23" t="s">
        <v>683</v>
      </c>
      <c r="BT170" t="s">
        <v>498</v>
      </c>
    </row>
    <row r="171" spans="1:72" ht="12.95" customHeight="1" thickTop="1">
      <c r="BN171" s="23" t="s">
        <v>213</v>
      </c>
      <c r="BT171" t="s">
        <v>499</v>
      </c>
    </row>
    <row r="172" spans="1:72" ht="12.95" customHeight="1">
      <c r="A172" s="2" t="s">
        <v>321</v>
      </c>
      <c r="C172" s="2" t="s">
        <v>322</v>
      </c>
      <c r="BN172" s="23" t="s">
        <v>215</v>
      </c>
      <c r="BT172" t="s">
        <v>500</v>
      </c>
    </row>
    <row r="173" spans="1:72" ht="12.95" customHeight="1">
      <c r="C173" s="24"/>
      <c r="D173" t="s">
        <v>323</v>
      </c>
      <c r="J173" s="1559" t="s">
        <v>373</v>
      </c>
      <c r="K173" s="1559"/>
      <c r="L173" s="1559"/>
      <c r="M173" s="1559"/>
      <c r="N173" s="1559"/>
      <c r="O173" s="1559"/>
      <c r="P173" s="1559"/>
      <c r="Q173" s="1559"/>
      <c r="R173" s="1559"/>
      <c r="S173" s="1559"/>
      <c r="U173" s="25"/>
      <c r="X173" s="25"/>
      <c r="BN173" s="23" t="s">
        <v>216</v>
      </c>
      <c r="BT173" t="s">
        <v>501</v>
      </c>
    </row>
    <row r="174" spans="1:72" ht="12.95" customHeight="1">
      <c r="C174" s="24"/>
      <c r="D174" s="3" t="s">
        <v>1345</v>
      </c>
      <c r="J174" s="1395" t="s">
        <v>2523</v>
      </c>
      <c r="K174" s="1395"/>
      <c r="L174" s="1395"/>
      <c r="M174" s="1395"/>
      <c r="N174" s="1395"/>
      <c r="O174" s="1395"/>
      <c r="P174" s="1395"/>
      <c r="Q174" s="1395"/>
      <c r="R174" s="1395"/>
      <c r="S174" s="1395"/>
      <c r="T174" s="1395"/>
      <c r="U174" s="1395"/>
      <c r="V174" s="1395"/>
      <c r="W174" s="1395"/>
      <c r="X174" s="1395"/>
      <c r="Y174" s="1395"/>
      <c r="Z174" s="1395"/>
      <c r="AA174" s="1395"/>
      <c r="AB174" s="1395"/>
      <c r="BN174" s="23" t="s">
        <v>218</v>
      </c>
      <c r="BT174" t="s">
        <v>502</v>
      </c>
    </row>
    <row r="175" spans="1:72" ht="12.95" customHeight="1">
      <c r="C175" s="8"/>
      <c r="D175" s="3" t="s">
        <v>324</v>
      </c>
      <c r="O175" s="27"/>
      <c r="U175" s="1373" t="s">
        <v>678</v>
      </c>
      <c r="V175" s="1373"/>
      <c r="BN175" s="23" t="s">
        <v>219</v>
      </c>
      <c r="BT175" t="s">
        <v>503</v>
      </c>
    </row>
    <row r="176" spans="1:72" ht="12.95" customHeight="1">
      <c r="C176" s="8"/>
      <c r="D176" s="26"/>
      <c r="E176" t="s">
        <v>306</v>
      </c>
      <c r="O176" s="27"/>
      <c r="P176" t="s">
        <v>2496</v>
      </c>
      <c r="T176" s="27" t="s">
        <v>307</v>
      </c>
      <c r="U176" s="1552"/>
      <c r="V176" s="1552"/>
      <c r="W176" s="1" t="s">
        <v>308</v>
      </c>
      <c r="X176" s="1565"/>
      <c r="Y176" s="1565"/>
      <c r="BN176" s="23" t="s">
        <v>221</v>
      </c>
      <c r="BT176" t="s">
        <v>504</v>
      </c>
    </row>
    <row r="177" spans="1:72" ht="12.95" customHeight="1">
      <c r="C177" s="24"/>
      <c r="D177" t="s">
        <v>251</v>
      </c>
      <c r="R177" s="1373" t="s">
        <v>678</v>
      </c>
      <c r="S177" s="1373"/>
      <c r="BN177" s="23" t="s">
        <v>222</v>
      </c>
      <c r="BT177" t="s">
        <v>505</v>
      </c>
    </row>
    <row r="178" spans="1:72" ht="12.95" customHeight="1">
      <c r="C178" s="24"/>
      <c r="D178" s="3" t="s">
        <v>1346</v>
      </c>
      <c r="AA178" t="s">
        <v>2496</v>
      </c>
      <c r="AE178" s="27" t="s">
        <v>307</v>
      </c>
      <c r="AF178" s="1736"/>
      <c r="AG178" s="1736"/>
      <c r="AH178" s="1" t="s">
        <v>308</v>
      </c>
      <c r="AI178" s="1471"/>
      <c r="AJ178" s="1471"/>
      <c r="AK178" s="1471"/>
      <c r="BN178" s="23" t="s">
        <v>223</v>
      </c>
      <c r="BT178" t="s">
        <v>53</v>
      </c>
    </row>
    <row r="179" spans="1:72" ht="12.95" customHeight="1">
      <c r="C179" s="24"/>
      <c r="BN179" s="23" t="s">
        <v>224</v>
      </c>
      <c r="BT179" t="s">
        <v>54</v>
      </c>
    </row>
    <row r="180" spans="1:72" ht="12.95" customHeight="1">
      <c r="C180" s="24"/>
      <c r="D180" t="s">
        <v>2497</v>
      </c>
      <c r="X180" s="1373" t="s">
        <v>554</v>
      </c>
      <c r="Y180" s="1373"/>
      <c r="BN180" s="23" t="s">
        <v>226</v>
      </c>
      <c r="BT180" t="s">
        <v>55</v>
      </c>
    </row>
    <row r="181" spans="1:72" ht="12.95" customHeight="1">
      <c r="C181" s="8"/>
      <c r="E181" s="4" t="s">
        <v>1016</v>
      </c>
      <c r="BN181" s="23" t="s">
        <v>227</v>
      </c>
      <c r="BT181" t="s">
        <v>56</v>
      </c>
    </row>
    <row r="182" spans="1:72" ht="12.95" customHeight="1">
      <c r="C182" s="565"/>
      <c r="BN182" s="23" t="s">
        <v>228</v>
      </c>
      <c r="BT182" t="s">
        <v>60</v>
      </c>
    </row>
    <row r="183" spans="1:72" ht="12.95" customHeight="1">
      <c r="A183" s="2" t="s">
        <v>585</v>
      </c>
      <c r="C183" s="2" t="s">
        <v>586</v>
      </c>
      <c r="BN183" s="23" t="s">
        <v>230</v>
      </c>
      <c r="BT183" t="s">
        <v>61</v>
      </c>
    </row>
    <row r="184" spans="1:72" ht="12.95" customHeight="1">
      <c r="C184" s="21"/>
      <c r="D184" t="s">
        <v>587</v>
      </c>
      <c r="I184" s="1516" t="str">
        <f>H18</f>
        <v xml:space="preserve">Villa Plumosa </v>
      </c>
      <c r="J184" s="1516"/>
      <c r="K184" s="1516"/>
      <c r="L184" s="1516"/>
      <c r="M184" s="1516"/>
      <c r="N184" s="1516"/>
      <c r="O184" s="1516"/>
      <c r="P184" s="1516"/>
      <c r="Q184" s="1516"/>
      <c r="R184" s="1516"/>
      <c r="S184" s="1516"/>
      <c r="T184" s="1516"/>
      <c r="U184" s="1516"/>
      <c r="V184" s="1516"/>
      <c r="W184" s="1516"/>
      <c r="X184" s="1516"/>
      <c r="Y184" s="1516"/>
      <c r="Z184" s="1516"/>
      <c r="AA184" s="1516"/>
      <c r="AB184" s="1516"/>
      <c r="AC184" s="1516"/>
      <c r="AD184" s="1516"/>
      <c r="AE184" s="1516"/>
      <c r="BC184" t="s">
        <v>596</v>
      </c>
      <c r="BN184" s="23" t="s">
        <v>232</v>
      </c>
      <c r="BT184" t="s">
        <v>62</v>
      </c>
    </row>
    <row r="185" spans="1:72" ht="12.95" customHeight="1">
      <c r="C185" s="21"/>
      <c r="D185" t="s">
        <v>588</v>
      </c>
      <c r="I185" s="1366" t="s">
        <v>2633</v>
      </c>
      <c r="J185" s="1366"/>
      <c r="K185" s="1366"/>
      <c r="L185" s="1366"/>
      <c r="M185" s="1366"/>
      <c r="N185" s="1366"/>
      <c r="O185" s="1366"/>
      <c r="P185" s="1366"/>
      <c r="Q185" s="1366"/>
      <c r="R185" s="1366"/>
      <c r="S185" s="1366"/>
      <c r="T185" s="1366"/>
      <c r="U185" s="1366"/>
      <c r="V185" s="1366"/>
      <c r="W185" s="1366"/>
      <c r="X185" s="1366"/>
      <c r="Y185" s="1366"/>
      <c r="Z185" s="1366"/>
      <c r="AA185" s="1366"/>
      <c r="AB185" s="1366"/>
      <c r="AC185" s="1366"/>
      <c r="AD185" s="1366"/>
      <c r="AE185" s="1366"/>
      <c r="BC185" t="s">
        <v>597</v>
      </c>
      <c r="BN185" s="23" t="s">
        <v>233</v>
      </c>
      <c r="BT185" t="s">
        <v>63</v>
      </c>
    </row>
    <row r="186" spans="1:72" ht="12.95" customHeight="1">
      <c r="C186" s="21"/>
      <c r="E186" t="s">
        <v>169</v>
      </c>
      <c r="BN186" s="23" t="s">
        <v>234</v>
      </c>
      <c r="BT186" t="s">
        <v>64</v>
      </c>
    </row>
    <row r="187" spans="1:72" ht="12.95" customHeight="1">
      <c r="C187" s="21"/>
      <c r="E187" s="1446"/>
      <c r="F187" s="1446"/>
      <c r="G187" s="1446"/>
      <c r="H187" s="1446"/>
      <c r="I187" s="1446"/>
      <c r="J187" s="1446"/>
      <c r="K187" s="1446"/>
      <c r="L187" s="1446"/>
      <c r="M187" s="1446"/>
      <c r="N187" s="1446"/>
      <c r="O187" s="1446"/>
      <c r="P187" s="1446"/>
      <c r="Q187" s="1446"/>
      <c r="R187" s="1446"/>
      <c r="S187" s="1446"/>
      <c r="T187" s="1446"/>
      <c r="U187" s="1446"/>
      <c r="V187" s="1446"/>
      <c r="W187" s="1446"/>
      <c r="X187" s="1446"/>
      <c r="Y187" s="1446"/>
      <c r="Z187" s="1446"/>
      <c r="AA187" s="1446"/>
      <c r="AB187" s="1446"/>
      <c r="AC187" s="1446"/>
      <c r="AD187" s="1446"/>
      <c r="AE187" s="1446"/>
      <c r="BN187" s="23" t="s">
        <v>235</v>
      </c>
      <c r="BT187" t="s">
        <v>65</v>
      </c>
    </row>
    <row r="188" spans="1:72" ht="12.95" customHeight="1">
      <c r="C188" s="21"/>
      <c r="E188" s="1447"/>
      <c r="F188" s="1447"/>
      <c r="G188" s="1447"/>
      <c r="H188" s="1447"/>
      <c r="I188" s="1447"/>
      <c r="J188" s="1447"/>
      <c r="K188" s="1447"/>
      <c r="L188" s="1447"/>
      <c r="M188" s="1447"/>
      <c r="N188" s="1447"/>
      <c r="O188" s="1447"/>
      <c r="P188" s="1447"/>
      <c r="Q188" s="1447"/>
      <c r="R188" s="1447"/>
      <c r="S188" s="1447"/>
      <c r="T188" s="1447"/>
      <c r="U188" s="1447"/>
      <c r="V188" s="1447"/>
      <c r="W188" s="1447"/>
      <c r="X188" s="1447"/>
      <c r="Y188" s="1447"/>
      <c r="Z188" s="1447"/>
      <c r="AA188" s="1447"/>
      <c r="AB188" s="1447"/>
      <c r="AC188" s="1447"/>
      <c r="AD188" s="1447"/>
      <c r="AE188" s="1447"/>
      <c r="BN188" s="23" t="s">
        <v>237</v>
      </c>
      <c r="BT188" t="s">
        <v>66</v>
      </c>
    </row>
    <row r="189" spans="1:72" ht="12.95" customHeight="1">
      <c r="C189" s="21"/>
      <c r="D189" t="s">
        <v>589</v>
      </c>
      <c r="I189" s="1395" t="s">
        <v>2634</v>
      </c>
      <c r="J189" s="1395"/>
      <c r="K189" s="1395"/>
      <c r="L189" s="1395"/>
      <c r="M189" s="1395"/>
      <c r="N189" s="1395"/>
      <c r="O189" s="1395"/>
      <c r="P189" s="1395"/>
      <c r="Q189" t="s">
        <v>591</v>
      </c>
      <c r="T189" s="1395" t="s">
        <v>64</v>
      </c>
      <c r="U189" s="1395"/>
      <c r="V189" s="1395"/>
      <c r="W189" s="1395"/>
      <c r="X189" s="1395"/>
      <c r="Y189" s="1395"/>
      <c r="Z189" s="1395"/>
      <c r="AA189" s="1395"/>
      <c r="AB189" s="1395"/>
      <c r="AC189" s="1395"/>
      <c r="AD189" s="1395"/>
      <c r="AE189" s="1395"/>
      <c r="BC189" t="s">
        <v>309</v>
      </c>
      <c r="BH189" s="3" t="s">
        <v>600</v>
      </c>
      <c r="BN189" s="23" t="s">
        <v>238</v>
      </c>
      <c r="BT189" t="s">
        <v>67</v>
      </c>
    </row>
    <row r="190" spans="1:72" ht="12.95" customHeight="1">
      <c r="C190" s="21"/>
      <c r="D190" t="s">
        <v>592</v>
      </c>
      <c r="I190" s="1366">
        <v>92886</v>
      </c>
      <c r="J190" s="1366"/>
      <c r="K190" s="1366"/>
      <c r="L190" s="1366"/>
      <c r="M190" s="1366"/>
      <c r="N190" s="1366"/>
      <c r="O190" t="s">
        <v>594</v>
      </c>
      <c r="T190" s="1553">
        <v>218.02</v>
      </c>
      <c r="U190" s="1553"/>
      <c r="V190" s="1553"/>
      <c r="W190" s="1553"/>
      <c r="X190" s="1553"/>
      <c r="Y190" s="1553"/>
      <c r="Z190" s="1553"/>
      <c r="AA190" s="1553"/>
      <c r="AB190" s="1553"/>
      <c r="AC190" s="1553"/>
      <c r="AD190" s="1553"/>
      <c r="AE190" s="1553"/>
      <c r="BC190" t="s">
        <v>1102</v>
      </c>
      <c r="BH190" t="s">
        <v>1102</v>
      </c>
      <c r="BN190" s="23" t="s">
        <v>644</v>
      </c>
      <c r="BT190" t="s">
        <v>68</v>
      </c>
    </row>
    <row r="191" spans="1:72" ht="12.95" customHeight="1">
      <c r="C191" s="21"/>
      <c r="D191" t="s">
        <v>471</v>
      </c>
      <c r="N191" s="1438" t="s">
        <v>2636</v>
      </c>
      <c r="O191" s="1446"/>
      <c r="P191" s="1446"/>
      <c r="Q191" s="1446"/>
      <c r="R191" s="1446"/>
      <c r="S191" s="1446"/>
      <c r="T191" s="1446"/>
      <c r="U191" s="1446"/>
      <c r="V191" s="1446"/>
      <c r="W191" s="1446"/>
      <c r="X191" s="1446"/>
      <c r="Y191" s="1446"/>
      <c r="Z191" s="1446"/>
      <c r="AA191" s="1446"/>
      <c r="AB191" s="1446"/>
      <c r="AC191" s="1446"/>
      <c r="AD191" s="1446"/>
      <c r="AE191" s="1446"/>
      <c r="BC191" t="s">
        <v>1101</v>
      </c>
      <c r="BH191" t="s">
        <v>1101</v>
      </c>
      <c r="BN191" s="23" t="s">
        <v>698</v>
      </c>
      <c r="BT191" t="s">
        <v>739</v>
      </c>
    </row>
    <row r="192" spans="1:72" ht="12.95" customHeight="1">
      <c r="C192" s="21"/>
      <c r="M192" s="40"/>
      <c r="N192" s="1447"/>
      <c r="O192" s="1447"/>
      <c r="P192" s="1447"/>
      <c r="Q192" s="1447"/>
      <c r="R192" s="1447"/>
      <c r="S192" s="1447"/>
      <c r="T192" s="1447"/>
      <c r="U192" s="1447"/>
      <c r="V192" s="1447"/>
      <c r="W192" s="1447"/>
      <c r="X192" s="1447"/>
      <c r="Y192" s="1447"/>
      <c r="Z192" s="1447"/>
      <c r="AA192" s="1447"/>
      <c r="AB192" s="1447"/>
      <c r="AC192" s="1447"/>
      <c r="AD192" s="1447"/>
      <c r="AE192" s="1447"/>
      <c r="BC192" t="s">
        <v>1104</v>
      </c>
      <c r="BH192" s="3" t="s">
        <v>1807</v>
      </c>
      <c r="BN192" s="23" t="s">
        <v>699</v>
      </c>
      <c r="BT192" t="s">
        <v>740</v>
      </c>
    </row>
    <row r="193" spans="1:74" ht="12.95" customHeight="1">
      <c r="C193" s="21"/>
      <c r="D193" t="s">
        <v>2498</v>
      </c>
      <c r="M193" s="40"/>
      <c r="N193" s="930"/>
      <c r="O193" s="930"/>
      <c r="P193" s="930"/>
      <c r="Q193" s="930"/>
      <c r="R193" s="930"/>
      <c r="S193" s="930"/>
      <c r="T193" s="1568" t="s">
        <v>2319</v>
      </c>
      <c r="U193" s="1568"/>
      <c r="V193" s="1568"/>
      <c r="W193" s="1568"/>
      <c r="X193" s="1568"/>
      <c r="Y193" s="1568"/>
      <c r="Z193" s="1568"/>
      <c r="AA193" s="1568"/>
      <c r="AB193" s="1568"/>
      <c r="AC193" s="1568"/>
      <c r="AD193" s="1568"/>
      <c r="AE193" s="1568"/>
      <c r="AF193" s="1568"/>
      <c r="AG193" s="1568"/>
      <c r="AH193" s="1568"/>
      <c r="AI193" s="1568"/>
      <c r="BC193" t="s">
        <v>1103</v>
      </c>
      <c r="BH193" s="3" t="s">
        <v>1808</v>
      </c>
      <c r="BN193" s="23" t="s">
        <v>700</v>
      </c>
      <c r="BT193" t="s">
        <v>741</v>
      </c>
    </row>
    <row r="194" spans="1:74" ht="12.95" customHeight="1">
      <c r="C194" s="21"/>
      <c r="D194" t="s">
        <v>333</v>
      </c>
      <c r="T194" s="1373" t="s">
        <v>554</v>
      </c>
      <c r="U194" s="1373"/>
      <c r="W194" t="s">
        <v>694</v>
      </c>
      <c r="AH194" s="1373">
        <v>40</v>
      </c>
      <c r="AI194" s="1373"/>
      <c r="BC194" t="s">
        <v>1536</v>
      </c>
      <c r="BN194" s="23" t="s">
        <v>701</v>
      </c>
      <c r="BT194" t="s">
        <v>742</v>
      </c>
    </row>
    <row r="195" spans="1:74" ht="12.95" customHeight="1">
      <c r="C195" s="21"/>
      <c r="D195" t="s">
        <v>388</v>
      </c>
      <c r="T195" s="1355" t="s">
        <v>678</v>
      </c>
      <c r="U195" s="1355"/>
      <c r="W195" t="s">
        <v>695</v>
      </c>
      <c r="AH195" s="1373">
        <v>59</v>
      </c>
      <c r="AI195" s="1373"/>
      <c r="BC195" t="s">
        <v>2119</v>
      </c>
      <c r="BN195" s="23" t="s">
        <v>244</v>
      </c>
      <c r="BT195" t="s">
        <v>743</v>
      </c>
    </row>
    <row r="196" spans="1:74" ht="12.95" customHeight="1">
      <c r="C196" s="21"/>
      <c r="D196" s="3" t="s">
        <v>170</v>
      </c>
      <c r="T196" s="1355" t="s">
        <v>678</v>
      </c>
      <c r="U196" s="1355"/>
      <c r="W196" t="s">
        <v>696</v>
      </c>
      <c r="AH196" s="1373">
        <v>32</v>
      </c>
      <c r="AI196" s="1373"/>
      <c r="BN196" s="23" t="s">
        <v>245</v>
      </c>
      <c r="BT196" t="s">
        <v>69</v>
      </c>
    </row>
    <row r="197" spans="1:74" ht="12.95" customHeight="1">
      <c r="C197" s="21"/>
      <c r="D197" s="3" t="s">
        <v>1832</v>
      </c>
      <c r="T197" s="1460" t="s">
        <v>2637</v>
      </c>
      <c r="U197" s="1355"/>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2499</v>
      </c>
      <c r="Y198" s="1373" t="s">
        <v>678</v>
      </c>
      <c r="Z198" s="1373"/>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193</v>
      </c>
      <c r="BU198"/>
      <c r="BV198" s="31"/>
    </row>
    <row r="199" spans="1:74" s="14" customFormat="1" ht="12.95"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194</v>
      </c>
      <c r="BU199"/>
      <c r="BV199" s="31"/>
    </row>
    <row r="200" spans="1:74" s="14" customFormat="1" ht="12.95"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70"/>
      <c r="BN200" s="23" t="s">
        <v>709</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710</v>
      </c>
      <c r="BO201" s="31"/>
      <c r="BP201" s="32"/>
      <c r="BQ201" s="32"/>
      <c r="BR201" s="32"/>
      <c r="BS201" s="32"/>
      <c r="BT201" s="32" t="s">
        <v>196</v>
      </c>
      <c r="BU201"/>
    </row>
    <row r="202" spans="1:74" ht="12.95" customHeight="1">
      <c r="A202" s="2" t="s">
        <v>595</v>
      </c>
      <c r="C202" s="2" t="s">
        <v>137</v>
      </c>
      <c r="BC202" t="s">
        <v>1128</v>
      </c>
      <c r="BD202" s="470"/>
      <c r="BN202" s="23" t="s">
        <v>711</v>
      </c>
      <c r="BO202" s="14"/>
      <c r="BP202" s="32"/>
      <c r="BQ202" s="32"/>
      <c r="BR202" s="32"/>
      <c r="BS202" s="32"/>
      <c r="BT202" s="32" t="s">
        <v>197</v>
      </c>
    </row>
    <row r="203" spans="1:74" ht="12.95" customHeight="1">
      <c r="D203" s="1516" t="s">
        <v>387</v>
      </c>
      <c r="E203" s="1516"/>
      <c r="F203" s="1516"/>
      <c r="G203" s="1516"/>
      <c r="H203" s="1516"/>
      <c r="I203" s="1516"/>
      <c r="J203" s="1516"/>
      <c r="K203" s="1516"/>
      <c r="L203" s="1516"/>
      <c r="M203" s="1516"/>
      <c r="P203" s="1549">
        <f>M26</f>
        <v>1640934</v>
      </c>
      <c r="Q203" s="1550"/>
      <c r="R203" s="1550"/>
      <c r="S203" s="1550"/>
      <c r="T203" s="1550"/>
      <c r="U203" s="1550"/>
      <c r="Z203" s="1570"/>
      <c r="AA203" s="1570"/>
      <c r="AB203" s="1570"/>
      <c r="AC203" s="1570"/>
      <c r="AD203" s="1570"/>
      <c r="AE203" s="1570"/>
      <c r="AF203" s="1570"/>
      <c r="BC203" t="s">
        <v>1129</v>
      </c>
      <c r="BN203" s="23" t="s">
        <v>712</v>
      </c>
      <c r="BO203" s="14"/>
      <c r="BP203" s="32"/>
      <c r="BQ203" s="32"/>
      <c r="BR203" s="32"/>
      <c r="BS203" s="32"/>
      <c r="BT203" s="32" t="s">
        <v>198</v>
      </c>
    </row>
    <row r="204" spans="1:74" ht="12.95" customHeight="1">
      <c r="C204" s="21"/>
      <c r="D204" s="1569" t="s">
        <v>1403</v>
      </c>
      <c r="E204" s="1516"/>
      <c r="F204" s="1516"/>
      <c r="G204" s="1516"/>
      <c r="H204" s="1516"/>
      <c r="I204" s="1516"/>
      <c r="J204" s="1516"/>
      <c r="K204" s="1516"/>
      <c r="L204" s="1516"/>
      <c r="M204" s="1516"/>
      <c r="P204" s="1550">
        <f>M27</f>
        <v>0</v>
      </c>
      <c r="Q204" s="1550"/>
      <c r="R204" s="1550"/>
      <c r="S204" s="1550"/>
      <c r="T204" s="1550"/>
      <c r="U204" s="1550"/>
      <c r="V204" s="28"/>
      <c r="W204" s="3" t="s">
        <v>1980</v>
      </c>
      <c r="Z204" s="1570"/>
      <c r="AA204" s="1570"/>
      <c r="AB204" s="1570"/>
      <c r="AC204" s="1570"/>
      <c r="AD204" s="1570"/>
      <c r="AE204" s="1570"/>
      <c r="AF204" s="1570"/>
      <c r="AG204" t="s">
        <v>1404</v>
      </c>
      <c r="AP204" s="1373" t="s">
        <v>678</v>
      </c>
      <c r="AQ204" s="1373"/>
      <c r="BC204" t="s">
        <v>619</v>
      </c>
      <c r="BN204" s="23" t="s">
        <v>713</v>
      </c>
      <c r="BT204" s="32" t="s">
        <v>199</v>
      </c>
      <c r="BU204" s="14"/>
    </row>
    <row r="205" spans="1:74" ht="12.95" customHeight="1">
      <c r="D205" s="29"/>
      <c r="E205" s="29"/>
      <c r="F205" s="29"/>
      <c r="G205" s="29"/>
      <c r="H205" s="29"/>
      <c r="I205" s="29"/>
      <c r="J205" s="29"/>
      <c r="K205" s="29"/>
      <c r="L205" s="29"/>
      <c r="M205" s="29"/>
      <c r="N205" s="29"/>
      <c r="O205" s="29"/>
      <c r="P205" s="29"/>
      <c r="Z205" s="1571"/>
      <c r="AA205" s="1571"/>
      <c r="AB205" s="1571"/>
      <c r="AC205" s="1571"/>
      <c r="AD205" s="1571"/>
      <c r="AE205" s="1571"/>
      <c r="AF205" s="1571"/>
      <c r="BC205" t="s">
        <v>1087</v>
      </c>
      <c r="BN205" s="23" t="s">
        <v>110</v>
      </c>
      <c r="BT205" s="32" t="s">
        <v>175</v>
      </c>
      <c r="BU205" s="14"/>
    </row>
    <row r="206" spans="1:74" ht="12.95" customHeight="1">
      <c r="A206" s="2" t="s">
        <v>598</v>
      </c>
      <c r="C206" s="2" t="s">
        <v>560</v>
      </c>
      <c r="BC206" s="471" t="s">
        <v>1130</v>
      </c>
      <c r="BN206" s="23" t="s">
        <v>111</v>
      </c>
      <c r="BT206" s="32" t="s">
        <v>200</v>
      </c>
      <c r="BU206" s="14"/>
    </row>
    <row r="207" spans="1:74" ht="12.95" customHeight="1">
      <c r="C207" s="21"/>
      <c r="D207" s="1539" t="s">
        <v>2635</v>
      </c>
      <c r="E207" s="1539"/>
      <c r="F207" s="1539"/>
      <c r="G207" s="1539"/>
      <c r="H207" s="1539"/>
      <c r="I207" s="1539"/>
      <c r="J207" s="1539"/>
      <c r="K207" s="1539"/>
      <c r="L207" s="1539"/>
      <c r="M207" s="1539"/>
      <c r="BC207" s="3" t="s">
        <v>1360</v>
      </c>
      <c r="BN207" s="23" t="s">
        <v>45</v>
      </c>
      <c r="BT207" s="32" t="s">
        <v>201</v>
      </c>
    </row>
    <row r="208" spans="1:74" ht="12.95" customHeight="1">
      <c r="BC208" t="s">
        <v>1131</v>
      </c>
      <c r="BN208" s="23" t="s">
        <v>46</v>
      </c>
      <c r="BT208" s="32" t="s">
        <v>202</v>
      </c>
    </row>
    <row r="209" spans="1:72" ht="12.95" customHeight="1">
      <c r="A209" s="2" t="s">
        <v>599</v>
      </c>
      <c r="C209" s="2" t="s">
        <v>390</v>
      </c>
      <c r="BC209" t="s">
        <v>668</v>
      </c>
      <c r="BN209" s="23" t="s">
        <v>47</v>
      </c>
      <c r="BT209" s="32" t="s">
        <v>203</v>
      </c>
    </row>
    <row r="210" spans="1:72" ht="12.95" customHeight="1">
      <c r="C210" s="21"/>
      <c r="D210" s="1539" t="s">
        <v>1102</v>
      </c>
      <c r="E210" s="1539"/>
      <c r="F210" s="1539"/>
      <c r="G210" s="1539"/>
      <c r="H210" s="1539"/>
      <c r="I210" s="1539"/>
      <c r="J210" s="1539"/>
      <c r="K210" s="1539"/>
      <c r="L210" s="1539"/>
      <c r="M210" s="1539"/>
      <c r="BN210" s="23" t="s">
        <v>48</v>
      </c>
      <c r="BT210" s="32" t="s">
        <v>204</v>
      </c>
    </row>
    <row r="211" spans="1:72" ht="12.95" customHeight="1">
      <c r="C211" s="21"/>
      <c r="D211" t="s">
        <v>1393</v>
      </c>
      <c r="Y211" s="1373"/>
      <c r="Z211" s="1373"/>
      <c r="AB211" s="1566">
        <f>IFERROR(Y211/AG439,"")</f>
        <v>0</v>
      </c>
      <c r="AC211" s="1567"/>
      <c r="BN211" s="23" t="s">
        <v>130</v>
      </c>
      <c r="BT211" s="32" t="s">
        <v>131</v>
      </c>
    </row>
    <row r="212" spans="1:72" ht="12.95" customHeight="1">
      <c r="D212" s="1198" t="s">
        <v>1806</v>
      </c>
      <c r="BC212" t="s">
        <v>309</v>
      </c>
      <c r="BN212" s="23" t="s">
        <v>49</v>
      </c>
      <c r="BT212" s="32" t="s">
        <v>205</v>
      </c>
    </row>
    <row r="213" spans="1:72" ht="12.95" customHeight="1">
      <c r="D213" s="1461" t="s">
        <v>600</v>
      </c>
      <c r="E213" s="1461"/>
      <c r="F213" s="1461"/>
      <c r="G213" s="1461"/>
      <c r="H213" s="1461"/>
      <c r="I213" s="1461"/>
      <c r="J213" s="1461"/>
      <c r="K213" s="1461"/>
      <c r="L213" s="1461"/>
      <c r="M213" s="1461"/>
      <c r="N213" s="1461"/>
      <c r="O213" s="1461"/>
      <c r="P213" s="1461"/>
      <c r="Q213" s="1461"/>
      <c r="R213" s="1461"/>
      <c r="S213" s="1461"/>
      <c r="T213" s="1461"/>
      <c r="U213" s="1461"/>
      <c r="V213" s="1461"/>
      <c r="W213" s="1461"/>
      <c r="X213" s="1461"/>
      <c r="Y213" s="1461"/>
      <c r="Z213" s="1461"/>
      <c r="BC213" t="s">
        <v>535</v>
      </c>
      <c r="BN213" s="23" t="s">
        <v>50</v>
      </c>
      <c r="BT213" s="32" t="s">
        <v>206</v>
      </c>
    </row>
    <row r="214" spans="1:72" ht="12.95" customHeight="1">
      <c r="D214" s="3" t="s">
        <v>1833</v>
      </c>
      <c r="Z214" s="40"/>
      <c r="AB214" s="1458"/>
      <c r="AC214" s="1458"/>
      <c r="AD214" s="1458"/>
      <c r="AE214" s="1458"/>
      <c r="AF214" s="1458"/>
      <c r="AG214" s="1458"/>
      <c r="AH214" s="1458"/>
      <c r="AI214" s="1458"/>
      <c r="AJ214" s="1458"/>
      <c r="AK214" s="1458"/>
      <c r="AL214" s="1458"/>
      <c r="AM214" s="21"/>
      <c r="AN214" s="21"/>
      <c r="AO214" s="21"/>
      <c r="AP214" s="21"/>
      <c r="AQ214" s="21"/>
      <c r="AR214" s="21"/>
      <c r="AS214" s="21"/>
      <c r="AT214" s="21"/>
      <c r="AU214" s="21"/>
      <c r="AV214" s="21"/>
      <c r="AW214" s="21"/>
      <c r="AX214" s="21"/>
      <c r="AY214" s="21"/>
      <c r="BC214" t="s">
        <v>539</v>
      </c>
      <c r="BN214" s="23" t="s">
        <v>328</v>
      </c>
      <c r="BT214" s="32" t="s">
        <v>207</v>
      </c>
    </row>
    <row r="215" spans="1:72" ht="12.95" customHeight="1">
      <c r="D215" s="3" t="s">
        <v>1831</v>
      </c>
      <c r="Z215" s="40"/>
      <c r="AB215" s="1458"/>
      <c r="AC215" s="1458"/>
      <c r="AD215" s="1458"/>
      <c r="AE215" s="1458"/>
      <c r="AF215" s="1458"/>
      <c r="AG215" s="1458"/>
      <c r="AH215" s="1458"/>
      <c r="AI215" s="1458"/>
      <c r="AJ215" s="1458"/>
      <c r="AK215" s="1458"/>
      <c r="AL215" s="1458"/>
      <c r="AM215" s="21"/>
      <c r="AN215" s="21"/>
      <c r="AO215" s="21"/>
      <c r="AP215" s="21"/>
      <c r="AQ215" s="21"/>
      <c r="AR215" s="21"/>
      <c r="AS215" s="21"/>
      <c r="AT215" s="21"/>
      <c r="AU215" s="21"/>
      <c r="AV215" s="21"/>
      <c r="AW215" s="21"/>
      <c r="AX215" s="21"/>
      <c r="AY215" s="21"/>
      <c r="BC215" t="s">
        <v>536</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2.95" customHeight="1">
      <c r="A217" s="2" t="s">
        <v>601</v>
      </c>
      <c r="C217" s="2" t="s">
        <v>1368</v>
      </c>
      <c r="D217" s="28"/>
      <c r="BC217" t="s">
        <v>537</v>
      </c>
    </row>
    <row r="218" spans="1:72" ht="12.95" customHeight="1">
      <c r="A218" s="2"/>
      <c r="C218" s="2"/>
      <c r="D218" s="4" t="s">
        <v>1041</v>
      </c>
      <c r="BC218" t="s">
        <v>538</v>
      </c>
    </row>
    <row r="219" spans="1:72" ht="12.95" customHeight="1">
      <c r="A219" s="2"/>
      <c r="C219" s="2"/>
      <c r="D219" s="1539" t="s">
        <v>619</v>
      </c>
      <c r="E219" s="1539"/>
      <c r="F219" s="1539"/>
      <c r="G219" s="1539"/>
      <c r="H219" s="1539"/>
      <c r="I219" s="1539"/>
      <c r="J219" s="1539"/>
      <c r="K219" s="1539"/>
      <c r="L219" s="1539"/>
      <c r="M219" s="1539"/>
      <c r="N219" s="1539"/>
      <c r="O219" s="1539"/>
      <c r="P219" s="1539"/>
      <c r="Q219" s="1539"/>
      <c r="R219" s="1539"/>
      <c r="S219" s="1539"/>
      <c r="T219" s="1539"/>
      <c r="U219" s="1539"/>
      <c r="V219" s="1539"/>
      <c r="W219" s="1539"/>
      <c r="X219" s="1539"/>
      <c r="Y219" s="1539"/>
      <c r="Z219" s="1539"/>
      <c r="AZ219" s="3"/>
      <c r="BA219" s="3"/>
      <c r="BC219" t="s">
        <v>379</v>
      </c>
    </row>
    <row r="220" spans="1:72" ht="12.95" customHeight="1">
      <c r="A220" s="2"/>
      <c r="B220" s="14"/>
      <c r="C220" s="2"/>
      <c r="BA220" s="3"/>
      <c r="BC220" t="s">
        <v>302</v>
      </c>
    </row>
    <row r="221" spans="1:72" ht="12.95" customHeight="1">
      <c r="A221" s="1442" t="s">
        <v>549</v>
      </c>
      <c r="B221" s="1442"/>
      <c r="C221" s="1442"/>
      <c r="D221" s="1442"/>
      <c r="E221" s="1442"/>
      <c r="F221" s="1442"/>
      <c r="G221" s="1442"/>
      <c r="H221" s="1442"/>
      <c r="I221" s="1442"/>
      <c r="J221" s="1442"/>
      <c r="K221" s="1442"/>
      <c r="L221" s="1442"/>
      <c r="M221" s="1442"/>
      <c r="N221" s="1442"/>
      <c r="O221" s="1442"/>
      <c r="P221" s="1442"/>
      <c r="Q221" s="1442"/>
      <c r="R221" s="1442"/>
      <c r="S221" s="1442"/>
      <c r="T221" s="1442"/>
      <c r="U221" s="1442"/>
      <c r="V221" s="1442"/>
      <c r="W221" s="1442"/>
      <c r="X221" s="1442"/>
      <c r="Y221" s="1442"/>
      <c r="Z221" s="1442"/>
      <c r="AA221" s="1442"/>
      <c r="AB221" s="1442"/>
      <c r="AC221" s="1442"/>
      <c r="AD221" s="1442"/>
      <c r="AE221" s="1442"/>
      <c r="AF221" s="1442"/>
      <c r="AG221" s="1442"/>
      <c r="AH221" s="1442"/>
      <c r="AI221" s="1442"/>
      <c r="AJ221" s="1442"/>
      <c r="AK221" s="1442"/>
      <c r="AL221" s="1442"/>
      <c r="AM221" s="95"/>
      <c r="AN221" s="95"/>
      <c r="AO221" s="95"/>
      <c r="AP221" s="95"/>
      <c r="AQ221" s="95"/>
      <c r="AR221" s="95"/>
      <c r="AS221" s="95"/>
      <c r="AT221" s="95"/>
      <c r="AU221" s="95"/>
      <c r="AV221" s="95"/>
      <c r="AW221" s="95"/>
      <c r="AX221" s="95"/>
      <c r="AY221" s="95"/>
      <c r="BA221" s="3"/>
    </row>
    <row r="222" spans="1:72" ht="12.95" customHeight="1" thickBot="1">
      <c r="A222" s="1443"/>
      <c r="B222" s="1443"/>
      <c r="C222" s="1443"/>
      <c r="D222" s="1443"/>
      <c r="E222" s="1443"/>
      <c r="F222" s="1443"/>
      <c r="G222" s="1443"/>
      <c r="H222" s="1443"/>
      <c r="I222" s="1443"/>
      <c r="J222" s="1443"/>
      <c r="K222" s="1443"/>
      <c r="L222" s="1443"/>
      <c r="M222" s="1443"/>
      <c r="N222" s="1443"/>
      <c r="O222" s="1443"/>
      <c r="P222" s="1443"/>
      <c r="Q222" s="1443"/>
      <c r="R222" s="1443"/>
      <c r="S222" s="1443"/>
      <c r="T222" s="1443"/>
      <c r="U222" s="1443"/>
      <c r="V222" s="1443"/>
      <c r="W222" s="1443"/>
      <c r="X222" s="1443"/>
      <c r="Y222" s="1443"/>
      <c r="Z222" s="1443"/>
      <c r="AA222" s="1443"/>
      <c r="AB222" s="1443"/>
      <c r="AC222" s="1443"/>
      <c r="AD222" s="1443"/>
      <c r="AE222" s="1443"/>
      <c r="AF222" s="1443"/>
      <c r="AG222" s="1443"/>
      <c r="AH222" s="1443"/>
      <c r="AI222" s="1443"/>
      <c r="AJ222" s="1443"/>
      <c r="AK222" s="1443"/>
      <c r="AL222" s="1443"/>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2500</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3" t="s">
        <v>600</v>
      </c>
      <c r="AJ225" s="1373"/>
      <c r="AL225" s="3"/>
      <c r="AM225" s="3"/>
      <c r="AN225" s="3"/>
      <c r="AO225" s="3"/>
      <c r="AP225" s="3"/>
      <c r="AQ225" s="3"/>
      <c r="AR225" s="3"/>
      <c r="AS225" s="3"/>
      <c r="AT225" s="3"/>
      <c r="AU225" s="3"/>
      <c r="AV225" s="3"/>
      <c r="AW225" s="3"/>
      <c r="AX225" s="3"/>
      <c r="AY225" s="3"/>
      <c r="BO225" s="34"/>
    </row>
    <row r="226" spans="1:69" ht="12.95"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3" t="s">
        <v>554</v>
      </c>
      <c r="AJ226" s="1373"/>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3" t="s">
        <v>554</v>
      </c>
      <c r="AJ227" s="1373"/>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3" t="s">
        <v>600</v>
      </c>
      <c r="AJ228" s="1373"/>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0</v>
      </c>
      <c r="BO229" s="34"/>
    </row>
    <row r="230" spans="1:69" ht="12.95" customHeight="1">
      <c r="A230" s="2" t="s">
        <v>585</v>
      </c>
      <c r="B230" s="4"/>
      <c r="C230" s="2" t="s">
        <v>2501</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0</v>
      </c>
      <c r="BO230" s="34"/>
    </row>
    <row r="231" spans="1:69" ht="12.95" customHeight="1">
      <c r="D231" s="4" t="s">
        <v>479</v>
      </c>
      <c r="E231" s="4"/>
      <c r="F231" s="4"/>
      <c r="G231" s="4"/>
      <c r="H231" s="4"/>
      <c r="I231" s="4"/>
      <c r="J231" s="4"/>
      <c r="K231" s="4"/>
      <c r="M231" s="1554" t="str">
        <f>H16</f>
        <v>National Community Renaissance of California (NCRC)</v>
      </c>
      <c r="N231" s="1554"/>
      <c r="O231" s="1554"/>
      <c r="P231" s="1554"/>
      <c r="Q231" s="1554"/>
      <c r="R231" s="1554"/>
      <c r="S231" s="1554"/>
      <c r="T231" s="1554"/>
      <c r="U231" s="1554"/>
      <c r="V231" s="1554"/>
      <c r="W231" s="1554"/>
      <c r="X231" s="1554"/>
      <c r="Y231" s="1554"/>
      <c r="Z231" s="1554"/>
      <c r="AA231" s="1554"/>
      <c r="AB231" s="1554"/>
      <c r="AC231" s="1554"/>
      <c r="AD231" s="1554"/>
      <c r="AE231" s="1554"/>
      <c r="AF231" s="1554"/>
      <c r="AG231" s="1554"/>
      <c r="AH231" s="1554"/>
      <c r="AI231" s="1554"/>
      <c r="AJ231" s="1554"/>
      <c r="AK231" s="1554"/>
      <c r="BA231" s="3"/>
      <c r="BB231" s="218"/>
      <c r="BG231" s="218"/>
      <c r="BQ231" s="34"/>
    </row>
    <row r="232" spans="1:69" ht="12.95" customHeight="1">
      <c r="D232" s="4" t="s">
        <v>86</v>
      </c>
      <c r="E232" s="4"/>
      <c r="F232" s="4"/>
      <c r="G232" s="4"/>
      <c r="H232" s="4"/>
      <c r="I232" s="4"/>
      <c r="J232" s="4"/>
      <c r="K232" s="4"/>
      <c r="M232" s="1514" t="s">
        <v>2649</v>
      </c>
      <c r="N232" s="1539"/>
      <c r="O232" s="1539"/>
      <c r="P232" s="1539"/>
      <c r="Q232" s="1539"/>
      <c r="R232" s="1539"/>
      <c r="S232" s="1539"/>
      <c r="T232" s="1539"/>
      <c r="U232" s="1539"/>
      <c r="V232" s="1539"/>
      <c r="W232" s="1539"/>
      <c r="X232" s="1539"/>
      <c r="Y232" s="1539"/>
      <c r="Z232" s="1539"/>
      <c r="AA232" s="1539"/>
      <c r="AB232" s="1539"/>
      <c r="AC232" s="1539"/>
      <c r="AD232" s="1539"/>
      <c r="AE232" s="1539"/>
      <c r="AZ232" s="4"/>
      <c r="BA232" s="3"/>
      <c r="BB232" s="219" t="s">
        <v>547</v>
      </c>
      <c r="BG232" s="259">
        <f>IF(AND(AND($M$248="nonprofit",$M$256="nonprofit",$M$264="for profit")),2,0)</f>
        <v>0</v>
      </c>
      <c r="BQ232" s="34"/>
    </row>
    <row r="233" spans="1:69" ht="12.95" customHeight="1">
      <c r="D233" s="4" t="s">
        <v>589</v>
      </c>
      <c r="E233" s="4"/>
      <c r="M233" s="1514" t="s">
        <v>2650</v>
      </c>
      <c r="N233" s="1539"/>
      <c r="O233" s="1539"/>
      <c r="P233" s="1539"/>
      <c r="Q233" s="1539"/>
      <c r="R233" s="1539"/>
      <c r="S233" s="1539"/>
      <c r="T233" s="1539"/>
      <c r="V233" s="33" t="s">
        <v>87</v>
      </c>
      <c r="W233" s="1394" t="s">
        <v>2651</v>
      </c>
      <c r="X233" s="1466"/>
      <c r="Y233" s="4" t="s">
        <v>592</v>
      </c>
      <c r="AC233" s="1539">
        <v>91730</v>
      </c>
      <c r="AD233" s="1539"/>
      <c r="AE233" s="1539"/>
      <c r="BB233" s="219" t="s">
        <v>547</v>
      </c>
      <c r="BG233" s="259">
        <f>IF(AND(AND($M$248="nonprofit",$M$256="for profit",$M$264="nonprofit")),2,0)</f>
        <v>0</v>
      </c>
    </row>
    <row r="234" spans="1:69" ht="12.95" customHeight="1">
      <c r="D234" s="4" t="s">
        <v>88</v>
      </c>
      <c r="E234" s="4"/>
      <c r="F234" s="4"/>
      <c r="G234" s="4"/>
      <c r="H234" s="4"/>
      <c r="I234" s="4"/>
      <c r="J234" s="4"/>
      <c r="K234" s="19"/>
      <c r="M234" s="1514" t="s">
        <v>2730</v>
      </c>
      <c r="N234" s="1539"/>
      <c r="O234" s="1539"/>
      <c r="P234" s="1539"/>
      <c r="Q234" s="1539"/>
      <c r="R234" s="1539"/>
      <c r="S234" s="1539"/>
      <c r="T234" s="1539"/>
      <c r="U234" s="1539"/>
      <c r="V234" s="1539"/>
      <c r="W234" s="1539"/>
      <c r="X234" s="1539"/>
      <c r="Y234" s="1539"/>
      <c r="Z234" s="1539"/>
      <c r="AA234" s="1539"/>
      <c r="AB234" s="1539"/>
      <c r="AC234" s="1539"/>
      <c r="AD234" s="1539"/>
      <c r="AE234" s="1539"/>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2.95" customHeight="1">
      <c r="D235" s="4" t="s">
        <v>89</v>
      </c>
      <c r="E235" s="4"/>
      <c r="F235" s="4"/>
      <c r="M235" s="1517" t="s">
        <v>2731</v>
      </c>
      <c r="N235" s="1437"/>
      <c r="O235" s="1437"/>
      <c r="P235" s="1437"/>
      <c r="Q235" s="1437"/>
      <c r="R235" s="1437"/>
      <c r="S235" s="4" t="s">
        <v>208</v>
      </c>
      <c r="T235" s="4"/>
      <c r="U235" s="1466"/>
      <c r="V235" s="1466"/>
      <c r="W235" s="1466"/>
      <c r="X235" s="4" t="s">
        <v>90</v>
      </c>
      <c r="Z235" s="1437"/>
      <c r="AA235" s="1437"/>
      <c r="AB235" s="1437"/>
      <c r="AC235" s="1437"/>
      <c r="AD235" s="1437"/>
      <c r="AE235" s="1437"/>
      <c r="BB235" s="219"/>
      <c r="BG235" s="218"/>
    </row>
    <row r="236" spans="1:69" ht="12.95" customHeight="1">
      <c r="D236" s="4" t="s">
        <v>91</v>
      </c>
      <c r="E236" s="4"/>
      <c r="F236" s="4"/>
      <c r="M236" s="1469" t="s">
        <v>2732</v>
      </c>
      <c r="N236" s="1469"/>
      <c r="O236" s="1469"/>
      <c r="P236" s="1469"/>
      <c r="Q236" s="1469"/>
      <c r="R236" s="1469"/>
      <c r="S236" s="1469"/>
      <c r="T236" s="1469"/>
      <c r="U236" s="1469"/>
      <c r="V236" s="1469"/>
      <c r="W236" s="1469"/>
      <c r="X236" s="1469"/>
      <c r="Y236" s="1469"/>
      <c r="Z236" s="1469"/>
      <c r="AA236" s="1469"/>
      <c r="AB236" s="1469"/>
      <c r="AC236" s="1469"/>
      <c r="AD236" s="1469"/>
      <c r="AE236" s="1469"/>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2.95" customHeight="1">
      <c r="A237" s="2" t="s">
        <v>595</v>
      </c>
      <c r="C237" s="2" t="s">
        <v>534</v>
      </c>
      <c r="M237" s="1366" t="s">
        <v>379</v>
      </c>
      <c r="N237" s="1366"/>
      <c r="O237" s="1366"/>
      <c r="P237" s="1366"/>
      <c r="Q237" s="1366"/>
      <c r="R237" s="1366"/>
      <c r="S237" s="1366"/>
      <c r="T237" s="1366"/>
      <c r="U237" s="218" t="s">
        <v>939</v>
      </c>
      <c r="V237" s="218"/>
      <c r="W237" s="218"/>
      <c r="X237" s="218"/>
      <c r="Y237" s="218"/>
      <c r="Z237" s="218"/>
      <c r="AA237" s="1541"/>
      <c r="AB237" s="1541"/>
      <c r="AC237" s="1541"/>
      <c r="AD237" s="1541"/>
      <c r="AE237" s="1541"/>
      <c r="AF237" s="1541"/>
      <c r="AG237" s="1541"/>
      <c r="AH237" s="1541"/>
      <c r="AI237" s="1541"/>
      <c r="AJ237" s="1541"/>
      <c r="AK237" s="1541"/>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2.95" customHeight="1">
      <c r="D238" t="s">
        <v>540</v>
      </c>
      <c r="M238" s="1395"/>
      <c r="N238" s="1395"/>
      <c r="O238" s="1395"/>
      <c r="P238" s="1395"/>
      <c r="Q238" s="1395"/>
      <c r="R238" s="1395"/>
      <c r="S238" s="1395"/>
      <c r="T238" s="1395"/>
      <c r="U238" s="1395"/>
      <c r="V238" s="1395"/>
      <c r="W238" s="1395"/>
      <c r="X238" s="1395"/>
      <c r="Y238" s="1395"/>
      <c r="Z238" s="1395"/>
      <c r="AA238" s="1395"/>
      <c r="AB238" s="1395"/>
      <c r="AC238" s="1395"/>
      <c r="AD238" s="1395"/>
      <c r="AE238" s="1395"/>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1</v>
      </c>
      <c r="BN238" s="34"/>
    </row>
    <row r="239" spans="1:69" ht="12.95" customHeight="1">
      <c r="D239" s="4"/>
      <c r="BB239" s="218" t="s">
        <v>906</v>
      </c>
      <c r="BG239" s="259">
        <f>IF(AND(AND($M$248="for profit",$M$256="for profit",$M$264="(select one)")),3,0)</f>
        <v>0</v>
      </c>
    </row>
    <row r="240" spans="1:69" ht="12.95" customHeight="1">
      <c r="A240" s="2" t="s">
        <v>598</v>
      </c>
      <c r="C240" s="2" t="s">
        <v>1326</v>
      </c>
      <c r="D240" s="4"/>
      <c r="L240" s="8"/>
      <c r="M240" s="8"/>
      <c r="N240" s="8"/>
      <c r="BB240" s="218" t="s">
        <v>906</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2.95" customHeight="1">
      <c r="A242" s="19"/>
      <c r="B242" s="4"/>
      <c r="C242" s="56" t="s">
        <v>482</v>
      </c>
      <c r="D242" s="4" t="s">
        <v>541</v>
      </c>
      <c r="E242" s="4"/>
      <c r="F242" s="4"/>
      <c r="G242" s="4"/>
      <c r="H242" s="4"/>
      <c r="I242" s="4"/>
      <c r="J242" s="4"/>
      <c r="K242" s="4"/>
      <c r="L242" s="4"/>
      <c r="M242" s="1543" t="str">
        <f t="shared" ref="M242:M247" si="0">M231</f>
        <v>National Community Renaissance of California (NCRC)</v>
      </c>
      <c r="N242" s="1544"/>
      <c r="O242" s="1544"/>
      <c r="P242" s="1544"/>
      <c r="Q242" s="1544"/>
      <c r="R242" s="1544"/>
      <c r="S242" s="1544"/>
      <c r="T242" s="1544"/>
      <c r="U242" s="1544"/>
      <c r="V242" s="1544"/>
      <c r="W242" s="1544"/>
      <c r="X242" s="1544"/>
      <c r="Y242" s="1544"/>
      <c r="Z242" s="1544"/>
      <c r="AA242" s="1544"/>
      <c r="AB242" s="1544"/>
      <c r="AC242" s="1544"/>
      <c r="AD242" s="1544"/>
      <c r="AE242" s="1544"/>
      <c r="AF242" s="1544" t="s">
        <v>2652</v>
      </c>
      <c r="AG242" s="1544"/>
      <c r="AH242" s="1544"/>
      <c r="AI242" s="1544"/>
      <c r="AJ242" s="1544"/>
      <c r="AK242" s="1544"/>
      <c r="BO242" s="34"/>
      <c r="BP242" s="4"/>
      <c r="BQ242" s="4"/>
      <c r="BR242" s="4"/>
      <c r="BS242" s="4"/>
    </row>
    <row r="243" spans="1:71" ht="12.95" customHeight="1">
      <c r="A243" s="19"/>
      <c r="B243" s="4"/>
      <c r="C243" s="4"/>
      <c r="D243" s="4" t="s">
        <v>86</v>
      </c>
      <c r="E243" s="4"/>
      <c r="F243" s="4"/>
      <c r="G243" s="4"/>
      <c r="H243" s="4"/>
      <c r="I243" s="4"/>
      <c r="J243" s="4"/>
      <c r="K243" s="4"/>
      <c r="L243" s="4"/>
      <c r="M243" s="1539" t="str">
        <f t="shared" si="0"/>
        <v>9421 Haven Ave</v>
      </c>
      <c r="N243" s="1539"/>
      <c r="O243" s="1539"/>
      <c r="P243" s="1539"/>
      <c r="Q243" s="1539"/>
      <c r="R243" s="1539"/>
      <c r="S243" s="1539"/>
      <c r="T243" s="1539"/>
      <c r="U243" s="1539"/>
      <c r="V243" s="1539"/>
      <c r="W243" s="1539"/>
      <c r="X243" s="1539"/>
      <c r="Y243" s="1539"/>
      <c r="Z243" s="1539"/>
      <c r="AA243" s="1539"/>
      <c r="AB243" s="1539"/>
      <c r="AC243" s="1539"/>
      <c r="AD243" s="1539"/>
      <c r="AE243" s="1539"/>
      <c r="AF243" s="3" t="s">
        <v>1322</v>
      </c>
      <c r="AL243" s="4"/>
      <c r="AM243" s="4"/>
      <c r="AN243" s="4"/>
      <c r="AO243" s="4"/>
      <c r="AP243" s="4"/>
      <c r="AQ243" s="4"/>
      <c r="AR243" s="4"/>
      <c r="AS243" s="4"/>
      <c r="AT243" s="4"/>
      <c r="AU243" s="4"/>
      <c r="AV243" s="4"/>
      <c r="AW243" s="4"/>
      <c r="AX243" s="4"/>
      <c r="AY243" s="4"/>
      <c r="BG243">
        <f>SUM(BG226:BG241)</f>
        <v>1</v>
      </c>
    </row>
    <row r="244" spans="1:71" ht="12.95" customHeight="1">
      <c r="A244" s="19"/>
      <c r="B244" s="4"/>
      <c r="C244" s="4"/>
      <c r="D244" s="4" t="s">
        <v>589</v>
      </c>
      <c r="E244" s="4"/>
      <c r="M244" s="1539" t="str">
        <f t="shared" si="0"/>
        <v>Rancho Cucomonga</v>
      </c>
      <c r="N244" s="1539"/>
      <c r="O244" s="1539"/>
      <c r="P244" s="1539"/>
      <c r="Q244" s="1539"/>
      <c r="R244" s="1539"/>
      <c r="S244" s="1539"/>
      <c r="T244" s="1539"/>
      <c r="V244" s="33" t="s">
        <v>87</v>
      </c>
      <c r="W244" s="1466" t="str">
        <f>W233</f>
        <v>Ca</v>
      </c>
      <c r="X244" s="1466"/>
      <c r="Y244" s="4" t="s">
        <v>592</v>
      </c>
      <c r="AC244" s="1539">
        <f>AC233</f>
        <v>91730</v>
      </c>
      <c r="AD244" s="1539"/>
      <c r="AE244" s="1539"/>
      <c r="AF244" s="3" t="s">
        <v>1323</v>
      </c>
      <c r="BB244" t="s">
        <v>309</v>
      </c>
      <c r="BG244">
        <v>1</v>
      </c>
      <c r="BH244" t="s">
        <v>543</v>
      </c>
    </row>
    <row r="245" spans="1:71" ht="12.95" customHeight="1">
      <c r="A245" s="19"/>
      <c r="B245" s="4"/>
      <c r="C245" s="4"/>
      <c r="D245" s="4" t="s">
        <v>88</v>
      </c>
      <c r="E245" s="4"/>
      <c r="F245" s="4"/>
      <c r="G245" s="4"/>
      <c r="H245" s="4"/>
      <c r="I245" s="4"/>
      <c r="J245" s="4"/>
      <c r="K245" s="4"/>
      <c r="L245" s="19"/>
      <c r="M245" s="1539" t="str">
        <f t="shared" si="0"/>
        <v>Bobbie Barnett</v>
      </c>
      <c r="N245" s="1539"/>
      <c r="O245" s="1539"/>
      <c r="P245" s="1539"/>
      <c r="Q245" s="1539"/>
      <c r="R245" s="1539"/>
      <c r="S245" s="1539"/>
      <c r="T245" s="1539"/>
      <c r="U245" s="1539"/>
      <c r="V245" s="1539"/>
      <c r="W245" s="1539"/>
      <c r="X245" s="1539"/>
      <c r="Y245" s="1539"/>
      <c r="Z245" s="1539"/>
      <c r="AA245" s="1539"/>
      <c r="AB245" s="1539"/>
      <c r="AC245" s="1539"/>
      <c r="AD245" s="1539"/>
      <c r="AE245" s="1539"/>
      <c r="AH245" s="1435">
        <v>99.98</v>
      </c>
      <c r="AI245" s="1435"/>
      <c r="AJ245" s="1435"/>
      <c r="AK245" s="1435"/>
      <c r="AL245" s="4"/>
      <c r="AM245" s="4"/>
      <c r="AN245" s="4"/>
      <c r="AO245" s="4"/>
      <c r="AP245" s="4"/>
      <c r="AQ245" s="4"/>
      <c r="AR245" s="4"/>
      <c r="AS245" s="4"/>
      <c r="AT245" s="4"/>
      <c r="AU245" s="4"/>
      <c r="AV245" s="4"/>
      <c r="AW245" s="4"/>
      <c r="AX245" s="4"/>
      <c r="AY245" s="4"/>
      <c r="BB245" s="4" t="s">
        <v>282</v>
      </c>
      <c r="BG245">
        <v>2</v>
      </c>
      <c r="BH245" t="s">
        <v>575</v>
      </c>
      <c r="BO245" s="257" t="str">
        <f>VLOOKUP(BG243,BG244:BH246,2,FALSE)</f>
        <v>Nonprofit</v>
      </c>
    </row>
    <row r="246" spans="1:71" ht="12.95" customHeight="1">
      <c r="A246" s="19"/>
      <c r="B246" s="4"/>
      <c r="C246" s="4"/>
      <c r="D246" s="4" t="s">
        <v>89</v>
      </c>
      <c r="E246" s="4"/>
      <c r="F246" s="4"/>
      <c r="M246" s="1437" t="str">
        <f t="shared" si="0"/>
        <v>909-204-3502</v>
      </c>
      <c r="N246" s="1437"/>
      <c r="O246" s="1437"/>
      <c r="P246" s="1437"/>
      <c r="Q246" s="1437"/>
      <c r="R246" s="1437"/>
      <c r="S246" s="4" t="s">
        <v>208</v>
      </c>
      <c r="T246" s="4"/>
      <c r="U246" s="1466"/>
      <c r="V246" s="1466"/>
      <c r="W246" s="1466"/>
      <c r="X246" s="4" t="s">
        <v>90</v>
      </c>
      <c r="Z246" s="1437"/>
      <c r="AA246" s="1437"/>
      <c r="AB246" s="1437"/>
      <c r="AC246" s="1437"/>
      <c r="AD246" s="1437"/>
      <c r="AE246" s="1437"/>
      <c r="BB246" s="4" t="s">
        <v>174</v>
      </c>
      <c r="BG246">
        <v>3</v>
      </c>
      <c r="BH246" t="s">
        <v>545</v>
      </c>
      <c r="BN246" s="34"/>
    </row>
    <row r="247" spans="1:71" ht="12.95" customHeight="1">
      <c r="A247" s="19"/>
      <c r="B247" s="4"/>
      <c r="C247" s="4"/>
      <c r="D247" s="4" t="s">
        <v>91</v>
      </c>
      <c r="E247" s="4"/>
      <c r="F247" s="4"/>
      <c r="M247" s="1469" t="str">
        <f t="shared" si="0"/>
        <v>bbarnett@nationalcore.org</v>
      </c>
      <c r="N247" s="1469"/>
      <c r="O247" s="1469"/>
      <c r="P247" s="1469"/>
      <c r="Q247" s="1469"/>
      <c r="R247" s="1469"/>
      <c r="S247" s="1469"/>
      <c r="T247" s="1469"/>
      <c r="U247" s="1469"/>
      <c r="V247" s="1469"/>
      <c r="W247" s="1469"/>
      <c r="X247" s="1469"/>
      <c r="Y247" s="1469"/>
      <c r="Z247" s="1469"/>
      <c r="AA247" s="1469"/>
      <c r="AB247" s="1469"/>
      <c r="AC247" s="1469"/>
      <c r="AD247" s="1469"/>
      <c r="AE247" s="1469"/>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544</v>
      </c>
      <c r="E248" s="4"/>
      <c r="F248" s="4"/>
      <c r="G248" s="4"/>
      <c r="H248" s="4"/>
      <c r="I248" s="4"/>
      <c r="J248" s="4"/>
      <c r="K248" s="4"/>
      <c r="L248" s="4"/>
      <c r="M248" s="1366" t="s">
        <v>543</v>
      </c>
      <c r="N248" s="1366"/>
      <c r="O248" s="1366"/>
      <c r="P248" s="1366"/>
      <c r="Q248" s="1366"/>
      <c r="R248" s="1366"/>
      <c r="S248" s="1366"/>
      <c r="T248" s="1366"/>
      <c r="U248" s="218" t="s">
        <v>939</v>
      </c>
      <c r="V248" s="218"/>
      <c r="W248" s="218"/>
      <c r="X248" s="218"/>
      <c r="Y248" s="218"/>
      <c r="Z248" s="218"/>
      <c r="AA248" s="1541"/>
      <c r="AB248" s="1541"/>
      <c r="AC248" s="1541"/>
      <c r="AD248" s="1541"/>
      <c r="AE248" s="1541"/>
      <c r="AF248" s="1541"/>
      <c r="AG248" s="1541"/>
      <c r="AH248" s="1541"/>
      <c r="AI248" s="1541"/>
      <c r="AJ248" s="1541"/>
      <c r="AK248" s="1541"/>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995</v>
      </c>
      <c r="E250" s="4"/>
      <c r="F250" s="4"/>
      <c r="G250" s="4"/>
      <c r="H250" s="4"/>
      <c r="I250" s="4"/>
      <c r="J250" s="4"/>
      <c r="K250" s="4"/>
      <c r="L250" s="4"/>
      <c r="M250" s="1544"/>
      <c r="N250" s="1544"/>
      <c r="O250" s="1544"/>
      <c r="P250" s="1544"/>
      <c r="Q250" s="1544"/>
      <c r="R250" s="1544"/>
      <c r="S250" s="1544"/>
      <c r="T250" s="1544"/>
      <c r="U250" s="1544"/>
      <c r="V250" s="1544"/>
      <c r="W250" s="1544"/>
      <c r="X250" s="1544"/>
      <c r="Y250" s="1544"/>
      <c r="Z250" s="1544"/>
      <c r="AA250" s="1544"/>
      <c r="AB250" s="1544"/>
      <c r="AC250" s="1544"/>
      <c r="AD250" s="1544"/>
      <c r="AE250" s="1544"/>
      <c r="AF250" s="1544" t="s">
        <v>309</v>
      </c>
      <c r="AG250" s="1544"/>
      <c r="AH250" s="1544"/>
      <c r="AI250" s="1544"/>
      <c r="AJ250" s="1544"/>
      <c r="AK250" s="1544"/>
      <c r="BN250" s="34"/>
    </row>
    <row r="251" spans="1:71" ht="12.95" customHeight="1">
      <c r="A251" s="19"/>
      <c r="B251" s="4"/>
      <c r="C251" s="4"/>
      <c r="D251" s="4" t="s">
        <v>86</v>
      </c>
      <c r="E251" s="4"/>
      <c r="F251" s="4"/>
      <c r="G251" s="4"/>
      <c r="H251" s="4"/>
      <c r="I251" s="4"/>
      <c r="J251" s="4"/>
      <c r="K251" s="4"/>
      <c r="L251" s="4"/>
      <c r="M251" s="1539"/>
      <c r="N251" s="1539"/>
      <c r="O251" s="1539"/>
      <c r="P251" s="1539"/>
      <c r="Q251" s="1539"/>
      <c r="R251" s="1539"/>
      <c r="S251" s="1539"/>
      <c r="T251" s="1539"/>
      <c r="U251" s="1539"/>
      <c r="V251" s="1539"/>
      <c r="W251" s="1539"/>
      <c r="X251" s="1539"/>
      <c r="Y251" s="1539"/>
      <c r="Z251" s="1539"/>
      <c r="AA251" s="1539"/>
      <c r="AB251" s="1539"/>
      <c r="AC251" s="1539"/>
      <c r="AD251" s="1539"/>
      <c r="AE251" s="1539"/>
      <c r="AF251" s="3" t="s">
        <v>1322</v>
      </c>
      <c r="AL251" s="4"/>
      <c r="AM251" s="4"/>
      <c r="AN251" s="4"/>
      <c r="AO251" s="4"/>
      <c r="AP251" s="4"/>
      <c r="AQ251" s="4"/>
      <c r="AR251" s="4"/>
      <c r="AS251" s="4"/>
      <c r="AT251" s="4"/>
      <c r="AU251" s="4"/>
      <c r="AV251" s="4"/>
      <c r="AW251" s="4"/>
      <c r="AX251" s="4"/>
      <c r="AY251" s="4"/>
      <c r="BN251" s="34"/>
    </row>
    <row r="252" spans="1:71" ht="12.95" customHeight="1">
      <c r="A252" s="19"/>
      <c r="B252" s="4"/>
      <c r="C252" s="4"/>
      <c r="D252" s="4" t="s">
        <v>589</v>
      </c>
      <c r="E252" s="4"/>
      <c r="M252" s="1539"/>
      <c r="N252" s="1539"/>
      <c r="O252" s="1539"/>
      <c r="P252" s="1539"/>
      <c r="Q252" s="1539"/>
      <c r="R252" s="1539"/>
      <c r="S252" s="1539"/>
      <c r="T252" s="1539"/>
      <c r="V252" s="33" t="s">
        <v>87</v>
      </c>
      <c r="W252" s="1466"/>
      <c r="X252" s="1466"/>
      <c r="Y252" s="4" t="s">
        <v>592</v>
      </c>
      <c r="AC252" s="1539"/>
      <c r="AD252" s="1539"/>
      <c r="AE252" s="1539"/>
      <c r="AF252" s="3" t="s">
        <v>1323</v>
      </c>
      <c r="BN252" s="34"/>
    </row>
    <row r="253" spans="1:71" ht="12.95" customHeight="1">
      <c r="A253" s="19"/>
      <c r="B253" s="4"/>
      <c r="C253" s="4"/>
      <c r="D253" s="4" t="s">
        <v>88</v>
      </c>
      <c r="E253" s="4"/>
      <c r="F253" s="4"/>
      <c r="G253" s="4"/>
      <c r="H253" s="4"/>
      <c r="I253" s="4"/>
      <c r="J253" s="4"/>
      <c r="K253" s="4"/>
      <c r="L253" s="19"/>
      <c r="M253" s="1539"/>
      <c r="N253" s="1539"/>
      <c r="O253" s="1539"/>
      <c r="P253" s="1539"/>
      <c r="Q253" s="1539"/>
      <c r="R253" s="1539"/>
      <c r="S253" s="1539"/>
      <c r="T253" s="1539"/>
      <c r="U253" s="1539"/>
      <c r="V253" s="1539"/>
      <c r="W253" s="1539"/>
      <c r="X253" s="1539"/>
      <c r="Y253" s="1539"/>
      <c r="Z253" s="1539"/>
      <c r="AA253" s="1539"/>
      <c r="AB253" s="1539"/>
      <c r="AC253" s="1539"/>
      <c r="AD253" s="1539"/>
      <c r="AE253" s="1539"/>
      <c r="AH253" s="1435"/>
      <c r="AI253" s="1435"/>
      <c r="AJ253" s="1435"/>
      <c r="AK253" s="1435"/>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437"/>
      <c r="N254" s="1437"/>
      <c r="O254" s="1437"/>
      <c r="P254" s="1437"/>
      <c r="Q254" s="1437"/>
      <c r="R254" s="1437"/>
      <c r="S254" s="4" t="s">
        <v>208</v>
      </c>
      <c r="T254" s="4"/>
      <c r="U254" s="1466"/>
      <c r="V254" s="1466"/>
      <c r="W254" s="1466"/>
      <c r="X254" s="4" t="s">
        <v>90</v>
      </c>
      <c r="Z254" s="1437"/>
      <c r="AA254" s="1437"/>
      <c r="AB254" s="1437"/>
      <c r="AC254" s="1437"/>
      <c r="AD254" s="1437"/>
      <c r="AE254" s="1437"/>
    </row>
    <row r="255" spans="1:71" ht="12.95" customHeight="1">
      <c r="A255" s="19"/>
      <c r="B255" s="4"/>
      <c r="C255" s="4"/>
      <c r="D255" s="4" t="s">
        <v>91</v>
      </c>
      <c r="E255" s="4"/>
      <c r="F255" s="4"/>
      <c r="M255" s="1469"/>
      <c r="N255" s="1469"/>
      <c r="O255" s="1469"/>
      <c r="P255" s="1469"/>
      <c r="Q255" s="1469"/>
      <c r="R255" s="1469"/>
      <c r="S255" s="1469"/>
      <c r="T255" s="1469"/>
      <c r="U255" s="1469"/>
      <c r="V255" s="1469"/>
      <c r="W255" s="1469"/>
      <c r="X255" s="1469"/>
      <c r="Y255" s="1469"/>
      <c r="Z255" s="1469"/>
      <c r="AA255" s="1469"/>
      <c r="AB255" s="1469"/>
      <c r="AC255" s="1469"/>
      <c r="AD255" s="1469"/>
      <c r="AE255" s="1469"/>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544</v>
      </c>
      <c r="E256" s="4"/>
      <c r="F256" s="4"/>
      <c r="G256" s="4"/>
      <c r="H256" s="4"/>
      <c r="I256" s="4"/>
      <c r="J256" s="4"/>
      <c r="K256" s="4"/>
      <c r="L256" s="4"/>
      <c r="M256" s="1366" t="s">
        <v>309</v>
      </c>
      <c r="N256" s="1366"/>
      <c r="O256" s="1366"/>
      <c r="P256" s="1366"/>
      <c r="Q256" s="1366"/>
      <c r="R256" s="1366"/>
      <c r="S256" s="1366"/>
      <c r="T256" s="1366"/>
      <c r="U256" s="218" t="s">
        <v>939</v>
      </c>
      <c r="V256" s="218"/>
      <c r="W256" s="218"/>
      <c r="X256" s="218"/>
      <c r="Y256" s="218"/>
      <c r="Z256" s="218"/>
      <c r="AA256" s="1541"/>
      <c r="AB256" s="1541"/>
      <c r="AC256" s="1541"/>
      <c r="AD256" s="1541"/>
      <c r="AE256" s="1541"/>
      <c r="AF256" s="1541"/>
      <c r="AG256" s="1541"/>
      <c r="AH256" s="1541"/>
      <c r="AI256" s="1541"/>
      <c r="AJ256" s="1541"/>
      <c r="AK256" s="1541"/>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905</v>
      </c>
      <c r="D258" s="4" t="s">
        <v>541</v>
      </c>
      <c r="E258" s="4"/>
      <c r="F258" s="4"/>
      <c r="G258" s="4"/>
      <c r="H258" s="4"/>
      <c r="I258" s="4"/>
      <c r="J258" s="4"/>
      <c r="K258" s="4"/>
      <c r="L258" s="4"/>
      <c r="M258" s="1544"/>
      <c r="N258" s="1544"/>
      <c r="O258" s="1544"/>
      <c r="P258" s="1544"/>
      <c r="Q258" s="1544"/>
      <c r="R258" s="1544"/>
      <c r="S258" s="1544"/>
      <c r="T258" s="1544"/>
      <c r="U258" s="1544"/>
      <c r="V258" s="1544"/>
      <c r="W258" s="1544"/>
      <c r="X258" s="1544"/>
      <c r="Y258" s="1544"/>
      <c r="Z258" s="1544"/>
      <c r="AA258" s="1544"/>
      <c r="AB258" s="1544"/>
      <c r="AC258" s="1544"/>
      <c r="AD258" s="1544"/>
      <c r="AE258" s="1544"/>
      <c r="AF258" s="1544" t="s">
        <v>309</v>
      </c>
      <c r="AG258" s="1544"/>
      <c r="AH258" s="1544"/>
      <c r="AI258" s="1544"/>
      <c r="AJ258" s="1544"/>
      <c r="AK258" s="1544"/>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539"/>
      <c r="N259" s="1539"/>
      <c r="O259" s="1539"/>
      <c r="P259" s="1539"/>
      <c r="Q259" s="1539"/>
      <c r="R259" s="1539"/>
      <c r="S259" s="1539"/>
      <c r="T259" s="1539"/>
      <c r="U259" s="1539"/>
      <c r="V259" s="1539"/>
      <c r="W259" s="1539"/>
      <c r="X259" s="1539"/>
      <c r="Y259" s="1539"/>
      <c r="Z259" s="1539"/>
      <c r="AA259" s="1539"/>
      <c r="AB259" s="1539"/>
      <c r="AC259" s="1539"/>
      <c r="AD259" s="1539"/>
      <c r="AE259" s="1539"/>
      <c r="AF259" s="3" t="s">
        <v>1322</v>
      </c>
      <c r="AL259" s="3"/>
      <c r="AM259" s="3"/>
      <c r="AN259" s="3"/>
      <c r="AO259" s="3"/>
      <c r="AP259" s="3"/>
      <c r="AQ259" s="3"/>
      <c r="AR259" s="3"/>
      <c r="AS259" s="3"/>
      <c r="AT259" s="3"/>
      <c r="AU259" s="3"/>
      <c r="AV259" s="3"/>
      <c r="AW259" s="3"/>
      <c r="AX259" s="3"/>
      <c r="AY259" s="3"/>
      <c r="BN259" s="34"/>
    </row>
    <row r="260" spans="1:66" ht="12.95" customHeight="1">
      <c r="A260" s="13"/>
      <c r="B260" s="4"/>
      <c r="C260" s="4"/>
      <c r="D260" s="4" t="s">
        <v>589</v>
      </c>
      <c r="E260" s="4"/>
      <c r="M260" s="1539"/>
      <c r="N260" s="1539"/>
      <c r="O260" s="1539"/>
      <c r="P260" s="1539"/>
      <c r="Q260" s="1539"/>
      <c r="R260" s="1539"/>
      <c r="S260" s="1539"/>
      <c r="T260" s="1539"/>
      <c r="V260" s="33" t="s">
        <v>87</v>
      </c>
      <c r="W260" s="1466"/>
      <c r="X260" s="1466"/>
      <c r="Y260" s="4" t="s">
        <v>592</v>
      </c>
      <c r="AC260" s="1539"/>
      <c r="AD260" s="1539"/>
      <c r="AE260" s="1539"/>
      <c r="AF260" s="3" t="s">
        <v>1323</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539"/>
      <c r="N261" s="1539"/>
      <c r="O261" s="1539"/>
      <c r="P261" s="1539"/>
      <c r="Q261" s="1539"/>
      <c r="R261" s="1539"/>
      <c r="S261" s="1539"/>
      <c r="T261" s="1539"/>
      <c r="U261" s="1539"/>
      <c r="V261" s="1539"/>
      <c r="W261" s="1539"/>
      <c r="X261" s="1539"/>
      <c r="Y261" s="1539"/>
      <c r="Z261" s="1539"/>
      <c r="AA261" s="1539"/>
      <c r="AB261" s="1539"/>
      <c r="AC261" s="1539"/>
      <c r="AD261" s="1539"/>
      <c r="AE261" s="1539"/>
      <c r="AH261" s="1435"/>
      <c r="AI261" s="1435"/>
      <c r="AJ261" s="1435"/>
      <c r="AK261" s="1435"/>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437"/>
      <c r="N262" s="1437"/>
      <c r="O262" s="1437"/>
      <c r="P262" s="1437"/>
      <c r="Q262" s="1437"/>
      <c r="R262" s="1437"/>
      <c r="S262" s="4" t="s">
        <v>208</v>
      </c>
      <c r="T262" s="4"/>
      <c r="U262" s="1466"/>
      <c r="V262" s="1466"/>
      <c r="W262" s="1466"/>
      <c r="X262" s="4" t="s">
        <v>90</v>
      </c>
      <c r="Z262" s="1437"/>
      <c r="AA262" s="1437"/>
      <c r="AB262" s="1437"/>
      <c r="AC262" s="1437"/>
      <c r="AD262" s="1437"/>
      <c r="AE262" s="1437"/>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469"/>
      <c r="N263" s="1469"/>
      <c r="O263" s="1469"/>
      <c r="P263" s="1469"/>
      <c r="Q263" s="1469"/>
      <c r="R263" s="1469"/>
      <c r="S263" s="1469"/>
      <c r="T263" s="1469"/>
      <c r="U263" s="1469"/>
      <c r="V263" s="1469"/>
      <c r="W263" s="1469"/>
      <c r="X263" s="1469"/>
      <c r="Y263" s="1469"/>
      <c r="Z263" s="1469"/>
      <c r="AA263" s="1547"/>
      <c r="AB263" s="1547"/>
      <c r="AC263" s="1547"/>
      <c r="AD263" s="1547"/>
      <c r="AE263" s="1547"/>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544</v>
      </c>
      <c r="E264" s="4"/>
      <c r="F264" s="4"/>
      <c r="G264" s="4"/>
      <c r="H264" s="4"/>
      <c r="I264" s="4"/>
      <c r="J264" s="4"/>
      <c r="K264" s="4"/>
      <c r="L264" s="4"/>
      <c r="M264" s="1366" t="s">
        <v>309</v>
      </c>
      <c r="N264" s="1366"/>
      <c r="O264" s="1366"/>
      <c r="P264" s="1366"/>
      <c r="Q264" s="1366"/>
      <c r="R264" s="1366"/>
      <c r="S264" s="1366"/>
      <c r="T264" s="1366"/>
      <c r="U264" s="218" t="s">
        <v>939</v>
      </c>
      <c r="V264" s="218"/>
      <c r="W264" s="218"/>
      <c r="X264" s="218"/>
      <c r="Y264" s="218"/>
      <c r="Z264" s="218"/>
      <c r="AA264" s="1575"/>
      <c r="AB264" s="1575"/>
      <c r="AC264" s="1575"/>
      <c r="AD264" s="1575"/>
      <c r="AE264" s="1575"/>
      <c r="AF264" s="1575"/>
      <c r="AG264" s="1575"/>
      <c r="AH264" s="1575"/>
      <c r="AI264" s="1575"/>
      <c r="AJ264" s="1575"/>
      <c r="AK264" s="1575"/>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599</v>
      </c>
      <c r="B266" s="4"/>
      <c r="C266" s="2" t="s">
        <v>297</v>
      </c>
      <c r="D266" s="4"/>
      <c r="E266" s="4"/>
      <c r="F266" s="4"/>
      <c r="G266" s="4"/>
      <c r="H266" s="4"/>
      <c r="I266" s="4"/>
      <c r="J266" s="4"/>
      <c r="K266" s="4"/>
      <c r="L266" s="4"/>
      <c r="M266" s="35"/>
      <c r="N266" s="35"/>
      <c r="O266" s="35"/>
      <c r="P266" s="35"/>
      <c r="Q266" s="35"/>
      <c r="T266" s="1546" t="str">
        <f>BO245</f>
        <v>Nonprofit</v>
      </c>
      <c r="U266" s="1546"/>
      <c r="V266" s="1546"/>
      <c r="W266" s="1546"/>
      <c r="X266" s="1546"/>
      <c r="Z266" s="331" t="s">
        <v>994</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2.95" customHeight="1">
      <c r="A268" s="2" t="s">
        <v>601</v>
      </c>
      <c r="B268" s="4"/>
      <c r="C268" s="2" t="s">
        <v>173</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2.95" customHeight="1">
      <c r="A269" s="4"/>
      <c r="B269" s="36">
        <v>0</v>
      </c>
      <c r="D269" s="1539" t="s">
        <v>174</v>
      </c>
      <c r="E269" s="1539"/>
      <c r="F269" s="1539"/>
      <c r="G269" s="1539"/>
      <c r="H269" s="1539"/>
      <c r="J269" t="s">
        <v>281</v>
      </c>
      <c r="X269" s="1545">
        <v>45266</v>
      </c>
      <c r="Y269" s="1545"/>
      <c r="Z269" s="1545"/>
      <c r="AA269" s="1545"/>
      <c r="AB269" s="1545"/>
      <c r="AC269" s="1545"/>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543" t="s">
        <v>2642</v>
      </c>
      <c r="M273" s="1544"/>
      <c r="N273" s="1544"/>
      <c r="O273" s="1544"/>
      <c r="P273" s="1544"/>
      <c r="Q273" s="1544"/>
      <c r="R273" s="1544"/>
      <c r="S273" s="1544"/>
      <c r="T273" s="1544"/>
      <c r="U273" s="1544"/>
      <c r="V273" s="1544"/>
      <c r="W273" s="1544"/>
      <c r="X273" s="1544"/>
      <c r="Y273" s="1544"/>
      <c r="Z273" s="1544"/>
      <c r="AA273" s="1544"/>
      <c r="AB273" s="1544"/>
      <c r="AC273" s="1544"/>
      <c r="AD273" s="1544"/>
      <c r="AE273" s="1544"/>
      <c r="AF273" s="1544"/>
      <c r="AG273" s="1544"/>
      <c r="AH273" s="1544"/>
      <c r="AI273" s="1544"/>
      <c r="AJ273" s="1544"/>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514" t="s">
        <v>2643</v>
      </c>
      <c r="M274" s="1539"/>
      <c r="N274" s="1539"/>
      <c r="O274" s="1539"/>
      <c r="P274" s="1539"/>
      <c r="Q274" s="1539"/>
      <c r="R274" s="1539"/>
      <c r="S274" s="1539"/>
      <c r="T274" s="1539"/>
      <c r="U274" s="1539"/>
      <c r="V274" s="1539"/>
      <c r="W274" s="1539"/>
      <c r="X274" s="1539"/>
      <c r="Y274" s="1539"/>
      <c r="Z274" s="1539"/>
      <c r="AA274" s="1539"/>
      <c r="AB274" s="1539"/>
      <c r="AC274" s="1539"/>
      <c r="AD274" s="1539"/>
      <c r="AK274" s="3"/>
      <c r="AL274" s="3"/>
      <c r="AM274" s="3"/>
      <c r="AN274" s="3"/>
      <c r="AO274" s="3"/>
      <c r="AP274" s="3"/>
      <c r="AQ274" s="3"/>
      <c r="AR274" s="3"/>
      <c r="AS274" s="3"/>
      <c r="AT274" s="3"/>
      <c r="AU274" s="3"/>
      <c r="AV274" s="3"/>
      <c r="AW274" s="3"/>
      <c r="AX274" s="3"/>
      <c r="AY274" s="3"/>
      <c r="BN274" s="34"/>
    </row>
    <row r="275" spans="1:66" ht="12.95" customHeight="1">
      <c r="D275" s="4" t="s">
        <v>589</v>
      </c>
      <c r="E275" s="4"/>
      <c r="L275" s="1514" t="s">
        <v>67</v>
      </c>
      <c r="M275" s="1539"/>
      <c r="N275" s="1539"/>
      <c r="O275" s="1539"/>
      <c r="P275" s="1539"/>
      <c r="Q275" s="1539"/>
      <c r="R275" s="1539"/>
      <c r="S275" s="1539"/>
      <c r="U275" s="33" t="s">
        <v>87</v>
      </c>
      <c r="V275" s="1394" t="s">
        <v>2644</v>
      </c>
      <c r="W275" s="1466"/>
      <c r="X275" s="4" t="s">
        <v>592</v>
      </c>
      <c r="AB275" s="1539">
        <v>92507</v>
      </c>
      <c r="AC275" s="1539"/>
      <c r="AD275" s="1539"/>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514" t="s">
        <v>2645</v>
      </c>
      <c r="M276" s="1539"/>
      <c r="N276" s="1539"/>
      <c r="O276" s="1539"/>
      <c r="P276" s="1539"/>
      <c r="Q276" s="1539"/>
      <c r="R276" s="1539"/>
      <c r="S276" s="1539"/>
      <c r="T276" s="1539"/>
      <c r="U276" s="1539"/>
      <c r="V276" s="1539"/>
      <c r="W276" s="1539"/>
      <c r="X276" s="1539"/>
      <c r="Y276" s="1539"/>
      <c r="Z276" s="1539"/>
      <c r="AA276" s="1539"/>
      <c r="AB276" s="1539"/>
      <c r="AC276" s="1539"/>
      <c r="AD276" s="1539"/>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517" t="s">
        <v>2646</v>
      </c>
      <c r="M277" s="1437"/>
      <c r="N277" s="1437"/>
      <c r="O277" s="1437"/>
      <c r="P277" s="1437"/>
      <c r="Q277" s="1437"/>
      <c r="R277" s="4" t="s">
        <v>208</v>
      </c>
      <c r="S277" s="4"/>
      <c r="T277" s="1466"/>
      <c r="U277" s="1466"/>
      <c r="V277" s="1466"/>
      <c r="W277" s="4" t="s">
        <v>90</v>
      </c>
      <c r="Y277" s="1437"/>
      <c r="Z277" s="1437"/>
      <c r="AA277" s="1437"/>
      <c r="AB277" s="1437"/>
      <c r="AC277" s="1437"/>
      <c r="AD277" s="1437"/>
      <c r="BN277" s="34"/>
    </row>
    <row r="278" spans="1:66" ht="12.95" customHeight="1">
      <c r="D278" s="4" t="s">
        <v>91</v>
      </c>
      <c r="E278" s="4"/>
      <c r="F278" s="4"/>
      <c r="L278" s="1469" t="s">
        <v>2647</v>
      </c>
      <c r="M278" s="1469"/>
      <c r="N278" s="1469"/>
      <c r="O278" s="1469"/>
      <c r="P278" s="1469"/>
      <c r="Q278" s="1469"/>
      <c r="R278" s="1469"/>
      <c r="S278" s="1469"/>
      <c r="T278" s="1469"/>
      <c r="U278" s="1469"/>
      <c r="V278" s="1469"/>
      <c r="W278" s="1469"/>
      <c r="X278" s="1469"/>
      <c r="Y278" s="1469"/>
      <c r="Z278" s="1469"/>
      <c r="AA278" s="1469"/>
      <c r="AB278" s="1469"/>
      <c r="AC278" s="1469"/>
      <c r="AD278" s="1469"/>
      <c r="AF278" s="4"/>
      <c r="AG278" s="4"/>
      <c r="AH278" s="4"/>
      <c r="AI278" s="4"/>
      <c r="AJ278" s="4"/>
      <c r="BN278" s="34"/>
    </row>
    <row r="279" spans="1:66" ht="12.95" customHeight="1">
      <c r="D279" s="3" t="s">
        <v>632</v>
      </c>
      <c r="E279" s="3"/>
      <c r="F279" s="3"/>
      <c r="G279" s="3"/>
      <c r="H279" s="3"/>
      <c r="I279" s="3"/>
      <c r="L279" s="1394" t="s">
        <v>2706</v>
      </c>
      <c r="M279" s="1394"/>
      <c r="N279" s="1394"/>
      <c r="O279" s="1394"/>
      <c r="P279" s="1394"/>
      <c r="Q279" s="1394"/>
      <c r="R279" s="1394"/>
      <c r="S279" s="1394"/>
      <c r="T279" s="1394"/>
      <c r="U279" s="1394"/>
      <c r="V279" s="1394"/>
      <c r="W279" s="1394"/>
      <c r="X279" s="1394"/>
      <c r="Y279" s="1394"/>
      <c r="Z279" s="1394"/>
      <c r="AA279" s="1394"/>
      <c r="AB279" s="1394"/>
      <c r="AC279" s="1394"/>
      <c r="AD279" s="1394"/>
      <c r="AK279" s="3"/>
      <c r="AL279" s="3"/>
      <c r="AM279" s="3"/>
      <c r="AN279" s="3"/>
      <c r="AO279" s="3"/>
      <c r="AP279" s="3"/>
      <c r="AQ279" s="3"/>
      <c r="AR279" s="3"/>
      <c r="AS279" s="3"/>
      <c r="AT279" s="3"/>
      <c r="AU279" s="3"/>
      <c r="AV279" s="3"/>
      <c r="AW279" s="3"/>
      <c r="AX279" s="3"/>
      <c r="AY279" s="3"/>
      <c r="BN279" s="34"/>
    </row>
    <row r="280" spans="1:66" ht="12.95" customHeight="1">
      <c r="L280" s="22" t="s">
        <v>633</v>
      </c>
      <c r="BN280" s="34"/>
    </row>
    <row r="281" spans="1:66" ht="12.95" customHeight="1">
      <c r="A281" s="1442" t="s">
        <v>550</v>
      </c>
      <c r="B281" s="1442"/>
      <c r="C281" s="1442"/>
      <c r="D281" s="1442"/>
      <c r="E281" s="1442"/>
      <c r="F281" s="1442"/>
      <c r="G281" s="1442"/>
      <c r="H281" s="1442"/>
      <c r="I281" s="1442"/>
      <c r="J281" s="1442"/>
      <c r="K281" s="1442"/>
      <c r="L281" s="1442"/>
      <c r="M281" s="1442"/>
      <c r="N281" s="1442"/>
      <c r="O281" s="1442"/>
      <c r="P281" s="1442"/>
      <c r="Q281" s="1442"/>
      <c r="R281" s="1442"/>
      <c r="S281" s="1442"/>
      <c r="T281" s="1442"/>
      <c r="U281" s="1442"/>
      <c r="V281" s="1442"/>
      <c r="W281" s="1442"/>
      <c r="X281" s="1442"/>
      <c r="Y281" s="1442"/>
      <c r="Z281" s="1442"/>
      <c r="AA281" s="1442"/>
      <c r="AB281" s="1442"/>
      <c r="AC281" s="1442"/>
      <c r="AD281" s="1442"/>
      <c r="AE281" s="1442"/>
      <c r="AF281" s="1442"/>
      <c r="AG281" s="1442"/>
      <c r="AH281" s="1442"/>
      <c r="AI281" s="1442"/>
      <c r="AJ281" s="1442"/>
      <c r="AK281" s="1442"/>
      <c r="AL281" s="1442"/>
      <c r="AM281" s="95"/>
      <c r="AN281" s="95"/>
      <c r="AO281" s="95"/>
      <c r="AP281" s="95"/>
      <c r="AQ281" s="95"/>
      <c r="AR281" s="95"/>
      <c r="AS281" s="95"/>
      <c r="AT281" s="95"/>
      <c r="AU281" s="95"/>
      <c r="AV281" s="95"/>
      <c r="AW281" s="95"/>
      <c r="AX281" s="95"/>
      <c r="AY281" s="95"/>
      <c r="BN281" s="34"/>
    </row>
    <row r="282" spans="1:66" ht="12.95" customHeight="1" thickBot="1">
      <c r="A282" s="1443"/>
      <c r="B282" s="1443"/>
      <c r="C282" s="1443"/>
      <c r="D282" s="1443"/>
      <c r="E282" s="1443"/>
      <c r="F282" s="1443"/>
      <c r="G282" s="1443"/>
      <c r="H282" s="1443"/>
      <c r="I282" s="1443"/>
      <c r="J282" s="1443"/>
      <c r="K282" s="1443"/>
      <c r="L282" s="1443"/>
      <c r="M282" s="1443"/>
      <c r="N282" s="1443"/>
      <c r="O282" s="1443"/>
      <c r="P282" s="1443"/>
      <c r="Q282" s="1443"/>
      <c r="R282" s="1443"/>
      <c r="S282" s="1443"/>
      <c r="T282" s="1443"/>
      <c r="U282" s="1443"/>
      <c r="V282" s="1443"/>
      <c r="W282" s="1443"/>
      <c r="X282" s="1443"/>
      <c r="Y282" s="1443"/>
      <c r="Z282" s="1443"/>
      <c r="AA282" s="1443"/>
      <c r="AB282" s="1443"/>
      <c r="AC282" s="1443"/>
      <c r="AD282" s="1443"/>
      <c r="AE282" s="1443"/>
      <c r="AF282" s="1443"/>
      <c r="AG282" s="1443"/>
      <c r="AH282" s="1443"/>
      <c r="AI282" s="1443"/>
      <c r="AJ282" s="1443"/>
      <c r="AK282" s="1443"/>
      <c r="AL282" s="1443"/>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635</v>
      </c>
      <c r="C286" s="3"/>
      <c r="D286" s="3"/>
      <c r="E286" s="3"/>
      <c r="F286" s="3"/>
      <c r="H286" s="1395" t="s">
        <v>2648</v>
      </c>
      <c r="I286" s="1395"/>
      <c r="J286" s="1395"/>
      <c r="K286" s="1395"/>
      <c r="L286" s="1395"/>
      <c r="M286" s="1395"/>
      <c r="N286" s="1395"/>
      <c r="O286" s="1395"/>
      <c r="P286" s="1395"/>
      <c r="Q286" s="1395"/>
      <c r="R286" s="1395"/>
      <c r="T286" s="3" t="s">
        <v>576</v>
      </c>
      <c r="V286" s="3"/>
      <c r="W286" s="3"/>
      <c r="X286" s="3"/>
      <c r="Y286" s="3"/>
      <c r="AA286" s="1395" t="s">
        <v>2661</v>
      </c>
      <c r="AB286" s="1395"/>
      <c r="AC286" s="1395"/>
      <c r="AD286" s="1395"/>
      <c r="AE286" s="1395"/>
      <c r="AF286" s="1395"/>
      <c r="AG286" s="1395"/>
      <c r="AH286" s="1395"/>
      <c r="AI286" s="1395"/>
      <c r="AJ286" s="1395"/>
      <c r="AK286" s="1395"/>
      <c r="BN286" s="34"/>
    </row>
    <row r="287" spans="1:66" ht="12.95" customHeight="1">
      <c r="B287" s="3" t="s">
        <v>480</v>
      </c>
      <c r="C287" s="3"/>
      <c r="D287" s="3"/>
      <c r="E287" s="3"/>
      <c r="F287" s="3"/>
      <c r="H287" s="1366" t="s">
        <v>2649</v>
      </c>
      <c r="I287" s="1366"/>
      <c r="J287" s="1366"/>
      <c r="K287" s="1366"/>
      <c r="L287" s="1366"/>
      <c r="M287" s="1366"/>
      <c r="N287" s="1366"/>
      <c r="O287" s="1366"/>
      <c r="P287" s="1366"/>
      <c r="Q287" s="1366"/>
      <c r="R287" s="1366"/>
      <c r="T287" s="3" t="s">
        <v>480</v>
      </c>
      <c r="V287" s="3"/>
      <c r="W287" s="3"/>
      <c r="X287" s="3"/>
      <c r="Y287" s="3"/>
      <c r="AA287" s="1366" t="s">
        <v>2662</v>
      </c>
      <c r="AB287" s="1366"/>
      <c r="AC287" s="1366"/>
      <c r="AD287" s="1366"/>
      <c r="AE287" s="1366"/>
      <c r="AF287" s="1366"/>
      <c r="AG287" s="1366"/>
      <c r="AH287" s="1366"/>
      <c r="AI287" s="1366"/>
      <c r="AJ287" s="1366"/>
      <c r="AK287" s="1366"/>
      <c r="BN287" s="34"/>
    </row>
    <row r="288" spans="1:66" ht="12.95" customHeight="1">
      <c r="B288" s="3" t="s">
        <v>481</v>
      </c>
      <c r="C288" s="3"/>
      <c r="D288" s="3"/>
      <c r="E288" s="3"/>
      <c r="F288" s="3"/>
      <c r="H288" s="1366" t="s">
        <v>2679</v>
      </c>
      <c r="I288" s="1366"/>
      <c r="J288" s="1366"/>
      <c r="K288" s="1366"/>
      <c r="L288" s="1366"/>
      <c r="M288" s="1366"/>
      <c r="N288" s="1366"/>
      <c r="O288" s="1366"/>
      <c r="P288" s="1366"/>
      <c r="Q288" s="1366"/>
      <c r="R288" s="1366"/>
      <c r="T288" s="3" t="s">
        <v>76</v>
      </c>
      <c r="V288" s="3"/>
      <c r="W288" s="3"/>
      <c r="X288" s="3"/>
      <c r="Y288" s="3"/>
      <c r="AA288" s="1366" t="s">
        <v>2663</v>
      </c>
      <c r="AB288" s="1366"/>
      <c r="AC288" s="1366"/>
      <c r="AD288" s="1366"/>
      <c r="AE288" s="1366"/>
      <c r="AF288" s="1366"/>
      <c r="AG288" s="1366"/>
      <c r="AH288" s="1366"/>
      <c r="AI288" s="1366"/>
      <c r="AJ288" s="1366"/>
      <c r="AK288" s="1366"/>
      <c r="BN288" s="34"/>
    </row>
    <row r="289" spans="2:66" ht="12.95" customHeight="1">
      <c r="B289" s="3" t="s">
        <v>88</v>
      </c>
      <c r="C289" s="3"/>
      <c r="D289" s="3"/>
      <c r="E289" s="3"/>
      <c r="F289" s="3"/>
      <c r="H289" s="1366" t="s">
        <v>2653</v>
      </c>
      <c r="I289" s="1366"/>
      <c r="J289" s="1366"/>
      <c r="K289" s="1366"/>
      <c r="L289" s="1366"/>
      <c r="M289" s="1366"/>
      <c r="N289" s="1366"/>
      <c r="O289" s="1366"/>
      <c r="P289" s="1366"/>
      <c r="Q289" s="1366"/>
      <c r="R289" s="1366"/>
      <c r="T289" s="3" t="s">
        <v>88</v>
      </c>
      <c r="V289" s="3"/>
      <c r="W289" s="3"/>
      <c r="X289" s="3"/>
      <c r="Y289" s="3"/>
      <c r="AA289" s="1366" t="s">
        <v>2664</v>
      </c>
      <c r="AB289" s="1366"/>
      <c r="AC289" s="1366"/>
      <c r="AD289" s="1366"/>
      <c r="AE289" s="1366"/>
      <c r="AF289" s="1366"/>
      <c r="AG289" s="1366"/>
      <c r="AH289" s="1366"/>
      <c r="AI289" s="1366"/>
      <c r="AJ289" s="1366"/>
      <c r="AK289" s="1366"/>
      <c r="BN289" s="34"/>
    </row>
    <row r="290" spans="2:66" ht="12.95" customHeight="1">
      <c r="B290" s="3" t="s">
        <v>89</v>
      </c>
      <c r="C290" s="3"/>
      <c r="D290" s="3"/>
      <c r="E290" s="3"/>
      <c r="F290" s="3"/>
      <c r="G290" s="3"/>
      <c r="H290" s="1542" t="s">
        <v>2733</v>
      </c>
      <c r="I290" s="1538"/>
      <c r="J290" s="1538"/>
      <c r="K290" s="1538"/>
      <c r="L290" s="1538"/>
      <c r="M290" s="1538"/>
      <c r="N290" s="4" t="s">
        <v>208</v>
      </c>
      <c r="O290" s="4"/>
      <c r="P290" s="1539"/>
      <c r="Q290" s="1539"/>
      <c r="R290" s="1539"/>
      <c r="S290" s="3"/>
      <c r="T290" s="3" t="s">
        <v>89</v>
      </c>
      <c r="V290" s="3"/>
      <c r="W290" s="3"/>
      <c r="X290" s="3"/>
      <c r="Y290" s="3"/>
      <c r="AA290" s="1542" t="s">
        <v>2665</v>
      </c>
      <c r="AB290" s="1538"/>
      <c r="AC290" s="1538"/>
      <c r="AD290" s="1538"/>
      <c r="AE290" s="1538"/>
      <c r="AF290" s="1538"/>
      <c r="AG290" s="4" t="s">
        <v>208</v>
      </c>
      <c r="AH290" s="4"/>
      <c r="AI290" s="1539"/>
      <c r="AJ290" s="1539"/>
      <c r="AK290" s="1539"/>
      <c r="BN290" s="34"/>
    </row>
    <row r="291" spans="2:66" ht="12.95" customHeight="1">
      <c r="B291" s="3" t="s">
        <v>90</v>
      </c>
      <c r="C291" s="3"/>
      <c r="D291" s="3"/>
      <c r="E291" s="3"/>
      <c r="F291" s="3"/>
      <c r="G291" s="3"/>
      <c r="H291" s="1437"/>
      <c r="I291" s="1437"/>
      <c r="J291" s="1437"/>
      <c r="K291" s="1437"/>
      <c r="L291" s="1437"/>
      <c r="M291" s="1437"/>
      <c r="N291" s="4"/>
      <c r="O291" s="4"/>
      <c r="P291" s="35"/>
      <c r="Q291" s="35"/>
      <c r="R291" s="35"/>
      <c r="S291" s="3"/>
      <c r="T291" s="3" t="s">
        <v>90</v>
      </c>
      <c r="V291" s="3"/>
      <c r="W291" s="3"/>
      <c r="X291" s="3"/>
      <c r="Y291" s="3"/>
      <c r="AA291" s="1437"/>
      <c r="AB291" s="1437"/>
      <c r="AC291" s="1437"/>
      <c r="AD291" s="1437"/>
      <c r="AE291" s="1437"/>
      <c r="AF291" s="1437"/>
      <c r="AG291" s="4"/>
      <c r="AH291" s="4"/>
      <c r="AI291" s="35"/>
      <c r="AJ291" s="35"/>
      <c r="AK291" s="35"/>
      <c r="BN291" s="34"/>
    </row>
    <row r="292" spans="2:66" ht="12.95" customHeight="1">
      <c r="B292" s="3" t="s">
        <v>77</v>
      </c>
      <c r="C292" s="3"/>
      <c r="D292" s="3"/>
      <c r="E292" s="3"/>
      <c r="F292" s="3"/>
      <c r="G292" s="3"/>
      <c r="H292" s="1366" t="s">
        <v>2654</v>
      </c>
      <c r="I292" s="1366"/>
      <c r="J292" s="1366"/>
      <c r="K292" s="1366"/>
      <c r="L292" s="1366"/>
      <c r="M292" s="1366"/>
      <c r="N292" s="1395"/>
      <c r="O292" s="1395"/>
      <c r="P292" s="1395"/>
      <c r="Q292" s="1395"/>
      <c r="R292" s="1395"/>
      <c r="S292" s="3"/>
      <c r="T292" s="3" t="s">
        <v>77</v>
      </c>
      <c r="V292" s="3"/>
      <c r="W292" s="3"/>
      <c r="X292" s="3"/>
      <c r="Y292" s="3"/>
      <c r="AA292" s="1366" t="s">
        <v>2666</v>
      </c>
      <c r="AB292" s="1366"/>
      <c r="AC292" s="1366"/>
      <c r="AD292" s="1366"/>
      <c r="AE292" s="1366"/>
      <c r="AF292" s="1366"/>
      <c r="AG292" s="1395"/>
      <c r="AH292" s="1395"/>
      <c r="AI292" s="1395"/>
      <c r="AJ292" s="1395"/>
      <c r="AK292" s="1395"/>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95" t="s">
        <v>2667</v>
      </c>
      <c r="I294" s="1395"/>
      <c r="J294" s="1395"/>
      <c r="K294" s="1395"/>
      <c r="L294" s="1395"/>
      <c r="M294" s="1395"/>
      <c r="N294" s="1395"/>
      <c r="O294" s="1395"/>
      <c r="P294" s="1395"/>
      <c r="Q294" s="1395"/>
      <c r="R294" s="1395"/>
      <c r="T294" s="3" t="s">
        <v>366</v>
      </c>
      <c r="V294" s="3"/>
      <c r="W294" s="3"/>
      <c r="X294" s="3"/>
      <c r="Y294" s="3"/>
      <c r="AA294" s="1395" t="s">
        <v>2648</v>
      </c>
      <c r="AB294" s="1395"/>
      <c r="AC294" s="1395"/>
      <c r="AD294" s="1395"/>
      <c r="AE294" s="1395"/>
      <c r="AF294" s="1395"/>
      <c r="AG294" s="1395"/>
      <c r="AH294" s="1395"/>
      <c r="AI294" s="1395"/>
      <c r="AJ294" s="1395"/>
      <c r="AK294" s="1395"/>
      <c r="BN294" s="34"/>
    </row>
    <row r="295" spans="2:66" ht="12.95" customHeight="1">
      <c r="B295" s="3" t="s">
        <v>480</v>
      </c>
      <c r="C295" s="3"/>
      <c r="D295" s="3"/>
      <c r="E295" s="3"/>
      <c r="F295" s="3"/>
      <c r="H295" s="1366" t="s">
        <v>2668</v>
      </c>
      <c r="I295" s="1366"/>
      <c r="J295" s="1366"/>
      <c r="K295" s="1366"/>
      <c r="L295" s="1366"/>
      <c r="M295" s="1366"/>
      <c r="N295" s="1366"/>
      <c r="O295" s="1366"/>
      <c r="P295" s="1366"/>
      <c r="Q295" s="1366"/>
      <c r="R295" s="1366"/>
      <c r="T295" s="3" t="s">
        <v>480</v>
      </c>
      <c r="V295" s="3"/>
      <c r="W295" s="3"/>
      <c r="X295" s="3"/>
      <c r="Y295" s="3"/>
      <c r="AA295" s="1366" t="s">
        <v>2649</v>
      </c>
      <c r="AB295" s="1366"/>
      <c r="AC295" s="1366"/>
      <c r="AD295" s="1366"/>
      <c r="AE295" s="1366"/>
      <c r="AF295" s="1366"/>
      <c r="AG295" s="1366"/>
      <c r="AH295" s="1366"/>
      <c r="AI295" s="1366"/>
      <c r="AJ295" s="1366"/>
      <c r="AK295" s="1366"/>
      <c r="BN295" s="34"/>
    </row>
    <row r="296" spans="2:66" ht="12.95" customHeight="1">
      <c r="B296" s="3" t="s">
        <v>481</v>
      </c>
      <c r="C296" s="3"/>
      <c r="D296" s="3"/>
      <c r="E296" s="3"/>
      <c r="F296" s="3"/>
      <c r="H296" s="1366" t="s">
        <v>2669</v>
      </c>
      <c r="I296" s="1366"/>
      <c r="J296" s="1366"/>
      <c r="K296" s="1366"/>
      <c r="L296" s="1366"/>
      <c r="M296" s="1366"/>
      <c r="N296" s="1366"/>
      <c r="O296" s="1366"/>
      <c r="P296" s="1366"/>
      <c r="Q296" s="1366"/>
      <c r="R296" s="1366"/>
      <c r="T296" s="3" t="s">
        <v>76</v>
      </c>
      <c r="V296" s="3"/>
      <c r="W296" s="3"/>
      <c r="X296" s="3"/>
      <c r="Y296" s="3"/>
      <c r="AA296" s="1366" t="s">
        <v>2680</v>
      </c>
      <c r="AB296" s="1366"/>
      <c r="AC296" s="1366"/>
      <c r="AD296" s="1366"/>
      <c r="AE296" s="1366"/>
      <c r="AF296" s="1366"/>
      <c r="AG296" s="1366"/>
      <c r="AH296" s="1366"/>
      <c r="AI296" s="1366"/>
      <c r="AJ296" s="1366"/>
      <c r="AK296" s="1366"/>
      <c r="BN296" s="34"/>
    </row>
    <row r="297" spans="2:66" ht="12.95" customHeight="1">
      <c r="B297" s="3" t="s">
        <v>88</v>
      </c>
      <c r="C297" s="3"/>
      <c r="D297" s="3"/>
      <c r="E297" s="3"/>
      <c r="F297" s="3"/>
      <c r="H297" s="1366" t="s">
        <v>2670</v>
      </c>
      <c r="I297" s="1366"/>
      <c r="J297" s="1366"/>
      <c r="K297" s="1366"/>
      <c r="L297" s="1366"/>
      <c r="M297" s="1366"/>
      <c r="N297" s="1366"/>
      <c r="O297" s="1366"/>
      <c r="P297" s="1366"/>
      <c r="Q297" s="1366"/>
      <c r="R297" s="1366"/>
      <c r="T297" s="3" t="s">
        <v>88</v>
      </c>
      <c r="V297" s="3"/>
      <c r="W297" s="3"/>
      <c r="X297" s="3"/>
      <c r="Y297" s="3"/>
      <c r="AA297" s="1366" t="s">
        <v>2681</v>
      </c>
      <c r="AB297" s="1366"/>
      <c r="AC297" s="1366"/>
      <c r="AD297" s="1366"/>
      <c r="AE297" s="1366"/>
      <c r="AF297" s="1366"/>
      <c r="AG297" s="1366"/>
      <c r="AH297" s="1366"/>
      <c r="AI297" s="1366"/>
      <c r="AJ297" s="1366"/>
      <c r="AK297" s="1366"/>
      <c r="BN297" s="34"/>
    </row>
    <row r="298" spans="2:66" ht="12.95" customHeight="1">
      <c r="B298" s="3" t="s">
        <v>89</v>
      </c>
      <c r="C298" s="3"/>
      <c r="D298" s="3"/>
      <c r="E298" s="3"/>
      <c r="F298" s="3"/>
      <c r="G298" s="3"/>
      <c r="H298" s="1542" t="s">
        <v>2671</v>
      </c>
      <c r="I298" s="1538"/>
      <c r="J298" s="1538"/>
      <c r="K298" s="1538"/>
      <c r="L298" s="1538"/>
      <c r="M298" s="1538"/>
      <c r="N298" s="4" t="s">
        <v>208</v>
      </c>
      <c r="O298" s="4"/>
      <c r="P298" s="1539"/>
      <c r="Q298" s="1539"/>
      <c r="R298" s="1539"/>
      <c r="S298" s="3"/>
      <c r="T298" s="3" t="s">
        <v>89</v>
      </c>
      <c r="V298" s="3"/>
      <c r="W298" s="3"/>
      <c r="X298" s="3"/>
      <c r="Y298" s="3"/>
      <c r="AA298" s="1542" t="s">
        <v>2682</v>
      </c>
      <c r="AB298" s="1538"/>
      <c r="AC298" s="1538"/>
      <c r="AD298" s="1538"/>
      <c r="AE298" s="1538"/>
      <c r="AF298" s="1538"/>
      <c r="AG298" s="4" t="s">
        <v>208</v>
      </c>
      <c r="AH298" s="4"/>
      <c r="AI298" s="1539"/>
      <c r="AJ298" s="1539"/>
      <c r="AK298" s="1539"/>
      <c r="BN298" s="34"/>
    </row>
    <row r="299" spans="2:66" ht="12.95" customHeight="1">
      <c r="B299" s="3" t="s">
        <v>90</v>
      </c>
      <c r="C299" s="3"/>
      <c r="D299" s="3"/>
      <c r="E299" s="3"/>
      <c r="F299" s="3"/>
      <c r="G299" s="3"/>
      <c r="H299" s="1437"/>
      <c r="I299" s="1437"/>
      <c r="J299" s="1437"/>
      <c r="K299" s="1437"/>
      <c r="L299" s="1437"/>
      <c r="M299" s="1437"/>
      <c r="N299" s="4"/>
      <c r="O299" s="4"/>
      <c r="P299" s="35"/>
      <c r="Q299" s="35"/>
      <c r="R299" s="35"/>
      <c r="S299" s="3"/>
      <c r="T299" s="3" t="s">
        <v>90</v>
      </c>
      <c r="V299" s="3"/>
      <c r="W299" s="3"/>
      <c r="X299" s="3"/>
      <c r="Y299" s="3"/>
      <c r="AA299" s="1437"/>
      <c r="AB299" s="1437"/>
      <c r="AC299" s="1437"/>
      <c r="AD299" s="1437"/>
      <c r="AE299" s="1437"/>
      <c r="AF299" s="1437"/>
      <c r="AG299" s="4"/>
      <c r="AH299" s="4"/>
      <c r="AI299" s="35"/>
      <c r="AJ299" s="35"/>
      <c r="AK299" s="35"/>
      <c r="BN299" s="34"/>
    </row>
    <row r="300" spans="2:66" ht="12.95" customHeight="1">
      <c r="B300" s="3" t="s">
        <v>77</v>
      </c>
      <c r="C300" s="3"/>
      <c r="D300" s="3"/>
      <c r="E300" s="3"/>
      <c r="F300" s="3"/>
      <c r="G300" s="3"/>
      <c r="H300" s="1366" t="s">
        <v>2672</v>
      </c>
      <c r="I300" s="1366"/>
      <c r="J300" s="1366"/>
      <c r="K300" s="1366"/>
      <c r="L300" s="1366"/>
      <c r="M300" s="1366"/>
      <c r="N300" s="1395"/>
      <c r="O300" s="1395"/>
      <c r="P300" s="1395"/>
      <c r="Q300" s="1395"/>
      <c r="R300" s="1395"/>
      <c r="S300" s="3"/>
      <c r="T300" s="3" t="s">
        <v>77</v>
      </c>
      <c r="V300" s="3"/>
      <c r="W300" s="3"/>
      <c r="X300" s="3"/>
      <c r="Y300" s="3"/>
      <c r="AA300" s="1366" t="s">
        <v>2683</v>
      </c>
      <c r="AB300" s="1366"/>
      <c r="AC300" s="1366"/>
      <c r="AD300" s="1366"/>
      <c r="AE300" s="1366"/>
      <c r="AF300" s="1366"/>
      <c r="AG300" s="1395"/>
      <c r="AH300" s="1395"/>
      <c r="AI300" s="1395"/>
      <c r="AJ300" s="1395"/>
      <c r="AK300" s="1395"/>
      <c r="BN300" s="34"/>
    </row>
    <row r="301" spans="2:66" ht="12.95" customHeight="1">
      <c r="BN301" s="34"/>
    </row>
    <row r="302" spans="2:66" ht="12.95" customHeight="1">
      <c r="B302" s="3" t="s">
        <v>78</v>
      </c>
      <c r="C302" s="3"/>
      <c r="D302" s="3"/>
      <c r="E302" s="3"/>
      <c r="F302" s="3"/>
      <c r="H302" s="1395" t="s">
        <v>2684</v>
      </c>
      <c r="I302" s="1395"/>
      <c r="J302" s="1395"/>
      <c r="K302" s="1395"/>
      <c r="L302" s="1395"/>
      <c r="M302" s="1395"/>
      <c r="N302" s="1395"/>
      <c r="O302" s="1395"/>
      <c r="P302" s="1395"/>
      <c r="Q302" s="1395"/>
      <c r="R302" s="1395"/>
      <c r="T302" s="4" t="s">
        <v>907</v>
      </c>
      <c r="V302" s="3"/>
      <c r="W302" s="3"/>
      <c r="X302" s="3"/>
      <c r="Y302" s="3"/>
      <c r="AA302" s="1395" t="s">
        <v>2673</v>
      </c>
      <c r="AB302" s="1395"/>
      <c r="AC302" s="1395"/>
      <c r="AD302" s="1395"/>
      <c r="AE302" s="1395"/>
      <c r="AF302" s="1395"/>
      <c r="AG302" s="1395"/>
      <c r="AH302" s="1395"/>
      <c r="AI302" s="1395"/>
      <c r="AJ302" s="1395"/>
      <c r="AK302" s="1395"/>
      <c r="BN302" s="34"/>
    </row>
    <row r="303" spans="2:66" ht="12.95" customHeight="1">
      <c r="B303" s="3" t="s">
        <v>480</v>
      </c>
      <c r="C303" s="3"/>
      <c r="D303" s="3"/>
      <c r="E303" s="3"/>
      <c r="F303" s="3"/>
      <c r="H303" s="1366" t="s">
        <v>2685</v>
      </c>
      <c r="I303" s="1366"/>
      <c r="J303" s="1366"/>
      <c r="K303" s="1366"/>
      <c r="L303" s="1366"/>
      <c r="M303" s="1366"/>
      <c r="N303" s="1366"/>
      <c r="O303" s="1366"/>
      <c r="P303" s="1366"/>
      <c r="Q303" s="1366"/>
      <c r="R303" s="1366"/>
      <c r="T303" s="3" t="s">
        <v>480</v>
      </c>
      <c r="V303" s="3"/>
      <c r="W303" s="3"/>
      <c r="X303" s="3"/>
      <c r="Y303" s="3"/>
      <c r="AA303" s="1366" t="s">
        <v>2677</v>
      </c>
      <c r="AB303" s="1366"/>
      <c r="AC303" s="1366"/>
      <c r="AD303" s="1366"/>
      <c r="AE303" s="1366"/>
      <c r="AF303" s="1366"/>
      <c r="AG303" s="1366"/>
      <c r="AH303" s="1366"/>
      <c r="AI303" s="1366"/>
      <c r="AJ303" s="1366"/>
      <c r="AK303" s="1366"/>
      <c r="BN303" s="34"/>
    </row>
    <row r="304" spans="2:66" ht="12.95" customHeight="1">
      <c r="B304" s="3" t="s">
        <v>481</v>
      </c>
      <c r="C304" s="3"/>
      <c r="D304" s="3"/>
      <c r="E304" s="3"/>
      <c r="F304" s="3"/>
      <c r="H304" s="1366" t="s">
        <v>2686</v>
      </c>
      <c r="I304" s="1366"/>
      <c r="J304" s="1366"/>
      <c r="K304" s="1366"/>
      <c r="L304" s="1366"/>
      <c r="M304" s="1366"/>
      <c r="N304" s="1366"/>
      <c r="O304" s="1366"/>
      <c r="P304" s="1366"/>
      <c r="Q304" s="1366"/>
      <c r="R304" s="1366"/>
      <c r="T304" s="3" t="s">
        <v>76</v>
      </c>
      <c r="V304" s="3"/>
      <c r="W304" s="3"/>
      <c r="X304" s="3"/>
      <c r="Y304" s="3"/>
      <c r="AA304" s="1572" t="s">
        <v>2678</v>
      </c>
      <c r="AB304" s="1366"/>
      <c r="AC304" s="1366"/>
      <c r="AD304" s="1366"/>
      <c r="AE304" s="1366"/>
      <c r="AF304" s="1366"/>
      <c r="AG304" s="1366"/>
      <c r="AH304" s="1366"/>
      <c r="AI304" s="1366"/>
      <c r="AJ304" s="1366"/>
      <c r="AK304" s="1366"/>
      <c r="BN304" s="34"/>
    </row>
    <row r="305" spans="2:66" ht="12.95" customHeight="1">
      <c r="B305" s="3" t="s">
        <v>88</v>
      </c>
      <c r="C305" s="3"/>
      <c r="D305" s="3"/>
      <c r="E305" s="3"/>
      <c r="F305" s="3"/>
      <c r="H305" s="1366" t="s">
        <v>2687</v>
      </c>
      <c r="I305" s="1366"/>
      <c r="J305" s="1366"/>
      <c r="K305" s="1366"/>
      <c r="L305" s="1366"/>
      <c r="M305" s="1366"/>
      <c r="N305" s="1366"/>
      <c r="O305" s="1366"/>
      <c r="P305" s="1366"/>
      <c r="Q305" s="1366"/>
      <c r="R305" s="1366"/>
      <c r="T305" s="3" t="s">
        <v>88</v>
      </c>
      <c r="V305" s="3"/>
      <c r="W305" s="3"/>
      <c r="X305" s="3"/>
      <c r="Y305" s="3"/>
      <c r="AA305" s="1366" t="s">
        <v>2674</v>
      </c>
      <c r="AB305" s="1366"/>
      <c r="AC305" s="1366"/>
      <c r="AD305" s="1366"/>
      <c r="AE305" s="1366"/>
      <c r="AF305" s="1366"/>
      <c r="AG305" s="1366"/>
      <c r="AH305" s="1366"/>
      <c r="AI305" s="1366"/>
      <c r="AJ305" s="1366"/>
      <c r="AK305" s="1366"/>
      <c r="BN305" s="34"/>
    </row>
    <row r="306" spans="2:66" ht="12.95" customHeight="1">
      <c r="B306" s="3" t="s">
        <v>89</v>
      </c>
      <c r="C306" s="3"/>
      <c r="D306" s="3"/>
      <c r="E306" s="3"/>
      <c r="F306" s="3"/>
      <c r="G306" s="3"/>
      <c r="H306" s="1538" t="s">
        <v>2688</v>
      </c>
      <c r="I306" s="1538"/>
      <c r="J306" s="1538"/>
      <c r="K306" s="1538"/>
      <c r="L306" s="1538"/>
      <c r="M306" s="1538"/>
      <c r="N306" s="4" t="s">
        <v>208</v>
      </c>
      <c r="O306" s="4"/>
      <c r="P306" s="1539"/>
      <c r="Q306" s="1539"/>
      <c r="R306" s="1539"/>
      <c r="S306" s="3"/>
      <c r="T306" s="3" t="s">
        <v>89</v>
      </c>
      <c r="V306" s="3"/>
      <c r="W306" s="3"/>
      <c r="X306" s="3"/>
      <c r="Y306" s="3"/>
      <c r="AA306" s="1542" t="s">
        <v>2675</v>
      </c>
      <c r="AB306" s="1538"/>
      <c r="AC306" s="1538"/>
      <c r="AD306" s="1538"/>
      <c r="AE306" s="1538"/>
      <c r="AF306" s="1538"/>
      <c r="AG306" s="4" t="s">
        <v>208</v>
      </c>
      <c r="AH306" s="4"/>
      <c r="AI306" s="1539"/>
      <c r="AJ306" s="1539"/>
      <c r="AK306" s="1539"/>
      <c r="BN306" s="34"/>
    </row>
    <row r="307" spans="2:66" ht="12.95" customHeight="1">
      <c r="B307" s="3" t="s">
        <v>90</v>
      </c>
      <c r="C307" s="3"/>
      <c r="D307" s="3"/>
      <c r="E307" s="3"/>
      <c r="F307" s="3"/>
      <c r="G307" s="3"/>
      <c r="H307" s="1437"/>
      <c r="I307" s="1437"/>
      <c r="J307" s="1437"/>
      <c r="K307" s="1437"/>
      <c r="L307" s="1437"/>
      <c r="M307" s="1437"/>
      <c r="N307" s="4"/>
      <c r="O307" s="4"/>
      <c r="P307" s="35"/>
      <c r="Q307" s="35"/>
      <c r="R307" s="35"/>
      <c r="S307" s="3"/>
      <c r="T307" s="3" t="s">
        <v>90</v>
      </c>
      <c r="V307" s="3"/>
      <c r="W307" s="3"/>
      <c r="X307" s="3"/>
      <c r="Y307" s="3"/>
      <c r="AA307" s="1437"/>
      <c r="AB307" s="1437"/>
      <c r="AC307" s="1437"/>
      <c r="AD307" s="1437"/>
      <c r="AE307" s="1437"/>
      <c r="AF307" s="1437"/>
      <c r="AG307" s="4"/>
      <c r="AH307" s="4"/>
      <c r="AI307" s="35"/>
      <c r="AJ307" s="35"/>
      <c r="AK307" s="35"/>
      <c r="BN307" s="34"/>
    </row>
    <row r="308" spans="2:66" ht="12.95" customHeight="1">
      <c r="B308" s="3" t="s">
        <v>77</v>
      </c>
      <c r="C308" s="3"/>
      <c r="D308" s="3"/>
      <c r="E308" s="3"/>
      <c r="F308" s="3"/>
      <c r="G308" s="3"/>
      <c r="H308" s="1366" t="s">
        <v>2689</v>
      </c>
      <c r="I308" s="1366"/>
      <c r="J308" s="1366"/>
      <c r="K308" s="1366"/>
      <c r="L308" s="1366"/>
      <c r="M308" s="1366"/>
      <c r="N308" s="1395"/>
      <c r="O308" s="1395"/>
      <c r="P308" s="1395"/>
      <c r="Q308" s="1395"/>
      <c r="R308" s="1395"/>
      <c r="S308" s="3"/>
      <c r="T308" s="3" t="s">
        <v>77</v>
      </c>
      <c r="V308" s="3"/>
      <c r="W308" s="3"/>
      <c r="X308" s="3"/>
      <c r="Y308" s="3"/>
      <c r="AA308" s="1366" t="s">
        <v>2676</v>
      </c>
      <c r="AB308" s="1366"/>
      <c r="AC308" s="1366"/>
      <c r="AD308" s="1366"/>
      <c r="AE308" s="1366"/>
      <c r="AF308" s="1366"/>
      <c r="AG308" s="1395"/>
      <c r="AH308" s="1395"/>
      <c r="AI308" s="1395"/>
      <c r="AJ308" s="1395"/>
      <c r="AK308" s="1395"/>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940</v>
      </c>
      <c r="C310" s="3"/>
      <c r="D310" s="3"/>
      <c r="E310" s="3"/>
      <c r="F310" s="3"/>
      <c r="H310" s="1395" t="s">
        <v>2684</v>
      </c>
      <c r="I310" s="1395"/>
      <c r="J310" s="1395"/>
      <c r="K310" s="1395"/>
      <c r="L310" s="1395"/>
      <c r="M310" s="1395"/>
      <c r="N310" s="1395"/>
      <c r="O310" s="1395"/>
      <c r="P310" s="1395"/>
      <c r="Q310" s="1395"/>
      <c r="R310" s="1395"/>
      <c r="S310" s="3"/>
      <c r="T310" s="3" t="s">
        <v>367</v>
      </c>
      <c r="V310" s="3"/>
      <c r="W310" s="3"/>
      <c r="X310" s="3"/>
      <c r="Y310" s="3"/>
      <c r="AA310" s="1476" t="s">
        <v>2746</v>
      </c>
      <c r="AB310" s="1476"/>
      <c r="AC310" s="1476"/>
      <c r="AD310" s="1476"/>
      <c r="AE310" s="1476"/>
      <c r="AF310" s="1476"/>
      <c r="AG310" s="1476"/>
      <c r="AH310" s="1476"/>
      <c r="AI310" s="1476"/>
      <c r="AJ310" s="1476"/>
      <c r="AK310" s="1476"/>
      <c r="BN310" s="34"/>
    </row>
    <row r="311" spans="2:66" ht="12.95" customHeight="1">
      <c r="B311" s="3" t="s">
        <v>480</v>
      </c>
      <c r="C311" s="3"/>
      <c r="D311" s="3"/>
      <c r="E311" s="3"/>
      <c r="F311" s="3"/>
      <c r="H311" s="1366" t="s">
        <v>2685</v>
      </c>
      <c r="I311" s="1366"/>
      <c r="J311" s="1366"/>
      <c r="K311" s="1366"/>
      <c r="L311" s="1366"/>
      <c r="M311" s="1366"/>
      <c r="N311" s="1366"/>
      <c r="O311" s="1366"/>
      <c r="P311" s="1366"/>
      <c r="Q311" s="1366"/>
      <c r="R311" s="1366"/>
      <c r="S311" s="3"/>
      <c r="T311" s="3" t="s">
        <v>480</v>
      </c>
      <c r="V311" s="3"/>
      <c r="W311" s="3"/>
      <c r="X311" s="3"/>
      <c r="Y311" s="3"/>
      <c r="AA311" s="1573" t="s">
        <v>2747</v>
      </c>
      <c r="AB311" s="1573"/>
      <c r="AC311" s="1573"/>
      <c r="AD311" s="1573"/>
      <c r="AE311" s="1573"/>
      <c r="AF311" s="1573"/>
      <c r="AG311" s="1573"/>
      <c r="AH311" s="1573"/>
      <c r="AI311" s="1573"/>
      <c r="AJ311" s="1573"/>
      <c r="AK311" s="1573"/>
      <c r="BN311" s="34"/>
    </row>
    <row r="312" spans="2:66" ht="12.95" customHeight="1">
      <c r="B312" s="3" t="s">
        <v>481</v>
      </c>
      <c r="C312" s="3"/>
      <c r="D312" s="3"/>
      <c r="E312" s="3"/>
      <c r="F312" s="3"/>
      <c r="H312" s="1366" t="s">
        <v>2686</v>
      </c>
      <c r="I312" s="1366"/>
      <c r="J312" s="1366"/>
      <c r="K312" s="1366"/>
      <c r="L312" s="1366"/>
      <c r="M312" s="1366"/>
      <c r="N312" s="1366"/>
      <c r="O312" s="1366"/>
      <c r="P312" s="1366"/>
      <c r="Q312" s="1366"/>
      <c r="R312" s="1366"/>
      <c r="S312" s="3"/>
      <c r="T312" s="3" t="s">
        <v>76</v>
      </c>
      <c r="V312" s="3"/>
      <c r="W312" s="3"/>
      <c r="X312" s="3"/>
      <c r="Y312" s="3"/>
      <c r="AA312" s="1573" t="s">
        <v>2748</v>
      </c>
      <c r="AB312" s="1573"/>
      <c r="AC312" s="1573"/>
      <c r="AD312" s="1573"/>
      <c r="AE312" s="1573"/>
      <c r="AF312" s="1573"/>
      <c r="AG312" s="1573"/>
      <c r="AH312" s="1573"/>
      <c r="AI312" s="1573"/>
      <c r="AJ312" s="1573"/>
      <c r="AK312" s="1573"/>
      <c r="BN312" s="34"/>
    </row>
    <row r="313" spans="2:66" ht="12.95" customHeight="1">
      <c r="B313" s="3" t="s">
        <v>88</v>
      </c>
      <c r="C313" s="3"/>
      <c r="D313" s="3"/>
      <c r="E313" s="3"/>
      <c r="F313" s="3"/>
      <c r="H313" s="1366" t="s">
        <v>2687</v>
      </c>
      <c r="I313" s="1366"/>
      <c r="J313" s="1366"/>
      <c r="K313" s="1366"/>
      <c r="L313" s="1366"/>
      <c r="M313" s="1366"/>
      <c r="N313" s="1366"/>
      <c r="O313" s="1366"/>
      <c r="P313" s="1366"/>
      <c r="Q313" s="1366"/>
      <c r="R313" s="1366"/>
      <c r="S313" s="3"/>
      <c r="T313" s="3" t="s">
        <v>88</v>
      </c>
      <c r="V313" s="3"/>
      <c r="W313" s="3"/>
      <c r="X313" s="3"/>
      <c r="Y313" s="3"/>
      <c r="AA313" s="1573" t="s">
        <v>2738</v>
      </c>
      <c r="AB313" s="1573"/>
      <c r="AC313" s="1573"/>
      <c r="AD313" s="1573"/>
      <c r="AE313" s="1573"/>
      <c r="AF313" s="1573"/>
      <c r="AG313" s="1573"/>
      <c r="AH313" s="1573"/>
      <c r="AI313" s="1573"/>
      <c r="AJ313" s="1573"/>
      <c r="AK313" s="1573"/>
      <c r="BN313" s="34"/>
    </row>
    <row r="314" spans="2:66" ht="12.95" customHeight="1">
      <c r="B314" s="3" t="s">
        <v>89</v>
      </c>
      <c r="C314" s="3"/>
      <c r="D314" s="3"/>
      <c r="E314" s="3"/>
      <c r="F314" s="3"/>
      <c r="G314" s="3"/>
      <c r="H314" s="1538" t="s">
        <v>2688</v>
      </c>
      <c r="I314" s="1538"/>
      <c r="J314" s="1538"/>
      <c r="K314" s="1538"/>
      <c r="L314" s="1538"/>
      <c r="M314" s="1538"/>
      <c r="N314" s="4" t="s">
        <v>208</v>
      </c>
      <c r="O314" s="4"/>
      <c r="P314" s="1539"/>
      <c r="Q314" s="1539"/>
      <c r="R314" s="1539"/>
      <c r="S314" s="3"/>
      <c r="T314" s="3" t="s">
        <v>89</v>
      </c>
      <c r="V314" s="3"/>
      <c r="W314" s="3"/>
      <c r="X314" s="3"/>
      <c r="Y314" s="3"/>
      <c r="AA314" s="1574" t="s">
        <v>2749</v>
      </c>
      <c r="AB314" s="1574"/>
      <c r="AC314" s="1574"/>
      <c r="AD314" s="1574"/>
      <c r="AE314" s="1574"/>
      <c r="AF314" s="1574"/>
      <c r="AG314" s="4" t="s">
        <v>208</v>
      </c>
      <c r="AH314" s="4"/>
      <c r="AI314" s="1539"/>
      <c r="AJ314" s="1539"/>
      <c r="AK314" s="1539"/>
      <c r="BN314" s="34"/>
    </row>
    <row r="315" spans="2:66" ht="12.95" customHeight="1">
      <c r="B315" s="3" t="s">
        <v>90</v>
      </c>
      <c r="C315" s="3"/>
      <c r="D315" s="3"/>
      <c r="E315" s="3"/>
      <c r="F315" s="3"/>
      <c r="G315" s="3"/>
      <c r="H315" s="1437"/>
      <c r="I315" s="1437"/>
      <c r="J315" s="1437"/>
      <c r="K315" s="1437"/>
      <c r="L315" s="1437"/>
      <c r="M315" s="1437"/>
      <c r="N315" s="4"/>
      <c r="O315" s="4"/>
      <c r="P315" s="35"/>
      <c r="Q315" s="35"/>
      <c r="R315" s="35"/>
      <c r="S315" s="3"/>
      <c r="T315" s="3" t="s">
        <v>90</v>
      </c>
      <c r="V315" s="3"/>
      <c r="W315" s="3"/>
      <c r="X315" s="3"/>
      <c r="Y315" s="3"/>
      <c r="AA315" s="1437"/>
      <c r="AB315" s="1437"/>
      <c r="AC315" s="1437"/>
      <c r="AD315" s="1437"/>
      <c r="AE315" s="1437"/>
      <c r="AF315" s="1437"/>
      <c r="AG315" s="4"/>
      <c r="AH315" s="4"/>
      <c r="AI315" s="35"/>
      <c r="AJ315" s="35"/>
      <c r="AK315" s="35"/>
      <c r="BN315" s="34"/>
    </row>
    <row r="316" spans="2:66" ht="12.95" customHeight="1">
      <c r="B316" s="3" t="s">
        <v>77</v>
      </c>
      <c r="C316" s="3"/>
      <c r="D316" s="3"/>
      <c r="E316" s="3"/>
      <c r="F316" s="3"/>
      <c r="G316" s="3"/>
      <c r="H316" s="1366" t="s">
        <v>2689</v>
      </c>
      <c r="I316" s="1366"/>
      <c r="J316" s="1366"/>
      <c r="K316" s="1366"/>
      <c r="L316" s="1366"/>
      <c r="M316" s="1366"/>
      <c r="N316" s="1395"/>
      <c r="O316" s="1395"/>
      <c r="P316" s="1395"/>
      <c r="Q316" s="1395"/>
      <c r="R316" s="1395"/>
      <c r="S316" s="3"/>
      <c r="T316" s="3" t="s">
        <v>77</v>
      </c>
      <c r="V316" s="3"/>
      <c r="W316" s="3"/>
      <c r="X316" s="3"/>
      <c r="Y316" s="3"/>
      <c r="AA316" s="1573" t="s">
        <v>2750</v>
      </c>
      <c r="AB316" s="1573"/>
      <c r="AC316" s="1573"/>
      <c r="AD316" s="1573"/>
      <c r="AE316" s="1573"/>
      <c r="AF316" s="1573"/>
      <c r="AG316" s="1476"/>
      <c r="AH316" s="1476"/>
      <c r="AI316" s="1476"/>
      <c r="AJ316" s="1476"/>
      <c r="AK316" s="1476"/>
      <c r="BN316" s="34"/>
    </row>
    <row r="317" spans="2:66" ht="12.95" customHeight="1">
      <c r="BN317" s="34"/>
    </row>
    <row r="318" spans="2:66" ht="12.95" customHeight="1">
      <c r="B318" s="4" t="s">
        <v>941</v>
      </c>
      <c r="C318" s="3"/>
      <c r="D318" s="3"/>
      <c r="E318" s="3"/>
      <c r="F318" s="3"/>
      <c r="H318" s="1395" t="str">
        <f>L273</f>
        <v>Kingdom Development, Inc</v>
      </c>
      <c r="I318" s="1395"/>
      <c r="J318" s="1395"/>
      <c r="K318" s="1395"/>
      <c r="L318" s="1395"/>
      <c r="M318" s="1395"/>
      <c r="N318" s="1395"/>
      <c r="O318" s="1395"/>
      <c r="P318" s="1395"/>
      <c r="Q318" s="1395"/>
      <c r="R318" s="1395"/>
      <c r="T318" s="3" t="s">
        <v>368</v>
      </c>
      <c r="V318" s="3"/>
      <c r="W318" s="3"/>
      <c r="X318" s="3"/>
      <c r="Y318" s="3"/>
      <c r="AA318" s="1395" t="s">
        <v>2690</v>
      </c>
      <c r="AB318" s="1395"/>
      <c r="AC318" s="1395"/>
      <c r="AD318" s="1395"/>
      <c r="AE318" s="1395"/>
      <c r="AF318" s="1395"/>
      <c r="AG318" s="1395"/>
      <c r="AH318" s="1395"/>
      <c r="AI318" s="1395"/>
      <c r="AJ318" s="1395"/>
      <c r="AK318" s="1395"/>
      <c r="BN318" s="34"/>
    </row>
    <row r="319" spans="2:66" ht="12.95" customHeight="1">
      <c r="B319" s="3" t="s">
        <v>480</v>
      </c>
      <c r="C319" s="3"/>
      <c r="D319" s="3"/>
      <c r="E319" s="3"/>
      <c r="F319" s="3"/>
      <c r="H319" s="1366" t="s">
        <v>2643</v>
      </c>
      <c r="I319" s="1366"/>
      <c r="J319" s="1366"/>
      <c r="K319" s="1366"/>
      <c r="L319" s="1366"/>
      <c r="M319" s="1366"/>
      <c r="N319" s="1366"/>
      <c r="O319" s="1366"/>
      <c r="P319" s="1366"/>
      <c r="Q319" s="1366"/>
      <c r="R319" s="1366"/>
      <c r="T319" s="3" t="s">
        <v>480</v>
      </c>
      <c r="V319" s="3"/>
      <c r="W319" s="3"/>
      <c r="X319" s="3"/>
      <c r="Y319" s="3"/>
      <c r="AA319" s="1366" t="s">
        <v>2691</v>
      </c>
      <c r="AB319" s="1366"/>
      <c r="AC319" s="1366"/>
      <c r="AD319" s="1366"/>
      <c r="AE319" s="1366"/>
      <c r="AF319" s="1366"/>
      <c r="AG319" s="1366"/>
      <c r="AH319" s="1366"/>
      <c r="AI319" s="1366"/>
      <c r="AJ319" s="1366"/>
      <c r="AK319" s="1366"/>
      <c r="BN319" s="34"/>
    </row>
    <row r="320" spans="2:66" ht="12.95" customHeight="1">
      <c r="B320" s="3" t="s">
        <v>481</v>
      </c>
      <c r="C320" s="3"/>
      <c r="D320" s="3"/>
      <c r="E320" s="3"/>
      <c r="F320" s="3"/>
      <c r="H320" s="1366" t="s">
        <v>2705</v>
      </c>
      <c r="I320" s="1366"/>
      <c r="J320" s="1366"/>
      <c r="K320" s="1366"/>
      <c r="L320" s="1366"/>
      <c r="M320" s="1366"/>
      <c r="N320" s="1366"/>
      <c r="O320" s="1366"/>
      <c r="P320" s="1366"/>
      <c r="Q320" s="1366"/>
      <c r="R320" s="1366"/>
      <c r="T320" s="3" t="s">
        <v>76</v>
      </c>
      <c r="V320" s="3"/>
      <c r="W320" s="3"/>
      <c r="X320" s="3"/>
      <c r="Y320" s="3"/>
      <c r="AA320" s="1366" t="s">
        <v>2692</v>
      </c>
      <c r="AB320" s="1366"/>
      <c r="AC320" s="1366"/>
      <c r="AD320" s="1366"/>
      <c r="AE320" s="1366"/>
      <c r="AF320" s="1366"/>
      <c r="AG320" s="1366"/>
      <c r="AH320" s="1366"/>
      <c r="AI320" s="1366"/>
      <c r="AJ320" s="1366"/>
      <c r="AK320" s="1366"/>
      <c r="BN320" s="34"/>
    </row>
    <row r="321" spans="2:66" ht="12.95" customHeight="1">
      <c r="B321" s="3" t="s">
        <v>88</v>
      </c>
      <c r="C321" s="3"/>
      <c r="D321" s="3"/>
      <c r="E321" s="3"/>
      <c r="F321" s="3"/>
      <c r="H321" s="1366" t="s">
        <v>2645</v>
      </c>
      <c r="I321" s="1366"/>
      <c r="J321" s="1366"/>
      <c r="K321" s="1366"/>
      <c r="L321" s="1366"/>
      <c r="M321" s="1366"/>
      <c r="N321" s="1366"/>
      <c r="O321" s="1366"/>
      <c r="P321" s="1366"/>
      <c r="Q321" s="1366"/>
      <c r="R321" s="1366"/>
      <c r="T321" s="3" t="s">
        <v>88</v>
      </c>
      <c r="V321" s="3"/>
      <c r="W321" s="3"/>
      <c r="X321" s="3"/>
      <c r="Y321" s="3"/>
      <c r="AA321" s="1366" t="s">
        <v>2693</v>
      </c>
      <c r="AB321" s="1366"/>
      <c r="AC321" s="1366"/>
      <c r="AD321" s="1366"/>
      <c r="AE321" s="1366"/>
      <c r="AF321" s="1366"/>
      <c r="AG321" s="1366"/>
      <c r="AH321" s="1366"/>
      <c r="AI321" s="1366"/>
      <c r="AJ321" s="1366"/>
      <c r="AK321" s="1366"/>
      <c r="BN321" s="34"/>
    </row>
    <row r="322" spans="2:66" ht="12.95" customHeight="1">
      <c r="B322" s="3" t="s">
        <v>89</v>
      </c>
      <c r="C322" s="3"/>
      <c r="D322" s="3"/>
      <c r="E322" s="3"/>
      <c r="F322" s="3"/>
      <c r="G322" s="3"/>
      <c r="H322" s="1538" t="str">
        <f>L277</f>
        <v>951-538-6244</v>
      </c>
      <c r="I322" s="1538"/>
      <c r="J322" s="1538"/>
      <c r="K322" s="1538"/>
      <c r="L322" s="1538"/>
      <c r="M322" s="1538"/>
      <c r="N322" s="4" t="s">
        <v>208</v>
      </c>
      <c r="O322" s="4"/>
      <c r="P322" s="1539"/>
      <c r="Q322" s="1539"/>
      <c r="R322" s="1539"/>
      <c r="S322" s="3"/>
      <c r="T322" s="3" t="s">
        <v>89</v>
      </c>
      <c r="V322" s="3"/>
      <c r="W322" s="3"/>
      <c r="X322" s="3"/>
      <c r="Y322" s="3"/>
      <c r="AA322" s="1538" t="s">
        <v>2694</v>
      </c>
      <c r="AB322" s="1538"/>
      <c r="AC322" s="1538"/>
      <c r="AD322" s="1538"/>
      <c r="AE322" s="1538"/>
      <c r="AF322" s="1538"/>
      <c r="AG322" s="4" t="s">
        <v>208</v>
      </c>
      <c r="AH322" s="4"/>
      <c r="AI322" s="1539"/>
      <c r="AJ322" s="1539"/>
      <c r="AK322" s="1539"/>
      <c r="BN322" s="34"/>
    </row>
    <row r="323" spans="2:66" ht="12.95" customHeight="1">
      <c r="B323" s="3" t="s">
        <v>90</v>
      </c>
      <c r="C323" s="3"/>
      <c r="D323" s="3"/>
      <c r="E323" s="3"/>
      <c r="F323" s="3"/>
      <c r="G323" s="3"/>
      <c r="H323" s="1437"/>
      <c r="I323" s="1437"/>
      <c r="J323" s="1437"/>
      <c r="K323" s="1437"/>
      <c r="L323" s="1437"/>
      <c r="M323" s="1437"/>
      <c r="N323" s="4"/>
      <c r="O323" s="4"/>
      <c r="P323" s="35"/>
      <c r="Q323" s="35"/>
      <c r="R323" s="35"/>
      <c r="S323" s="3"/>
      <c r="T323" s="3" t="s">
        <v>90</v>
      </c>
      <c r="V323" s="3"/>
      <c r="W323" s="3"/>
      <c r="X323" s="3"/>
      <c r="Y323" s="3"/>
      <c r="AA323" s="1437"/>
      <c r="AB323" s="1437"/>
      <c r="AC323" s="1437"/>
      <c r="AD323" s="1437"/>
      <c r="AE323" s="1437"/>
      <c r="AF323" s="1437"/>
      <c r="AG323" s="4"/>
      <c r="AH323" s="4"/>
      <c r="AI323" s="35"/>
      <c r="AJ323" s="35"/>
      <c r="AK323" s="35"/>
    </row>
    <row r="324" spans="2:66" ht="12.95" customHeight="1">
      <c r="B324" s="3" t="s">
        <v>77</v>
      </c>
      <c r="C324" s="3"/>
      <c r="D324" s="3"/>
      <c r="E324" s="3"/>
      <c r="F324" s="3"/>
      <c r="G324" s="3"/>
      <c r="H324" s="1366" t="str">
        <f>L278</f>
        <v>William@kingdomdevelopment.net</v>
      </c>
      <c r="I324" s="1366"/>
      <c r="J324" s="1366"/>
      <c r="K324" s="1366"/>
      <c r="L324" s="1366"/>
      <c r="M324" s="1366"/>
      <c r="N324" s="1395"/>
      <c r="O324" s="1395"/>
      <c r="P324" s="1395"/>
      <c r="Q324" s="1395"/>
      <c r="R324" s="1395"/>
      <c r="S324" s="3"/>
      <c r="T324" s="3" t="s">
        <v>77</v>
      </c>
      <c r="V324" s="3"/>
      <c r="W324" s="3"/>
      <c r="X324" s="3"/>
      <c r="Y324" s="3"/>
      <c r="AA324" s="1366" t="s">
        <v>2695</v>
      </c>
      <c r="AB324" s="1366"/>
      <c r="AC324" s="1366"/>
      <c r="AD324" s="1366"/>
      <c r="AE324" s="1366"/>
      <c r="AF324" s="1366"/>
      <c r="AG324" s="1395"/>
      <c r="AH324" s="1395"/>
      <c r="AI324" s="1395"/>
      <c r="AJ324" s="1395"/>
      <c r="AK324" s="1395"/>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95" t="s">
        <v>2690</v>
      </c>
      <c r="I326" s="1395"/>
      <c r="J326" s="1395"/>
      <c r="K326" s="1395"/>
      <c r="L326" s="1395"/>
      <c r="M326" s="1395"/>
      <c r="N326" s="1395"/>
      <c r="O326" s="1395"/>
      <c r="P326" s="1395"/>
      <c r="Q326" s="1395"/>
      <c r="R326" s="1395"/>
      <c r="T326" s="3" t="s">
        <v>370</v>
      </c>
      <c r="V326" s="3"/>
      <c r="W326" s="3"/>
      <c r="X326" s="3"/>
      <c r="Y326" s="3"/>
      <c r="AA326" s="1395" t="s">
        <v>2655</v>
      </c>
      <c r="AB326" s="1395"/>
      <c r="AC326" s="1395"/>
      <c r="AD326" s="1395"/>
      <c r="AE326" s="1395"/>
      <c r="AF326" s="1395"/>
      <c r="AG326" s="1395"/>
      <c r="AH326" s="1395"/>
      <c r="AI326" s="1395"/>
      <c r="AJ326" s="1395"/>
      <c r="AK326" s="1395"/>
    </row>
    <row r="327" spans="2:66" ht="12.95" customHeight="1">
      <c r="B327" s="3" t="s">
        <v>480</v>
      </c>
      <c r="C327" s="3"/>
      <c r="D327" s="3"/>
      <c r="E327" s="3"/>
      <c r="F327" s="3"/>
      <c r="H327" s="1366" t="s">
        <v>2691</v>
      </c>
      <c r="I327" s="1366"/>
      <c r="J327" s="1366"/>
      <c r="K327" s="1366"/>
      <c r="L327" s="1366"/>
      <c r="M327" s="1366"/>
      <c r="N327" s="1366"/>
      <c r="O327" s="1366"/>
      <c r="P327" s="1366"/>
      <c r="Q327" s="1366"/>
      <c r="R327" s="1366"/>
      <c r="T327" s="3" t="s">
        <v>480</v>
      </c>
      <c r="V327" s="3"/>
      <c r="W327" s="3"/>
      <c r="X327" s="3"/>
      <c r="Y327" s="3"/>
      <c r="AA327" s="1366" t="s">
        <v>2656</v>
      </c>
      <c r="AB327" s="1366"/>
      <c r="AC327" s="1366"/>
      <c r="AD327" s="1366"/>
      <c r="AE327" s="1366"/>
      <c r="AF327" s="1366"/>
      <c r="AG327" s="1366"/>
      <c r="AH327" s="1366"/>
      <c r="AI327" s="1366"/>
      <c r="AJ327" s="1366"/>
      <c r="AK327" s="1366"/>
    </row>
    <row r="328" spans="2:66" ht="12.95" customHeight="1">
      <c r="B328" s="3" t="s">
        <v>481</v>
      </c>
      <c r="C328" s="3"/>
      <c r="D328" s="3"/>
      <c r="E328" s="3"/>
      <c r="F328" s="3"/>
      <c r="H328" s="1366" t="s">
        <v>2692</v>
      </c>
      <c r="I328" s="1366"/>
      <c r="J328" s="1366"/>
      <c r="K328" s="1366"/>
      <c r="L328" s="1366"/>
      <c r="M328" s="1366"/>
      <c r="N328" s="1366"/>
      <c r="O328" s="1366"/>
      <c r="P328" s="1366"/>
      <c r="Q328" s="1366"/>
      <c r="R328" s="1366"/>
      <c r="T328" s="3" t="s">
        <v>76</v>
      </c>
      <c r="V328" s="3"/>
      <c r="W328" s="3"/>
      <c r="X328" s="3"/>
      <c r="Y328" s="3"/>
      <c r="AA328" s="1366" t="s">
        <v>2660</v>
      </c>
      <c r="AB328" s="1366"/>
      <c r="AC328" s="1366"/>
      <c r="AD328" s="1366"/>
      <c r="AE328" s="1366"/>
      <c r="AF328" s="1366"/>
      <c r="AG328" s="1366"/>
      <c r="AH328" s="1366"/>
      <c r="AI328" s="1366"/>
      <c r="AJ328" s="1366"/>
      <c r="AK328" s="1366"/>
    </row>
    <row r="329" spans="2:66" ht="12.95" customHeight="1">
      <c r="B329" s="3" t="s">
        <v>88</v>
      </c>
      <c r="C329" s="3"/>
      <c r="D329" s="3"/>
      <c r="E329" s="3"/>
      <c r="F329" s="3"/>
      <c r="H329" s="1366" t="s">
        <v>2693</v>
      </c>
      <c r="I329" s="1366"/>
      <c r="J329" s="1366"/>
      <c r="K329" s="1366"/>
      <c r="L329" s="1366"/>
      <c r="M329" s="1366"/>
      <c r="N329" s="1366"/>
      <c r="O329" s="1366"/>
      <c r="P329" s="1366"/>
      <c r="Q329" s="1366"/>
      <c r="R329" s="1366"/>
      <c r="T329" s="3" t="s">
        <v>88</v>
      </c>
      <c r="V329" s="3"/>
      <c r="W329" s="3"/>
      <c r="X329" s="3"/>
      <c r="Y329" s="3"/>
      <c r="AA329" s="1366" t="s">
        <v>2657</v>
      </c>
      <c r="AB329" s="1366"/>
      <c r="AC329" s="1366"/>
      <c r="AD329" s="1366"/>
      <c r="AE329" s="1366"/>
      <c r="AF329" s="1366"/>
      <c r="AG329" s="1366"/>
      <c r="AH329" s="1366"/>
      <c r="AI329" s="1366"/>
      <c r="AJ329" s="1366"/>
      <c r="AK329" s="1366"/>
    </row>
    <row r="330" spans="2:66" ht="12.95" customHeight="1">
      <c r="B330" s="3" t="s">
        <v>89</v>
      </c>
      <c r="C330" s="3"/>
      <c r="D330" s="3"/>
      <c r="E330" s="3"/>
      <c r="F330" s="3"/>
      <c r="G330" s="3"/>
      <c r="H330" s="1538" t="s">
        <v>2694</v>
      </c>
      <c r="I330" s="1538"/>
      <c r="J330" s="1538"/>
      <c r="K330" s="1538"/>
      <c r="L330" s="1538"/>
      <c r="M330" s="1538"/>
      <c r="N330" s="4" t="s">
        <v>208</v>
      </c>
      <c r="O330" s="4"/>
      <c r="P330" s="1539"/>
      <c r="Q330" s="1539"/>
      <c r="R330" s="1539"/>
      <c r="S330" s="3"/>
      <c r="T330" s="3" t="s">
        <v>89</v>
      </c>
      <c r="V330" s="3"/>
      <c r="W330" s="3"/>
      <c r="X330" s="3"/>
      <c r="Y330" s="3"/>
      <c r="AA330" s="1542" t="s">
        <v>2658</v>
      </c>
      <c r="AB330" s="1538"/>
      <c r="AC330" s="1538"/>
      <c r="AD330" s="1538"/>
      <c r="AE330" s="1538"/>
      <c r="AF330" s="1538"/>
      <c r="AG330" s="4" t="s">
        <v>208</v>
      </c>
      <c r="AH330" s="4"/>
      <c r="AI330" s="1539"/>
      <c r="AJ330" s="1539"/>
      <c r="AK330" s="1539"/>
    </row>
    <row r="331" spans="2:66" ht="12.95" customHeight="1">
      <c r="B331" s="3" t="s">
        <v>90</v>
      </c>
      <c r="C331" s="3"/>
      <c r="D331" s="3"/>
      <c r="E331" s="3"/>
      <c r="F331" s="3"/>
      <c r="G331" s="3"/>
      <c r="H331" s="1437"/>
      <c r="I331" s="1437"/>
      <c r="J331" s="1437"/>
      <c r="K331" s="1437"/>
      <c r="L331" s="1437"/>
      <c r="M331" s="1437"/>
      <c r="N331" s="4"/>
      <c r="O331" s="4"/>
      <c r="P331" s="35"/>
      <c r="Q331" s="35"/>
      <c r="R331" s="35"/>
      <c r="S331" s="3"/>
      <c r="T331" s="3" t="s">
        <v>90</v>
      </c>
      <c r="V331" s="3"/>
      <c r="W331" s="3"/>
      <c r="X331" s="3"/>
      <c r="Y331" s="3"/>
      <c r="AA331" s="1437"/>
      <c r="AB331" s="1437"/>
      <c r="AC331" s="1437"/>
      <c r="AD331" s="1437"/>
      <c r="AE331" s="1437"/>
      <c r="AF331" s="1437"/>
      <c r="AG331" s="4"/>
      <c r="AH331" s="4"/>
      <c r="AI331" s="35"/>
      <c r="AJ331" s="35"/>
      <c r="AK331" s="35"/>
    </row>
    <row r="332" spans="2:66" ht="12.95" customHeight="1">
      <c r="B332" s="3" t="s">
        <v>77</v>
      </c>
      <c r="C332" s="3"/>
      <c r="D332" s="3"/>
      <c r="E332" s="3"/>
      <c r="F332" s="3"/>
      <c r="G332" s="3"/>
      <c r="H332" s="1366" t="s">
        <v>2695</v>
      </c>
      <c r="I332" s="1366"/>
      <c r="J332" s="1366"/>
      <c r="K332" s="1366"/>
      <c r="L332" s="1366"/>
      <c r="M332" s="1366"/>
      <c r="N332" s="1395"/>
      <c r="O332" s="1395"/>
      <c r="P332" s="1395"/>
      <c r="Q332" s="1395"/>
      <c r="R332" s="1395"/>
      <c r="S332" s="3"/>
      <c r="T332" s="3" t="s">
        <v>77</v>
      </c>
      <c r="V332" s="3"/>
      <c r="W332" s="3"/>
      <c r="X332" s="3"/>
      <c r="Y332" s="3"/>
      <c r="AA332" s="1366" t="s">
        <v>2659</v>
      </c>
      <c r="AB332" s="1366"/>
      <c r="AC332" s="1366"/>
      <c r="AD332" s="1366"/>
      <c r="AE332" s="1366"/>
      <c r="AF332" s="1366"/>
      <c r="AG332" s="1395"/>
      <c r="AH332" s="1395"/>
      <c r="AI332" s="1395"/>
      <c r="AJ332" s="1395"/>
      <c r="AK332" s="1395"/>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395" t="s">
        <v>2699</v>
      </c>
      <c r="I334" s="1395"/>
      <c r="J334" s="1395"/>
      <c r="K334" s="1395"/>
      <c r="L334" s="1395"/>
      <c r="M334" s="1395"/>
      <c r="N334" s="1395"/>
      <c r="O334" s="1395"/>
      <c r="P334" s="1395"/>
      <c r="Q334" s="1395"/>
      <c r="R334" s="1395"/>
      <c r="T334" s="218" t="s">
        <v>916</v>
      </c>
      <c r="V334" s="3"/>
      <c r="W334" s="3"/>
      <c r="X334" s="3"/>
      <c r="Y334" s="3"/>
      <c r="AA334" s="1395" t="s">
        <v>2696</v>
      </c>
      <c r="AB334" s="1395"/>
      <c r="AC334" s="1395"/>
      <c r="AD334" s="1395"/>
      <c r="AE334" s="1395"/>
      <c r="AF334" s="1395"/>
      <c r="AG334" s="1395"/>
      <c r="AH334" s="1395"/>
      <c r="AI334" s="1395"/>
      <c r="AJ334" s="1395"/>
      <c r="AK334" s="1395"/>
    </row>
    <row r="335" spans="2:66" ht="12.95" customHeight="1">
      <c r="B335" s="3" t="s">
        <v>480</v>
      </c>
      <c r="C335" s="3"/>
      <c r="D335" s="3"/>
      <c r="E335" s="3"/>
      <c r="F335" s="3"/>
      <c r="H335" s="1366" t="s">
        <v>2703</v>
      </c>
      <c r="I335" s="1366"/>
      <c r="J335" s="1366"/>
      <c r="K335" s="1366"/>
      <c r="L335" s="1366"/>
      <c r="M335" s="1366"/>
      <c r="N335" s="1366"/>
      <c r="O335" s="1366"/>
      <c r="P335" s="1366"/>
      <c r="Q335" s="1366"/>
      <c r="R335" s="1366"/>
      <c r="T335" s="3" t="s">
        <v>480</v>
      </c>
      <c r="V335" s="3"/>
      <c r="W335" s="3"/>
      <c r="X335" s="3"/>
      <c r="Y335" s="3"/>
      <c r="AA335" s="1366" t="s">
        <v>2649</v>
      </c>
      <c r="AB335" s="1366"/>
      <c r="AC335" s="1366"/>
      <c r="AD335" s="1366"/>
      <c r="AE335" s="1366"/>
      <c r="AF335" s="1366"/>
      <c r="AG335" s="1366"/>
      <c r="AH335" s="1366"/>
      <c r="AI335" s="1366"/>
      <c r="AJ335" s="1366"/>
      <c r="AK335" s="1366"/>
    </row>
    <row r="336" spans="2:66" ht="12.95" customHeight="1">
      <c r="B336" s="3" t="s">
        <v>76</v>
      </c>
      <c r="C336" s="3"/>
      <c r="D336" s="3"/>
      <c r="E336" s="3"/>
      <c r="F336" s="3"/>
      <c r="H336" s="1366" t="s">
        <v>2704</v>
      </c>
      <c r="I336" s="1366"/>
      <c r="J336" s="1366"/>
      <c r="K336" s="1366"/>
      <c r="L336" s="1366"/>
      <c r="M336" s="1366"/>
      <c r="N336" s="1366"/>
      <c r="O336" s="1366"/>
      <c r="P336" s="1366"/>
      <c r="Q336" s="1366"/>
      <c r="R336" s="1366"/>
      <c r="T336" s="3" t="s">
        <v>76</v>
      </c>
      <c r="V336" s="3"/>
      <c r="W336" s="3"/>
      <c r="X336" s="3"/>
      <c r="Y336" s="3"/>
      <c r="AA336" s="1366" t="s">
        <v>2680</v>
      </c>
      <c r="AB336" s="1366"/>
      <c r="AC336" s="1366"/>
      <c r="AD336" s="1366"/>
      <c r="AE336" s="1366"/>
      <c r="AF336" s="1366"/>
      <c r="AG336" s="1366"/>
      <c r="AH336" s="1366"/>
      <c r="AI336" s="1366"/>
      <c r="AJ336" s="1366"/>
      <c r="AK336" s="1366"/>
    </row>
    <row r="337" spans="1:66" ht="12.95" customHeight="1">
      <c r="B337" s="3" t="s">
        <v>88</v>
      </c>
      <c r="C337" s="3"/>
      <c r="D337" s="3"/>
      <c r="E337" s="3"/>
      <c r="F337" s="3"/>
      <c r="G337" s="3"/>
      <c r="H337" s="1366" t="s">
        <v>2702</v>
      </c>
      <c r="I337" s="1366"/>
      <c r="J337" s="1366"/>
      <c r="K337" s="1366"/>
      <c r="L337" s="1366"/>
      <c r="M337" s="1366"/>
      <c r="N337" s="1366"/>
      <c r="O337" s="1366"/>
      <c r="P337" s="1366"/>
      <c r="Q337" s="1366"/>
      <c r="R337" s="1366"/>
      <c r="T337" s="3" t="s">
        <v>88</v>
      </c>
      <c r="V337" s="3"/>
      <c r="W337" s="3"/>
      <c r="X337" s="3"/>
      <c r="Y337" s="3"/>
      <c r="AA337" s="1366" t="s">
        <v>2697</v>
      </c>
      <c r="AB337" s="1366"/>
      <c r="AC337" s="1366"/>
      <c r="AD337" s="1366"/>
      <c r="AE337" s="1366"/>
      <c r="AF337" s="1366"/>
      <c r="AG337" s="1366"/>
      <c r="AH337" s="1366"/>
      <c r="AI337" s="1366"/>
      <c r="AJ337" s="1366"/>
      <c r="AK337" s="1366"/>
    </row>
    <row r="338" spans="1:66" ht="12.95" customHeight="1">
      <c r="B338" s="3" t="s">
        <v>89</v>
      </c>
      <c r="C338" s="3"/>
      <c r="D338" s="3"/>
      <c r="E338" s="3"/>
      <c r="F338" s="3"/>
      <c r="G338" s="3"/>
      <c r="H338" s="1542" t="s">
        <v>2701</v>
      </c>
      <c r="I338" s="1538"/>
      <c r="J338" s="1538"/>
      <c r="K338" s="1538"/>
      <c r="L338" s="1538"/>
      <c r="M338" s="1538"/>
      <c r="N338" s="4" t="s">
        <v>208</v>
      </c>
      <c r="O338" s="4"/>
      <c r="P338" s="1539"/>
      <c r="Q338" s="1539"/>
      <c r="R338" s="1539"/>
      <c r="S338" s="3"/>
      <c r="T338" s="3" t="s">
        <v>89</v>
      </c>
      <c r="V338" s="3"/>
      <c r="W338" s="3"/>
      <c r="X338" s="3"/>
      <c r="Y338" s="3"/>
      <c r="AA338" s="1538" t="str">
        <f>AA306</f>
        <v>714-244-3015</v>
      </c>
      <c r="AB338" s="1538"/>
      <c r="AC338" s="1538"/>
      <c r="AD338" s="1538"/>
      <c r="AE338" s="1538"/>
      <c r="AF338" s="1538"/>
      <c r="AG338" s="4" t="s">
        <v>208</v>
      </c>
      <c r="AH338" s="4"/>
      <c r="AI338" s="1539"/>
      <c r="AJ338" s="1539"/>
      <c r="AK338" s="1539"/>
    </row>
    <row r="339" spans="1:66" ht="12.95" customHeight="1">
      <c r="B339" s="3" t="s">
        <v>90</v>
      </c>
      <c r="C339" s="3"/>
      <c r="D339" s="3"/>
      <c r="E339" s="3"/>
      <c r="F339" s="3"/>
      <c r="G339" s="3"/>
      <c r="H339" s="1437"/>
      <c r="I339" s="1437"/>
      <c r="J339" s="1437"/>
      <c r="K339" s="1437"/>
      <c r="L339" s="1437"/>
      <c r="M339" s="1437"/>
      <c r="N339" s="4"/>
      <c r="O339" s="4"/>
      <c r="P339" s="35"/>
      <c r="Q339" s="35"/>
      <c r="R339" s="35"/>
      <c r="S339" s="3"/>
      <c r="T339" s="3" t="s">
        <v>90</v>
      </c>
      <c r="V339" s="3"/>
      <c r="W339" s="3"/>
      <c r="X339" s="3"/>
      <c r="Y339" s="3"/>
      <c r="AA339" s="1437"/>
      <c r="AB339" s="1437"/>
      <c r="AC339" s="1437"/>
      <c r="AD339" s="1437"/>
      <c r="AE339" s="1437"/>
      <c r="AF339" s="1437"/>
      <c r="AG339" s="4"/>
      <c r="AH339" s="4"/>
      <c r="AI339" s="35"/>
      <c r="AJ339" s="35"/>
      <c r="AK339" s="35"/>
    </row>
    <row r="340" spans="1:66" ht="12.95" customHeight="1">
      <c r="B340" s="3" t="s">
        <v>77</v>
      </c>
      <c r="C340" s="3"/>
      <c r="D340" s="3"/>
      <c r="E340" s="3"/>
      <c r="F340" s="3"/>
      <c r="G340" s="3"/>
      <c r="H340" s="1366" t="s">
        <v>2700</v>
      </c>
      <c r="I340" s="1366"/>
      <c r="J340" s="1366"/>
      <c r="K340" s="1366"/>
      <c r="L340" s="1366"/>
      <c r="M340" s="1366"/>
      <c r="N340" s="1395"/>
      <c r="O340" s="1395"/>
      <c r="P340" s="1395"/>
      <c r="Q340" s="1395"/>
      <c r="R340" s="1395"/>
      <c r="S340" s="3"/>
      <c r="T340" s="3" t="s">
        <v>77</v>
      </c>
      <c r="V340" s="3"/>
      <c r="W340" s="3"/>
      <c r="X340" s="3"/>
      <c r="Y340" s="3"/>
      <c r="AA340" s="1366" t="s">
        <v>2698</v>
      </c>
      <c r="AB340" s="1366"/>
      <c r="AC340" s="1366"/>
      <c r="AD340" s="1366"/>
      <c r="AE340" s="1366"/>
      <c r="AF340" s="1366"/>
      <c r="AG340" s="1395"/>
      <c r="AH340" s="1395"/>
      <c r="AI340" s="1395"/>
      <c r="AJ340" s="1395"/>
      <c r="AK340" s="1395"/>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917</v>
      </c>
      <c r="P342" s="1395"/>
      <c r="Q342" s="1395"/>
      <c r="R342" s="1395"/>
      <c r="S342" s="1395"/>
      <c r="T342" s="1395"/>
      <c r="U342" s="1395"/>
      <c r="V342" s="1395"/>
      <c r="W342" s="1395"/>
      <c r="X342" s="1395"/>
      <c r="Y342" s="1395"/>
      <c r="Z342" s="1395"/>
      <c r="AA342" s="1395"/>
      <c r="AB342" s="1395"/>
      <c r="AC342" s="1395"/>
      <c r="AD342" s="1395"/>
      <c r="AE342" s="1395"/>
      <c r="BN342" t="s">
        <v>600</v>
      </c>
    </row>
    <row r="343" spans="1:66" ht="12.95" customHeight="1">
      <c r="B343" s="4"/>
      <c r="C343" s="4"/>
      <c r="D343" s="4"/>
      <c r="E343" s="4"/>
      <c r="F343" s="4"/>
      <c r="I343" s="4" t="s">
        <v>480</v>
      </c>
      <c r="P343" s="1366"/>
      <c r="Q343" s="1366"/>
      <c r="R343" s="1366"/>
      <c r="S343" s="1366"/>
      <c r="T343" s="1366"/>
      <c r="U343" s="1366"/>
      <c r="V343" s="1366"/>
      <c r="W343" s="1366"/>
      <c r="X343" s="1366"/>
      <c r="Y343" s="1366"/>
      <c r="Z343" s="1366"/>
      <c r="AA343" s="1366"/>
      <c r="AB343" s="1366"/>
      <c r="AC343" s="1366"/>
      <c r="AD343" s="1366"/>
      <c r="AE343" s="1366"/>
      <c r="BN343" t="s">
        <v>678</v>
      </c>
    </row>
    <row r="344" spans="1:66" ht="12.95" customHeight="1">
      <c r="B344" s="4"/>
      <c r="C344" s="4"/>
      <c r="D344" s="4"/>
      <c r="E344" s="4"/>
      <c r="F344" s="4"/>
      <c r="I344" s="4" t="s">
        <v>76</v>
      </c>
      <c r="P344" s="1366"/>
      <c r="Q344" s="1366"/>
      <c r="R344" s="1366"/>
      <c r="S344" s="1366"/>
      <c r="T344" s="1366"/>
      <c r="U344" s="1366"/>
      <c r="V344" s="1366"/>
      <c r="W344" s="1366"/>
      <c r="X344" s="1366"/>
      <c r="Y344" s="1366"/>
      <c r="Z344" s="1366"/>
      <c r="AA344" s="1366"/>
      <c r="AB344" s="1366"/>
      <c r="AC344" s="1366"/>
      <c r="AD344" s="1366"/>
      <c r="AE344" s="1366"/>
      <c r="BN344" t="s">
        <v>554</v>
      </c>
    </row>
    <row r="345" spans="1:66" ht="12.95" customHeight="1">
      <c r="B345" s="4"/>
      <c r="C345" s="4"/>
      <c r="D345" s="4"/>
      <c r="E345" s="4"/>
      <c r="F345" s="4"/>
      <c r="G345" s="4"/>
      <c r="I345" s="4" t="s">
        <v>88</v>
      </c>
      <c r="P345" s="1366"/>
      <c r="Q345" s="1366"/>
      <c r="R345" s="1366"/>
      <c r="S345" s="1366"/>
      <c r="T345" s="1366"/>
      <c r="U345" s="1366"/>
      <c r="V345" s="1366"/>
      <c r="W345" s="1366"/>
      <c r="X345" s="1366"/>
      <c r="Y345" s="1366"/>
      <c r="Z345" s="1366"/>
      <c r="AA345" s="1366"/>
      <c r="AB345" s="1366"/>
      <c r="AC345" s="1366"/>
      <c r="AD345" s="1366"/>
      <c r="AE345" s="1366"/>
    </row>
    <row r="346" spans="1:66" ht="12.95" customHeight="1">
      <c r="B346" s="4"/>
      <c r="C346" s="4"/>
      <c r="D346" s="4"/>
      <c r="E346" s="4"/>
      <c r="F346" s="4"/>
      <c r="G346" s="4"/>
      <c r="H346" s="324"/>
      <c r="I346" s="4" t="s">
        <v>89</v>
      </c>
      <c r="P346" s="1437"/>
      <c r="Q346" s="1437"/>
      <c r="R346" s="1437"/>
      <c r="S346" s="1437"/>
      <c r="T346" s="1437"/>
      <c r="U346" s="1437"/>
      <c r="V346" s="1437"/>
      <c r="W346" s="1437"/>
      <c r="X346" s="1437"/>
      <c r="Y346" s="1437"/>
      <c r="Z346" s="1437"/>
      <c r="AA346" s="4" t="s">
        <v>208</v>
      </c>
      <c r="AB346" s="4"/>
      <c r="AC346" s="1466"/>
      <c r="AD346" s="1466"/>
      <c r="AE346" s="1466"/>
      <c r="AF346" s="324"/>
      <c r="AG346" s="4"/>
      <c r="AH346" s="4"/>
      <c r="AI346" s="4"/>
      <c r="AJ346" s="4"/>
      <c r="AK346" s="4"/>
    </row>
    <row r="347" spans="1:66" ht="12.95" customHeight="1">
      <c r="B347" s="4"/>
      <c r="C347" s="4"/>
      <c r="D347" s="4"/>
      <c r="E347" s="4"/>
      <c r="F347" s="4"/>
      <c r="G347" s="4"/>
      <c r="H347" s="324"/>
      <c r="I347" s="4" t="s">
        <v>90</v>
      </c>
      <c r="P347" s="1437"/>
      <c r="Q347" s="1437"/>
      <c r="R347" s="1437"/>
      <c r="S347" s="1437"/>
      <c r="T347" s="1437"/>
      <c r="U347" s="1437"/>
      <c r="V347" s="1437"/>
      <c r="W347" s="1437"/>
      <c r="X347" s="1437"/>
      <c r="Y347" s="1437"/>
      <c r="Z347" s="1437"/>
      <c r="AF347" s="324"/>
      <c r="AG347" s="4"/>
      <c r="AH347" s="4"/>
      <c r="AI347" s="35"/>
      <c r="AJ347" s="35"/>
      <c r="AK347" s="35"/>
    </row>
    <row r="348" spans="1:66" ht="12.95" customHeight="1">
      <c r="B348" s="4"/>
      <c r="C348" s="4"/>
      <c r="D348" s="4"/>
      <c r="E348" s="4"/>
      <c r="F348" s="4"/>
      <c r="G348" s="4"/>
      <c r="I348" s="4" t="s">
        <v>77</v>
      </c>
      <c r="P348" s="1395"/>
      <c r="Q348" s="1395"/>
      <c r="R348" s="1395"/>
      <c r="S348" s="1395"/>
      <c r="T348" s="1395"/>
      <c r="U348" s="1395"/>
      <c r="V348" s="1395"/>
      <c r="W348" s="1395"/>
      <c r="X348" s="1395"/>
      <c r="Y348" s="1395"/>
      <c r="Z348" s="1395"/>
      <c r="AA348" s="1395"/>
      <c r="AB348" s="1395"/>
      <c r="AC348" s="1395"/>
      <c r="AD348" s="1395"/>
      <c r="AE348" s="1395"/>
    </row>
    <row r="349" spans="1:66" ht="12.95" customHeight="1">
      <c r="T349" s="8"/>
      <c r="U349" s="8"/>
      <c r="V349" s="8"/>
      <c r="W349" s="8"/>
      <c r="X349" s="8"/>
      <c r="Y349" s="8"/>
      <c r="Z349" s="8"/>
    </row>
    <row r="350" spans="1:66" ht="12.95" customHeight="1">
      <c r="A350" s="1442" t="s">
        <v>551</v>
      </c>
      <c r="B350" s="1442"/>
      <c r="C350" s="1442"/>
      <c r="D350" s="1442"/>
      <c r="E350" s="1442"/>
      <c r="F350" s="1442"/>
      <c r="G350" s="1442"/>
      <c r="H350" s="1442"/>
      <c r="I350" s="1442"/>
      <c r="J350" s="1442"/>
      <c r="K350" s="1442"/>
      <c r="L350" s="1442"/>
      <c r="M350" s="1442"/>
      <c r="N350" s="1442"/>
      <c r="O350" s="1442"/>
      <c r="P350" s="1442"/>
      <c r="Q350" s="1442"/>
      <c r="R350" s="1442"/>
      <c r="S350" s="1442"/>
      <c r="T350" s="1442"/>
      <c r="U350" s="1442"/>
      <c r="V350" s="1442"/>
      <c r="W350" s="1442"/>
      <c r="X350" s="1442"/>
      <c r="Y350" s="1442"/>
      <c r="Z350" s="1442"/>
      <c r="AA350" s="1442"/>
      <c r="AB350" s="1442"/>
      <c r="AC350" s="1442"/>
      <c r="AD350" s="1442"/>
      <c r="AE350" s="1442"/>
      <c r="AF350" s="1442"/>
      <c r="AG350" s="1442"/>
      <c r="AH350" s="1442"/>
      <c r="AI350" s="1442"/>
      <c r="AJ350" s="1442"/>
      <c r="AK350" s="1442"/>
      <c r="AL350" s="1442"/>
      <c r="AM350" s="95"/>
      <c r="AN350" s="95"/>
      <c r="AO350" s="95"/>
      <c r="AP350" s="95"/>
      <c r="AQ350" s="95"/>
      <c r="AR350" s="95"/>
      <c r="AS350" s="95"/>
      <c r="AT350" s="95"/>
      <c r="AU350" s="95"/>
      <c r="AV350" s="95"/>
      <c r="AW350" s="95"/>
      <c r="AX350" s="95"/>
      <c r="AY350" s="95"/>
    </row>
    <row r="351" spans="1:66" ht="12.95" customHeight="1" thickBot="1">
      <c r="A351" s="1443"/>
      <c r="B351" s="1443"/>
      <c r="C351" s="1443"/>
      <c r="D351" s="1443"/>
      <c r="E351" s="1443"/>
      <c r="F351" s="1443"/>
      <c r="G351" s="1443"/>
      <c r="H351" s="1443"/>
      <c r="I351" s="1443"/>
      <c r="J351" s="1443"/>
      <c r="K351" s="1443"/>
      <c r="L351" s="1443"/>
      <c r="M351" s="1443"/>
      <c r="N351" s="1443"/>
      <c r="O351" s="1443"/>
      <c r="P351" s="1443"/>
      <c r="Q351" s="1443"/>
      <c r="R351" s="1443"/>
      <c r="S351" s="1443"/>
      <c r="T351" s="1443"/>
      <c r="U351" s="1443"/>
      <c r="V351" s="1443"/>
      <c r="W351" s="1443"/>
      <c r="X351" s="1443"/>
      <c r="Y351" s="1443"/>
      <c r="Z351" s="1443"/>
      <c r="AA351" s="1443"/>
      <c r="AB351" s="1443"/>
      <c r="AC351" s="1443"/>
      <c r="AD351" s="1443"/>
      <c r="AE351" s="1443"/>
      <c r="AF351" s="1443"/>
      <c r="AG351" s="1443"/>
      <c r="AH351" s="1443"/>
      <c r="AI351" s="1443"/>
      <c r="AJ351" s="1443"/>
      <c r="AK351" s="1443"/>
      <c r="AL351" s="1443"/>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806</v>
      </c>
    </row>
    <row r="354" spans="1:37" ht="12.95" customHeight="1">
      <c r="D354" s="3" t="s">
        <v>2519</v>
      </c>
      <c r="M354" s="1373" t="s">
        <v>600</v>
      </c>
      <c r="N354" s="1373"/>
      <c r="P354" t="s">
        <v>1830</v>
      </c>
      <c r="AJ354" s="1373" t="s">
        <v>600</v>
      </c>
      <c r="AK354" s="1373"/>
    </row>
    <row r="355" spans="1:37" ht="12.95" customHeight="1">
      <c r="D355" s="3" t="s">
        <v>1819</v>
      </c>
      <c r="M355" s="1373" t="s">
        <v>600</v>
      </c>
      <c r="N355" s="1373"/>
      <c r="P355" s="3" t="s">
        <v>1979</v>
      </c>
      <c r="AJ355" s="1431"/>
      <c r="AK355" s="1431"/>
    </row>
    <row r="356" spans="1:37" ht="12.95" customHeight="1">
      <c r="D356" s="3" t="s">
        <v>716</v>
      </c>
      <c r="M356" s="1373" t="s">
        <v>600</v>
      </c>
      <c r="N356" s="1373"/>
      <c r="P356" t="s">
        <v>1829</v>
      </c>
      <c r="AJ356" s="1373" t="s">
        <v>600</v>
      </c>
      <c r="AK356" s="1373"/>
    </row>
    <row r="357" spans="1:37" ht="12.95" customHeight="1">
      <c r="D357" s="3" t="s">
        <v>717</v>
      </c>
      <c r="M357" s="1373" t="s">
        <v>554</v>
      </c>
      <c r="N357" s="1373"/>
      <c r="Q357" s="4"/>
    </row>
    <row r="358" spans="1:37" ht="12.95" customHeight="1">
      <c r="Q358" s="4"/>
    </row>
    <row r="359" spans="1:37" ht="12.95" customHeight="1">
      <c r="Q359" s="4"/>
    </row>
    <row r="360" spans="1:37" ht="12.95" customHeight="1">
      <c r="A360" s="2" t="s">
        <v>585</v>
      </c>
      <c r="B360" s="2"/>
      <c r="C360" s="2" t="s">
        <v>561</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73" t="s">
        <v>554</v>
      </c>
      <c r="O362" s="1373"/>
      <c r="P362" s="40"/>
      <c r="Q362" s="40"/>
      <c r="R362" s="40"/>
      <c r="S362" s="40"/>
      <c r="T362" s="40"/>
      <c r="U362" s="40"/>
      <c r="V362" s="40"/>
      <c r="W362" s="40"/>
      <c r="X362" s="40"/>
      <c r="Y362" s="40"/>
      <c r="Z362" s="40"/>
      <c r="AC362" s="40"/>
      <c r="AD362" s="40"/>
      <c r="AE362" s="40"/>
    </row>
    <row r="363" spans="1:37" ht="12.95" customHeight="1">
      <c r="E363" t="s">
        <v>372</v>
      </c>
      <c r="Y363" s="1373" t="s">
        <v>600</v>
      </c>
      <c r="Z363" s="1373"/>
    </row>
    <row r="364" spans="1:37" ht="12.95" customHeight="1">
      <c r="D364" s="4" t="s">
        <v>1018</v>
      </c>
      <c r="Q364" s="1395" t="s">
        <v>2641</v>
      </c>
      <c r="R364" s="1395"/>
      <c r="S364" s="1395"/>
      <c r="T364" s="1395"/>
      <c r="U364" s="1395"/>
      <c r="V364" s="1395"/>
      <c r="W364" s="1395"/>
      <c r="X364" s="1395"/>
      <c r="Y364" s="1395"/>
      <c r="Z364" s="1395"/>
      <c r="AA364" s="1395"/>
      <c r="AB364" s="1395"/>
      <c r="AC364" s="1395"/>
      <c r="AD364" s="1395"/>
      <c r="AE364" s="1395"/>
      <c r="AF364" s="1395"/>
      <c r="AG364" s="1395"/>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73" t="s">
        <v>554</v>
      </c>
      <c r="K366" s="1373"/>
      <c r="L366" s="40"/>
      <c r="M366" s="40"/>
      <c r="N366" s="40"/>
      <c r="O366" s="40"/>
      <c r="P366" s="40"/>
      <c r="Q366" s="40"/>
      <c r="R366" s="40"/>
      <c r="S366" s="40"/>
      <c r="T366" s="40"/>
      <c r="U366" s="40"/>
      <c r="V366" s="40"/>
      <c r="W366" s="40"/>
      <c r="X366" s="40"/>
      <c r="Y366" s="40"/>
      <c r="Z366" s="40"/>
      <c r="AC366" s="40"/>
      <c r="AD366" s="40"/>
      <c r="AE366" s="40"/>
    </row>
    <row r="367" spans="1:37" ht="12.95" customHeight="1">
      <c r="E367" s="1599" t="s">
        <v>718</v>
      </c>
      <c r="F367" s="1599"/>
      <c r="G367" s="1599"/>
      <c r="H367" s="1599"/>
      <c r="I367" s="1599"/>
      <c r="J367" s="1599"/>
      <c r="K367" s="1599"/>
      <c r="L367" s="1599"/>
      <c r="M367" s="1599"/>
      <c r="N367" s="1599"/>
      <c r="O367" s="1599"/>
      <c r="P367" s="1599"/>
      <c r="Q367" s="1599"/>
      <c r="R367" s="1599"/>
      <c r="S367" s="1599"/>
      <c r="T367" s="1599"/>
      <c r="U367" s="1599"/>
      <c r="V367" s="1599"/>
      <c r="W367" s="1599"/>
      <c r="X367" s="1599"/>
      <c r="Y367" s="1599"/>
      <c r="Z367" s="1599"/>
      <c r="AA367" s="1599"/>
      <c r="AB367" s="1599"/>
      <c r="AC367" s="1599"/>
      <c r="AD367" s="1599"/>
      <c r="AE367" s="1599"/>
      <c r="AF367" s="1599"/>
      <c r="AG367" s="1599"/>
      <c r="AH367" s="1599"/>
    </row>
    <row r="368" spans="1:37" ht="12.95" customHeight="1">
      <c r="E368" s="1599"/>
      <c r="F368" s="1599"/>
      <c r="G368" s="1599"/>
      <c r="H368" s="1599"/>
      <c r="I368" s="1599"/>
      <c r="J368" s="1599"/>
      <c r="K368" s="1599"/>
      <c r="L368" s="1599"/>
      <c r="M368" s="1599"/>
      <c r="N368" s="1599"/>
      <c r="O368" s="1599"/>
      <c r="P368" s="1599"/>
      <c r="Q368" s="1599"/>
      <c r="R368" s="1599"/>
      <c r="S368" s="1599"/>
      <c r="T368" s="1599"/>
      <c r="U368" s="1599"/>
      <c r="V368" s="1599"/>
      <c r="W368" s="1599"/>
      <c r="X368" s="1599"/>
      <c r="Y368" s="1599"/>
      <c r="Z368" s="1599"/>
      <c r="AA368" s="1599"/>
      <c r="AB368" s="1599"/>
      <c r="AC368" s="1599"/>
      <c r="AD368" s="1599"/>
      <c r="AE368" s="1599"/>
      <c r="AF368" s="1599"/>
      <c r="AG368" s="1599"/>
      <c r="AH368" s="1599"/>
    </row>
    <row r="369" spans="1:36" ht="12.95" customHeight="1">
      <c r="E369" s="4" t="s">
        <v>457</v>
      </c>
      <c r="F369" s="4"/>
      <c r="G369" s="4"/>
      <c r="H369" s="4"/>
      <c r="I369" s="4"/>
      <c r="J369" s="4"/>
      <c r="K369" s="4"/>
      <c r="L369" s="4"/>
      <c r="N369" s="1378">
        <f>2023-1962</f>
        <v>61</v>
      </c>
      <c r="O369" s="1378"/>
      <c r="P369" s="1378"/>
      <c r="Q369" s="1378"/>
      <c r="R369" s="4"/>
      <c r="U369" s="4" t="s">
        <v>458</v>
      </c>
      <c r="V369" s="4"/>
      <c r="W369" s="4"/>
      <c r="X369" s="4"/>
      <c r="Y369" s="4"/>
      <c r="Z369" s="4"/>
      <c r="AA369" s="4"/>
      <c r="AB369" s="4"/>
      <c r="AC369" s="1378">
        <v>21</v>
      </c>
      <c r="AD369" s="1378"/>
      <c r="AE369" s="1378"/>
      <c r="AF369" s="1378"/>
    </row>
    <row r="370" spans="1:36" ht="12.95" customHeight="1">
      <c r="E370" s="4" t="s">
        <v>459</v>
      </c>
      <c r="F370" s="4"/>
      <c r="G370" s="4"/>
      <c r="H370" s="4"/>
      <c r="I370" s="4"/>
      <c r="J370" s="4"/>
      <c r="K370" s="4"/>
      <c r="L370" s="4"/>
      <c r="N370" s="1378">
        <v>19</v>
      </c>
      <c r="O370" s="1378"/>
      <c r="P370" s="1378"/>
      <c r="Q370" s="1378"/>
      <c r="R370" s="4"/>
      <c r="U370" s="4" t="s">
        <v>0</v>
      </c>
      <c r="V370" s="4"/>
      <c r="W370" s="4"/>
      <c r="X370" s="4"/>
      <c r="Y370" s="4"/>
      <c r="Z370" s="4"/>
      <c r="AA370" s="4"/>
      <c r="AB370" s="4"/>
      <c r="AC370" s="1378">
        <v>76</v>
      </c>
      <c r="AD370" s="1378"/>
      <c r="AE370" s="1378"/>
      <c r="AF370" s="1378"/>
    </row>
    <row r="371" spans="1:36" ht="12.95" customHeight="1">
      <c r="E371" s="4" t="s">
        <v>1</v>
      </c>
      <c r="F371" s="4"/>
      <c r="G371" s="4"/>
      <c r="H371" s="4"/>
      <c r="I371" s="4"/>
      <c r="J371" s="4"/>
      <c r="K371" s="4"/>
      <c r="L371" s="4"/>
      <c r="N371" s="1378">
        <v>2</v>
      </c>
      <c r="O371" s="1378"/>
      <c r="P371" s="1378"/>
      <c r="Q371" s="1378"/>
      <c r="R371" s="4"/>
      <c r="V371" s="4"/>
      <c r="W371" s="4"/>
      <c r="X371" s="4"/>
      <c r="Y371" s="4"/>
      <c r="Z371" s="4"/>
      <c r="AA371" s="4"/>
      <c r="AB371" s="4"/>
    </row>
    <row r="372" spans="1:36" ht="12.95" customHeight="1">
      <c r="E372" s="4" t="s">
        <v>2</v>
      </c>
      <c r="F372" s="4"/>
      <c r="G372" s="4"/>
      <c r="H372" s="4"/>
      <c r="I372" s="4"/>
      <c r="J372" s="4"/>
      <c r="K372" s="4"/>
      <c r="L372" s="4"/>
      <c r="N372" s="1438" t="s">
        <v>2761</v>
      </c>
      <c r="O372" s="1439"/>
      <c r="P372" s="1439"/>
      <c r="Q372" s="1439"/>
      <c r="R372" s="1439"/>
      <c r="S372" s="1439"/>
      <c r="T372" s="1439"/>
      <c r="U372" s="1439"/>
      <c r="V372" s="1439"/>
      <c r="W372" s="1439"/>
      <c r="X372" s="1439"/>
      <c r="Y372" s="1439"/>
      <c r="Z372" s="1439"/>
      <c r="AA372" s="1439"/>
      <c r="AB372" s="1439"/>
      <c r="AC372" s="1439"/>
      <c r="AD372" s="1439"/>
      <c r="AE372" s="1439"/>
      <c r="AF372" s="1439"/>
    </row>
    <row r="373" spans="1:36" ht="12.95" customHeight="1">
      <c r="E373" s="4"/>
      <c r="F373" s="4"/>
      <c r="G373" s="4"/>
      <c r="H373" s="4"/>
      <c r="I373" s="4"/>
      <c r="J373" s="4"/>
      <c r="K373" s="4"/>
      <c r="L373" s="4"/>
      <c r="N373" s="1440"/>
      <c r="O373" s="1440"/>
      <c r="P373" s="1440"/>
      <c r="Q373" s="1440"/>
      <c r="R373" s="1440"/>
      <c r="S373" s="1440"/>
      <c r="T373" s="1440"/>
      <c r="U373" s="1440"/>
      <c r="V373" s="1440"/>
      <c r="W373" s="1440"/>
      <c r="X373" s="1440"/>
      <c r="Y373" s="1440"/>
      <c r="Z373" s="1440"/>
      <c r="AA373" s="1440"/>
      <c r="AB373" s="1440"/>
      <c r="AC373" s="1440"/>
      <c r="AD373" s="1440"/>
      <c r="AE373" s="1440"/>
      <c r="AF373" s="1440"/>
    </row>
    <row r="374" spans="1:36" ht="12.95" customHeight="1">
      <c r="C374" s="547"/>
      <c r="E374" s="4"/>
      <c r="F374" s="4"/>
      <c r="G374" s="4"/>
      <c r="H374" s="4"/>
      <c r="I374" s="4"/>
      <c r="J374" s="4"/>
      <c r="K374" s="4"/>
      <c r="L374" s="4"/>
    </row>
    <row r="375" spans="1:36" ht="12.95" customHeight="1">
      <c r="D375" s="2" t="s">
        <v>1015</v>
      </c>
      <c r="E375" s="2"/>
      <c r="F375" s="4"/>
      <c r="G375" s="4"/>
      <c r="H375" s="4"/>
      <c r="I375" s="4"/>
      <c r="J375" s="4"/>
      <c r="K375" s="4"/>
      <c r="L375" s="4"/>
    </row>
    <row r="376" spans="1:36" ht="12.95" customHeight="1">
      <c r="E376" s="4" t="s">
        <v>2502</v>
      </c>
      <c r="F376" s="4"/>
      <c r="G376" s="4"/>
      <c r="H376" s="4"/>
      <c r="I376" s="4"/>
      <c r="J376" s="4"/>
      <c r="K376" s="4"/>
      <c r="L376" s="4"/>
      <c r="N376" t="s">
        <v>2496</v>
      </c>
      <c r="R376" s="27" t="s">
        <v>307</v>
      </c>
      <c r="S376" s="1444">
        <v>2007</v>
      </c>
      <c r="T376" s="1444"/>
      <c r="U376" s="1" t="s">
        <v>308</v>
      </c>
      <c r="V376" s="1444">
        <v>163</v>
      </c>
      <c r="W376" s="1444"/>
      <c r="Y376" t="s">
        <v>2496</v>
      </c>
      <c r="AC376" s="27" t="s">
        <v>307</v>
      </c>
      <c r="AD376" s="1444"/>
      <c r="AE376" s="1444"/>
      <c r="AF376" s="1" t="s">
        <v>308</v>
      </c>
      <c r="AG376" s="1444"/>
      <c r="AH376" s="1444"/>
    </row>
    <row r="377" spans="1:36" ht="12.95" customHeight="1">
      <c r="E377" s="4" t="s">
        <v>1044</v>
      </c>
      <c r="F377" s="4"/>
      <c r="G377" s="4"/>
      <c r="H377" s="4"/>
      <c r="I377" s="4"/>
      <c r="J377" s="4"/>
      <c r="K377" s="4"/>
      <c r="L377" s="4"/>
      <c r="N377" s="1444">
        <v>2008</v>
      </c>
      <c r="O377" s="1444"/>
      <c r="P377" s="1444"/>
    </row>
    <row r="378" spans="1:36" ht="12.95" customHeight="1">
      <c r="E378" s="218" t="s">
        <v>2503</v>
      </c>
      <c r="F378" s="4"/>
      <c r="G378" s="4"/>
      <c r="H378" s="4"/>
      <c r="I378" s="4"/>
      <c r="J378" s="4"/>
      <c r="K378" s="4"/>
      <c r="L378" s="4"/>
      <c r="AG378" s="1471" t="s">
        <v>678</v>
      </c>
      <c r="AH378" s="1471"/>
    </row>
    <row r="379" spans="1:36" ht="12.95" customHeight="1">
      <c r="E379" s="4"/>
      <c r="F379" s="4"/>
      <c r="G379" s="4" t="s">
        <v>2504</v>
      </c>
      <c r="H379" s="4"/>
      <c r="I379" s="4"/>
      <c r="J379" s="4"/>
      <c r="K379" s="4"/>
      <c r="L379" s="4"/>
      <c r="AG379" s="1471" t="s">
        <v>678</v>
      </c>
      <c r="AH379" s="1471"/>
    </row>
    <row r="380" spans="1:36" ht="12.95" customHeight="1">
      <c r="E380" s="4"/>
      <c r="F380" s="4"/>
      <c r="G380" s="349" t="s">
        <v>1045</v>
      </c>
      <c r="H380" s="4"/>
      <c r="I380" s="4"/>
      <c r="J380" s="4"/>
      <c r="K380" s="4"/>
      <c r="L380" s="4"/>
      <c r="V380" s="1373" t="s">
        <v>600</v>
      </c>
      <c r="W380" s="1373"/>
      <c r="Y380" s="22" t="s">
        <v>1020</v>
      </c>
    </row>
    <row r="381" spans="1:36" ht="12.95" customHeight="1">
      <c r="E381" s="4" t="s">
        <v>1021</v>
      </c>
      <c r="F381" s="4"/>
      <c r="G381" s="4"/>
      <c r="H381" s="4"/>
      <c r="I381" s="4"/>
      <c r="J381" s="4"/>
      <c r="K381" s="4"/>
      <c r="L381" s="4"/>
      <c r="V381" s="1373" t="s">
        <v>600</v>
      </c>
      <c r="W381" s="1373"/>
      <c r="Y381" s="4" t="s">
        <v>1022</v>
      </c>
    </row>
    <row r="382" spans="1:36" ht="12.95" customHeight="1"/>
    <row r="383" spans="1:36" ht="12.95" customHeight="1">
      <c r="A383" s="2" t="s">
        <v>79</v>
      </c>
      <c r="B383" s="2"/>
    </row>
    <row r="384" spans="1:36" ht="12.95" customHeight="1">
      <c r="D384" t="s">
        <v>430</v>
      </c>
      <c r="J384" s="1395" t="s">
        <v>2707</v>
      </c>
      <c r="K384" s="1395"/>
      <c r="L384" s="1395"/>
      <c r="M384" s="1395"/>
      <c r="N384" s="1395"/>
      <c r="O384" s="1395"/>
      <c r="P384" s="1395"/>
      <c r="Q384" s="1395"/>
      <c r="R384" s="1395"/>
      <c r="S384" s="1395"/>
      <c r="T384" s="1395"/>
      <c r="U384" s="1395"/>
      <c r="V384" s="8" t="s">
        <v>84</v>
      </c>
      <c r="W384" s="8"/>
      <c r="X384" s="8"/>
      <c r="Y384" s="8"/>
      <c r="Z384" s="8"/>
      <c r="AA384" s="8"/>
      <c r="AB384" s="8"/>
      <c r="AC384" s="1395" t="str">
        <f>J385</f>
        <v>Micheal Finn</v>
      </c>
      <c r="AD384" s="1395"/>
      <c r="AE384" s="1395"/>
      <c r="AF384" s="1395"/>
      <c r="AG384" s="1395"/>
      <c r="AH384" s="1395"/>
      <c r="AI384" s="1395"/>
      <c r="AJ384" s="1395"/>
    </row>
    <row r="385" spans="4:36" ht="12.95" customHeight="1">
      <c r="D385" s="3" t="s">
        <v>1325</v>
      </c>
      <c r="J385" s="1394" t="s">
        <v>2762</v>
      </c>
      <c r="K385" s="1366"/>
      <c r="L385" s="1366"/>
      <c r="M385" s="1366"/>
      <c r="N385" s="1366"/>
      <c r="O385" s="1366"/>
      <c r="P385" s="1366"/>
      <c r="Q385" s="1366"/>
      <c r="R385" s="1366"/>
      <c r="S385" s="1366"/>
      <c r="T385" s="1366"/>
      <c r="U385" s="1366"/>
      <c r="V385" s="3" t="s">
        <v>1325</v>
      </c>
      <c r="W385" s="8"/>
      <c r="X385" s="8"/>
      <c r="Y385" s="8"/>
      <c r="Z385" s="8"/>
      <c r="AA385" s="8"/>
      <c r="AB385" s="8"/>
      <c r="AC385" s="1395" t="str">
        <f>J385</f>
        <v>Micheal Finn</v>
      </c>
      <c r="AD385" s="1395"/>
      <c r="AE385" s="1395"/>
      <c r="AF385" s="1395"/>
      <c r="AG385" s="1395"/>
      <c r="AH385" s="1395"/>
      <c r="AI385" s="1395"/>
      <c r="AJ385" s="1395"/>
    </row>
    <row r="386" spans="4:36" ht="12.95" customHeight="1">
      <c r="D386" s="3" t="s">
        <v>444</v>
      </c>
      <c r="J386" s="1394" t="s">
        <v>2763</v>
      </c>
      <c r="K386" s="1366"/>
      <c r="L386" s="1366"/>
      <c r="M386" s="1366"/>
      <c r="N386" s="1366"/>
      <c r="O386" s="1366"/>
      <c r="P386" s="1366"/>
      <c r="Q386" s="1366"/>
      <c r="R386" s="1366"/>
      <c r="S386" s="1366"/>
      <c r="T386" s="1366"/>
      <c r="U386" s="1366"/>
      <c r="V386" s="3" t="s">
        <v>444</v>
      </c>
      <c r="W386" s="8"/>
      <c r="X386" s="8"/>
      <c r="Y386" s="8"/>
      <c r="Z386" s="8"/>
      <c r="AA386" s="8"/>
      <c r="AB386" s="8"/>
      <c r="AC386" s="1395" t="str">
        <f>J386</f>
        <v>CFO</v>
      </c>
      <c r="AD386" s="1395"/>
      <c r="AE386" s="1395"/>
      <c r="AF386" s="1395"/>
      <c r="AG386" s="1395"/>
      <c r="AH386" s="1395"/>
      <c r="AI386" s="1395"/>
      <c r="AJ386" s="1395"/>
    </row>
    <row r="387" spans="4:36" ht="12.95" customHeight="1">
      <c r="D387" t="s">
        <v>1321</v>
      </c>
      <c r="J387" s="1863" t="s">
        <v>2764</v>
      </c>
      <c r="K387" s="1863"/>
      <c r="L387" s="1863"/>
      <c r="M387" s="1863"/>
      <c r="N387" s="1863"/>
      <c r="O387" s="1863"/>
      <c r="P387" s="1863"/>
      <c r="Q387" s="1863"/>
      <c r="R387" s="1863"/>
      <c r="S387" s="1863"/>
      <c r="T387" s="1863"/>
      <c r="U387" s="1863"/>
      <c r="V387" s="1476" t="s">
        <v>2765</v>
      </c>
      <c r="W387" s="1476"/>
      <c r="X387" s="1476"/>
      <c r="Y387" s="1476"/>
      <c r="Z387" s="1476"/>
      <c r="AA387" s="1476"/>
      <c r="AB387" s="1476"/>
      <c r="AC387" s="1476"/>
      <c r="AD387" s="1476"/>
      <c r="AE387" s="1476"/>
      <c r="AF387" s="1476"/>
      <c r="AG387" s="1476"/>
      <c r="AH387" s="1476"/>
      <c r="AI387" s="1476"/>
      <c r="AJ387" s="1476"/>
    </row>
    <row r="388" spans="4:36" ht="12.95" customHeight="1">
      <c r="D388" t="s">
        <v>4</v>
      </c>
      <c r="Q388" s="1756" t="s">
        <v>2751</v>
      </c>
      <c r="R388" s="1757"/>
      <c r="S388" s="1757"/>
      <c r="T388" s="1757"/>
      <c r="U388" s="1757"/>
      <c r="V388" t="s">
        <v>311</v>
      </c>
      <c r="AI388" s="1373" t="s">
        <v>678</v>
      </c>
      <c r="AJ388" s="1373"/>
    </row>
    <row r="389" spans="4:36" ht="12.95" customHeight="1">
      <c r="D389" t="s">
        <v>5</v>
      </c>
      <c r="Q389" s="1597"/>
      <c r="R389" s="1598"/>
      <c r="S389" s="1598"/>
      <c r="T389" s="1598"/>
      <c r="U389" s="1598"/>
      <c r="W389" s="21" t="s">
        <v>75</v>
      </c>
      <c r="AG389" s="1436"/>
      <c r="AH389" s="1436"/>
      <c r="AI389" s="1436"/>
      <c r="AJ389" s="1436"/>
    </row>
    <row r="390" spans="4:36" ht="12.95" customHeight="1">
      <c r="D390" t="s">
        <v>429</v>
      </c>
      <c r="Q390" s="1596">
        <f>SUM('Sources and Uses Budget'!C4,'Sources and Uses Budget'!C9)</f>
        <v>24768402</v>
      </c>
      <c r="R390" s="1596"/>
      <c r="S390" s="1596"/>
      <c r="T390" s="1596"/>
      <c r="U390" s="1596"/>
      <c r="V390" s="3" t="s">
        <v>1324</v>
      </c>
      <c r="AG390" s="1448">
        <v>45446</v>
      </c>
      <c r="AH390" s="1448"/>
      <c r="AI390" s="1448"/>
      <c r="AJ390" s="1448"/>
    </row>
    <row r="391" spans="4:36" ht="12.95" customHeight="1">
      <c r="D391" t="s">
        <v>89</v>
      </c>
      <c r="I391" s="1542" t="s">
        <v>2733</v>
      </c>
      <c r="J391" s="1538"/>
      <c r="K391" s="1538"/>
      <c r="L391" s="1538"/>
      <c r="M391" s="1538"/>
      <c r="N391" s="1538"/>
      <c r="Q391" s="4" t="s">
        <v>208</v>
      </c>
      <c r="S391" s="1601"/>
      <c r="T391" s="1601"/>
      <c r="U391" s="1601"/>
      <c r="V391" t="s">
        <v>74</v>
      </c>
      <c r="AI391" s="1373" t="s">
        <v>678</v>
      </c>
      <c r="AJ391" s="1373"/>
    </row>
    <row r="392" spans="4:36" ht="12.95" customHeight="1">
      <c r="D392" t="s">
        <v>312</v>
      </c>
      <c r="Q392" s="1441">
        <v>0</v>
      </c>
      <c r="R392" s="1441"/>
      <c r="S392" s="1441"/>
      <c r="T392" s="1441"/>
      <c r="U392" s="1441"/>
      <c r="V392" t="s">
        <v>313</v>
      </c>
      <c r="AG392" s="1436"/>
      <c r="AH392" s="1436"/>
      <c r="AI392" s="1436"/>
      <c r="AJ392" s="1436"/>
    </row>
    <row r="393" spans="4:36" ht="12.95" customHeight="1">
      <c r="D393" t="s">
        <v>314</v>
      </c>
      <c r="Q393" s="1713">
        <v>0.01</v>
      </c>
      <c r="R393" s="1713"/>
      <c r="S393" s="1713"/>
      <c r="T393" s="1713"/>
      <c r="U393" s="1713"/>
      <c r="V393" t="s">
        <v>1305</v>
      </c>
      <c r="AG393" s="1436"/>
      <c r="AH393" s="1436"/>
      <c r="AI393" s="1436"/>
      <c r="AJ393" s="1436"/>
    </row>
    <row r="394" spans="4:36" ht="12.95" customHeight="1">
      <c r="D394" t="s">
        <v>1304</v>
      </c>
      <c r="AG394" s="1436"/>
      <c r="AH394" s="1436"/>
      <c r="AI394" s="1436"/>
      <c r="AJ394" s="1436"/>
    </row>
    <row r="395" spans="4:36" ht="12.95" customHeight="1">
      <c r="AG395" s="491"/>
      <c r="AH395" s="491"/>
      <c r="AI395" s="491"/>
      <c r="AJ395" s="491"/>
    </row>
    <row r="396" spans="4:36" ht="12.95" customHeight="1">
      <c r="D396" s="3" t="s">
        <v>2614</v>
      </c>
      <c r="AG396" s="491"/>
      <c r="AH396" s="491"/>
      <c r="AI396" s="1373" t="s">
        <v>678</v>
      </c>
      <c r="AJ396" s="1373"/>
    </row>
    <row r="397" spans="4:36" ht="12.95" customHeight="1">
      <c r="D397" s="3" t="s">
        <v>1848</v>
      </c>
      <c r="T397" s="1409"/>
      <c r="U397" s="1409"/>
      <c r="V397" s="1409"/>
      <c r="W397" s="1409"/>
      <c r="X397" s="1409"/>
      <c r="Y397" s="1409"/>
      <c r="Z397" s="1409"/>
      <c r="AA397" s="1409"/>
      <c r="AB397" s="1409"/>
      <c r="AC397" s="1409"/>
      <c r="AD397" s="1409"/>
      <c r="AE397" s="1409"/>
      <c r="AF397" s="1409"/>
      <c r="AG397" s="1409"/>
      <c r="AH397" s="1409"/>
      <c r="AI397" s="1409"/>
      <c r="AJ397" s="1409"/>
    </row>
    <row r="398" spans="4:36" ht="12.95" customHeight="1">
      <c r="D398" s="3" t="s">
        <v>1847</v>
      </c>
      <c r="T398" s="1409"/>
      <c r="U398" s="1409"/>
      <c r="V398" s="1409"/>
      <c r="W398" s="1409"/>
      <c r="X398" s="1409"/>
      <c r="Y398" s="1409"/>
      <c r="Z398" s="1409"/>
      <c r="AA398" s="1409"/>
      <c r="AB398" s="1409"/>
      <c r="AC398" s="1409"/>
      <c r="AD398" s="1409"/>
      <c r="AE398" s="1409"/>
      <c r="AF398" s="1409"/>
      <c r="AG398" s="1409"/>
      <c r="AH398" s="1409"/>
      <c r="AI398" s="1409"/>
      <c r="AJ398" s="1409"/>
    </row>
    <row r="399" spans="4:36" ht="12.95" customHeight="1">
      <c r="AG399" s="491"/>
      <c r="AH399" s="491"/>
      <c r="AI399" s="491"/>
      <c r="AJ399" s="491"/>
    </row>
    <row r="400" spans="4:36" ht="12.95" customHeight="1">
      <c r="D400" s="3" t="s">
        <v>1841</v>
      </c>
      <c r="S400" s="1409" t="s">
        <v>678</v>
      </c>
      <c r="T400" s="1409"/>
      <c r="U400" s="1409"/>
      <c r="V400" t="s">
        <v>1842</v>
      </c>
      <c r="AG400" s="1472"/>
      <c r="AH400" s="1472"/>
      <c r="AI400" s="1472"/>
      <c r="AJ400" s="1472"/>
    </row>
    <row r="401" spans="1:36" ht="12.95" customHeight="1">
      <c r="D401" s="3" t="s">
        <v>1839</v>
      </c>
      <c r="S401" s="1409" t="s">
        <v>600</v>
      </c>
      <c r="T401" s="1409"/>
      <c r="U401" s="1409"/>
      <c r="V401" t="s">
        <v>1844</v>
      </c>
      <c r="AE401" s="1473"/>
      <c r="AF401" s="1473"/>
      <c r="AG401" s="1473"/>
      <c r="AH401" s="1473"/>
      <c r="AI401" s="1473"/>
      <c r="AJ401" s="1473"/>
    </row>
    <row r="402" spans="1:36" ht="12.95" customHeight="1">
      <c r="D402" s="3" t="s">
        <v>1840</v>
      </c>
      <c r="K402" s="1458"/>
      <c r="L402" s="1458"/>
      <c r="M402" s="1458"/>
      <c r="N402" s="1458"/>
      <c r="O402" s="1458"/>
      <c r="P402" s="1458"/>
      <c r="Q402" s="1458"/>
      <c r="R402" s="1458"/>
      <c r="S402" s="1458"/>
      <c r="T402" s="1458"/>
      <c r="U402" s="1458"/>
      <c r="V402" s="1458"/>
      <c r="W402" s="1458"/>
      <c r="X402" s="1458"/>
      <c r="Y402" s="1458"/>
      <c r="Z402" s="1458"/>
      <c r="AA402" s="1458"/>
      <c r="AB402" s="1458"/>
      <c r="AC402" s="1458"/>
      <c r="AD402" s="1458"/>
      <c r="AE402" s="1458"/>
      <c r="AF402" s="1458"/>
      <c r="AG402" s="1458"/>
      <c r="AH402" s="1458"/>
      <c r="AI402" s="1458"/>
      <c r="AJ402" s="1458"/>
    </row>
    <row r="403" spans="1:36" ht="12.95" customHeight="1">
      <c r="D403" s="3" t="s">
        <v>1843</v>
      </c>
      <c r="K403" s="1458"/>
      <c r="L403" s="1458"/>
      <c r="M403" s="1458"/>
      <c r="N403" s="1458"/>
      <c r="O403" s="1458"/>
      <c r="P403" s="1458"/>
      <c r="Q403" s="1458"/>
      <c r="R403" s="1458"/>
      <c r="S403" s="1458"/>
      <c r="T403" s="1458"/>
      <c r="U403" s="1458"/>
      <c r="V403" s="1458"/>
      <c r="W403" s="1458"/>
      <c r="X403" s="1458"/>
      <c r="Y403" s="1458"/>
      <c r="Z403" s="1458"/>
      <c r="AA403" s="1458"/>
      <c r="AB403" s="1458"/>
      <c r="AC403" s="1458"/>
      <c r="AD403" s="1458"/>
      <c r="AE403" s="1458"/>
      <c r="AF403" s="1458"/>
      <c r="AG403" s="1458"/>
      <c r="AH403" s="1458"/>
      <c r="AI403" s="1458"/>
      <c r="AJ403" s="1458"/>
    </row>
    <row r="404" spans="1:36" ht="12.95" customHeight="1">
      <c r="D404" s="3" t="s">
        <v>1846</v>
      </c>
      <c r="E404" s="512"/>
      <c r="F404" s="512"/>
      <c r="G404" s="512"/>
      <c r="H404" s="512"/>
      <c r="I404" s="512"/>
      <c r="J404" s="512"/>
      <c r="K404" s="512"/>
      <c r="L404" s="512"/>
      <c r="M404" s="512"/>
      <c r="N404" s="512"/>
      <c r="O404" s="512"/>
      <c r="P404" s="512"/>
      <c r="Q404" s="512"/>
      <c r="R404" s="512"/>
      <c r="S404" s="1540" t="s">
        <v>1327</v>
      </c>
      <c r="T404" s="1540"/>
      <c r="U404" s="1540"/>
      <c r="V404" s="1540"/>
      <c r="W404" s="1540"/>
      <c r="X404" s="1540"/>
      <c r="Y404" s="1540"/>
      <c r="Z404" s="1540"/>
      <c r="AA404" s="1540"/>
      <c r="AB404" s="1540"/>
      <c r="AC404" s="1540"/>
      <c r="AD404" s="1540"/>
      <c r="AE404" s="1540"/>
      <c r="AF404" s="1540"/>
      <c r="AG404" s="1540"/>
      <c r="AH404" s="1540"/>
      <c r="AI404" s="1540"/>
      <c r="AJ404" s="1540"/>
    </row>
    <row r="405" spans="1:36" ht="12.95" customHeight="1">
      <c r="D405" s="1266" t="s">
        <v>1845</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2.95"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AG407" s="491"/>
      <c r="AH407" s="491"/>
      <c r="AI407" s="491"/>
      <c r="AJ407" s="491"/>
    </row>
    <row r="408" spans="1:36" ht="12.95" customHeight="1">
      <c r="A408" s="2" t="s">
        <v>598</v>
      </c>
      <c r="B408" s="2"/>
      <c r="C408" s="2" t="s">
        <v>112</v>
      </c>
    </row>
    <row r="409" spans="1:36" ht="12.95" customHeight="1">
      <c r="B409" s="2"/>
      <c r="C409" s="2"/>
      <c r="D409" s="2" t="s">
        <v>1347</v>
      </c>
      <c r="I409" s="1514" t="s">
        <v>2638</v>
      </c>
      <c r="J409" s="1514"/>
      <c r="K409" s="1514"/>
      <c r="L409" s="1514"/>
      <c r="M409" s="1514"/>
      <c r="N409" s="1514"/>
      <c r="O409" s="1514"/>
      <c r="P409" s="1514"/>
      <c r="Q409" s="1514"/>
      <c r="R409" s="1514"/>
      <c r="S409" s="1514"/>
      <c r="T409" s="1514"/>
      <c r="U409" s="1514"/>
      <c r="V409" s="1514"/>
      <c r="W409" s="1514"/>
      <c r="X409" s="1514"/>
      <c r="Y409" s="1514"/>
      <c r="Z409" s="1514"/>
      <c r="AA409" s="1514"/>
      <c r="AB409" s="1514"/>
      <c r="AC409" s="1514"/>
      <c r="AD409" s="1514"/>
      <c r="AE409" s="1514"/>
    </row>
    <row r="410" spans="1:36" ht="12.95" customHeight="1">
      <c r="E410" t="s">
        <v>107</v>
      </c>
      <c r="R410" s="1373" t="s">
        <v>600</v>
      </c>
      <c r="S410" s="1373"/>
      <c r="T410" t="s">
        <v>579</v>
      </c>
      <c r="AD410" s="1445" t="s">
        <v>2637</v>
      </c>
      <c r="AE410" s="1378"/>
    </row>
    <row r="411" spans="1:36" ht="12.95" customHeight="1">
      <c r="E411" t="s">
        <v>108</v>
      </c>
      <c r="R411" s="1373" t="s">
        <v>554</v>
      </c>
      <c r="S411" s="1373"/>
      <c r="T411" t="s">
        <v>579</v>
      </c>
      <c r="AD411" s="1378">
        <v>2</v>
      </c>
      <c r="AE411" s="1378"/>
    </row>
    <row r="412" spans="1:36" ht="12.95" customHeight="1">
      <c r="E412" t="s">
        <v>109</v>
      </c>
      <c r="S412" s="1373" t="s">
        <v>600</v>
      </c>
      <c r="T412" s="1373"/>
    </row>
    <row r="413" spans="1:36" ht="12.95" customHeight="1">
      <c r="E413" t="s">
        <v>171</v>
      </c>
      <c r="H413" s="1711" t="s">
        <v>336</v>
      </c>
      <c r="I413" s="1711"/>
      <c r="J413" s="1711"/>
      <c r="K413" s="1711"/>
      <c r="L413" s="1711"/>
      <c r="M413" s="1711"/>
      <c r="N413" s="1711"/>
      <c r="O413" s="1711"/>
      <c r="P413" s="1711"/>
      <c r="Q413" s="1711"/>
      <c r="R413" s="1711"/>
      <c r="S413" s="1711"/>
      <c r="T413" s="1711"/>
      <c r="U413" s="1711"/>
      <c r="V413" s="1711"/>
      <c r="W413" s="1711"/>
      <c r="X413" s="1711"/>
      <c r="Y413" s="1711"/>
      <c r="Z413" s="1711"/>
      <c r="AA413" s="1711"/>
      <c r="AB413" s="1711"/>
      <c r="AC413" s="1711"/>
      <c r="AD413" s="1711"/>
      <c r="AE413" s="1711"/>
    </row>
    <row r="414" spans="1:36" ht="12.95" customHeight="1">
      <c r="H414" s="1712"/>
      <c r="I414" s="1712"/>
      <c r="J414" s="1712"/>
      <c r="K414" s="1712"/>
      <c r="L414" s="1712"/>
      <c r="M414" s="1712"/>
      <c r="N414" s="1712"/>
      <c r="O414" s="1712"/>
      <c r="P414" s="1712"/>
      <c r="Q414" s="1712"/>
      <c r="R414" s="1712"/>
      <c r="S414" s="1712"/>
      <c r="T414" s="1712"/>
      <c r="U414" s="1712"/>
      <c r="V414" s="1712"/>
      <c r="W414" s="1712"/>
      <c r="X414" s="1712"/>
      <c r="Y414" s="1712"/>
      <c r="Z414" s="1712"/>
      <c r="AA414" s="1712"/>
      <c r="AB414" s="1712"/>
      <c r="AC414" s="1712"/>
      <c r="AD414" s="1712"/>
      <c r="AE414" s="1712"/>
    </row>
    <row r="415" spans="1:36" ht="12.95" customHeight="1"/>
    <row r="416" spans="1:36" ht="12.95" customHeight="1">
      <c r="A416" s="2" t="s">
        <v>599</v>
      </c>
      <c r="B416" s="2"/>
      <c r="C416" s="2"/>
      <c r="D416" s="2" t="s">
        <v>115</v>
      </c>
      <c r="AF416" s="2" t="s">
        <v>997</v>
      </c>
    </row>
    <row r="417" spans="1:39" ht="12.95" customHeight="1">
      <c r="E417" s="1444"/>
      <c r="F417" s="1444"/>
      <c r="G417" s="1444"/>
      <c r="H417" s="13" t="s">
        <v>116</v>
      </c>
      <c r="I417" s="1444"/>
      <c r="J417" s="1444"/>
      <c r="K417" s="1444"/>
      <c r="L417" t="s">
        <v>117</v>
      </c>
      <c r="N417" s="27" t="s">
        <v>584</v>
      </c>
      <c r="P417" s="1600">
        <v>6.44</v>
      </c>
      <c r="Q417" s="1600"/>
      <c r="R417" s="1600"/>
      <c r="S417" t="s">
        <v>118</v>
      </c>
      <c r="W417" s="1364">
        <f>IF(E417&gt;0,(E417*I417),(P417*43560))</f>
        <v>280526.40000000002</v>
      </c>
      <c r="X417" s="1364"/>
      <c r="Y417" s="1364"/>
      <c r="Z417" t="s">
        <v>119</v>
      </c>
      <c r="AF417" s="1537">
        <f>IF(P417&gt;0,(AG436/P417),(AG436/(W417/43560)))</f>
        <v>11.801242236024844</v>
      </c>
      <c r="AG417" s="1537"/>
      <c r="AH417" s="1537"/>
      <c r="AM417" s="3"/>
    </row>
    <row r="418" spans="1:39" ht="12.95" customHeight="1">
      <c r="E418" t="s">
        <v>51</v>
      </c>
    </row>
    <row r="419" spans="1:39" ht="12.95" customHeight="1">
      <c r="E419" s="1534"/>
      <c r="F419" s="1534"/>
      <c r="G419" s="1534"/>
      <c r="H419" s="1534"/>
      <c r="I419" s="1534"/>
      <c r="J419" s="1534"/>
      <c r="K419" s="1534"/>
      <c r="L419" s="1534"/>
      <c r="M419" s="1534"/>
      <c r="N419" s="1534"/>
      <c r="O419" s="1534"/>
      <c r="P419" s="1534"/>
      <c r="Q419" s="1534"/>
      <c r="R419" s="1534"/>
      <c r="S419" s="1534"/>
      <c r="T419" s="1534"/>
      <c r="U419" s="1534"/>
      <c r="V419" s="1534"/>
      <c r="W419" s="1534"/>
      <c r="X419" s="1534"/>
      <c r="Y419" s="1534"/>
      <c r="Z419" s="1534"/>
      <c r="AA419" s="1534"/>
      <c r="AB419" s="1534"/>
      <c r="AC419" s="1534"/>
      <c r="AD419" s="1534"/>
      <c r="AE419" s="1534"/>
      <c r="AF419" s="1534"/>
      <c r="AG419" s="1534"/>
      <c r="AH419" s="1534"/>
      <c r="AI419" s="1534"/>
      <c r="AJ419" s="1534"/>
    </row>
    <row r="420" spans="1:39" ht="12.95" customHeight="1">
      <c r="E420" s="118" t="s">
        <v>1996</v>
      </c>
      <c r="F420" s="1050"/>
      <c r="G420" s="1050"/>
      <c r="H420" s="1050"/>
      <c r="I420" s="1723">
        <v>6.44</v>
      </c>
      <c r="J420" s="1723"/>
      <c r="K420" s="1723"/>
      <c r="L420" s="1050"/>
      <c r="M420" s="118"/>
      <c r="N420" s="1050"/>
      <c r="O420" s="1050"/>
      <c r="P420" s="1746">
        <f>(CS623+CS631+CS647)/I420</f>
        <v>27.329192546583851</v>
      </c>
      <c r="Q420" s="1746"/>
      <c r="R420" s="1746"/>
      <c r="S420" s="118" t="s">
        <v>1997</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601</v>
      </c>
      <c r="B422" s="2"/>
      <c r="C422" s="2"/>
      <c r="D422" s="2" t="s">
        <v>121</v>
      </c>
    </row>
    <row r="423" spans="1:39" ht="12.95" customHeight="1">
      <c r="E423" t="s">
        <v>122</v>
      </c>
      <c r="P423" s="1373">
        <v>21</v>
      </c>
      <c r="Q423" s="1373"/>
      <c r="S423" t="s">
        <v>191</v>
      </c>
      <c r="AE423" s="1373">
        <v>19</v>
      </c>
      <c r="AF423" s="1373"/>
    </row>
    <row r="424" spans="1:39" ht="12.95" customHeight="1">
      <c r="E424" t="s">
        <v>192</v>
      </c>
      <c r="P424" s="1373">
        <v>2</v>
      </c>
      <c r="Q424" s="1373"/>
      <c r="S424" t="s">
        <v>132</v>
      </c>
      <c r="AE424" s="1373" t="s">
        <v>600</v>
      </c>
      <c r="AF424" s="1373"/>
    </row>
    <row r="425" spans="1:39" ht="12.95" customHeight="1">
      <c r="F425" s="28" t="s">
        <v>133</v>
      </c>
    </row>
    <row r="426" spans="1:39" ht="12.95" customHeight="1">
      <c r="F426" s="1446"/>
      <c r="G426" s="1446"/>
      <c r="H426" s="1446"/>
      <c r="I426" s="1446"/>
      <c r="J426" s="1446"/>
      <c r="K426" s="1446"/>
      <c r="L426" s="1446"/>
      <c r="M426" s="1446"/>
      <c r="N426" s="1446"/>
      <c r="O426" s="1446"/>
      <c r="P426" s="1446"/>
      <c r="Q426" s="1446"/>
      <c r="R426" s="1446"/>
      <c r="S426" s="1446"/>
      <c r="T426" s="1446"/>
      <c r="U426" s="1446"/>
      <c r="V426" s="1446"/>
      <c r="W426" s="1446"/>
      <c r="X426" s="1446"/>
      <c r="Y426" s="1446"/>
      <c r="Z426" s="1446"/>
      <c r="AA426" s="1446"/>
      <c r="AB426" s="1446"/>
      <c r="AC426" s="1446"/>
      <c r="AD426" s="1446"/>
      <c r="AE426" s="1446"/>
      <c r="AF426" s="1446"/>
      <c r="AG426" s="1446"/>
      <c r="AH426" s="1446"/>
    </row>
    <row r="427" spans="1:39" ht="12.95" customHeight="1">
      <c r="F427" s="1447"/>
      <c r="G427" s="1447"/>
      <c r="H427" s="1447"/>
      <c r="I427" s="1447"/>
      <c r="J427" s="1447"/>
      <c r="K427" s="1447"/>
      <c r="L427" s="1447"/>
      <c r="M427" s="1447"/>
      <c r="N427" s="1447"/>
      <c r="O427" s="1447"/>
      <c r="P427" s="1447"/>
      <c r="Q427" s="1447"/>
      <c r="R427" s="1447"/>
      <c r="S427" s="1447"/>
      <c r="T427" s="1447"/>
      <c r="U427" s="1447"/>
      <c r="V427" s="1447"/>
      <c r="W427" s="1447"/>
      <c r="X427" s="1447"/>
      <c r="Y427" s="1447"/>
      <c r="Z427" s="1447"/>
      <c r="AA427" s="1447"/>
      <c r="AB427" s="1447"/>
      <c r="AC427" s="1447"/>
      <c r="AD427" s="1447"/>
      <c r="AE427" s="1447"/>
      <c r="AF427" s="1447"/>
      <c r="AG427" s="1447"/>
      <c r="AH427" s="1447"/>
    </row>
    <row r="428" spans="1:39" ht="12.95" customHeight="1">
      <c r="E428" t="s">
        <v>617</v>
      </c>
      <c r="P428" s="1"/>
      <c r="Q428" s="1373" t="s">
        <v>554</v>
      </c>
      <c r="R428" s="1373"/>
    </row>
    <row r="429" spans="1:39" ht="12.95" customHeight="1">
      <c r="F429" t="s">
        <v>618</v>
      </c>
      <c r="P429" s="1"/>
      <c r="Q429" s="1"/>
      <c r="AF429" s="1373" t="s">
        <v>600</v>
      </c>
      <c r="AG429" s="1576"/>
    </row>
    <row r="430" spans="1:39" ht="12.95" customHeight="1"/>
    <row r="431" spans="1:39" ht="12.95" customHeight="1">
      <c r="A431" s="2"/>
      <c r="B431" s="2"/>
      <c r="C431" s="2"/>
      <c r="E431" s="4" t="s">
        <v>310</v>
      </c>
      <c r="Z431" s="1373" t="s">
        <v>678</v>
      </c>
      <c r="AA431" s="1373"/>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719</v>
      </c>
      <c r="G433" s="40"/>
      <c r="I433" s="40"/>
      <c r="J433" s="40"/>
      <c r="K433" s="40"/>
      <c r="L433" s="40"/>
      <c r="M433" s="40"/>
      <c r="N433" s="40"/>
      <c r="O433" s="28"/>
      <c r="P433" s="40"/>
      <c r="Q433" s="40"/>
      <c r="R433" s="40"/>
      <c r="S433" s="40"/>
      <c r="T433" s="40"/>
      <c r="U433" s="40"/>
      <c r="V433" s="40"/>
      <c r="W433" s="40"/>
      <c r="Z433" s="1373" t="s">
        <v>600</v>
      </c>
      <c r="AA433" s="1373"/>
    </row>
    <row r="434" spans="1:110" ht="12.95" customHeight="1"/>
    <row r="435" spans="1:110" ht="12.95" customHeight="1">
      <c r="A435" s="2" t="s">
        <v>476</v>
      </c>
      <c r="B435" s="2"/>
      <c r="C435" s="2"/>
      <c r="D435" s="2" t="s">
        <v>788</v>
      </c>
      <c r="AF435" s="48"/>
    </row>
    <row r="436" spans="1:110" ht="12.95" customHeight="1">
      <c r="D436" s="1424" t="s">
        <v>43</v>
      </c>
      <c r="E436" s="1425"/>
      <c r="F436" s="1425"/>
      <c r="G436" s="1425"/>
      <c r="H436" s="1425"/>
      <c r="I436" s="1425"/>
      <c r="J436" s="1425"/>
      <c r="K436" s="1425"/>
      <c r="L436" s="1425"/>
      <c r="M436" s="1425"/>
      <c r="N436" s="1425"/>
      <c r="O436" s="1425"/>
      <c r="P436" s="1425"/>
      <c r="Q436" s="1425"/>
      <c r="R436" s="1425"/>
      <c r="S436" s="1425"/>
      <c r="T436" s="1425"/>
      <c r="U436" s="1425"/>
      <c r="V436" s="1425"/>
      <c r="W436" s="1425"/>
      <c r="X436" s="1425"/>
      <c r="Y436" s="1425"/>
      <c r="Z436" s="1425"/>
      <c r="AA436" s="1425"/>
      <c r="AB436" s="1425"/>
      <c r="AC436" s="1425"/>
      <c r="AD436" s="1425"/>
      <c r="AE436" s="1425"/>
      <c r="AF436" s="1426"/>
      <c r="AG436" s="1357">
        <v>76</v>
      </c>
      <c r="AH436" s="1357"/>
      <c r="AI436" s="1357"/>
      <c r="AJ436" s="1357"/>
    </row>
    <row r="437" spans="1:110" ht="12.95" customHeight="1">
      <c r="D437" s="1361" t="s">
        <v>1369</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363"/>
      <c r="AG437" s="1371"/>
      <c r="AH437" s="1372"/>
      <c r="AI437" s="1372"/>
      <c r="AJ437" s="1372"/>
    </row>
    <row r="438" spans="1:110" ht="12.95" customHeight="1">
      <c r="D438" s="1361" t="s">
        <v>1092</v>
      </c>
      <c r="E438" s="1362"/>
      <c r="F438" s="1362"/>
      <c r="G438" s="1362"/>
      <c r="H438" s="1362"/>
      <c r="I438" s="1362"/>
      <c r="J438" s="1362"/>
      <c r="K438" s="1362"/>
      <c r="L438" s="1362"/>
      <c r="M438" s="1362"/>
      <c r="N438" s="1362"/>
      <c r="O438" s="1362"/>
      <c r="P438" s="1362"/>
      <c r="Q438" s="1362"/>
      <c r="R438" s="1362"/>
      <c r="S438" s="1362"/>
      <c r="T438" s="1362"/>
      <c r="U438" s="1362"/>
      <c r="V438" s="1362"/>
      <c r="W438" s="1362"/>
      <c r="X438" s="1362"/>
      <c r="Y438" s="1362"/>
      <c r="Z438" s="1362"/>
      <c r="AA438" s="1362"/>
      <c r="AB438" s="1362"/>
      <c r="AC438" s="1362"/>
      <c r="AD438" s="1362"/>
      <c r="AE438" s="1362"/>
      <c r="AF438" s="1363"/>
      <c r="AG438" s="1357">
        <v>75</v>
      </c>
      <c r="AH438" s="1357"/>
      <c r="AI438" s="1357"/>
      <c r="AJ438" s="1357"/>
    </row>
    <row r="439" spans="1:110" ht="12.95" customHeight="1">
      <c r="D439" s="1361" t="s">
        <v>1093</v>
      </c>
      <c r="E439" s="1362"/>
      <c r="F439" s="1362"/>
      <c r="G439" s="1362"/>
      <c r="H439" s="1362"/>
      <c r="I439" s="1362"/>
      <c r="J439" s="1362"/>
      <c r="K439" s="1362"/>
      <c r="L439" s="1362"/>
      <c r="M439" s="1362"/>
      <c r="N439" s="1362"/>
      <c r="O439" s="1362"/>
      <c r="P439" s="1362"/>
      <c r="Q439" s="1362"/>
      <c r="R439" s="1362"/>
      <c r="S439" s="1362"/>
      <c r="T439" s="1362"/>
      <c r="U439" s="1362"/>
      <c r="V439" s="1362"/>
      <c r="W439" s="1362"/>
      <c r="X439" s="1362"/>
      <c r="Y439" s="1362"/>
      <c r="Z439" s="1362"/>
      <c r="AA439" s="1362"/>
      <c r="AB439" s="1362"/>
      <c r="AC439" s="1362"/>
      <c r="AD439" s="1362"/>
      <c r="AE439" s="1362"/>
      <c r="AF439" s="1363"/>
      <c r="AG439" s="1357">
        <v>75</v>
      </c>
      <c r="AH439" s="1357"/>
      <c r="AI439" s="1357"/>
      <c r="AJ439" s="1357"/>
    </row>
    <row r="440" spans="1:110" ht="12.95" customHeight="1">
      <c r="D440" s="1361" t="s">
        <v>1095</v>
      </c>
      <c r="E440" s="1362"/>
      <c r="F440" s="1362"/>
      <c r="G440" s="1362"/>
      <c r="H440" s="1362"/>
      <c r="I440" s="1362"/>
      <c r="J440" s="1362"/>
      <c r="K440" s="1362"/>
      <c r="L440" s="1362"/>
      <c r="M440" s="1362"/>
      <c r="N440" s="1362"/>
      <c r="O440" s="1362"/>
      <c r="P440" s="1362"/>
      <c r="Q440" s="1362"/>
      <c r="R440" s="1362"/>
      <c r="S440" s="1362"/>
      <c r="T440" s="1362"/>
      <c r="U440" s="1362"/>
      <c r="V440" s="1362"/>
      <c r="W440" s="1362"/>
      <c r="X440" s="1362"/>
      <c r="Y440" s="1362"/>
      <c r="Z440" s="1362"/>
      <c r="AA440" s="1362"/>
      <c r="AB440" s="1362"/>
      <c r="AC440" s="1362"/>
      <c r="AD440" s="1362"/>
      <c r="AE440" s="1362"/>
      <c r="AF440" s="1363"/>
      <c r="AG440" s="1359">
        <f>IF(ISERROR(AG439/AG438),"",AG439/AG438)</f>
        <v>1</v>
      </c>
      <c r="AH440" s="1359"/>
      <c r="AI440" s="1359"/>
      <c r="AJ440" s="1359"/>
    </row>
    <row r="441" spans="1:110" ht="12.95" customHeight="1">
      <c r="D441" s="1361" t="s">
        <v>1094</v>
      </c>
      <c r="E441" s="1362"/>
      <c r="F441" s="1362"/>
      <c r="G441" s="1362"/>
      <c r="H441" s="1362"/>
      <c r="I441" s="1362"/>
      <c r="J441" s="1362"/>
      <c r="K441" s="1362"/>
      <c r="L441" s="1362"/>
      <c r="M441" s="1362"/>
      <c r="N441" s="1362"/>
      <c r="O441" s="1362"/>
      <c r="P441" s="1362"/>
      <c r="Q441" s="1362"/>
      <c r="R441" s="1362"/>
      <c r="S441" s="1362"/>
      <c r="T441" s="1362"/>
      <c r="U441" s="1362"/>
      <c r="V441" s="1362"/>
      <c r="W441" s="1362"/>
      <c r="X441" s="1362"/>
      <c r="Y441" s="1362"/>
      <c r="Z441" s="1362"/>
      <c r="AA441" s="1362"/>
      <c r="AB441" s="1362"/>
      <c r="AC441" s="1362"/>
      <c r="AD441" s="1362"/>
      <c r="AE441" s="1362"/>
      <c r="AF441" s="1363"/>
      <c r="AG441" s="1358">
        <v>78441</v>
      </c>
      <c r="AH441" s="1358"/>
      <c r="AI441" s="1358"/>
      <c r="AJ441" s="1358"/>
    </row>
    <row r="442" spans="1:110" ht="12.95" customHeight="1">
      <c r="D442" s="1361" t="s">
        <v>1096</v>
      </c>
      <c r="E442" s="1362"/>
      <c r="F442" s="1362"/>
      <c r="G442" s="1362"/>
      <c r="H442" s="1362"/>
      <c r="I442" s="1362"/>
      <c r="J442" s="1362"/>
      <c r="K442" s="1362"/>
      <c r="L442" s="1362"/>
      <c r="M442" s="1362"/>
      <c r="N442" s="1362"/>
      <c r="O442" s="1362"/>
      <c r="P442" s="1362"/>
      <c r="Q442" s="1362"/>
      <c r="R442" s="1362"/>
      <c r="S442" s="1362"/>
      <c r="T442" s="1362"/>
      <c r="U442" s="1362"/>
      <c r="V442" s="1362"/>
      <c r="W442" s="1362"/>
      <c r="X442" s="1362"/>
      <c r="Y442" s="1362"/>
      <c r="Z442" s="1362"/>
      <c r="AA442" s="1362"/>
      <c r="AB442" s="1362"/>
      <c r="AC442" s="1362"/>
      <c r="AD442" s="1362"/>
      <c r="AE442" s="1362"/>
      <c r="AF442" s="1363"/>
      <c r="AG442" s="1358">
        <f>AG441</f>
        <v>78441</v>
      </c>
      <c r="AH442" s="1358"/>
      <c r="AI442" s="1358"/>
      <c r="AJ442" s="1358"/>
    </row>
    <row r="443" spans="1:110" ht="12.95" customHeight="1">
      <c r="D443" s="1361" t="s">
        <v>1097</v>
      </c>
      <c r="E443" s="1362"/>
      <c r="F443" s="1362"/>
      <c r="G443" s="1362"/>
      <c r="H443" s="1362"/>
      <c r="I443" s="1362"/>
      <c r="J443" s="1362"/>
      <c r="K443" s="1362"/>
      <c r="L443" s="1362"/>
      <c r="M443" s="1362"/>
      <c r="N443" s="1362"/>
      <c r="O443" s="1362"/>
      <c r="P443" s="1362"/>
      <c r="Q443" s="1362"/>
      <c r="R443" s="1362"/>
      <c r="S443" s="1362"/>
      <c r="T443" s="1362"/>
      <c r="U443" s="1362"/>
      <c r="V443" s="1362"/>
      <c r="W443" s="1362"/>
      <c r="X443" s="1362"/>
      <c r="Y443" s="1362"/>
      <c r="Z443" s="1362"/>
      <c r="AA443" s="1362"/>
      <c r="AB443" s="1362"/>
      <c r="AC443" s="1362"/>
      <c r="AD443" s="1362"/>
      <c r="AE443" s="1362"/>
      <c r="AF443" s="1363"/>
      <c r="AG443" s="1359">
        <f>IF(ISERROR(AG442/AG441),"",AG442/AG441)</f>
        <v>1</v>
      </c>
      <c r="AH443" s="1359"/>
      <c r="AI443" s="1359"/>
      <c r="AJ443" s="1359"/>
    </row>
    <row r="444" spans="1:110" ht="12.95" customHeight="1">
      <c r="D444" s="1361" t="s">
        <v>1098</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3"/>
      <c r="AG444" s="1359">
        <f>MIN(IF(AG440&gt;AG443,AG443,AG440),1)</f>
        <v>1</v>
      </c>
      <c r="AH444" s="1359"/>
      <c r="AI444" s="1359"/>
      <c r="AJ444" s="1359"/>
    </row>
    <row r="445" spans="1:110" ht="12.95" customHeight="1">
      <c r="D445" s="1361" t="s">
        <v>2505</v>
      </c>
      <c r="E445" s="1425"/>
      <c r="F445" s="1425"/>
      <c r="G445" s="1425"/>
      <c r="H445" s="1425"/>
      <c r="I445" s="1425"/>
      <c r="J445" s="1425"/>
      <c r="K445" s="1425"/>
      <c r="L445" s="1425"/>
      <c r="M445" s="1425"/>
      <c r="N445" s="1425"/>
      <c r="O445" s="1425"/>
      <c r="P445" s="1425"/>
      <c r="Q445" s="1425"/>
      <c r="R445" s="1425"/>
      <c r="S445" s="1425"/>
      <c r="T445" s="1425"/>
      <c r="U445" s="1425"/>
      <c r="V445" s="1425"/>
      <c r="W445" s="1425"/>
      <c r="X445" s="1425"/>
      <c r="Y445" s="1425"/>
      <c r="Z445" s="1425"/>
      <c r="AA445" s="1425"/>
      <c r="AB445" s="1425"/>
      <c r="AC445" s="1425"/>
      <c r="AD445" s="1425"/>
      <c r="AE445" s="1425"/>
      <c r="AF445" s="1426"/>
      <c r="AG445" s="1358">
        <v>5060</v>
      </c>
      <c r="AH445" s="1358"/>
      <c r="AI445" s="1358"/>
      <c r="AJ445" s="1358"/>
    </row>
    <row r="446" spans="1:110" ht="12.95" customHeight="1">
      <c r="D446" s="1424" t="s">
        <v>578</v>
      </c>
      <c r="E446" s="1425"/>
      <c r="F446" s="1425"/>
      <c r="G446" s="1425"/>
      <c r="H446" s="1425"/>
      <c r="I446" s="1425"/>
      <c r="J446" s="1425"/>
      <c r="K446" s="1425"/>
      <c r="L446" s="1425"/>
      <c r="M446" s="1425"/>
      <c r="N446" s="1425"/>
      <c r="O446" s="1425"/>
      <c r="P446" s="1425"/>
      <c r="Q446" s="1425"/>
      <c r="R446" s="1425"/>
      <c r="S446" s="1425"/>
      <c r="T446" s="1425"/>
      <c r="U446" s="1425"/>
      <c r="V446" s="1425"/>
      <c r="W446" s="1425"/>
      <c r="X446" s="1425"/>
      <c r="Y446" s="1425"/>
      <c r="Z446" s="1425"/>
      <c r="AA446" s="1425"/>
      <c r="AB446" s="1425"/>
      <c r="AC446" s="1425"/>
      <c r="AD446" s="1425"/>
      <c r="AE446" s="1425"/>
      <c r="AF446" s="1426"/>
      <c r="AG446" s="1358">
        <v>0</v>
      </c>
      <c r="AH446" s="1358"/>
      <c r="AI446" s="1358"/>
      <c r="AJ446" s="135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61" t="s">
        <v>1348</v>
      </c>
      <c r="E447" s="1425"/>
      <c r="F447" s="1425"/>
      <c r="G447" s="1425"/>
      <c r="H447" s="1425"/>
      <c r="I447" s="1425"/>
      <c r="J447" s="1425"/>
      <c r="K447" s="1425"/>
      <c r="L447" s="1425"/>
      <c r="M447" s="1425"/>
      <c r="N447" s="1425"/>
      <c r="O447" s="1425"/>
      <c r="P447" s="1425"/>
      <c r="Q447" s="1425"/>
      <c r="R447" s="1425"/>
      <c r="S447" s="1425"/>
      <c r="T447" s="1425"/>
      <c r="U447" s="1425"/>
      <c r="V447" s="1425"/>
      <c r="W447" s="1425"/>
      <c r="X447" s="1425"/>
      <c r="Y447" s="1425"/>
      <c r="Z447" s="1425"/>
      <c r="AA447" s="1425"/>
      <c r="AB447" s="1425"/>
      <c r="AC447" s="1425"/>
      <c r="AD447" s="1425"/>
      <c r="AE447" s="1425"/>
      <c r="AF447" s="1426"/>
      <c r="AG447" s="1358">
        <f>5060+T758</f>
        <v>6343</v>
      </c>
      <c r="AH447" s="1358"/>
      <c r="AI447" s="1358"/>
      <c r="AJ447" s="135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61" t="s">
        <v>1099</v>
      </c>
      <c r="E448" s="1425"/>
      <c r="F448" s="1425"/>
      <c r="G448" s="1425"/>
      <c r="H448" s="1425"/>
      <c r="I448" s="1425"/>
      <c r="J448" s="1425"/>
      <c r="K448" s="1425"/>
      <c r="L448" s="1425"/>
      <c r="M448" s="1425"/>
      <c r="N448" s="1425"/>
      <c r="O448" s="1425"/>
      <c r="P448" s="1425"/>
      <c r="Q448" s="1425"/>
      <c r="R448" s="1425"/>
      <c r="S448" s="1425"/>
      <c r="T448" s="1425"/>
      <c r="U448" s="1425"/>
      <c r="V448" s="1425"/>
      <c r="W448" s="1425"/>
      <c r="X448" s="1425"/>
      <c r="Y448" s="1425"/>
      <c r="Z448" s="1425"/>
      <c r="AA448" s="1425"/>
      <c r="AB448" s="1425"/>
      <c r="AC448" s="1425"/>
      <c r="AD448" s="1425"/>
      <c r="AE448" s="1425"/>
      <c r="AF448" s="1426"/>
      <c r="AG448" s="1358">
        <v>0</v>
      </c>
      <c r="AH448" s="1358"/>
      <c r="AI448" s="1358"/>
      <c r="AJ448" s="135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529" t="s">
        <v>1100</v>
      </c>
      <c r="E449" s="1530"/>
      <c r="F449" s="1530"/>
      <c r="G449" s="1530"/>
      <c r="H449" s="1530"/>
      <c r="I449" s="1530"/>
      <c r="J449" s="1530"/>
      <c r="K449" s="1530"/>
      <c r="L449" s="1530"/>
      <c r="M449" s="1530"/>
      <c r="N449" s="1530"/>
      <c r="O449" s="1530"/>
      <c r="P449" s="1530"/>
      <c r="Q449" s="1530"/>
      <c r="R449" s="1530"/>
      <c r="S449" s="1530"/>
      <c r="T449" s="1530"/>
      <c r="U449" s="1530"/>
      <c r="V449" s="1530"/>
      <c r="W449" s="1530"/>
      <c r="X449" s="1530"/>
      <c r="Y449" s="1530"/>
      <c r="Z449" s="1530"/>
      <c r="AA449" s="1530"/>
      <c r="AB449" s="1530"/>
      <c r="AC449" s="1530"/>
      <c r="AD449" s="1530"/>
      <c r="AE449" s="1530"/>
      <c r="AF449" s="1531"/>
      <c r="AG449" s="1465">
        <f>AG441+AG445+AG447+AG448</f>
        <v>89844</v>
      </c>
      <c r="AH449" s="1465"/>
      <c r="AI449" s="1465"/>
      <c r="AJ449" s="146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32" t="s">
        <v>1349</v>
      </c>
      <c r="E450" s="1532"/>
      <c r="F450" s="1532"/>
      <c r="G450" s="1532"/>
      <c r="H450" s="1532"/>
      <c r="I450" s="1532"/>
      <c r="J450" s="1532"/>
      <c r="K450" s="1532"/>
      <c r="L450" s="1532"/>
      <c r="M450" s="1532"/>
      <c r="N450" s="1532"/>
      <c r="O450" s="1532"/>
      <c r="P450" s="1532"/>
      <c r="Q450" s="1532"/>
      <c r="R450" s="1532"/>
      <c r="S450" s="1532"/>
      <c r="T450" s="1532"/>
      <c r="U450" s="1532"/>
      <c r="V450" s="1532"/>
      <c r="W450" s="1532"/>
      <c r="X450" s="1532"/>
      <c r="Y450" s="1532"/>
      <c r="Z450" s="1532"/>
      <c r="AA450" s="1532"/>
      <c r="AB450" s="1532"/>
      <c r="AC450" s="1532"/>
      <c r="AD450" s="1532"/>
      <c r="AE450" s="1532"/>
      <c r="AF450" s="1532"/>
      <c r="AG450" s="1532"/>
      <c r="AH450" s="1532"/>
      <c r="AI450" s="1532"/>
      <c r="AJ450" s="153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33"/>
      <c r="E451" s="1533"/>
      <c r="F451" s="1533"/>
      <c r="G451" s="1533"/>
      <c r="H451" s="1533"/>
      <c r="I451" s="1533"/>
      <c r="J451" s="1533"/>
      <c r="K451" s="1533"/>
      <c r="L451" s="1533"/>
      <c r="M451" s="1533"/>
      <c r="N451" s="1533"/>
      <c r="O451" s="1533"/>
      <c r="P451" s="1533"/>
      <c r="Q451" s="1533"/>
      <c r="R451" s="1533"/>
      <c r="S451" s="1533"/>
      <c r="T451" s="1533"/>
      <c r="U451" s="1533"/>
      <c r="V451" s="1533"/>
      <c r="W451" s="1533"/>
      <c r="X451" s="1533"/>
      <c r="Y451" s="1533"/>
      <c r="Z451" s="1533"/>
      <c r="AA451" s="1533"/>
      <c r="AB451" s="1533"/>
      <c r="AC451" s="1533"/>
      <c r="AD451" s="1533"/>
      <c r="AE451" s="1533"/>
      <c r="AF451" s="1533"/>
      <c r="AG451" s="1533"/>
      <c r="AH451" s="1533"/>
      <c r="AI451" s="1533"/>
      <c r="AJ451" s="153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0">
        <f>'Sources and Uses Budget'!B105/Application!AG436</f>
        <v>538625.71228146076</v>
      </c>
      <c r="AD453" s="1360"/>
      <c r="AE453" s="1360"/>
      <c r="AF453" s="1360"/>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0">
        <f>'Sources and Uses Budget'!C105/Application!AG436</f>
        <v>538625.71228146076</v>
      </c>
      <c r="AD454" s="1360"/>
      <c r="AE454" s="1360"/>
      <c r="AF454" s="1360"/>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0">
        <f>('Sources and Uses Budget'!$S$107+'Sources and Uses Budget'!$T$107)/Application!AG436</f>
        <v>490122.88026315789</v>
      </c>
      <c r="AD455" s="1360"/>
      <c r="AE455" s="1360"/>
      <c r="AF455" s="136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535" t="str">
        <f>IFERROR(IF(AC453&gt;650000,"Please provide a justification of cost per unit in Tab 12 for all projects with per unit costs of greater than $650,000.",""),"")</f>
        <v/>
      </c>
      <c r="G456" s="1535"/>
      <c r="H456" s="1535"/>
      <c r="I456" s="1535"/>
      <c r="J456" s="1535"/>
      <c r="K456" s="1535"/>
      <c r="L456" s="1535"/>
      <c r="M456" s="1535"/>
      <c r="N456" s="1535"/>
      <c r="O456" s="1535"/>
      <c r="P456" s="1535"/>
      <c r="Q456" s="1535"/>
      <c r="R456" s="1535"/>
      <c r="S456" s="1535"/>
      <c r="T456" s="1535"/>
      <c r="U456" s="1535"/>
      <c r="V456" s="1535"/>
      <c r="W456" s="1535"/>
      <c r="X456" s="1535"/>
      <c r="Y456" s="1535"/>
      <c r="Z456" s="1535"/>
      <c r="AA456" s="1535"/>
      <c r="AB456" s="1535"/>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535"/>
      <c r="G457" s="1535"/>
      <c r="H457" s="1535"/>
      <c r="I457" s="1535"/>
      <c r="J457" s="1535"/>
      <c r="K457" s="1535"/>
      <c r="L457" s="1535"/>
      <c r="M457" s="1535"/>
      <c r="N457" s="1535"/>
      <c r="O457" s="1535"/>
      <c r="P457" s="1535"/>
      <c r="Q457" s="1535"/>
      <c r="R457" s="1535"/>
      <c r="S457" s="1535"/>
      <c r="T457" s="1535"/>
      <c r="U457" s="1535"/>
      <c r="V457" s="1535"/>
      <c r="W457" s="1535"/>
      <c r="X457" s="1535"/>
      <c r="Y457" s="1535"/>
      <c r="Z457" s="1535"/>
      <c r="AA457" s="1535"/>
      <c r="AB457" s="1535"/>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622</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2141</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2142</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2143</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459" t="s">
        <v>2520</v>
      </c>
      <c r="E464" s="1353"/>
      <c r="F464" s="1353"/>
      <c r="G464" s="1353"/>
      <c r="H464" s="1353"/>
      <c r="I464" s="1353"/>
      <c r="J464" s="1353"/>
      <c r="K464" s="1353"/>
      <c r="L464" s="1353"/>
      <c r="M464" s="1353"/>
      <c r="N464" s="1353"/>
      <c r="O464" s="1353"/>
      <c r="P464" s="1353"/>
      <c r="Q464" s="1353"/>
      <c r="R464" s="1353"/>
      <c r="S464" s="1353"/>
      <c r="T464" s="1353"/>
      <c r="U464" s="1353"/>
      <c r="V464" s="1354"/>
      <c r="W464" s="1349">
        <v>0</v>
      </c>
      <c r="X464" s="1350"/>
      <c r="Y464" s="13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52" t="s">
        <v>703</v>
      </c>
      <c r="E465" s="1353"/>
      <c r="F465" s="1353"/>
      <c r="G465" s="1353"/>
      <c r="H465" s="1353"/>
      <c r="I465" s="1353"/>
      <c r="J465" s="1353"/>
      <c r="K465" s="1353"/>
      <c r="L465" s="1353"/>
      <c r="M465" s="1353"/>
      <c r="N465" s="1353"/>
      <c r="O465" s="1353"/>
      <c r="P465" s="1353"/>
      <c r="Q465" s="1353"/>
      <c r="R465" s="1353"/>
      <c r="S465" s="1353"/>
      <c r="T465" s="1353"/>
      <c r="U465" s="1353"/>
      <c r="V465" s="1354"/>
      <c r="W465" s="1349">
        <v>0</v>
      </c>
      <c r="X465" s="1350"/>
      <c r="Y465" s="13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52" t="s">
        <v>704</v>
      </c>
      <c r="E466" s="1353"/>
      <c r="F466" s="1353"/>
      <c r="G466" s="1353"/>
      <c r="H466" s="1353"/>
      <c r="I466" s="1353"/>
      <c r="J466" s="1353"/>
      <c r="K466" s="1353"/>
      <c r="L466" s="1353"/>
      <c r="M466" s="1353"/>
      <c r="N466" s="1353"/>
      <c r="O466" s="1353"/>
      <c r="P466" s="1353"/>
      <c r="Q466" s="1353"/>
      <c r="R466" s="1353"/>
      <c r="S466" s="1353"/>
      <c r="T466" s="1353"/>
      <c r="U466" s="1353"/>
      <c r="V466" s="1354"/>
      <c r="W466" s="1349">
        <v>0</v>
      </c>
      <c r="X466" s="1350"/>
      <c r="Y466" s="13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52" t="s">
        <v>705</v>
      </c>
      <c r="E467" s="1353"/>
      <c r="F467" s="1353"/>
      <c r="G467" s="1353"/>
      <c r="H467" s="1353"/>
      <c r="I467" s="1353"/>
      <c r="J467" s="1353"/>
      <c r="K467" s="1353"/>
      <c r="L467" s="1353"/>
      <c r="M467" s="1353"/>
      <c r="N467" s="1353"/>
      <c r="O467" s="1353"/>
      <c r="P467" s="1353"/>
      <c r="Q467" s="1353"/>
      <c r="R467" s="1353"/>
      <c r="S467" s="1353"/>
      <c r="T467" s="1353"/>
      <c r="U467" s="1353"/>
      <c r="V467" s="1354"/>
      <c r="W467" s="1349">
        <v>0</v>
      </c>
      <c r="X467" s="1350"/>
      <c r="Y467" s="13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52" t="s">
        <v>910</v>
      </c>
      <c r="E468" s="1353"/>
      <c r="F468" s="1353"/>
      <c r="G468" s="1353"/>
      <c r="H468" s="1353"/>
      <c r="I468" s="1353"/>
      <c r="J468" s="1353"/>
      <c r="K468" s="1353"/>
      <c r="L468" s="1353"/>
      <c r="M468" s="1353"/>
      <c r="N468" s="1353"/>
      <c r="O468" s="1353"/>
      <c r="P468" s="1353"/>
      <c r="Q468" s="1353"/>
      <c r="R468" s="1353"/>
      <c r="S468" s="1353"/>
      <c r="T468" s="1353"/>
      <c r="U468" s="1353"/>
      <c r="V468" s="1354"/>
      <c r="W468" s="1349">
        <v>0</v>
      </c>
      <c r="X468" s="1350"/>
      <c r="Y468" s="13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52" t="s">
        <v>706</v>
      </c>
      <c r="E469" s="1353"/>
      <c r="F469" s="1353"/>
      <c r="G469" s="1353"/>
      <c r="H469" s="1353"/>
      <c r="I469" s="1353"/>
      <c r="J469" s="1353"/>
      <c r="K469" s="1353"/>
      <c r="L469" s="1353"/>
      <c r="M469" s="1353"/>
      <c r="N469" s="1353"/>
      <c r="O469" s="1353"/>
      <c r="P469" s="1353"/>
      <c r="Q469" s="1353"/>
      <c r="R469" s="1353"/>
      <c r="S469" s="1353"/>
      <c r="T469" s="1353"/>
      <c r="U469" s="1353"/>
      <c r="V469" s="1354"/>
      <c r="W469" s="1349">
        <v>0</v>
      </c>
      <c r="X469" s="1350"/>
      <c r="Y469" s="1351"/>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52" t="s">
        <v>1069</v>
      </c>
      <c r="E470" s="1353"/>
      <c r="F470" s="1353"/>
      <c r="G470" s="1353"/>
      <c r="H470" s="1353"/>
      <c r="I470" s="1353"/>
      <c r="J470" s="1353"/>
      <c r="K470" s="1353"/>
      <c r="L470" s="1353"/>
      <c r="M470" s="1353"/>
      <c r="N470" s="1353"/>
      <c r="O470" s="1353"/>
      <c r="P470" s="1353"/>
      <c r="Q470" s="1353"/>
      <c r="R470" s="1353"/>
      <c r="S470" s="1353"/>
      <c r="T470" s="1353"/>
      <c r="U470" s="1353"/>
      <c r="V470" s="1354"/>
      <c r="W470" s="1349">
        <v>0</v>
      </c>
      <c r="X470" s="1350"/>
      <c r="Y470" s="1351"/>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9" t="s">
        <v>1834</v>
      </c>
      <c r="E471" s="1353"/>
      <c r="F471" s="1353"/>
      <c r="G471" s="1353"/>
      <c r="H471" s="1353"/>
      <c r="I471" s="1353"/>
      <c r="J471" s="1353"/>
      <c r="K471" s="1353"/>
      <c r="L471" s="1353"/>
      <c r="M471" s="1353"/>
      <c r="N471" s="1353"/>
      <c r="O471" s="1353"/>
      <c r="P471" s="1353"/>
      <c r="Q471" s="1353"/>
      <c r="R471" s="1353"/>
      <c r="S471" s="1353"/>
      <c r="T471" s="1353"/>
      <c r="U471" s="1353"/>
      <c r="V471" s="1354"/>
      <c r="W471" s="1349">
        <v>0</v>
      </c>
      <c r="X471" s="1350"/>
      <c r="Y471" s="13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462"/>
      <c r="H472" s="1463"/>
      <c r="I472" s="1463"/>
      <c r="J472" s="1463"/>
      <c r="K472" s="1463"/>
      <c r="L472" s="1463"/>
      <c r="M472" s="1463"/>
      <c r="N472" s="1463"/>
      <c r="O472" s="1463"/>
      <c r="P472" s="1463"/>
      <c r="Q472" s="1463"/>
      <c r="R472" s="1463"/>
      <c r="S472" s="1463"/>
      <c r="T472" s="1463"/>
      <c r="U472" s="1463"/>
      <c r="V472" s="1464"/>
      <c r="W472" s="1349">
        <v>0</v>
      </c>
      <c r="X472" s="1350"/>
      <c r="Y472" s="13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442" t="s">
        <v>835</v>
      </c>
      <c r="B478" s="1442"/>
      <c r="C478" s="1442"/>
      <c r="D478" s="1442"/>
      <c r="E478" s="1442"/>
      <c r="F478" s="1442"/>
      <c r="G478" s="1442"/>
      <c r="H478" s="1442"/>
      <c r="I478" s="1442"/>
      <c r="J478" s="1442"/>
      <c r="K478" s="1442"/>
      <c r="L478" s="1442"/>
      <c r="M478" s="1442"/>
      <c r="N478" s="1442"/>
      <c r="O478" s="1442"/>
      <c r="P478" s="1442"/>
      <c r="Q478" s="1442"/>
      <c r="R478" s="1442"/>
      <c r="S478" s="1442"/>
      <c r="T478" s="1442"/>
      <c r="U478" s="1442"/>
      <c r="V478" s="1442"/>
      <c r="W478" s="1442"/>
      <c r="X478" s="1442"/>
      <c r="Y478" s="1442"/>
      <c r="Z478" s="1442"/>
      <c r="AA478" s="1442"/>
      <c r="AB478" s="1442"/>
      <c r="AC478" s="1442"/>
      <c r="AD478" s="1442"/>
      <c r="AE478" s="1442"/>
      <c r="AF478" s="1442"/>
      <c r="AG478" s="1442"/>
      <c r="AH478" s="1442"/>
      <c r="AI478" s="1442"/>
      <c r="AJ478" s="1442"/>
      <c r="AK478" s="1442"/>
      <c r="AL478" s="1442"/>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443"/>
      <c r="B479" s="1443"/>
      <c r="C479" s="1443"/>
      <c r="D479" s="1443"/>
      <c r="E479" s="1443"/>
      <c r="F479" s="1443"/>
      <c r="G479" s="1443"/>
      <c r="H479" s="1443"/>
      <c r="I479" s="1443"/>
      <c r="J479" s="1443"/>
      <c r="K479" s="1443"/>
      <c r="L479" s="1443"/>
      <c r="M479" s="1443"/>
      <c r="N479" s="1443"/>
      <c r="O479" s="1443"/>
      <c r="P479" s="1443"/>
      <c r="Q479" s="1443"/>
      <c r="R479" s="1443"/>
      <c r="S479" s="1443"/>
      <c r="T479" s="1443"/>
      <c r="U479" s="1443"/>
      <c r="V479" s="1443"/>
      <c r="W479" s="1443"/>
      <c r="X479" s="1443"/>
      <c r="Y479" s="1443"/>
      <c r="Z479" s="1443"/>
      <c r="AA479" s="1443"/>
      <c r="AB479" s="1443"/>
      <c r="AC479" s="1443"/>
      <c r="AD479" s="1443"/>
      <c r="AE479" s="1443"/>
      <c r="AF479" s="1443"/>
      <c r="AG479" s="1443"/>
      <c r="AH479" s="1443"/>
      <c r="AI479" s="1443"/>
      <c r="AJ479" s="1443"/>
      <c r="AK479" s="1443"/>
      <c r="AL479" s="1443"/>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423" t="s">
        <v>395</v>
      </c>
      <c r="R483" s="1419"/>
      <c r="S483" s="1419"/>
      <c r="T483" s="1419"/>
      <c r="U483" s="1419"/>
      <c r="V483" s="1419"/>
      <c r="W483" s="1419"/>
      <c r="X483" s="1419"/>
      <c r="Y483" s="1419"/>
      <c r="Z483" s="1419"/>
      <c r="AA483" s="1419"/>
      <c r="AB483" s="1419"/>
      <c r="AC483" s="1419"/>
      <c r="AD483" s="1419"/>
      <c r="AE483" s="1419"/>
      <c r="AF483" s="1419"/>
      <c r="AG483" s="1419"/>
      <c r="AH483" s="1419"/>
      <c r="AI483" s="1419"/>
      <c r="AJ483" s="1419"/>
      <c r="AK483" s="1420"/>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365" t="s">
        <v>2708</v>
      </c>
      <c r="R484" s="1366"/>
      <c r="S484" s="1366"/>
      <c r="T484" s="1366"/>
      <c r="U484" s="1366"/>
      <c r="V484" s="1366"/>
      <c r="W484" s="1366"/>
      <c r="X484" s="1366"/>
      <c r="Y484" s="1366"/>
      <c r="Z484" s="1366"/>
      <c r="AA484" s="1366"/>
      <c r="AB484" s="1366"/>
      <c r="AC484" s="1366"/>
      <c r="AD484" s="1366"/>
      <c r="AE484" s="1366"/>
      <c r="AF484" s="1366"/>
      <c r="AG484" s="1366"/>
      <c r="AH484" s="1366"/>
      <c r="AI484" s="1366"/>
      <c r="AJ484" s="1366"/>
      <c r="AK484" s="136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365" t="s">
        <v>2708</v>
      </c>
      <c r="R485" s="1366"/>
      <c r="S485" s="1366"/>
      <c r="T485" s="1366"/>
      <c r="U485" s="1366"/>
      <c r="V485" s="1366"/>
      <c r="W485" s="1366"/>
      <c r="X485" s="1366"/>
      <c r="Y485" s="1366"/>
      <c r="Z485" s="1366"/>
      <c r="AA485" s="1366"/>
      <c r="AB485" s="1366"/>
      <c r="AC485" s="1366"/>
      <c r="AD485" s="1366"/>
      <c r="AE485" s="1366"/>
      <c r="AF485" s="1366"/>
      <c r="AG485" s="1366"/>
      <c r="AH485" s="1366"/>
      <c r="AI485" s="1366"/>
      <c r="AJ485" s="1366"/>
      <c r="AK485" s="136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365">
        <v>0</v>
      </c>
      <c r="R486" s="1366"/>
      <c r="S486" s="1366"/>
      <c r="T486" s="1366"/>
      <c r="U486" s="1366"/>
      <c r="V486" s="1366"/>
      <c r="W486" s="1366"/>
      <c r="X486" s="1366"/>
      <c r="Y486" s="1366"/>
      <c r="Z486" s="1366"/>
      <c r="AA486" s="1366"/>
      <c r="AB486" s="1366"/>
      <c r="AC486" s="1366"/>
      <c r="AD486" s="1366"/>
      <c r="AE486" s="1366"/>
      <c r="AF486" s="1366"/>
      <c r="AG486" s="1366"/>
      <c r="AH486" s="1366"/>
      <c r="AI486" s="1366"/>
      <c r="AJ486" s="1366"/>
      <c r="AK486" s="136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397" t="s">
        <v>399</v>
      </c>
      <c r="C487" s="1398"/>
      <c r="D487" s="1398"/>
      <c r="E487" s="1398"/>
      <c r="F487" s="1398"/>
      <c r="G487" s="1398"/>
      <c r="H487" s="1398"/>
      <c r="I487" s="1398"/>
      <c r="J487" s="1398"/>
      <c r="K487" s="1398"/>
      <c r="L487" s="1398"/>
      <c r="M487" s="1398"/>
      <c r="N487" s="1398"/>
      <c r="O487" s="1398"/>
      <c r="P487" s="1399"/>
      <c r="Q487" s="1403" t="s">
        <v>678</v>
      </c>
      <c r="R487" s="1404"/>
      <c r="S487" s="1731" t="s">
        <v>167</v>
      </c>
      <c r="T487" s="1732"/>
      <c r="U487" s="1732"/>
      <c r="V487" s="1732"/>
      <c r="W487" s="1732"/>
      <c r="X487" s="1732"/>
      <c r="Y487" s="1732"/>
      <c r="Z487" s="1732"/>
      <c r="AA487" s="1732"/>
      <c r="AB487" s="1732"/>
      <c r="AC487" s="1732"/>
      <c r="AD487" s="1732"/>
      <c r="AE487" s="1732"/>
      <c r="AF487" s="1732"/>
      <c r="AG487" s="1732"/>
      <c r="AH487" s="1732"/>
      <c r="AI487" s="1732"/>
      <c r="AJ487" s="1732"/>
      <c r="AK487" s="173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400"/>
      <c r="C488" s="1401"/>
      <c r="D488" s="1401"/>
      <c r="E488" s="1401"/>
      <c r="F488" s="1401"/>
      <c r="G488" s="1401"/>
      <c r="H488" s="1401"/>
      <c r="I488" s="1401"/>
      <c r="J488" s="1401"/>
      <c r="K488" s="1401"/>
      <c r="L488" s="1401"/>
      <c r="M488" s="1401"/>
      <c r="N488" s="1401"/>
      <c r="O488" s="1401"/>
      <c r="P488" s="1402"/>
      <c r="Q488" s="1405"/>
      <c r="R488" s="1406"/>
      <c r="S488" s="1734"/>
      <c r="T488" s="1447"/>
      <c r="U488" s="1447"/>
      <c r="V488" s="1447"/>
      <c r="W488" s="1447"/>
      <c r="X488" s="1447"/>
      <c r="Y488" s="1447"/>
      <c r="Z488" s="1447"/>
      <c r="AA488" s="1447"/>
      <c r="AB488" s="1447"/>
      <c r="AC488" s="1447"/>
      <c r="AD488" s="1447"/>
      <c r="AE488" s="1447"/>
      <c r="AF488" s="1447"/>
      <c r="AG488" s="1447"/>
      <c r="AH488" s="1447"/>
      <c r="AI488" s="1447"/>
      <c r="AJ488" s="1447"/>
      <c r="AK488" s="1735"/>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1852</v>
      </c>
      <c r="C489" s="909"/>
      <c r="D489" s="909"/>
      <c r="E489" s="909"/>
      <c r="F489" s="909"/>
      <c r="G489" s="909"/>
      <c r="H489" s="909"/>
      <c r="I489" s="909"/>
      <c r="J489" s="909"/>
      <c r="K489" s="909"/>
      <c r="L489" s="909"/>
      <c r="M489" s="909"/>
      <c r="N489" s="909"/>
      <c r="O489" s="909"/>
      <c r="P489" s="909"/>
      <c r="Q489" s="1455" t="s">
        <v>2637</v>
      </c>
      <c r="R489" s="1456"/>
      <c r="S489" s="1456"/>
      <c r="T489" s="1456"/>
      <c r="U489" s="1456"/>
      <c r="V489" s="1456"/>
      <c r="W489" s="1456"/>
      <c r="X489" s="1456"/>
      <c r="Y489" s="1456"/>
      <c r="Z489" s="1456"/>
      <c r="AA489" s="1456"/>
      <c r="AB489" s="1456"/>
      <c r="AC489" s="1456"/>
      <c r="AD489" s="1456"/>
      <c r="AE489" s="1456"/>
      <c r="AF489" s="1456"/>
      <c r="AG489" s="1456"/>
      <c r="AH489" s="1456"/>
      <c r="AI489" s="1456"/>
      <c r="AJ489" s="1456"/>
      <c r="AK489" s="1457"/>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407" t="s">
        <v>2637</v>
      </c>
      <c r="R490" s="1366"/>
      <c r="S490" s="1366"/>
      <c r="T490" s="1366"/>
      <c r="U490" s="1366"/>
      <c r="V490" s="1366"/>
      <c r="W490" s="1366"/>
      <c r="X490" s="1366"/>
      <c r="Y490" s="1366"/>
      <c r="Z490" s="1366"/>
      <c r="AA490" s="1366"/>
      <c r="AB490" s="1366"/>
      <c r="AC490" s="1366"/>
      <c r="AD490" s="1366"/>
      <c r="AE490" s="1366"/>
      <c r="AF490" s="1366"/>
      <c r="AG490" s="1366"/>
      <c r="AH490" s="1366"/>
      <c r="AI490" s="1366"/>
      <c r="AJ490" s="1366"/>
      <c r="AK490" s="136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407" t="s">
        <v>2637</v>
      </c>
      <c r="R491" s="1366"/>
      <c r="S491" s="1366"/>
      <c r="T491" s="1366"/>
      <c r="U491" s="1366"/>
      <c r="V491" s="1366"/>
      <c r="W491" s="1366"/>
      <c r="X491" s="1366"/>
      <c r="Y491" s="1366"/>
      <c r="Z491" s="1366"/>
      <c r="AA491" s="1366"/>
      <c r="AB491" s="1366"/>
      <c r="AC491" s="1366"/>
      <c r="AD491" s="1366"/>
      <c r="AE491" s="1366"/>
      <c r="AF491" s="1366"/>
      <c r="AG491" s="1366"/>
      <c r="AH491" s="1366"/>
      <c r="AI491" s="1366"/>
      <c r="AJ491" s="1366"/>
      <c r="AK491" s="136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1849</v>
      </c>
      <c r="C492" s="5"/>
      <c r="D492" s="5"/>
      <c r="E492" s="5"/>
      <c r="F492" s="5"/>
      <c r="G492" s="5"/>
      <c r="H492" s="5"/>
      <c r="I492" s="5"/>
      <c r="J492" s="5"/>
      <c r="K492" s="5"/>
      <c r="L492" s="5"/>
      <c r="M492" s="5"/>
      <c r="N492" s="5"/>
      <c r="O492" s="5"/>
      <c r="P492" s="5"/>
      <c r="Q492" s="1365">
        <v>124</v>
      </c>
      <c r="R492" s="1366"/>
      <c r="S492" s="1366"/>
      <c r="T492" s="1366"/>
      <c r="U492" s="1366"/>
      <c r="V492" s="1366"/>
      <c r="W492" s="1366"/>
      <c r="X492" s="1366"/>
      <c r="Y492" s="1366"/>
      <c r="Z492" s="1366"/>
      <c r="AA492" s="1366"/>
      <c r="AB492" s="1366"/>
      <c r="AC492" s="1366"/>
      <c r="AD492" s="1366"/>
      <c r="AE492" s="1366"/>
      <c r="AF492" s="1366"/>
      <c r="AG492" s="1366"/>
      <c r="AH492" s="1366"/>
      <c r="AI492" s="1366"/>
      <c r="AJ492" s="1366"/>
      <c r="AK492" s="136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1850</v>
      </c>
      <c r="C493" s="5"/>
      <c r="D493" s="5"/>
      <c r="E493" s="5"/>
      <c r="F493" s="5"/>
      <c r="G493" s="5"/>
      <c r="H493" s="5"/>
      <c r="I493" s="5"/>
      <c r="J493" s="5"/>
      <c r="K493" s="5"/>
      <c r="L493" s="5"/>
      <c r="M493" s="1430"/>
      <c r="N493" s="1431"/>
      <c r="O493" s="1431"/>
      <c r="P493" s="1432"/>
      <c r="Q493" s="121" t="s">
        <v>1851</v>
      </c>
      <c r="R493" s="5"/>
      <c r="S493" s="5"/>
      <c r="T493" s="5"/>
      <c r="U493" s="5"/>
      <c r="V493" s="5"/>
      <c r="W493" s="5"/>
      <c r="X493" s="5"/>
      <c r="Y493" s="5"/>
      <c r="Z493" s="5"/>
      <c r="AA493" s="5"/>
      <c r="AB493" s="5"/>
      <c r="AC493" s="5"/>
      <c r="AD493" s="5"/>
      <c r="AE493" s="5"/>
      <c r="AF493" s="5"/>
      <c r="AG493" s="5"/>
      <c r="AH493" s="1430">
        <f>Q492</f>
        <v>124</v>
      </c>
      <c r="AI493" s="1431"/>
      <c r="AJ493" s="1431"/>
      <c r="AK493" s="1432"/>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585</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3" t="s">
        <v>403</v>
      </c>
      <c r="AD497" s="1419"/>
      <c r="AE497" s="1419"/>
      <c r="AF497" s="1419"/>
      <c r="AG497" s="1419"/>
      <c r="AH497" s="1419"/>
      <c r="AI497" s="1419"/>
      <c r="AJ497" s="1419"/>
      <c r="AK497" s="1420"/>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3" t="s">
        <v>404</v>
      </c>
      <c r="AD498" s="1419"/>
      <c r="AE498" s="1419"/>
      <c r="AF498" s="1419"/>
      <c r="AG498" s="50" t="s">
        <v>405</v>
      </c>
      <c r="AH498" s="1419" t="s">
        <v>406</v>
      </c>
      <c r="AI498" s="1419"/>
      <c r="AJ498" s="1419"/>
      <c r="AK498" s="1420"/>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410" t="s">
        <v>407</v>
      </c>
      <c r="C499" s="1411"/>
      <c r="D499" s="1411"/>
      <c r="E499" s="1411"/>
      <c r="F499" s="1411"/>
      <c r="G499" s="1411"/>
      <c r="H499" s="1412"/>
      <c r="I499" s="42" t="s">
        <v>408</v>
      </c>
      <c r="J499" s="42"/>
      <c r="K499" s="42"/>
      <c r="L499" s="42"/>
      <c r="M499" s="42"/>
      <c r="N499" s="42"/>
      <c r="O499" s="42"/>
      <c r="P499" s="42"/>
      <c r="Q499" s="42"/>
      <c r="R499" s="42"/>
      <c r="S499" s="42"/>
      <c r="T499" s="42"/>
      <c r="U499" s="42"/>
      <c r="V499" s="42"/>
      <c r="W499" s="42"/>
      <c r="AC499" s="1377">
        <v>5</v>
      </c>
      <c r="AD499" s="1378"/>
      <c r="AE499" s="1378"/>
      <c r="AF499" s="1378"/>
      <c r="AG499" s="13" t="s">
        <v>405</v>
      </c>
      <c r="AH499" s="1355">
        <v>2006</v>
      </c>
      <c r="AI499" s="1355"/>
      <c r="AJ499" s="1355"/>
      <c r="AK499" s="1356"/>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413"/>
      <c r="C500" s="1414"/>
      <c r="D500" s="1414"/>
      <c r="E500" s="1414"/>
      <c r="F500" s="1414"/>
      <c r="G500" s="1414"/>
      <c r="H500" s="1415"/>
      <c r="I500" s="48" t="s">
        <v>409</v>
      </c>
      <c r="J500" s="48"/>
      <c r="K500" s="48"/>
      <c r="L500" s="48"/>
      <c r="M500" s="48"/>
      <c r="N500" s="48"/>
      <c r="O500" s="48"/>
      <c r="P500" s="48"/>
      <c r="Q500" s="48"/>
      <c r="R500" s="48"/>
      <c r="S500" s="48"/>
      <c r="T500" s="48"/>
      <c r="U500" s="48"/>
      <c r="V500" s="48"/>
      <c r="W500" s="48"/>
      <c r="X500" s="48"/>
      <c r="Y500" s="48"/>
      <c r="Z500" s="48"/>
      <c r="AA500" s="48"/>
      <c r="AB500" s="48"/>
      <c r="AC500" s="1377">
        <v>5</v>
      </c>
      <c r="AD500" s="1378"/>
      <c r="AE500" s="1378"/>
      <c r="AF500" s="1378"/>
      <c r="AG500" s="38" t="s">
        <v>405</v>
      </c>
      <c r="AH500" s="1355">
        <v>2006</v>
      </c>
      <c r="AI500" s="1355"/>
      <c r="AJ500" s="1355"/>
      <c r="AK500" s="1356"/>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410" t="s">
        <v>410</v>
      </c>
      <c r="C501" s="1411"/>
      <c r="D501" s="1411"/>
      <c r="E501" s="1411"/>
      <c r="F501" s="1411"/>
      <c r="G501" s="1411"/>
      <c r="H501" s="1412"/>
      <c r="I501" s="42" t="s">
        <v>411</v>
      </c>
      <c r="J501" s="42"/>
      <c r="K501" s="42"/>
      <c r="L501" s="42"/>
      <c r="M501" s="42"/>
      <c r="N501" s="42"/>
      <c r="O501" s="42"/>
      <c r="P501" s="42"/>
      <c r="Q501" s="42"/>
      <c r="R501" s="42"/>
      <c r="S501" s="42"/>
      <c r="T501" s="42"/>
      <c r="U501" s="42"/>
      <c r="V501" s="42"/>
      <c r="W501" s="42"/>
      <c r="AC501" s="1377" t="s">
        <v>600</v>
      </c>
      <c r="AD501" s="1378"/>
      <c r="AE501" s="1378"/>
      <c r="AF501" s="1378"/>
      <c r="AG501" s="13" t="s">
        <v>405</v>
      </c>
      <c r="AH501" s="1355"/>
      <c r="AI501" s="1355"/>
      <c r="AJ501" s="1355"/>
      <c r="AK501" s="135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413"/>
      <c r="C502" s="1414"/>
      <c r="D502" s="1414"/>
      <c r="E502" s="1414"/>
      <c r="F502" s="1414"/>
      <c r="G502" s="1414"/>
      <c r="H502" s="1415"/>
      <c r="I502" t="s">
        <v>412</v>
      </c>
      <c r="AC502" s="1377" t="s">
        <v>600</v>
      </c>
      <c r="AD502" s="1378"/>
      <c r="AE502" s="1378"/>
      <c r="AF502" s="1378"/>
      <c r="AG502" s="13" t="s">
        <v>405</v>
      </c>
      <c r="AH502" s="1355"/>
      <c r="AI502" s="1355"/>
      <c r="AJ502" s="1355"/>
      <c r="AK502" s="135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413"/>
      <c r="C503" s="1414"/>
      <c r="D503" s="1414"/>
      <c r="E503" s="1414"/>
      <c r="F503" s="1414"/>
      <c r="G503" s="1414"/>
      <c r="H503" s="1415"/>
      <c r="I503" t="s">
        <v>413</v>
      </c>
      <c r="AC503" s="1377" t="s">
        <v>600</v>
      </c>
      <c r="AD503" s="1378"/>
      <c r="AE503" s="1378"/>
      <c r="AF503" s="1378"/>
      <c r="AG503" s="13" t="s">
        <v>405</v>
      </c>
      <c r="AH503" s="1355"/>
      <c r="AI503" s="1355"/>
      <c r="AJ503" s="1355"/>
      <c r="AK503" s="1356"/>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413"/>
      <c r="C504" s="1414"/>
      <c r="D504" s="1414"/>
      <c r="E504" s="1414"/>
      <c r="F504" s="1414"/>
      <c r="G504" s="1414"/>
      <c r="H504" s="1415"/>
      <c r="I504" t="s">
        <v>414</v>
      </c>
      <c r="AC504" s="1377" t="s">
        <v>600</v>
      </c>
      <c r="AD504" s="1378"/>
      <c r="AE504" s="1378"/>
      <c r="AF504" s="1378"/>
      <c r="AG504" s="13" t="s">
        <v>405</v>
      </c>
      <c r="AH504" s="1355"/>
      <c r="AI504" s="1355"/>
      <c r="AJ504" s="1355"/>
      <c r="AK504" s="1356"/>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413"/>
      <c r="C505" s="1414"/>
      <c r="D505" s="1414"/>
      <c r="E505" s="1414"/>
      <c r="F505" s="1414"/>
      <c r="G505" s="1414"/>
      <c r="H505" s="1415"/>
      <c r="I505" s="3" t="s">
        <v>415</v>
      </c>
      <c r="AC505" s="1379" t="s">
        <v>600</v>
      </c>
      <c r="AD505" s="1380"/>
      <c r="AE505" s="1380"/>
      <c r="AF505" s="1380"/>
      <c r="AG505" s="13" t="s">
        <v>405</v>
      </c>
      <c r="AH505" s="1355"/>
      <c r="AI505" s="1355"/>
      <c r="AJ505" s="1355"/>
      <c r="AK505" s="1356"/>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413"/>
      <c r="C506" s="1414"/>
      <c r="D506" s="1414"/>
      <c r="E506" s="1414"/>
      <c r="F506" s="1414"/>
      <c r="G506" s="1414"/>
      <c r="H506" s="1415"/>
      <c r="I506" s="933" t="s">
        <v>171</v>
      </c>
      <c r="J506" s="48"/>
      <c r="K506" s="48"/>
      <c r="L506" s="1408" t="s">
        <v>2745</v>
      </c>
      <c r="M506" s="1409"/>
      <c r="N506" s="1409"/>
      <c r="O506" s="1409"/>
      <c r="P506" s="1409"/>
      <c r="Q506" s="1409"/>
      <c r="R506" s="1409"/>
      <c r="S506" s="1409"/>
      <c r="T506" s="1409"/>
      <c r="U506" s="1409"/>
      <c r="V506" s="1409"/>
      <c r="W506" s="1409"/>
      <c r="X506" s="1409"/>
      <c r="Y506" s="1409"/>
      <c r="Z506" s="1409"/>
      <c r="AA506" s="1409"/>
      <c r="AB506" s="1434"/>
      <c r="AC506" s="1377">
        <v>10</v>
      </c>
      <c r="AD506" s="1378"/>
      <c r="AE506" s="1378"/>
      <c r="AF506" s="1378"/>
      <c r="AG506" s="38" t="s">
        <v>405</v>
      </c>
      <c r="AH506" s="1355">
        <v>2023</v>
      </c>
      <c r="AI506" s="1355"/>
      <c r="AJ506" s="1355"/>
      <c r="AK506" s="1356"/>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1856</v>
      </c>
      <c r="AC507" s="1357" t="s">
        <v>678</v>
      </c>
      <c r="AD507" s="1357"/>
      <c r="AE507" s="1357"/>
      <c r="AF507" s="1357"/>
      <c r="AG507" s="13"/>
      <c r="AH507" s="1299"/>
      <c r="AI507" s="1299"/>
      <c r="AJ507" s="1299"/>
      <c r="AK507" s="138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1853</v>
      </c>
      <c r="AC508" s="1379"/>
      <c r="AD508" s="1380"/>
      <c r="AE508" s="1380"/>
      <c r="AF508" s="1381"/>
      <c r="AG508" s="13"/>
      <c r="AH508" s="1299"/>
      <c r="AI508" s="1299"/>
      <c r="AJ508" s="1299"/>
      <c r="AK508" s="138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1854</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1855</v>
      </c>
      <c r="J510" s="48"/>
      <c r="K510" s="48"/>
      <c r="L510" s="48"/>
      <c r="M510" s="48"/>
      <c r="N510" s="48"/>
      <c r="O510" s="48"/>
      <c r="P510" s="48"/>
      <c r="Q510" s="48"/>
      <c r="R510" s="48"/>
      <c r="S510" s="48"/>
      <c r="T510" s="48"/>
      <c r="U510" s="48"/>
      <c r="V510" s="48"/>
      <c r="W510" s="48"/>
      <c r="X510" s="48"/>
      <c r="Y510" s="48"/>
      <c r="Z510" s="48"/>
      <c r="AA510" s="48"/>
      <c r="AB510" s="48"/>
      <c r="AC510" s="1383" t="s">
        <v>2637</v>
      </c>
      <c r="AD510" s="1384"/>
      <c r="AE510" s="1384"/>
      <c r="AF510" s="1385"/>
      <c r="AG510" s="38"/>
      <c r="AH510" s="1386"/>
      <c r="AI510" s="1386"/>
      <c r="AJ510" s="1386"/>
      <c r="AK510" s="138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52" t="s">
        <v>404</v>
      </c>
      <c r="AD511" s="1453"/>
      <c r="AE511" s="1453"/>
      <c r="AF511" s="1453"/>
      <c r="AG511" s="38" t="s">
        <v>405</v>
      </c>
      <c r="AH511" s="1453" t="s">
        <v>406</v>
      </c>
      <c r="AI511" s="1453"/>
      <c r="AJ511" s="1453"/>
      <c r="AK511" s="1454"/>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410" t="s">
        <v>416</v>
      </c>
      <c r="C512" s="1411"/>
      <c r="D512" s="1411"/>
      <c r="E512" s="1411"/>
      <c r="F512" s="1411"/>
      <c r="G512" s="1411"/>
      <c r="H512" s="1412"/>
      <c r="I512" s="42" t="s">
        <v>417</v>
      </c>
      <c r="J512" s="42"/>
      <c r="K512" s="42"/>
      <c r="L512" s="42"/>
      <c r="M512" s="42"/>
      <c r="N512" s="42"/>
      <c r="O512" s="42"/>
      <c r="P512" s="42"/>
      <c r="Q512" s="42"/>
      <c r="R512" s="42"/>
      <c r="S512" s="42"/>
      <c r="T512" s="42"/>
      <c r="U512" s="42"/>
      <c r="V512" s="42"/>
      <c r="W512" s="42"/>
      <c r="AC512" s="1377">
        <v>8</v>
      </c>
      <c r="AD512" s="1378"/>
      <c r="AE512" s="1378"/>
      <c r="AF512" s="1378"/>
      <c r="AG512" s="13" t="s">
        <v>405</v>
      </c>
      <c r="AH512" s="1355">
        <v>2023</v>
      </c>
      <c r="AI512" s="1355"/>
      <c r="AJ512" s="1355"/>
      <c r="AK512" s="1356"/>
      <c r="AZ512" s="3"/>
      <c r="BA512" s="3"/>
      <c r="BB512" s="3"/>
      <c r="BC512" s="3"/>
      <c r="BD512" s="3"/>
      <c r="BE512" s="3"/>
      <c r="BF512" s="3"/>
      <c r="BG512" s="3"/>
      <c r="BH512" s="3"/>
      <c r="BI512" s="3"/>
      <c r="BJ512" s="3"/>
      <c r="BK512" s="3"/>
      <c r="BL512" s="3"/>
      <c r="BM512" s="3"/>
      <c r="BN512" s="3" t="s">
        <v>2526</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413"/>
      <c r="C513" s="1414"/>
      <c r="D513" s="1414"/>
      <c r="E513" s="1414"/>
      <c r="F513" s="1414"/>
      <c r="G513" s="1414"/>
      <c r="H513" s="1415"/>
      <c r="I513" t="s">
        <v>418</v>
      </c>
      <c r="AC513" s="1377">
        <v>8</v>
      </c>
      <c r="AD513" s="1378"/>
      <c r="AE513" s="1378"/>
      <c r="AF513" s="1378"/>
      <c r="AG513" s="13" t="s">
        <v>405</v>
      </c>
      <c r="AH513" s="1355">
        <v>2023</v>
      </c>
      <c r="AI513" s="1355"/>
      <c r="AJ513" s="1355"/>
      <c r="AK513" s="1356"/>
      <c r="AZ513" s="3"/>
      <c r="BA513" s="3"/>
      <c r="BB513" s="3"/>
      <c r="BC513" s="3"/>
      <c r="BD513" s="3"/>
      <c r="BE513" s="3"/>
      <c r="BF513" s="3"/>
      <c r="BG513" s="3"/>
      <c r="BH513" s="3"/>
      <c r="BI513" s="3"/>
      <c r="BJ513" s="3"/>
      <c r="BK513" s="3"/>
      <c r="BL513" s="3"/>
      <c r="BM513" s="3"/>
      <c r="BN513" s="3" t="s">
        <v>2527</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413"/>
      <c r="C514" s="1414"/>
      <c r="D514" s="1414"/>
      <c r="E514" s="1414"/>
      <c r="F514" s="1414"/>
      <c r="G514" s="1414"/>
      <c r="H514" s="1415"/>
      <c r="I514" s="48" t="s">
        <v>419</v>
      </c>
      <c r="J514" s="48"/>
      <c r="K514" s="48"/>
      <c r="L514" s="48"/>
      <c r="M514" s="48"/>
      <c r="N514" s="48"/>
      <c r="O514" s="48"/>
      <c r="P514" s="48"/>
      <c r="Q514" s="48"/>
      <c r="R514" s="48"/>
      <c r="S514" s="48"/>
      <c r="T514" s="48"/>
      <c r="U514" s="48"/>
      <c r="V514" s="48"/>
      <c r="W514" s="48"/>
      <c r="X514" s="48"/>
      <c r="Y514" s="48"/>
      <c r="Z514" s="48"/>
      <c r="AA514" s="48"/>
      <c r="AB514" s="48"/>
      <c r="AC514" s="1377" t="s">
        <v>600</v>
      </c>
      <c r="AD514" s="1378"/>
      <c r="AE514" s="1378"/>
      <c r="AF514" s="1378"/>
      <c r="AG514" s="38" t="s">
        <v>405</v>
      </c>
      <c r="AH514" s="1355"/>
      <c r="AI514" s="1355"/>
      <c r="AJ514" s="1355"/>
      <c r="AK514" s="1356"/>
      <c r="AZ514" s="3"/>
      <c r="BA514" s="3"/>
      <c r="BB514" s="3"/>
      <c r="BC514" s="3"/>
      <c r="BD514" s="3"/>
      <c r="BE514" s="3"/>
      <c r="BF514" s="3"/>
      <c r="BG514" s="3"/>
      <c r="BH514" s="3"/>
      <c r="BI514" s="3"/>
      <c r="BJ514" s="3"/>
      <c r="BK514" s="3"/>
      <c r="BL514" s="3"/>
      <c r="BM514" s="3"/>
      <c r="BN514" s="3" t="s">
        <v>2528</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410" t="s">
        <v>420</v>
      </c>
      <c r="C515" s="1411"/>
      <c r="D515" s="1411"/>
      <c r="E515" s="1411"/>
      <c r="F515" s="1411"/>
      <c r="G515" s="1411"/>
      <c r="H515" s="1412"/>
      <c r="I515" s="42" t="s">
        <v>417</v>
      </c>
      <c r="J515" s="42"/>
      <c r="K515" s="42"/>
      <c r="L515" s="42"/>
      <c r="M515" s="42"/>
      <c r="N515" s="42"/>
      <c r="O515" s="42"/>
      <c r="P515" s="42"/>
      <c r="Q515" s="42"/>
      <c r="R515" s="42"/>
      <c r="S515" s="42"/>
      <c r="T515" s="42"/>
      <c r="U515" s="42"/>
      <c r="V515" s="42"/>
      <c r="W515" s="42"/>
      <c r="X515" s="42"/>
      <c r="Y515" s="42"/>
      <c r="Z515" s="42"/>
      <c r="AA515" s="42"/>
      <c r="AB515" s="42"/>
      <c r="AC515" s="1379">
        <v>8</v>
      </c>
      <c r="AD515" s="1380"/>
      <c r="AE515" s="1380"/>
      <c r="AF515" s="1380"/>
      <c r="AG515" s="129" t="s">
        <v>405</v>
      </c>
      <c r="AH515" s="1355">
        <v>2023</v>
      </c>
      <c r="AI515" s="1355"/>
      <c r="AJ515" s="1355"/>
      <c r="AK515" s="1356"/>
      <c r="AZ515" s="3"/>
      <c r="BA515" s="3"/>
      <c r="BB515" s="3"/>
      <c r="BC515" s="3"/>
      <c r="BD515" s="3"/>
      <c r="BE515" s="3"/>
      <c r="BF515" s="3"/>
      <c r="BG515" s="3"/>
      <c r="BH515" s="3"/>
      <c r="BI515" s="3"/>
      <c r="BJ515" s="3"/>
      <c r="BK515" s="3"/>
      <c r="BL515" s="3"/>
      <c r="BM515" s="3"/>
      <c r="BN515" s="3" t="s">
        <v>2529</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413"/>
      <c r="C516" s="1414"/>
      <c r="D516" s="1414"/>
      <c r="E516" s="1414"/>
      <c r="F516" s="1414"/>
      <c r="G516" s="1414"/>
      <c r="H516" s="1415"/>
      <c r="I516" t="s">
        <v>418</v>
      </c>
      <c r="AC516" s="1377">
        <v>8</v>
      </c>
      <c r="AD516" s="1378"/>
      <c r="AE516" s="1378"/>
      <c r="AF516" s="1378"/>
      <c r="AG516" s="13" t="s">
        <v>405</v>
      </c>
      <c r="AH516" s="1355">
        <v>2023</v>
      </c>
      <c r="AI516" s="1355"/>
      <c r="AJ516" s="1355"/>
      <c r="AK516" s="1356"/>
      <c r="AZ516" s="3"/>
      <c r="BB516" s="3"/>
      <c r="BC516" s="3"/>
      <c r="BD516" s="3"/>
      <c r="BE516" s="3"/>
      <c r="BF516" s="3"/>
      <c r="BG516" s="3"/>
      <c r="BH516" s="3"/>
      <c r="BI516" s="3"/>
      <c r="BJ516" s="3"/>
      <c r="BK516" s="3"/>
      <c r="BL516" s="3"/>
      <c r="BM516" s="3"/>
      <c r="BN516" s="3" t="s">
        <v>2530</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416"/>
      <c r="C517" s="1417"/>
      <c r="D517" s="1417"/>
      <c r="E517" s="1417"/>
      <c r="F517" s="1417"/>
      <c r="G517" s="1417"/>
      <c r="H517" s="1418"/>
      <c r="I517" s="48" t="s">
        <v>419</v>
      </c>
      <c r="J517" s="48"/>
      <c r="K517" s="48"/>
      <c r="L517" s="48"/>
      <c r="M517" s="48"/>
      <c r="N517" s="48"/>
      <c r="O517" s="48"/>
      <c r="P517" s="48"/>
      <c r="Q517" s="48"/>
      <c r="R517" s="48"/>
      <c r="S517" s="48"/>
      <c r="T517" s="48"/>
      <c r="U517" s="48"/>
      <c r="V517" s="48"/>
      <c r="W517" s="48"/>
      <c r="X517" s="48"/>
      <c r="Y517" s="48"/>
      <c r="Z517" s="48"/>
      <c r="AA517" s="48"/>
      <c r="AB517" s="48"/>
      <c r="AC517" s="1377" t="s">
        <v>600</v>
      </c>
      <c r="AD517" s="1378"/>
      <c r="AE517" s="1378"/>
      <c r="AF517" s="1378"/>
      <c r="AG517" s="38" t="s">
        <v>405</v>
      </c>
      <c r="AH517" s="1355"/>
      <c r="AI517" s="1355"/>
      <c r="AJ517" s="1355"/>
      <c r="AK517" s="1356"/>
      <c r="BB517" s="3"/>
      <c r="BC517" s="3"/>
      <c r="BD517" s="3"/>
      <c r="BE517" s="3"/>
      <c r="BF517" s="3"/>
      <c r="BG517" s="3"/>
      <c r="BH517" s="3"/>
      <c r="BI517" s="3"/>
      <c r="BJ517" s="3"/>
      <c r="BK517" s="3"/>
      <c r="BL517" s="3"/>
      <c r="BM517" s="3"/>
      <c r="BN517" s="3" t="s">
        <v>2531</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410" t="s">
        <v>421</v>
      </c>
      <c r="C518" s="1411"/>
      <c r="D518" s="1411"/>
      <c r="E518" s="1411"/>
      <c r="F518" s="1411"/>
      <c r="G518" s="1411"/>
      <c r="H518" s="1412"/>
      <c r="I518" s="41" t="s">
        <v>422</v>
      </c>
      <c r="J518" s="42"/>
      <c r="K518" s="42"/>
      <c r="L518" s="42"/>
      <c r="M518" s="42"/>
      <c r="N518" s="42"/>
      <c r="O518" s="1408" t="s">
        <v>2728</v>
      </c>
      <c r="P518" s="1409"/>
      <c r="Q518" s="1409"/>
      <c r="R518" s="1409"/>
      <c r="S518" s="1409"/>
      <c r="T518" s="1409"/>
      <c r="U518" s="1409"/>
      <c r="V518" s="1409"/>
      <c r="W518" s="1409"/>
      <c r="X518" s="1409"/>
      <c r="Y518" s="1409"/>
      <c r="Z518" s="1409"/>
      <c r="AA518" s="1409"/>
      <c r="AB518" s="58"/>
      <c r="AC518" s="1379"/>
      <c r="AD518" s="1380"/>
      <c r="AE518" s="1380"/>
      <c r="AF518" s="1380"/>
      <c r="AG518" s="129" t="s">
        <v>405</v>
      </c>
      <c r="AH518" s="1355"/>
      <c r="AI518" s="1355"/>
      <c r="AJ518" s="1355"/>
      <c r="AK518" s="1356"/>
      <c r="BB518" s="3"/>
      <c r="BC518" s="3"/>
      <c r="BD518" s="3"/>
      <c r="BE518" s="3"/>
      <c r="BF518" s="3"/>
      <c r="BG518" s="3"/>
      <c r="BH518" s="3"/>
      <c r="BI518" s="3"/>
      <c r="BJ518" s="3"/>
      <c r="BK518" s="3"/>
      <c r="BL518" s="3"/>
      <c r="BM518" s="3"/>
      <c r="BN518" s="3" t="s">
        <v>2532</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413"/>
      <c r="C519" s="1414"/>
      <c r="D519" s="1414"/>
      <c r="E519" s="1414"/>
      <c r="F519" s="1414"/>
      <c r="G519" s="1414"/>
      <c r="H519" s="1415"/>
      <c r="I519" s="114" t="s">
        <v>423</v>
      </c>
      <c r="AB519" s="65"/>
      <c r="AC519" s="1377" t="s">
        <v>600</v>
      </c>
      <c r="AD519" s="1378"/>
      <c r="AE519" s="1378"/>
      <c r="AF519" s="1378"/>
      <c r="AG519" s="13" t="s">
        <v>405</v>
      </c>
      <c r="AH519" s="1355"/>
      <c r="AI519" s="1355"/>
      <c r="AJ519" s="1355"/>
      <c r="AK519" s="1356"/>
      <c r="AZ519" s="3"/>
      <c r="BB519" s="3"/>
      <c r="BC519" s="3"/>
      <c r="BD519" s="3"/>
      <c r="BE519" s="3"/>
      <c r="BF519" s="3"/>
      <c r="BG519" s="3"/>
      <c r="BH519" s="3"/>
      <c r="BI519" s="3"/>
      <c r="BJ519" s="3"/>
      <c r="BK519" s="3"/>
      <c r="BL519" s="3"/>
      <c r="BM519" s="3"/>
      <c r="BN519" s="3" t="s">
        <v>2533</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413"/>
      <c r="C520" s="1414"/>
      <c r="D520" s="1414"/>
      <c r="E520" s="1414"/>
      <c r="F520" s="1414"/>
      <c r="G520" s="1414"/>
      <c r="H520" s="1415"/>
      <c r="I520" s="47" t="s">
        <v>424</v>
      </c>
      <c r="J520" s="48"/>
      <c r="K520" s="48"/>
      <c r="L520" s="48"/>
      <c r="M520" s="48"/>
      <c r="N520" s="48"/>
      <c r="O520" s="48"/>
      <c r="P520" s="48"/>
      <c r="Q520" s="48"/>
      <c r="R520" s="48"/>
      <c r="S520" s="48"/>
      <c r="T520" s="48"/>
      <c r="U520" s="48"/>
      <c r="V520" s="48"/>
      <c r="W520" s="48"/>
      <c r="X520" s="48"/>
      <c r="Y520" s="48"/>
      <c r="Z520" s="48"/>
      <c r="AA520" s="48"/>
      <c r="AB520" s="49"/>
      <c r="AC520" s="1377" t="s">
        <v>600</v>
      </c>
      <c r="AD520" s="1378"/>
      <c r="AE520" s="1378"/>
      <c r="AF520" s="1378"/>
      <c r="AG520" s="38" t="s">
        <v>405</v>
      </c>
      <c r="AH520" s="1355"/>
      <c r="AI520" s="1355"/>
      <c r="AJ520" s="1355"/>
      <c r="AK520" s="1356"/>
      <c r="AZ520" s="3"/>
      <c r="BB520" s="3"/>
      <c r="BC520" s="3"/>
      <c r="BD520" s="3"/>
      <c r="BE520" s="3"/>
      <c r="BF520" s="3"/>
      <c r="BG520" s="3"/>
      <c r="BH520" s="3"/>
      <c r="BI520" s="3"/>
      <c r="BJ520" s="3"/>
      <c r="BK520" s="3"/>
      <c r="BL520" s="3"/>
      <c r="BM520" s="3"/>
      <c r="BN520" s="3" t="s">
        <v>2534</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413"/>
      <c r="C521" s="1414"/>
      <c r="D521" s="1414"/>
      <c r="E521" s="1414"/>
      <c r="F521" s="1414"/>
      <c r="G521" s="1414"/>
      <c r="H521" s="1415"/>
      <c r="I521" s="42" t="s">
        <v>425</v>
      </c>
      <c r="J521" s="42"/>
      <c r="K521" s="42"/>
      <c r="L521" s="42"/>
      <c r="M521" s="42"/>
      <c r="N521" s="42"/>
      <c r="O521" s="1408" t="s">
        <v>2714</v>
      </c>
      <c r="P521" s="1409"/>
      <c r="Q521" s="1409"/>
      <c r="R521" s="1409"/>
      <c r="S521" s="1409"/>
      <c r="T521" s="1409"/>
      <c r="U521" s="1409"/>
      <c r="V521" s="1409"/>
      <c r="W521" s="1409"/>
      <c r="X521" s="1409"/>
      <c r="Y521" s="1409"/>
      <c r="Z521" s="1409"/>
      <c r="AA521" s="1409"/>
      <c r="AC521" s="1377"/>
      <c r="AD521" s="1378"/>
      <c r="AE521" s="1378"/>
      <c r="AF521" s="1378"/>
      <c r="AG521" s="13" t="s">
        <v>405</v>
      </c>
      <c r="AH521" s="1355"/>
      <c r="AI521" s="1355"/>
      <c r="AJ521" s="1355"/>
      <c r="AK521" s="1356"/>
      <c r="AZ521" s="3"/>
      <c r="BA521" s="3"/>
      <c r="BB521" s="3"/>
      <c r="BC521" s="3"/>
      <c r="BD521" s="3"/>
      <c r="BE521" s="3"/>
      <c r="BF521" s="3"/>
      <c r="BG521" s="3"/>
      <c r="BH521" s="3"/>
      <c r="BI521" s="3"/>
      <c r="BJ521" s="3"/>
      <c r="BK521" s="3"/>
      <c r="BL521" s="3"/>
      <c r="BM521" s="3"/>
      <c r="BN521" s="3" t="s">
        <v>2535</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413"/>
      <c r="C522" s="1414"/>
      <c r="D522" s="1414"/>
      <c r="E522" s="1414"/>
      <c r="F522" s="1414"/>
      <c r="G522" s="1414"/>
      <c r="H522" s="1415"/>
      <c r="I522" t="s">
        <v>423</v>
      </c>
      <c r="AC522" s="1377" t="s">
        <v>600</v>
      </c>
      <c r="AD522" s="1378"/>
      <c r="AE522" s="1378"/>
      <c r="AF522" s="1378"/>
      <c r="AG522" s="13" t="s">
        <v>405</v>
      </c>
      <c r="AH522" s="1355"/>
      <c r="AI522" s="1355"/>
      <c r="AJ522" s="1355"/>
      <c r="AK522" s="1356"/>
      <c r="AZ522" s="3"/>
      <c r="BA522" s="3"/>
      <c r="BB522" s="3"/>
      <c r="BC522" s="3"/>
      <c r="BD522" s="3"/>
      <c r="BE522" s="3"/>
      <c r="BF522" s="3"/>
      <c r="BG522" s="3"/>
      <c r="BH522" s="3"/>
      <c r="BI522" s="3"/>
      <c r="BJ522" s="3"/>
      <c r="BK522" s="3"/>
      <c r="BL522" s="3"/>
      <c r="BM522" s="3"/>
      <c r="BN522" s="3" t="s">
        <v>2536</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413"/>
      <c r="C523" s="1414"/>
      <c r="D523" s="1414"/>
      <c r="E523" s="1414"/>
      <c r="F523" s="1414"/>
      <c r="G523" s="1414"/>
      <c r="H523" s="1415"/>
      <c r="I523" s="48" t="s">
        <v>424</v>
      </c>
      <c r="J523" s="48"/>
      <c r="K523" s="48"/>
      <c r="L523" s="48"/>
      <c r="M523" s="48"/>
      <c r="N523" s="48"/>
      <c r="O523" s="48"/>
      <c r="P523" s="48"/>
      <c r="Q523" s="48"/>
      <c r="R523" s="48"/>
      <c r="S523" s="48"/>
      <c r="T523" s="48"/>
      <c r="U523" s="48"/>
      <c r="V523" s="48"/>
      <c r="W523" s="48"/>
      <c r="X523" s="48"/>
      <c r="Y523" s="48"/>
      <c r="Z523" s="48"/>
      <c r="AA523" s="48"/>
      <c r="AB523" s="48"/>
      <c r="AC523" s="1377" t="s">
        <v>600</v>
      </c>
      <c r="AD523" s="1378"/>
      <c r="AE523" s="1378"/>
      <c r="AF523" s="1378"/>
      <c r="AG523" s="38" t="s">
        <v>405</v>
      </c>
      <c r="AH523" s="1355"/>
      <c r="AI523" s="1355"/>
      <c r="AJ523" s="1355"/>
      <c r="AK523" s="1356"/>
      <c r="AZ523" s="3"/>
      <c r="BA523" s="3"/>
      <c r="BB523" s="3"/>
      <c r="BC523" s="3"/>
      <c r="BD523" s="3"/>
      <c r="BE523" s="3"/>
      <c r="BF523" s="3"/>
      <c r="BG523" s="3"/>
      <c r="BH523" s="3"/>
      <c r="BI523" s="3"/>
      <c r="BJ523" s="3"/>
      <c r="BK523" s="3"/>
      <c r="BL523" s="3"/>
      <c r="BM523" s="3"/>
      <c r="BN523" s="3" t="s">
        <v>2537</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413"/>
      <c r="C524" s="1414"/>
      <c r="D524" s="1414"/>
      <c r="E524" s="1414"/>
      <c r="F524" s="1414"/>
      <c r="G524" s="1414"/>
      <c r="H524" s="1415"/>
      <c r="I524" s="42" t="s">
        <v>425</v>
      </c>
      <c r="J524" s="42"/>
      <c r="K524" s="42"/>
      <c r="L524" s="42"/>
      <c r="M524" s="42"/>
      <c r="N524" s="42"/>
      <c r="O524" s="1408" t="s">
        <v>336</v>
      </c>
      <c r="P524" s="1409"/>
      <c r="Q524" s="1409"/>
      <c r="R524" s="1409"/>
      <c r="S524" s="1409"/>
      <c r="T524" s="1409"/>
      <c r="U524" s="1409"/>
      <c r="V524" s="1409"/>
      <c r="W524" s="1409"/>
      <c r="X524" s="1409"/>
      <c r="Y524" s="1409"/>
      <c r="Z524" s="1409"/>
      <c r="AA524" s="1409"/>
      <c r="AC524" s="1377" t="s">
        <v>600</v>
      </c>
      <c r="AD524" s="1378"/>
      <c r="AE524" s="1378"/>
      <c r="AF524" s="1378"/>
      <c r="AG524" s="13" t="s">
        <v>405</v>
      </c>
      <c r="AH524" s="1355"/>
      <c r="AI524" s="1355"/>
      <c r="AJ524" s="1355"/>
      <c r="AK524" s="1356"/>
      <c r="AZ524" s="3"/>
      <c r="BA524" s="3"/>
      <c r="BB524" s="3"/>
      <c r="BC524" s="3"/>
      <c r="BD524" s="3"/>
      <c r="BE524" s="3"/>
      <c r="BF524" s="3"/>
      <c r="BG524" s="3"/>
      <c r="BH524" s="3"/>
      <c r="BI524" s="3"/>
      <c r="BJ524" s="3"/>
      <c r="BK524" s="3"/>
      <c r="BL524" s="3"/>
      <c r="BM524" s="3"/>
      <c r="BN524" s="3" t="s">
        <v>2538</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413"/>
      <c r="C525" s="1414"/>
      <c r="D525" s="1414"/>
      <c r="E525" s="1414"/>
      <c r="F525" s="1414"/>
      <c r="G525" s="1414"/>
      <c r="H525" s="1415"/>
      <c r="I525" t="s">
        <v>423</v>
      </c>
      <c r="AC525" s="1377" t="s">
        <v>600</v>
      </c>
      <c r="AD525" s="1378"/>
      <c r="AE525" s="1378"/>
      <c r="AF525" s="1378"/>
      <c r="AG525" s="13" t="s">
        <v>405</v>
      </c>
      <c r="AH525" s="1355"/>
      <c r="AI525" s="1355"/>
      <c r="AJ525" s="1355"/>
      <c r="AK525" s="1356"/>
      <c r="AZ525" s="3"/>
      <c r="BA525" s="3"/>
      <c r="BB525" s="3"/>
      <c r="BC525" s="3"/>
      <c r="BD525" s="3"/>
      <c r="BE525" s="3"/>
      <c r="BF525" s="3"/>
      <c r="BG525" s="3"/>
      <c r="BH525" s="3"/>
      <c r="BI525" s="3"/>
      <c r="BJ525" s="3"/>
      <c r="BK525" s="3"/>
      <c r="BL525" s="3"/>
      <c r="BM525" s="3"/>
      <c r="BN525" s="3" t="s">
        <v>2539</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3"/>
      <c r="C526" s="1414"/>
      <c r="D526" s="1414"/>
      <c r="E526" s="1414"/>
      <c r="F526" s="1414"/>
      <c r="G526" s="1414"/>
      <c r="H526" s="1415"/>
      <c r="I526" s="48" t="s">
        <v>424</v>
      </c>
      <c r="J526" s="48"/>
      <c r="K526" s="48"/>
      <c r="L526" s="48"/>
      <c r="M526" s="48"/>
      <c r="N526" s="48"/>
      <c r="O526" s="48"/>
      <c r="P526" s="48"/>
      <c r="Q526" s="48"/>
      <c r="R526" s="48"/>
      <c r="S526" s="48"/>
      <c r="T526" s="48"/>
      <c r="U526" s="48"/>
      <c r="V526" s="48"/>
      <c r="W526" s="48"/>
      <c r="X526" s="48"/>
      <c r="Y526" s="48"/>
      <c r="Z526" s="48"/>
      <c r="AA526" s="48"/>
      <c r="AB526" s="48"/>
      <c r="AC526" s="1377" t="s">
        <v>600</v>
      </c>
      <c r="AD526" s="1378"/>
      <c r="AE526" s="1378"/>
      <c r="AF526" s="1378"/>
      <c r="AG526" s="38" t="s">
        <v>405</v>
      </c>
      <c r="AH526" s="1355"/>
      <c r="AI526" s="1355"/>
      <c r="AJ526" s="1355"/>
      <c r="AK526" s="1356"/>
      <c r="AZ526" s="3"/>
      <c r="BA526" s="3"/>
      <c r="BB526" s="3"/>
      <c r="BC526" s="3"/>
      <c r="BD526" s="3"/>
      <c r="BE526" s="3"/>
      <c r="BF526" s="3"/>
      <c r="BG526" s="3"/>
      <c r="BH526" s="3"/>
      <c r="BI526" s="3"/>
      <c r="BJ526" s="3"/>
      <c r="BK526" s="3"/>
      <c r="BL526" s="3"/>
      <c r="BM526" s="3"/>
      <c r="BN526" s="3" t="s">
        <v>2540</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3"/>
      <c r="C527" s="1414"/>
      <c r="D527" s="1414"/>
      <c r="E527" s="1414"/>
      <c r="F527" s="1414"/>
      <c r="G527" s="1414"/>
      <c r="H527" s="1415"/>
      <c r="I527" s="42" t="s">
        <v>425</v>
      </c>
      <c r="J527" s="42"/>
      <c r="K527" s="42"/>
      <c r="L527" s="42"/>
      <c r="M527" s="42"/>
      <c r="N527" s="42"/>
      <c r="O527" s="1408" t="s">
        <v>336</v>
      </c>
      <c r="P527" s="1409"/>
      <c r="Q527" s="1409"/>
      <c r="R527" s="1409"/>
      <c r="S527" s="1409"/>
      <c r="T527" s="1409"/>
      <c r="U527" s="1409"/>
      <c r="V527" s="1409"/>
      <c r="W527" s="1409"/>
      <c r="X527" s="1409"/>
      <c r="Y527" s="1409"/>
      <c r="Z527" s="1409"/>
      <c r="AA527" s="1409"/>
      <c r="AC527" s="1377" t="s">
        <v>600</v>
      </c>
      <c r="AD527" s="1378"/>
      <c r="AE527" s="1378"/>
      <c r="AF527" s="1378"/>
      <c r="AG527" s="13" t="s">
        <v>405</v>
      </c>
      <c r="AH527" s="1355"/>
      <c r="AI527" s="1355"/>
      <c r="AJ527" s="1355"/>
      <c r="AK527" s="1356"/>
      <c r="AZ527" s="3"/>
      <c r="BA527" s="3"/>
      <c r="BB527" s="3"/>
      <c r="BC527" s="3"/>
      <c r="BD527" s="3"/>
      <c r="BE527" s="3"/>
      <c r="BF527" s="3"/>
      <c r="BG527" s="3"/>
      <c r="BH527" s="3"/>
      <c r="BI527" s="3"/>
      <c r="BJ527" s="3"/>
      <c r="BK527" s="3"/>
      <c r="BL527" s="3"/>
      <c r="BM527" s="3"/>
      <c r="BN527" s="3" t="s">
        <v>2541</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3"/>
      <c r="C528" s="1414"/>
      <c r="D528" s="1414"/>
      <c r="E528" s="1414"/>
      <c r="F528" s="1414"/>
      <c r="G528" s="1414"/>
      <c r="H528" s="1415"/>
      <c r="I528" t="s">
        <v>423</v>
      </c>
      <c r="AC528" s="1377" t="s">
        <v>600</v>
      </c>
      <c r="AD528" s="1378"/>
      <c r="AE528" s="1378"/>
      <c r="AF528" s="1378"/>
      <c r="AG528" s="13" t="s">
        <v>405</v>
      </c>
      <c r="AH528" s="1355"/>
      <c r="AI528" s="1355"/>
      <c r="AJ528" s="1355"/>
      <c r="AK528" s="1356"/>
      <c r="AZ528" s="3"/>
      <c r="BA528" s="3"/>
      <c r="BB528" s="3"/>
      <c r="BC528" s="3"/>
      <c r="BD528" s="3"/>
      <c r="BE528" s="3"/>
      <c r="BF528" s="3"/>
      <c r="BG528" s="3"/>
      <c r="BH528" s="3"/>
      <c r="BI528" s="3"/>
      <c r="BJ528" s="3"/>
      <c r="BK528" s="3"/>
      <c r="BL528" s="3"/>
      <c r="BM528" s="3"/>
      <c r="BN528" s="3" t="s">
        <v>2542</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3"/>
      <c r="C529" s="1414"/>
      <c r="D529" s="1414"/>
      <c r="E529" s="1414"/>
      <c r="F529" s="1414"/>
      <c r="G529" s="1414"/>
      <c r="H529" s="1415"/>
      <c r="I529" s="48" t="s">
        <v>424</v>
      </c>
      <c r="J529" s="48"/>
      <c r="K529" s="48"/>
      <c r="L529" s="48"/>
      <c r="M529" s="48"/>
      <c r="N529" s="48"/>
      <c r="O529" s="48"/>
      <c r="P529" s="48"/>
      <c r="Q529" s="48"/>
      <c r="R529" s="48"/>
      <c r="S529" s="48"/>
      <c r="T529" s="48"/>
      <c r="U529" s="48"/>
      <c r="V529" s="48"/>
      <c r="W529" s="48"/>
      <c r="X529" s="48"/>
      <c r="Y529" s="48"/>
      <c r="Z529" s="48"/>
      <c r="AA529" s="48"/>
      <c r="AB529" s="48"/>
      <c r="AC529" s="1377" t="s">
        <v>600</v>
      </c>
      <c r="AD529" s="1378"/>
      <c r="AE529" s="1378"/>
      <c r="AF529" s="1378"/>
      <c r="AG529" s="38" t="s">
        <v>405</v>
      </c>
      <c r="AH529" s="1355"/>
      <c r="AI529" s="1355"/>
      <c r="AJ529" s="1355"/>
      <c r="AK529" s="1356"/>
      <c r="AZ529" s="3"/>
      <c r="BA529" s="3"/>
      <c r="BB529" s="3"/>
      <c r="BC529" s="3"/>
      <c r="BD529" s="3"/>
      <c r="BE529" s="3"/>
      <c r="BF529" s="3"/>
      <c r="BG529" s="3"/>
      <c r="BH529" s="3"/>
      <c r="BI529" s="3"/>
      <c r="BJ529" s="3"/>
      <c r="BK529" s="3"/>
      <c r="BL529" s="3"/>
      <c r="BM529" s="3"/>
      <c r="BN529" s="3" t="s">
        <v>2543</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3"/>
      <c r="C530" s="1414"/>
      <c r="D530" s="1414"/>
      <c r="E530" s="1414"/>
      <c r="F530" s="1414"/>
      <c r="G530" s="1414"/>
      <c r="H530" s="1415"/>
      <c r="I530" s="42" t="s">
        <v>425</v>
      </c>
      <c r="J530" s="42"/>
      <c r="K530" s="42"/>
      <c r="L530" s="42"/>
      <c r="M530" s="42"/>
      <c r="N530" s="42"/>
      <c r="O530" s="1408" t="s">
        <v>336</v>
      </c>
      <c r="P530" s="1409"/>
      <c r="Q530" s="1409"/>
      <c r="R530" s="1409"/>
      <c r="S530" s="1409"/>
      <c r="T530" s="1409"/>
      <c r="U530" s="1409"/>
      <c r="V530" s="1409"/>
      <c r="W530" s="1409"/>
      <c r="X530" s="1409"/>
      <c r="Y530" s="1409"/>
      <c r="Z530" s="1409"/>
      <c r="AA530" s="1409"/>
      <c r="AC530" s="1377" t="s">
        <v>600</v>
      </c>
      <c r="AD530" s="1378"/>
      <c r="AE530" s="1378"/>
      <c r="AF530" s="1378"/>
      <c r="AG530" s="13" t="s">
        <v>405</v>
      </c>
      <c r="AH530" s="1355"/>
      <c r="AI530" s="1355"/>
      <c r="AJ530" s="1355"/>
      <c r="AK530" s="1356"/>
      <c r="AZ530" s="3"/>
      <c r="BA530" s="3"/>
      <c r="BB530" s="3"/>
      <c r="BC530" s="3"/>
      <c r="BD530" s="3"/>
      <c r="BE530" s="3"/>
      <c r="BF530" s="3"/>
      <c r="BG530" s="3"/>
      <c r="BH530" s="3"/>
      <c r="BI530" s="3"/>
      <c r="BJ530" s="3"/>
      <c r="BK530" s="3"/>
      <c r="BL530" s="3"/>
      <c r="BM530" s="3"/>
      <c r="BN530" s="3" t="s">
        <v>2544</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3"/>
      <c r="C531" s="1414"/>
      <c r="D531" s="1414"/>
      <c r="E531" s="1414"/>
      <c r="F531" s="1414"/>
      <c r="G531" s="1414"/>
      <c r="H531" s="1415"/>
      <c r="I531" t="s">
        <v>423</v>
      </c>
      <c r="AC531" s="1377" t="s">
        <v>600</v>
      </c>
      <c r="AD531" s="1378"/>
      <c r="AE531" s="1378"/>
      <c r="AF531" s="1378"/>
      <c r="AG531" s="38" t="s">
        <v>405</v>
      </c>
      <c r="AH531" s="1355"/>
      <c r="AI531" s="1355"/>
      <c r="AJ531" s="1355"/>
      <c r="AK531" s="1356"/>
      <c r="AZ531" s="3"/>
      <c r="BA531" s="3"/>
      <c r="BB531" s="3"/>
      <c r="BC531" s="3"/>
      <c r="BD531" s="3"/>
      <c r="BE531" s="3"/>
      <c r="BF531" s="3"/>
      <c r="BG531" s="3"/>
      <c r="BH531" s="3"/>
      <c r="BI531" s="3"/>
      <c r="BJ531" s="3"/>
      <c r="BK531" s="3"/>
      <c r="BL531" s="3"/>
      <c r="BM531" s="3"/>
      <c r="BN531" s="3" t="s">
        <v>2545</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3"/>
      <c r="C532" s="1414"/>
      <c r="D532" s="1414"/>
      <c r="E532" s="1414"/>
      <c r="F532" s="1414"/>
      <c r="G532" s="1414"/>
      <c r="H532" s="1415"/>
      <c r="I532" s="48" t="s">
        <v>424</v>
      </c>
      <c r="J532" s="48"/>
      <c r="K532" s="48"/>
      <c r="L532" s="48"/>
      <c r="M532" s="48"/>
      <c r="N532" s="48"/>
      <c r="O532" s="48"/>
      <c r="P532" s="48"/>
      <c r="Q532" s="48"/>
      <c r="R532" s="48"/>
      <c r="S532" s="48"/>
      <c r="T532" s="48"/>
      <c r="U532" s="48"/>
      <c r="V532" s="48"/>
      <c r="W532" s="48"/>
      <c r="X532" s="48"/>
      <c r="Y532" s="48"/>
      <c r="Z532" s="48"/>
      <c r="AA532" s="48"/>
      <c r="AB532" s="48"/>
      <c r="AC532" s="1377" t="s">
        <v>600</v>
      </c>
      <c r="AD532" s="1378"/>
      <c r="AE532" s="1378"/>
      <c r="AF532" s="1378"/>
      <c r="AG532" s="13" t="s">
        <v>405</v>
      </c>
      <c r="AH532" s="1355"/>
      <c r="AI532" s="1355"/>
      <c r="AJ532" s="1355"/>
      <c r="AK532" s="1356"/>
      <c r="AZ532" s="3"/>
      <c r="BA532" s="3"/>
      <c r="BB532" s="3"/>
      <c r="BC532" s="3"/>
      <c r="BD532" s="3"/>
      <c r="BE532" s="3"/>
      <c r="BF532" s="3"/>
      <c r="BG532" s="3"/>
      <c r="BH532" s="3"/>
      <c r="BI532" s="3"/>
      <c r="BJ532" s="3"/>
      <c r="BK532" s="3"/>
      <c r="BL532" s="3"/>
      <c r="BM532" s="3"/>
      <c r="BN532" s="3" t="s">
        <v>2546</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3"/>
      <c r="C533" s="1414"/>
      <c r="D533" s="1414"/>
      <c r="E533" s="1414"/>
      <c r="F533" s="1414"/>
      <c r="G533" s="1414"/>
      <c r="H533" s="1415"/>
      <c r="I533" s="42" t="s">
        <v>425</v>
      </c>
      <c r="J533" s="42"/>
      <c r="K533" s="42"/>
      <c r="L533" s="42"/>
      <c r="M533" s="42"/>
      <c r="N533" s="42"/>
      <c r="O533" s="1408" t="s">
        <v>336</v>
      </c>
      <c r="P533" s="1409"/>
      <c r="Q533" s="1409"/>
      <c r="R533" s="1409"/>
      <c r="S533" s="1409"/>
      <c r="T533" s="1409"/>
      <c r="U533" s="1409"/>
      <c r="V533" s="1409"/>
      <c r="W533" s="1409"/>
      <c r="X533" s="1409"/>
      <c r="Y533" s="1409"/>
      <c r="Z533" s="1409"/>
      <c r="AA533" s="1409"/>
      <c r="AC533" s="1377" t="s">
        <v>600</v>
      </c>
      <c r="AD533" s="1378"/>
      <c r="AE533" s="1378"/>
      <c r="AF533" s="1378"/>
      <c r="AG533" s="38" t="s">
        <v>405</v>
      </c>
      <c r="AH533" s="1355"/>
      <c r="AI533" s="1355"/>
      <c r="AJ533" s="1355"/>
      <c r="AK533" s="1356"/>
      <c r="AZ533" s="3"/>
      <c r="BA533" s="3"/>
      <c r="BB533" s="3"/>
      <c r="BC533" s="3"/>
      <c r="BD533" s="3"/>
      <c r="BE533" s="3"/>
      <c r="BF533" s="3"/>
      <c r="BG533" s="3"/>
      <c r="BH533" s="3"/>
      <c r="BI533" s="3"/>
      <c r="BJ533" s="3"/>
      <c r="BK533" s="3"/>
      <c r="BL533" s="3"/>
      <c r="BM533" s="3"/>
      <c r="BN533" s="3" t="s">
        <v>2547</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3"/>
      <c r="C534" s="1414"/>
      <c r="D534" s="1414"/>
      <c r="E534" s="1414"/>
      <c r="F534" s="1414"/>
      <c r="G534" s="1414"/>
      <c r="H534" s="1415"/>
      <c r="I534" t="s">
        <v>423</v>
      </c>
      <c r="AC534" s="1377" t="s">
        <v>600</v>
      </c>
      <c r="AD534" s="1378"/>
      <c r="AE534" s="1378"/>
      <c r="AF534" s="1378"/>
      <c r="AG534" s="13" t="s">
        <v>405</v>
      </c>
      <c r="AH534" s="1355"/>
      <c r="AI534" s="1355"/>
      <c r="AJ534" s="1355"/>
      <c r="AK534" s="1356"/>
      <c r="AZ534" s="3"/>
      <c r="BA534" s="3"/>
      <c r="BB534" s="3"/>
      <c r="BC534" s="3"/>
      <c r="BD534" s="3"/>
      <c r="BE534" s="3"/>
      <c r="BF534" s="3"/>
      <c r="BG534" s="3"/>
      <c r="BH534" s="3"/>
      <c r="BI534" s="3"/>
      <c r="BJ534" s="3"/>
      <c r="BK534" s="3"/>
      <c r="BL534" s="3"/>
      <c r="BM534" s="3"/>
      <c r="BN534" s="3" t="s">
        <v>2548</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3"/>
      <c r="C535" s="1414"/>
      <c r="D535" s="1414"/>
      <c r="E535" s="1414"/>
      <c r="F535" s="1414"/>
      <c r="G535" s="1414"/>
      <c r="H535" s="1415"/>
      <c r="I535" s="48" t="s">
        <v>424</v>
      </c>
      <c r="J535" s="48"/>
      <c r="K535" s="48"/>
      <c r="L535" s="48"/>
      <c r="M535" s="48"/>
      <c r="N535" s="48"/>
      <c r="O535" s="48"/>
      <c r="P535" s="48"/>
      <c r="Q535" s="48"/>
      <c r="R535" s="48"/>
      <c r="S535" s="48"/>
      <c r="T535" s="48"/>
      <c r="U535" s="48"/>
      <c r="V535" s="48"/>
      <c r="W535" s="48"/>
      <c r="X535" s="48"/>
      <c r="Y535" s="48"/>
      <c r="Z535" s="48"/>
      <c r="AA535" s="48"/>
      <c r="AB535" s="48"/>
      <c r="AC535" s="1377" t="s">
        <v>600</v>
      </c>
      <c r="AD535" s="1378"/>
      <c r="AE535" s="1378"/>
      <c r="AF535" s="1378"/>
      <c r="AG535" s="38" t="s">
        <v>405</v>
      </c>
      <c r="AH535" s="1355"/>
      <c r="AI535" s="1355"/>
      <c r="AJ535" s="1355"/>
      <c r="AK535" s="1356"/>
      <c r="AZ535" s="3"/>
      <c r="BA535" s="3"/>
      <c r="BB535" s="3"/>
      <c r="BC535" s="3"/>
      <c r="BD535" s="3"/>
      <c r="BE535" s="3"/>
      <c r="BF535" s="3"/>
      <c r="BG535" s="3"/>
      <c r="BH535" s="3"/>
      <c r="BI535" s="3"/>
      <c r="BJ535" s="3"/>
      <c r="BK535" s="3"/>
      <c r="BL535" s="3"/>
      <c r="BM535" s="3"/>
      <c r="BN535" s="3" t="s">
        <v>2549</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3"/>
      <c r="C536" s="1414"/>
      <c r="D536" s="1414"/>
      <c r="E536" s="1414"/>
      <c r="F536" s="1414"/>
      <c r="G536" s="1414"/>
      <c r="H536" s="1415"/>
      <c r="I536" s="42" t="s">
        <v>571</v>
      </c>
      <c r="J536" s="42"/>
      <c r="K536" s="42"/>
      <c r="L536" s="42"/>
      <c r="M536" s="42"/>
      <c r="N536" s="42"/>
      <c r="O536" s="42"/>
      <c r="P536" s="42"/>
      <c r="Q536" s="42"/>
      <c r="R536" s="42"/>
      <c r="S536" s="42"/>
      <c r="T536" s="42"/>
      <c r="U536" s="42"/>
      <c r="V536" s="42"/>
      <c r="W536" s="42"/>
      <c r="AC536" s="1377">
        <v>6</v>
      </c>
      <c r="AD536" s="1378"/>
      <c r="AE536" s="1378"/>
      <c r="AF536" s="1378"/>
      <c r="AG536" s="38" t="s">
        <v>405</v>
      </c>
      <c r="AH536" s="1355">
        <v>2024</v>
      </c>
      <c r="AI536" s="1355"/>
      <c r="AJ536" s="1355"/>
      <c r="AK536" s="1356"/>
      <c r="AZ536" s="3"/>
      <c r="BA536" s="3"/>
      <c r="BB536" s="3"/>
      <c r="BC536" s="3"/>
      <c r="BD536" s="3"/>
      <c r="BE536" s="3"/>
      <c r="BF536" s="3"/>
      <c r="BG536" s="3"/>
      <c r="BH536" s="3"/>
      <c r="BI536" s="3"/>
      <c r="BJ536" s="3"/>
      <c r="BK536" s="3"/>
      <c r="BL536" s="3"/>
      <c r="BM536" s="3"/>
      <c r="BN536" s="3" t="s">
        <v>2550</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3"/>
      <c r="C537" s="1414"/>
      <c r="D537" s="1414"/>
      <c r="E537" s="1414"/>
      <c r="F537" s="1414"/>
      <c r="G537" s="1414"/>
      <c r="H537" s="1415"/>
      <c r="I537" t="s">
        <v>572</v>
      </c>
      <c r="AC537" s="1377">
        <v>6</v>
      </c>
      <c r="AD537" s="1378"/>
      <c r="AE537" s="1378"/>
      <c r="AF537" s="1378"/>
      <c r="AG537" s="13" t="s">
        <v>405</v>
      </c>
      <c r="AH537" s="1355">
        <v>2024</v>
      </c>
      <c r="AI537" s="1355"/>
      <c r="AJ537" s="1355"/>
      <c r="AK537" s="1356"/>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3"/>
      <c r="C538" s="1414"/>
      <c r="D538" s="1414"/>
      <c r="E538" s="1414"/>
      <c r="F538" s="1414"/>
      <c r="G538" s="1414"/>
      <c r="H538" s="1415"/>
      <c r="I538" t="s">
        <v>573</v>
      </c>
      <c r="AC538" s="1377">
        <v>6</v>
      </c>
      <c r="AD538" s="1378"/>
      <c r="AE538" s="1378"/>
      <c r="AF538" s="1378"/>
      <c r="AG538" s="38" t="s">
        <v>405</v>
      </c>
      <c r="AH538" s="1355">
        <v>2025</v>
      </c>
      <c r="AI538" s="1355"/>
      <c r="AJ538" s="1355"/>
      <c r="AK538" s="1356"/>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3"/>
      <c r="C539" s="1414"/>
      <c r="D539" s="1414"/>
      <c r="E539" s="1414"/>
      <c r="F539" s="1414"/>
      <c r="G539" s="1414"/>
      <c r="H539" s="1415"/>
      <c r="I539" t="s">
        <v>574</v>
      </c>
      <c r="AC539" s="1377">
        <v>2</v>
      </c>
      <c r="AD539" s="1378"/>
      <c r="AE539" s="1378"/>
      <c r="AF539" s="1378"/>
      <c r="AG539" s="38" t="s">
        <v>405</v>
      </c>
      <c r="AH539" s="1355">
        <v>2026</v>
      </c>
      <c r="AI539" s="1355"/>
      <c r="AJ539" s="1355"/>
      <c r="AK539" s="1356"/>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6"/>
      <c r="C540" s="1417"/>
      <c r="D540" s="1417"/>
      <c r="E540" s="1417"/>
      <c r="F540" s="1417"/>
      <c r="G540" s="1417"/>
      <c r="H540" s="1418"/>
      <c r="I540" s="48" t="s">
        <v>460</v>
      </c>
      <c r="J540" s="48"/>
      <c r="K540" s="48"/>
      <c r="L540" s="48"/>
      <c r="M540" s="48"/>
      <c r="N540" s="48"/>
      <c r="O540" s="48"/>
      <c r="P540" s="48"/>
      <c r="Q540" s="48"/>
      <c r="R540" s="48"/>
      <c r="S540" s="48"/>
      <c r="T540" s="48"/>
      <c r="U540" s="48"/>
      <c r="V540" s="48"/>
      <c r="W540" s="48"/>
      <c r="X540" s="48"/>
      <c r="Y540" s="48"/>
      <c r="Z540" s="48"/>
      <c r="AA540" s="48"/>
      <c r="AB540" s="48"/>
      <c r="AC540" s="1377">
        <v>6</v>
      </c>
      <c r="AD540" s="1378"/>
      <c r="AE540" s="1378"/>
      <c r="AF540" s="1378"/>
      <c r="AG540" s="38" t="s">
        <v>405</v>
      </c>
      <c r="AH540" s="1355">
        <v>2025</v>
      </c>
      <c r="AI540" s="1355"/>
      <c r="AJ540" s="1355"/>
      <c r="AK540" s="1356"/>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70" t="s">
        <v>552</v>
      </c>
      <c r="B542" s="1270"/>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c r="W542" s="1270"/>
      <c r="X542" s="1270"/>
      <c r="Y542" s="1270"/>
      <c r="Z542" s="1270"/>
      <c r="AA542" s="1270"/>
      <c r="AB542" s="1270"/>
      <c r="AC542" s="1270"/>
      <c r="AD542" s="1270"/>
      <c r="AE542" s="1270"/>
      <c r="AF542" s="1270"/>
      <c r="AG542" s="1270"/>
      <c r="AH542" s="1270"/>
      <c r="AI542" s="1270"/>
      <c r="AJ542" s="1270"/>
      <c r="AK542" s="1270"/>
      <c r="AL542" s="1270"/>
      <c r="AM542" s="1270"/>
      <c r="AN542" s="1270"/>
      <c r="AO542" s="1270"/>
      <c r="AP542" s="1270"/>
      <c r="AQ542" s="1270"/>
      <c r="AR542" s="1270"/>
      <c r="AS542" s="127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70"/>
      <c r="B543" s="1270"/>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c r="W543" s="1270"/>
      <c r="X543" s="1270"/>
      <c r="Y543" s="1270"/>
      <c r="Z543" s="1270"/>
      <c r="AA543" s="1270"/>
      <c r="AB543" s="1270"/>
      <c r="AC543" s="1270"/>
      <c r="AD543" s="1270"/>
      <c r="AE543" s="1270"/>
      <c r="AF543" s="1270"/>
      <c r="AG543" s="1270"/>
      <c r="AH543" s="1270"/>
      <c r="AI543" s="1270"/>
      <c r="AJ543" s="1270"/>
      <c r="AK543" s="1270"/>
      <c r="AL543" s="1270"/>
      <c r="AM543" s="1270"/>
      <c r="AN543" s="1270"/>
      <c r="AO543" s="1270"/>
      <c r="AP543" s="1270"/>
      <c r="AQ543" s="1270"/>
      <c r="AR543" s="1270"/>
      <c r="AS543" s="127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2522</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4" t="s">
        <v>2524</v>
      </c>
      <c r="C549" s="1375"/>
      <c r="D549" s="1375"/>
      <c r="E549" s="1375"/>
      <c r="F549" s="1375"/>
      <c r="G549" s="1375"/>
      <c r="H549" s="1375"/>
      <c r="I549" s="1375"/>
      <c r="J549" s="1375"/>
      <c r="K549" s="1375"/>
      <c r="L549" s="1376"/>
      <c r="M549" s="1518" t="s">
        <v>2525</v>
      </c>
      <c r="N549" s="1518"/>
      <c r="O549" s="1518"/>
      <c r="P549" s="1518"/>
      <c r="Q549" s="1374" t="s">
        <v>2551</v>
      </c>
      <c r="R549" s="1375"/>
      <c r="S549" s="1376"/>
      <c r="T549" s="1374" t="s">
        <v>2552</v>
      </c>
      <c r="U549" s="1375"/>
      <c r="V549" s="1376"/>
      <c r="W549" s="1374" t="s">
        <v>462</v>
      </c>
      <c r="X549" s="1375"/>
      <c r="Y549" s="1376"/>
      <c r="Z549" s="1374" t="s">
        <v>2114</v>
      </c>
      <c r="AA549" s="1375"/>
      <c r="AB549" s="1375"/>
      <c r="AC549" s="1375"/>
      <c r="AD549" s="1375"/>
      <c r="AE549" s="1374" t="s">
        <v>1935</v>
      </c>
      <c r="AF549" s="1375"/>
      <c r="AG549" s="1375"/>
      <c r="AH549" s="1376"/>
      <c r="AI549" s="1374" t="s">
        <v>1936</v>
      </c>
      <c r="AJ549" s="1375"/>
      <c r="AK549" s="1375"/>
      <c r="AL549" s="1376"/>
      <c r="AM549" s="1374" t="s">
        <v>463</v>
      </c>
      <c r="AN549" s="1375"/>
      <c r="AO549" s="1375"/>
      <c r="AP549" s="1375"/>
      <c r="AQ549" s="1375"/>
      <c r="AR549" s="1375"/>
      <c r="AS549" s="1376"/>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519" t="s">
        <v>2722</v>
      </c>
      <c r="D550" s="1520"/>
      <c r="E550" s="1520"/>
      <c r="F550" s="1520"/>
      <c r="G550" s="1520"/>
      <c r="H550" s="1520"/>
      <c r="I550" s="1520"/>
      <c r="J550" s="1520"/>
      <c r="K550" s="1520"/>
      <c r="L550" s="1521"/>
      <c r="M550" s="1474" t="s">
        <v>2541</v>
      </c>
      <c r="N550" s="1474"/>
      <c r="O550" s="1474"/>
      <c r="P550" s="1474"/>
      <c r="Q550" s="1392"/>
      <c r="R550" s="1392"/>
      <c r="S550" s="1393"/>
      <c r="T550" s="1391"/>
      <c r="U550" s="1392"/>
      <c r="V550" s="1393"/>
      <c r="W550" s="1388">
        <v>0.09</v>
      </c>
      <c r="X550" s="1389"/>
      <c r="Y550" s="1390"/>
      <c r="Z550" s="1433" t="s">
        <v>2766</v>
      </c>
      <c r="AA550" s="1433"/>
      <c r="AB550" s="1433"/>
      <c r="AC550" s="1433"/>
      <c r="AD550" s="1433"/>
      <c r="AE550" s="1427">
        <v>1</v>
      </c>
      <c r="AF550" s="1428"/>
      <c r="AG550" s="1428"/>
      <c r="AH550" s="1429"/>
      <c r="AI550" s="1449"/>
      <c r="AJ550" s="1450"/>
      <c r="AK550" s="1450"/>
      <c r="AL550" s="1451"/>
      <c r="AM550" s="1368">
        <f>7063340+6284216+7262325</f>
        <v>20609881</v>
      </c>
      <c r="AN550" s="1369"/>
      <c r="AO550" s="1369"/>
      <c r="AP550" s="1369"/>
      <c r="AQ550" s="1369"/>
      <c r="AR550" s="1369"/>
      <c r="AS550" s="1370"/>
      <c r="AT550" s="1201"/>
      <c r="BB550" s="3"/>
      <c r="BC550" s="3"/>
      <c r="BD550" s="3"/>
      <c r="BE550" s="3"/>
      <c r="BF550" s="3"/>
      <c r="BG550" s="3"/>
      <c r="BH550" s="3" t="s">
        <v>590</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475" t="s">
        <v>2713</v>
      </c>
      <c r="D551" s="1475"/>
      <c r="E551" s="1475"/>
      <c r="F551" s="1475"/>
      <c r="G551" s="1475"/>
      <c r="H551" s="1475"/>
      <c r="I551" s="1475"/>
      <c r="J551" s="1475"/>
      <c r="K551" s="1475"/>
      <c r="L551" s="1475"/>
      <c r="M551" s="1474" t="s">
        <v>2541</v>
      </c>
      <c r="N551" s="1474"/>
      <c r="O551" s="1474"/>
      <c r="P551" s="1474"/>
      <c r="Q551" s="1391"/>
      <c r="R551" s="1392"/>
      <c r="S551" s="1393"/>
      <c r="T551" s="1391"/>
      <c r="U551" s="1392"/>
      <c r="V551" s="1393"/>
      <c r="W551" s="1388"/>
      <c r="X551" s="1389"/>
      <c r="Y551" s="1390"/>
      <c r="Z551" s="1433" t="s">
        <v>600</v>
      </c>
      <c r="AA551" s="1433"/>
      <c r="AB551" s="1433"/>
      <c r="AC551" s="1433"/>
      <c r="AD551" s="1433"/>
      <c r="AE551" s="1427"/>
      <c r="AF551" s="1428"/>
      <c r="AG551" s="1428"/>
      <c r="AH551" s="1429"/>
      <c r="AI551" s="1449"/>
      <c r="AJ551" s="1450"/>
      <c r="AK551" s="1450"/>
      <c r="AL551" s="1451"/>
      <c r="AM551" s="1368">
        <f>6284216*0</f>
        <v>0</v>
      </c>
      <c r="AN551" s="1369"/>
      <c r="AO551" s="1369"/>
      <c r="AP551" s="1369"/>
      <c r="AQ551" s="1369"/>
      <c r="AR551" s="1369"/>
      <c r="AS551" s="1370"/>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475" t="s">
        <v>2723</v>
      </c>
      <c r="D552" s="1475"/>
      <c r="E552" s="1475"/>
      <c r="F552" s="1475"/>
      <c r="G552" s="1475"/>
      <c r="H552" s="1475"/>
      <c r="I552" s="1475"/>
      <c r="J552" s="1475"/>
      <c r="K552" s="1475"/>
      <c r="L552" s="1475"/>
      <c r="M552" s="1474" t="s">
        <v>2541</v>
      </c>
      <c r="N552" s="1474"/>
      <c r="O552" s="1474"/>
      <c r="P552" s="1474"/>
      <c r="Q552" s="1391"/>
      <c r="R552" s="1392"/>
      <c r="S552" s="1393"/>
      <c r="T552" s="1391"/>
      <c r="U552" s="1392"/>
      <c r="V552" s="1393"/>
      <c r="W552" s="1388">
        <v>0.03</v>
      </c>
      <c r="X552" s="1389"/>
      <c r="Y552" s="1390"/>
      <c r="Z552" s="1433" t="s">
        <v>600</v>
      </c>
      <c r="AA552" s="1433"/>
      <c r="AB552" s="1433"/>
      <c r="AC552" s="1433"/>
      <c r="AD552" s="1433"/>
      <c r="AE552" s="1427"/>
      <c r="AF552" s="1428"/>
      <c r="AG552" s="1428"/>
      <c r="AH552" s="1429"/>
      <c r="AI552" s="1449"/>
      <c r="AJ552" s="1450"/>
      <c r="AK552" s="1450"/>
      <c r="AL552" s="1451"/>
      <c r="AM552" s="1368">
        <f>7256915*0</f>
        <v>0</v>
      </c>
      <c r="AN552" s="1369"/>
      <c r="AO552" s="1369"/>
      <c r="AP552" s="1369"/>
      <c r="AQ552" s="1369"/>
      <c r="AR552" s="1369"/>
      <c r="AS552" s="1370"/>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590</v>
      </c>
      <c r="C553" s="1475" t="s">
        <v>2717</v>
      </c>
      <c r="D553" s="1475"/>
      <c r="E553" s="1475"/>
      <c r="F553" s="1475"/>
      <c r="G553" s="1475"/>
      <c r="H553" s="1475"/>
      <c r="I553" s="1475"/>
      <c r="J553" s="1475"/>
      <c r="K553" s="1475"/>
      <c r="L553" s="1475"/>
      <c r="M553" s="1474" t="s">
        <v>2537</v>
      </c>
      <c r="N553" s="1474"/>
      <c r="O553" s="1474"/>
      <c r="P553" s="1474"/>
      <c r="Q553" s="1391"/>
      <c r="R553" s="1392"/>
      <c r="S553" s="1393"/>
      <c r="T553" s="1391"/>
      <c r="U553" s="1392"/>
      <c r="V553" s="1393"/>
      <c r="W553" s="1388">
        <v>0.03</v>
      </c>
      <c r="X553" s="1389"/>
      <c r="Y553" s="1390"/>
      <c r="Z553" s="1433" t="s">
        <v>600</v>
      </c>
      <c r="AA553" s="1433"/>
      <c r="AB553" s="1433"/>
      <c r="AC553" s="1433"/>
      <c r="AD553" s="1433"/>
      <c r="AE553" s="1427"/>
      <c r="AF553" s="1428"/>
      <c r="AG553" s="1428"/>
      <c r="AH553" s="1429"/>
      <c r="AI553" s="1449"/>
      <c r="AJ553" s="1450"/>
      <c r="AK553" s="1450"/>
      <c r="AL553" s="1451"/>
      <c r="AM553" s="1368">
        <f>18804880-7262325</f>
        <v>11542555</v>
      </c>
      <c r="AN553" s="1369"/>
      <c r="AO553" s="1369"/>
      <c r="AP553" s="1369"/>
      <c r="AQ553" s="1369"/>
      <c r="AR553" s="1369"/>
      <c r="AS553" s="1370"/>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787</v>
      </c>
      <c r="C554" s="1475" t="s">
        <v>2714</v>
      </c>
      <c r="D554" s="1475"/>
      <c r="E554" s="1475"/>
      <c r="F554" s="1475"/>
      <c r="G554" s="1475"/>
      <c r="H554" s="1475"/>
      <c r="I554" s="1475"/>
      <c r="J554" s="1475"/>
      <c r="K554" s="1475"/>
      <c r="L554" s="1475"/>
      <c r="M554" s="1474" t="s">
        <v>2537</v>
      </c>
      <c r="N554" s="1474"/>
      <c r="O554" s="1474"/>
      <c r="P554" s="1474"/>
      <c r="Q554" s="1391"/>
      <c r="R554" s="1392"/>
      <c r="S554" s="1393"/>
      <c r="T554" s="1391"/>
      <c r="U554" s="1392"/>
      <c r="V554" s="1393"/>
      <c r="W554" s="1388">
        <v>0.03</v>
      </c>
      <c r="X554" s="1389"/>
      <c r="Y554" s="1390"/>
      <c r="Z554" s="1433" t="s">
        <v>600</v>
      </c>
      <c r="AA554" s="1433"/>
      <c r="AB554" s="1433"/>
      <c r="AC554" s="1433"/>
      <c r="AD554" s="1433"/>
      <c r="AE554" s="1427"/>
      <c r="AF554" s="1428"/>
      <c r="AG554" s="1428"/>
      <c r="AH554" s="1429"/>
      <c r="AI554" s="1449"/>
      <c r="AJ554" s="1450"/>
      <c r="AK554" s="1450"/>
      <c r="AL554" s="1451"/>
      <c r="AM554" s="1368">
        <v>750000</v>
      </c>
      <c r="AN554" s="1369"/>
      <c r="AO554" s="1369"/>
      <c r="AP554" s="1369"/>
      <c r="AQ554" s="1369"/>
      <c r="AR554" s="1369"/>
      <c r="AS554" s="1370"/>
      <c r="AT554" s="1201" t="str">
        <f t="shared" ref="AT554:AT561" si="1">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593</v>
      </c>
      <c r="C555" s="1475" t="s">
        <v>2715</v>
      </c>
      <c r="D555" s="1475"/>
      <c r="E555" s="1475"/>
      <c r="F555" s="1475"/>
      <c r="G555" s="1475"/>
      <c r="H555" s="1475"/>
      <c r="I555" s="1475"/>
      <c r="J555" s="1475"/>
      <c r="K555" s="1475"/>
      <c r="L555" s="1475"/>
      <c r="M555" s="1474" t="s">
        <v>2532</v>
      </c>
      <c r="N555" s="1474"/>
      <c r="O555" s="1474"/>
      <c r="P555" s="1474"/>
      <c r="Q555" s="1391"/>
      <c r="R555" s="1392"/>
      <c r="S555" s="1393"/>
      <c r="T555" s="1391"/>
      <c r="U555" s="1392"/>
      <c r="V555" s="1393"/>
      <c r="W555" s="1388"/>
      <c r="X555" s="1389"/>
      <c r="Y555" s="1390"/>
      <c r="Z555" s="1433" t="s">
        <v>600</v>
      </c>
      <c r="AA555" s="1433"/>
      <c r="AB555" s="1433"/>
      <c r="AC555" s="1433"/>
      <c r="AD555" s="1433"/>
      <c r="AE555" s="1427"/>
      <c r="AF555" s="1428"/>
      <c r="AG555" s="1428"/>
      <c r="AH555" s="1429"/>
      <c r="AI555" s="1449"/>
      <c r="AJ555" s="1450"/>
      <c r="AK555" s="1450"/>
      <c r="AL555" s="1451"/>
      <c r="AM555" s="1368">
        <v>3854938</v>
      </c>
      <c r="AN555" s="1369"/>
      <c r="AO555" s="1369"/>
      <c r="AP555" s="1369"/>
      <c r="AQ555" s="1369"/>
      <c r="AR555" s="1369"/>
      <c r="AS555" s="1370"/>
      <c r="AT555" s="1201" t="str">
        <f t="shared" si="1"/>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464</v>
      </c>
      <c r="C556" s="1475" t="s">
        <v>2716</v>
      </c>
      <c r="D556" s="1475"/>
      <c r="E556" s="1475"/>
      <c r="F556" s="1475"/>
      <c r="G556" s="1475"/>
      <c r="H556" s="1475"/>
      <c r="I556" s="1475"/>
      <c r="J556" s="1475"/>
      <c r="K556" s="1475"/>
      <c r="L556" s="1475"/>
      <c r="M556" s="1474" t="s">
        <v>2527</v>
      </c>
      <c r="N556" s="1474"/>
      <c r="O556" s="1474"/>
      <c r="P556" s="1474"/>
      <c r="Q556" s="1391"/>
      <c r="R556" s="1392"/>
      <c r="S556" s="1393"/>
      <c r="T556" s="1391"/>
      <c r="U556" s="1392"/>
      <c r="V556" s="1393"/>
      <c r="W556" s="1388"/>
      <c r="X556" s="1389"/>
      <c r="Y556" s="1390"/>
      <c r="Z556" s="1433" t="s">
        <v>600</v>
      </c>
      <c r="AA556" s="1433"/>
      <c r="AB556" s="1433"/>
      <c r="AC556" s="1433"/>
      <c r="AD556" s="1433"/>
      <c r="AE556" s="1427"/>
      <c r="AF556" s="1428"/>
      <c r="AG556" s="1428"/>
      <c r="AH556" s="1429"/>
      <c r="AI556" s="1449"/>
      <c r="AJ556" s="1450"/>
      <c r="AK556" s="1450"/>
      <c r="AL556" s="1451"/>
      <c r="AM556" s="1368">
        <f>'Sources and Uses Budget'!B105-SUM(Application!AM550:AS555)</f>
        <v>4178180.1333910152</v>
      </c>
      <c r="AN556" s="1369"/>
      <c r="AO556" s="1369"/>
      <c r="AP556" s="1369"/>
      <c r="AQ556" s="1369"/>
      <c r="AR556" s="1369"/>
      <c r="AS556" s="1370"/>
      <c r="AT556" s="1201" t="str">
        <f t="shared" si="1"/>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465</v>
      </c>
      <c r="C557" s="1475"/>
      <c r="D557" s="1475"/>
      <c r="E557" s="1475"/>
      <c r="F557" s="1475"/>
      <c r="G557" s="1475"/>
      <c r="H557" s="1475"/>
      <c r="I557" s="1475"/>
      <c r="J557" s="1475"/>
      <c r="K557" s="1475"/>
      <c r="L557" s="1475"/>
      <c r="M557" s="1474" t="s">
        <v>1327</v>
      </c>
      <c r="N557" s="1474"/>
      <c r="O557" s="1474"/>
      <c r="P557" s="1474"/>
      <c r="Q557" s="1391"/>
      <c r="R557" s="1392"/>
      <c r="S557" s="1393"/>
      <c r="T557" s="1391"/>
      <c r="U557" s="1392"/>
      <c r="V557" s="1393"/>
      <c r="W557" s="1388"/>
      <c r="X557" s="1389"/>
      <c r="Y557" s="1390"/>
      <c r="Z557" s="1433" t="s">
        <v>1327</v>
      </c>
      <c r="AA557" s="1433"/>
      <c r="AB557" s="1433"/>
      <c r="AC557" s="1433"/>
      <c r="AD557" s="1433"/>
      <c r="AE557" s="1427"/>
      <c r="AF557" s="1428"/>
      <c r="AG557" s="1428"/>
      <c r="AH557" s="1429"/>
      <c r="AI557" s="1449"/>
      <c r="AJ557" s="1450"/>
      <c r="AK557" s="1450"/>
      <c r="AL557" s="1451"/>
      <c r="AM557" s="1368"/>
      <c r="AN557" s="1369"/>
      <c r="AO557" s="1369"/>
      <c r="AP557" s="1369"/>
      <c r="AQ557" s="1369"/>
      <c r="AR557" s="1369"/>
      <c r="AS557" s="1370"/>
      <c r="AT557" s="1201" t="str">
        <f t="shared" si="1"/>
        <v/>
      </c>
      <c r="AU557" s="1200"/>
      <c r="BB557" s="3"/>
      <c r="BC557" s="3"/>
      <c r="BD557" s="3"/>
      <c r="BE557" s="3"/>
      <c r="BF557" s="3"/>
      <c r="BG557" s="3"/>
      <c r="BH557" s="3" t="s">
        <v>787</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470</v>
      </c>
      <c r="C558" s="1475"/>
      <c r="D558" s="1475"/>
      <c r="E558" s="1475"/>
      <c r="F558" s="1475"/>
      <c r="G558" s="1475"/>
      <c r="H558" s="1475"/>
      <c r="I558" s="1475"/>
      <c r="J558" s="1475"/>
      <c r="K558" s="1475"/>
      <c r="L558" s="1475"/>
      <c r="M558" s="1474" t="s">
        <v>1327</v>
      </c>
      <c r="N558" s="1474"/>
      <c r="O558" s="1474"/>
      <c r="P558" s="1474"/>
      <c r="Q558" s="1391"/>
      <c r="R558" s="1392"/>
      <c r="S558" s="1393"/>
      <c r="T558" s="1391"/>
      <c r="U558" s="1392"/>
      <c r="V558" s="1393"/>
      <c r="W558" s="1388"/>
      <c r="X558" s="1389"/>
      <c r="Y558" s="1390"/>
      <c r="Z558" s="1433" t="s">
        <v>1327</v>
      </c>
      <c r="AA558" s="1433"/>
      <c r="AB558" s="1433"/>
      <c r="AC558" s="1433"/>
      <c r="AD558" s="1433"/>
      <c r="AE558" s="1427"/>
      <c r="AF558" s="1428"/>
      <c r="AG558" s="1428"/>
      <c r="AH558" s="1429"/>
      <c r="AI558" s="1449"/>
      <c r="AJ558" s="1450"/>
      <c r="AK558" s="1450"/>
      <c r="AL558" s="1451"/>
      <c r="AM558" s="1368"/>
      <c r="AN558" s="1369"/>
      <c r="AO558" s="1369"/>
      <c r="AP558" s="1369"/>
      <c r="AQ558" s="1369"/>
      <c r="AR558" s="1369"/>
      <c r="AS558" s="1370"/>
      <c r="AT558" s="1201" t="str">
        <f t="shared" si="1"/>
        <v/>
      </c>
      <c r="AU558" s="1200"/>
      <c r="BB558" s="3"/>
      <c r="BC558" s="3"/>
      <c r="BD558" s="3"/>
      <c r="BE558" s="3"/>
      <c r="BF558" s="3"/>
      <c r="BG558" s="3"/>
      <c r="BH558" s="3" t="s">
        <v>593</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655</v>
      </c>
      <c r="C559" s="1475"/>
      <c r="D559" s="1475"/>
      <c r="E559" s="1475"/>
      <c r="F559" s="1475"/>
      <c r="G559" s="1475"/>
      <c r="H559" s="1475"/>
      <c r="I559" s="1475"/>
      <c r="J559" s="1475"/>
      <c r="K559" s="1475"/>
      <c r="L559" s="1475"/>
      <c r="M559" s="1474" t="s">
        <v>1327</v>
      </c>
      <c r="N559" s="1474"/>
      <c r="O559" s="1474"/>
      <c r="P559" s="1474"/>
      <c r="Q559" s="1391"/>
      <c r="R559" s="1392"/>
      <c r="S559" s="1393"/>
      <c r="T559" s="1391"/>
      <c r="U559" s="1392"/>
      <c r="V559" s="1393"/>
      <c r="W559" s="1388"/>
      <c r="X559" s="1389"/>
      <c r="Y559" s="1390"/>
      <c r="Z559" s="1433" t="s">
        <v>1327</v>
      </c>
      <c r="AA559" s="1433"/>
      <c r="AB559" s="1433"/>
      <c r="AC559" s="1433"/>
      <c r="AD559" s="1433"/>
      <c r="AE559" s="1427"/>
      <c r="AF559" s="1428"/>
      <c r="AG559" s="1428"/>
      <c r="AH559" s="1429"/>
      <c r="AI559" s="1449"/>
      <c r="AJ559" s="1450"/>
      <c r="AK559" s="1450"/>
      <c r="AL559" s="1451"/>
      <c r="AM559" s="1368"/>
      <c r="AN559" s="1369"/>
      <c r="AO559" s="1369"/>
      <c r="AP559" s="1369"/>
      <c r="AQ559" s="1369"/>
      <c r="AR559" s="1369"/>
      <c r="AS559" s="1370"/>
      <c r="AT559" s="1201" t="str">
        <f t="shared" si="1"/>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475"/>
      <c r="D560" s="1475"/>
      <c r="E560" s="1475"/>
      <c r="F560" s="1475"/>
      <c r="G560" s="1475"/>
      <c r="H560" s="1475"/>
      <c r="I560" s="1475"/>
      <c r="J560" s="1475"/>
      <c r="K560" s="1475"/>
      <c r="L560" s="1475"/>
      <c r="M560" s="1474" t="s">
        <v>1327</v>
      </c>
      <c r="N560" s="1474"/>
      <c r="O560" s="1474"/>
      <c r="P560" s="1474"/>
      <c r="Q560" s="1391"/>
      <c r="R560" s="1392"/>
      <c r="S560" s="1393"/>
      <c r="T560" s="1391"/>
      <c r="U560" s="1392"/>
      <c r="V560" s="1393"/>
      <c r="W560" s="1388"/>
      <c r="X560" s="1389"/>
      <c r="Y560" s="1390"/>
      <c r="Z560" s="1433" t="s">
        <v>1327</v>
      </c>
      <c r="AA560" s="1433"/>
      <c r="AB560" s="1433"/>
      <c r="AC560" s="1433"/>
      <c r="AD560" s="1433"/>
      <c r="AE560" s="1427"/>
      <c r="AF560" s="1428"/>
      <c r="AG560" s="1428"/>
      <c r="AH560" s="1429"/>
      <c r="AI560" s="1449"/>
      <c r="AJ560" s="1450"/>
      <c r="AK560" s="1450"/>
      <c r="AL560" s="1451"/>
      <c r="AM560" s="1368"/>
      <c r="AN560" s="1369"/>
      <c r="AO560" s="1369"/>
      <c r="AP560" s="1369"/>
      <c r="AQ560" s="1369"/>
      <c r="AR560" s="1369"/>
      <c r="AS560" s="1370"/>
      <c r="AT560" s="1201" t="str">
        <f t="shared" si="1"/>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475"/>
      <c r="D561" s="1475"/>
      <c r="E561" s="1475"/>
      <c r="F561" s="1475"/>
      <c r="G561" s="1475"/>
      <c r="H561" s="1475"/>
      <c r="I561" s="1475"/>
      <c r="J561" s="1475"/>
      <c r="K561" s="1475"/>
      <c r="L561" s="1475"/>
      <c r="M561" s="1474" t="s">
        <v>1327</v>
      </c>
      <c r="N561" s="1474"/>
      <c r="O561" s="1474"/>
      <c r="P561" s="1474"/>
      <c r="Q561" s="1391"/>
      <c r="R561" s="1392"/>
      <c r="S561" s="1393"/>
      <c r="T561" s="1391"/>
      <c r="U561" s="1392"/>
      <c r="V561" s="1393"/>
      <c r="W561" s="1388"/>
      <c r="X561" s="1389"/>
      <c r="Y561" s="1390"/>
      <c r="Z561" s="1433" t="s">
        <v>1327</v>
      </c>
      <c r="AA561" s="1433"/>
      <c r="AB561" s="1433"/>
      <c r="AC561" s="1433"/>
      <c r="AD561" s="1433"/>
      <c r="AE561" s="1427"/>
      <c r="AF561" s="1428"/>
      <c r="AG561" s="1428"/>
      <c r="AH561" s="1429"/>
      <c r="AI561" s="1449"/>
      <c r="AJ561" s="1450"/>
      <c r="AK561" s="1450"/>
      <c r="AL561" s="1451"/>
      <c r="AM561" s="1368"/>
      <c r="AN561" s="1369"/>
      <c r="AO561" s="1369"/>
      <c r="AP561" s="1369"/>
      <c r="AQ561" s="1369"/>
      <c r="AR561" s="1369"/>
      <c r="AS561" s="1370"/>
      <c r="AT561" s="1201" t="str">
        <f t="shared" si="1"/>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25" t="s">
        <v>128</v>
      </c>
      <c r="C562" s="1526"/>
      <c r="D562" s="1526"/>
      <c r="E562" s="1526"/>
      <c r="F562" s="1526"/>
      <c r="G562" s="1526"/>
      <c r="H562" s="1526"/>
      <c r="I562" s="1526"/>
      <c r="J562" s="1526"/>
      <c r="K562" s="1526"/>
      <c r="L562" s="1526"/>
      <c r="M562" s="1526"/>
      <c r="N562" s="1526"/>
      <c r="O562" s="1526"/>
      <c r="P562" s="1526"/>
      <c r="Q562" s="1526"/>
      <c r="R562" s="1526"/>
      <c r="S562" s="1526"/>
      <c r="T562" s="1526"/>
      <c r="U562" s="1527"/>
      <c r="V562" s="1526"/>
      <c r="W562" s="1526"/>
      <c r="X562" s="1526"/>
      <c r="Y562" s="1526"/>
      <c r="Z562" s="1526"/>
      <c r="AA562" s="1526"/>
      <c r="AB562" s="1526"/>
      <c r="AC562" s="1526"/>
      <c r="AD562" s="1526"/>
      <c r="AE562" s="1526"/>
      <c r="AF562" s="1526"/>
      <c r="AG562" s="1526"/>
      <c r="AH562" s="1526"/>
      <c r="AI562" s="1526"/>
      <c r="AJ562" s="1526"/>
      <c r="AK562" s="1526"/>
      <c r="AL562" s="1528"/>
      <c r="AM562" s="1522">
        <f>SUM(AM550:AS561)</f>
        <v>40935554.133391015</v>
      </c>
      <c r="AN562" s="1523"/>
      <c r="AO562" s="1523"/>
      <c r="AP562" s="1523"/>
      <c r="AQ562" s="1523"/>
      <c r="AR562" s="1523"/>
      <c r="AS562" s="1524"/>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472</v>
      </c>
      <c r="G564" s="1516" t="str">
        <f>C550</f>
        <v>Const Loan + 2-3 Below</v>
      </c>
      <c r="H564" s="1516"/>
      <c r="I564" s="1516"/>
      <c r="J564" s="1516"/>
      <c r="K564" s="1516"/>
      <c r="L564" s="1516"/>
      <c r="M564" s="1516"/>
      <c r="N564" s="1516"/>
      <c r="O564" s="1516"/>
      <c r="P564" s="1516"/>
      <c r="Q564" s="1516"/>
      <c r="R564" s="1516"/>
      <c r="S564" s="8"/>
      <c r="T564" s="55" t="s">
        <v>114</v>
      </c>
      <c r="U564" t="s">
        <v>472</v>
      </c>
      <c r="Z564" s="1516" t="str">
        <f>C551</f>
        <v>Perm Bond Proceeds</v>
      </c>
      <c r="AA564" s="1516"/>
      <c r="AB564" s="1516"/>
      <c r="AC564" s="1516"/>
      <c r="AD564" s="1516"/>
      <c r="AE564" s="1516"/>
      <c r="AF564" s="1516"/>
      <c r="AG564" s="1516"/>
      <c r="AH564" s="1516"/>
      <c r="AI564" s="1516"/>
      <c r="AJ564" s="1516"/>
      <c r="AK564" s="1516"/>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476" t="s">
        <v>2752</v>
      </c>
      <c r="H565" s="1476"/>
      <c r="I565" s="1476"/>
      <c r="J565" s="1476"/>
      <c r="K565" s="1476"/>
      <c r="L565" s="1476"/>
      <c r="M565" s="1476"/>
      <c r="N565" s="1476"/>
      <c r="O565" s="1476"/>
      <c r="P565" s="1476"/>
      <c r="Q565" s="1476"/>
      <c r="R565" s="1476"/>
      <c r="S565" s="8"/>
      <c r="T565" s="22"/>
      <c r="U565" t="s">
        <v>86</v>
      </c>
      <c r="Z565" s="1476" t="s">
        <v>2752</v>
      </c>
      <c r="AA565" s="1476"/>
      <c r="AB565" s="1476"/>
      <c r="AC565" s="1476"/>
      <c r="AD565" s="1476"/>
      <c r="AE565" s="1476"/>
      <c r="AF565" s="1476"/>
      <c r="AG565" s="1476"/>
      <c r="AH565" s="1476"/>
      <c r="AI565" s="1476"/>
      <c r="AJ565" s="1476"/>
      <c r="AK565" s="1476"/>
      <c r="BB565" s="3"/>
      <c r="BC565" s="3"/>
      <c r="BD565" s="3"/>
      <c r="BE565" s="3"/>
      <c r="BF565" s="3"/>
      <c r="BG565" s="3"/>
      <c r="BH565" s="3" t="s">
        <v>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589</v>
      </c>
      <c r="G566" s="1476" t="s">
        <v>2753</v>
      </c>
      <c r="H566" s="1476"/>
      <c r="I566" s="1476"/>
      <c r="J566" s="1476"/>
      <c r="K566" s="1476"/>
      <c r="L566" s="1476"/>
      <c r="M566" s="1476"/>
      <c r="N566" s="1476"/>
      <c r="O566" s="1476"/>
      <c r="P566" s="1476"/>
      <c r="Q566" s="1476"/>
      <c r="R566" s="1476"/>
      <c r="T566" s="22"/>
      <c r="U566" t="s">
        <v>589</v>
      </c>
      <c r="Z566" s="1476" t="s">
        <v>2753</v>
      </c>
      <c r="AA566" s="1476"/>
      <c r="AB566" s="1476"/>
      <c r="AC566" s="1476"/>
      <c r="AD566" s="1476"/>
      <c r="AE566" s="1476"/>
      <c r="AF566" s="1476"/>
      <c r="AG566" s="1476"/>
      <c r="AH566" s="1476"/>
      <c r="AI566" s="1476"/>
      <c r="AJ566" s="1476"/>
      <c r="AK566" s="1476"/>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476" t="s">
        <v>2754</v>
      </c>
      <c r="H567" s="1476"/>
      <c r="I567" s="1476"/>
      <c r="J567" s="1476"/>
      <c r="K567" s="1476"/>
      <c r="L567" s="1476"/>
      <c r="M567" s="1476"/>
      <c r="N567" s="1476"/>
      <c r="O567" s="1476"/>
      <c r="P567" s="1476"/>
      <c r="Q567" s="1476"/>
      <c r="R567" s="1476"/>
      <c r="S567" s="8"/>
      <c r="T567" s="22"/>
      <c r="U567" t="s">
        <v>17</v>
      </c>
      <c r="Z567" s="1476" t="s">
        <v>2754</v>
      </c>
      <c r="AA567" s="1476"/>
      <c r="AB567" s="1476"/>
      <c r="AC567" s="1476"/>
      <c r="AD567" s="1476"/>
      <c r="AE567" s="1476"/>
      <c r="AF567" s="1476"/>
      <c r="AG567" s="1476"/>
      <c r="AH567" s="1476"/>
      <c r="AI567" s="1476"/>
      <c r="AJ567" s="1476"/>
      <c r="AK567" s="147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517" t="s">
        <v>2737</v>
      </c>
      <c r="H568" s="1437"/>
      <c r="I568" s="1437"/>
      <c r="J568" s="1437"/>
      <c r="K568" s="1437"/>
      <c r="L568" s="1437"/>
      <c r="O568" s="33" t="s">
        <v>208</v>
      </c>
      <c r="P568" s="1466"/>
      <c r="Q568" s="1466"/>
      <c r="R568" s="1466"/>
      <c r="S568" s="10"/>
      <c r="T568" s="22"/>
      <c r="U568" t="s">
        <v>318</v>
      </c>
      <c r="Z568" s="1437" t="str">
        <f>G568</f>
        <v>858-284-5812</v>
      </c>
      <c r="AA568" s="1437"/>
      <c r="AB568" s="1437"/>
      <c r="AC568" s="1437"/>
      <c r="AD568" s="1437"/>
      <c r="AE568" s="1437"/>
      <c r="AH568" s="33" t="s">
        <v>208</v>
      </c>
      <c r="AI568" s="1466"/>
      <c r="AJ568" s="1466"/>
      <c r="AK568" s="1466"/>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95" t="s">
        <v>2734</v>
      </c>
      <c r="I569" s="1395"/>
      <c r="J569" s="1395"/>
      <c r="K569" s="1395"/>
      <c r="L569" s="1395"/>
      <c r="M569" s="1395"/>
      <c r="N569" s="1395"/>
      <c r="O569" s="1395"/>
      <c r="P569" s="1395"/>
      <c r="Q569" s="1395"/>
      <c r="R569" s="1395"/>
      <c r="S569" s="8"/>
      <c r="T569" s="22"/>
      <c r="U569" t="s">
        <v>18</v>
      </c>
      <c r="AA569" s="1395" t="s">
        <v>2735</v>
      </c>
      <c r="AB569" s="1395"/>
      <c r="AC569" s="1395"/>
      <c r="AD569" s="1395"/>
      <c r="AE569" s="1395"/>
      <c r="AF569" s="1395"/>
      <c r="AG569" s="1395"/>
      <c r="AH569" s="1395"/>
      <c r="AI569" s="1395"/>
      <c r="AJ569" s="1395"/>
      <c r="AK569" s="139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1328</v>
      </c>
      <c r="H570" s="8"/>
      <c r="I570" s="8"/>
      <c r="J570" s="8"/>
      <c r="K570" s="8"/>
      <c r="L570" s="8"/>
      <c r="M570" s="1536"/>
      <c r="N570" s="1536"/>
      <c r="O570" s="1536"/>
      <c r="P570" s="1536"/>
      <c r="Q570" s="1536"/>
      <c r="R570" s="1536"/>
      <c r="S570" s="8"/>
      <c r="T570" s="22"/>
      <c r="U570" s="349" t="s">
        <v>1328</v>
      </c>
      <c r="AA570" s="8"/>
      <c r="AB570" s="8"/>
      <c r="AC570" s="8"/>
      <c r="AD570" s="8"/>
      <c r="AE570" s="8"/>
      <c r="AF570" s="1536"/>
      <c r="AG570" s="1536"/>
      <c r="AH570" s="1536"/>
      <c r="AI570" s="1536"/>
      <c r="AJ570" s="1536"/>
      <c r="AK570" s="1536"/>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73" t="s">
        <v>554</v>
      </c>
      <c r="O571" s="1373"/>
      <c r="T571" s="22"/>
      <c r="U571" t="s">
        <v>20</v>
      </c>
      <c r="AG571" s="1373" t="s">
        <v>554</v>
      </c>
      <c r="AH571" s="137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472</v>
      </c>
      <c r="G573" s="1516" t="str">
        <f>C552</f>
        <v xml:space="preserve">City of Yorba Linda, Exempt </v>
      </c>
      <c r="H573" s="1516"/>
      <c r="I573" s="1516"/>
      <c r="J573" s="1516"/>
      <c r="K573" s="1516"/>
      <c r="L573" s="1516"/>
      <c r="M573" s="1516"/>
      <c r="N573" s="1516"/>
      <c r="O573" s="1516"/>
      <c r="P573" s="1516"/>
      <c r="Q573" s="1516"/>
      <c r="R573" s="1516"/>
      <c r="T573" s="55" t="s">
        <v>590</v>
      </c>
      <c r="U573" t="s">
        <v>472</v>
      </c>
      <c r="Z573" s="1516" t="str">
        <f>C553</f>
        <v xml:space="preserve">City of Yorba Linda </v>
      </c>
      <c r="AA573" s="1516"/>
      <c r="AB573" s="1516"/>
      <c r="AC573" s="1516"/>
      <c r="AD573" s="1516"/>
      <c r="AE573" s="1516"/>
      <c r="AF573" s="1516"/>
      <c r="AG573" s="1516"/>
      <c r="AH573" s="1516"/>
      <c r="AI573" s="1516"/>
      <c r="AJ573" s="1516"/>
      <c r="AK573" s="151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95" t="s">
        <v>2740</v>
      </c>
      <c r="H574" s="1395"/>
      <c r="I574" s="1395"/>
      <c r="J574" s="1395"/>
      <c r="K574" s="1395"/>
      <c r="L574" s="1395"/>
      <c r="M574" s="1395"/>
      <c r="N574" s="1395"/>
      <c r="O574" s="1395"/>
      <c r="P574" s="1395"/>
      <c r="Q574" s="1395"/>
      <c r="R574" s="1395"/>
      <c r="T574" s="22"/>
      <c r="U574" t="s">
        <v>86</v>
      </c>
      <c r="Z574" s="1395" t="str">
        <f>G574</f>
        <v>4845 Casa Loma Ave</v>
      </c>
      <c r="AA574" s="1395"/>
      <c r="AB574" s="1395"/>
      <c r="AC574" s="1395"/>
      <c r="AD574" s="1395"/>
      <c r="AE574" s="1395"/>
      <c r="AF574" s="1395"/>
      <c r="AG574" s="1395"/>
      <c r="AH574" s="1395"/>
      <c r="AI574" s="1395"/>
      <c r="AJ574" s="1395"/>
      <c r="AK574" s="139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589</v>
      </c>
      <c r="G575" s="1366" t="s">
        <v>2634</v>
      </c>
      <c r="H575" s="1366"/>
      <c r="I575" s="1366"/>
      <c r="J575" s="1366"/>
      <c r="K575" s="1366"/>
      <c r="L575" s="1366"/>
      <c r="M575" s="1366"/>
      <c r="N575" s="1366"/>
      <c r="O575" s="1366"/>
      <c r="P575" s="1366"/>
      <c r="Q575" s="1366"/>
      <c r="R575" s="1366"/>
      <c r="T575" s="22"/>
      <c r="U575" t="s">
        <v>589</v>
      </c>
      <c r="Z575" s="1366" t="str">
        <f>G575</f>
        <v>Yorba Linda</v>
      </c>
      <c r="AA575" s="1366"/>
      <c r="AB575" s="1366"/>
      <c r="AC575" s="1366"/>
      <c r="AD575" s="1366"/>
      <c r="AE575" s="1366"/>
      <c r="AF575" s="1366"/>
      <c r="AG575" s="1366"/>
      <c r="AH575" s="1366"/>
      <c r="AI575" s="1366"/>
      <c r="AJ575" s="1366"/>
      <c r="AK575" s="136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6" t="s">
        <v>2741</v>
      </c>
      <c r="H576" s="1366"/>
      <c r="I576" s="1366"/>
      <c r="J576" s="1366"/>
      <c r="K576" s="1366"/>
      <c r="L576" s="1366"/>
      <c r="M576" s="1366"/>
      <c r="N576" s="1366"/>
      <c r="O576" s="1366"/>
      <c r="P576" s="1366"/>
      <c r="Q576" s="1366"/>
      <c r="R576" s="1366"/>
      <c r="T576" s="22"/>
      <c r="U576" t="s">
        <v>17</v>
      </c>
      <c r="Z576" s="1366" t="str">
        <f>G576</f>
        <v>Pamela Stoker</v>
      </c>
      <c r="AA576" s="1366"/>
      <c r="AB576" s="1366"/>
      <c r="AC576" s="1366"/>
      <c r="AD576" s="1366"/>
      <c r="AE576" s="1366"/>
      <c r="AF576" s="1366"/>
      <c r="AG576" s="1366"/>
      <c r="AH576" s="1366"/>
      <c r="AI576" s="1366"/>
      <c r="AJ576" s="1366"/>
      <c r="AK576" s="136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517" t="s">
        <v>2742</v>
      </c>
      <c r="H577" s="1437"/>
      <c r="I577" s="1437"/>
      <c r="J577" s="1437"/>
      <c r="K577" s="1437"/>
      <c r="L577" s="1437"/>
      <c r="O577" s="33" t="s">
        <v>208</v>
      </c>
      <c r="P577" s="1466"/>
      <c r="Q577" s="1466"/>
      <c r="R577" s="1466"/>
      <c r="T577" s="22"/>
      <c r="U577" t="s">
        <v>318</v>
      </c>
      <c r="Z577" s="1437" t="str">
        <f>G577</f>
        <v>714-961-7105</v>
      </c>
      <c r="AA577" s="1437"/>
      <c r="AB577" s="1437"/>
      <c r="AC577" s="1437"/>
      <c r="AD577" s="1437"/>
      <c r="AE577" s="1437"/>
      <c r="AH577" s="33" t="s">
        <v>208</v>
      </c>
      <c r="AI577" s="1466"/>
      <c r="AJ577" s="1466"/>
      <c r="AK577" s="1466"/>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95" t="s">
        <v>2743</v>
      </c>
      <c r="I578" s="1395"/>
      <c r="J578" s="1395"/>
      <c r="K578" s="1395"/>
      <c r="L578" s="1395"/>
      <c r="M578" s="1395"/>
      <c r="N578" s="1395"/>
      <c r="O578" s="1395"/>
      <c r="P578" s="1395"/>
      <c r="Q578" s="1395"/>
      <c r="R578" s="1395"/>
      <c r="T578" s="22"/>
      <c r="U578" t="s">
        <v>18</v>
      </c>
      <c r="AA578" s="1395" t="str">
        <f>H578</f>
        <v>Soft</v>
      </c>
      <c r="AB578" s="1395"/>
      <c r="AC578" s="1395"/>
      <c r="AD578" s="1395"/>
      <c r="AE578" s="1395"/>
      <c r="AF578" s="1395"/>
      <c r="AG578" s="1395"/>
      <c r="AH578" s="1395"/>
      <c r="AI578" s="1395"/>
      <c r="AJ578" s="1395"/>
      <c r="AK578" s="139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73" t="s">
        <v>554</v>
      </c>
      <c r="O579" s="1373"/>
      <c r="T579" s="22"/>
      <c r="U579" t="s">
        <v>20</v>
      </c>
      <c r="AG579" s="1373" t="s">
        <v>554</v>
      </c>
      <c r="AH579" s="137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787</v>
      </c>
      <c r="B581" t="s">
        <v>472</v>
      </c>
      <c r="G581" s="1516" t="str">
        <f>C554</f>
        <v>AHP</v>
      </c>
      <c r="H581" s="1516"/>
      <c r="I581" s="1516"/>
      <c r="J581" s="1516"/>
      <c r="K581" s="1516"/>
      <c r="L581" s="1516"/>
      <c r="M581" s="1516"/>
      <c r="N581" s="1516"/>
      <c r="O581" s="1516"/>
      <c r="P581" s="1516"/>
      <c r="Q581" s="1516"/>
      <c r="R581" s="1516"/>
      <c r="T581" s="55" t="s">
        <v>593</v>
      </c>
      <c r="U581" t="s">
        <v>472</v>
      </c>
      <c r="Z581" s="1516" t="str">
        <f>C555</f>
        <v>Tax Credit Equity</v>
      </c>
      <c r="AA581" s="1516"/>
      <c r="AB581" s="1516"/>
      <c r="AC581" s="1516"/>
      <c r="AD581" s="1516"/>
      <c r="AE581" s="1516"/>
      <c r="AF581" s="1516"/>
      <c r="AG581" s="1516"/>
      <c r="AH581" s="1516"/>
      <c r="AI581" s="1516"/>
      <c r="AJ581" s="1516"/>
      <c r="AK581" s="151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514" t="s">
        <v>2757</v>
      </c>
      <c r="H582" s="1395"/>
      <c r="I582" s="1395"/>
      <c r="J582" s="1395"/>
      <c r="K582" s="1395"/>
      <c r="L582" s="1395"/>
      <c r="M582" s="1395"/>
      <c r="N582" s="1395"/>
      <c r="O582" s="1395"/>
      <c r="P582" s="1395"/>
      <c r="Q582" s="1395"/>
      <c r="R582" s="1395"/>
      <c r="T582" s="22"/>
      <c r="U582" t="s">
        <v>86</v>
      </c>
      <c r="Z582" s="1476" t="s">
        <v>2755</v>
      </c>
      <c r="AA582" s="1476"/>
      <c r="AB582" s="1476"/>
      <c r="AC582" s="1476"/>
      <c r="AD582" s="1476"/>
      <c r="AE582" s="1476"/>
      <c r="AF582" s="1476"/>
      <c r="AG582" s="1476"/>
      <c r="AH582" s="1476"/>
      <c r="AI582" s="1476"/>
      <c r="AJ582" s="1476"/>
      <c r="AK582" s="1476"/>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589</v>
      </c>
      <c r="G583" s="1514" t="s">
        <v>2758</v>
      </c>
      <c r="H583" s="1395"/>
      <c r="I583" s="1395"/>
      <c r="J583" s="1395"/>
      <c r="K583" s="1395"/>
      <c r="L583" s="1395"/>
      <c r="M583" s="1395"/>
      <c r="N583" s="1395"/>
      <c r="O583" s="1395"/>
      <c r="P583" s="1395"/>
      <c r="Q583" s="1395"/>
      <c r="R583" s="1395"/>
      <c r="T583" s="22"/>
      <c r="U583" t="s">
        <v>589</v>
      </c>
      <c r="Z583" s="1573" t="s">
        <v>2756</v>
      </c>
      <c r="AA583" s="1573"/>
      <c r="AB583" s="1573"/>
      <c r="AC583" s="1573"/>
      <c r="AD583" s="1573"/>
      <c r="AE583" s="1573"/>
      <c r="AF583" s="1573"/>
      <c r="AG583" s="1573"/>
      <c r="AH583" s="1573"/>
      <c r="AI583" s="1573"/>
      <c r="AJ583" s="1573"/>
      <c r="AK583" s="157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514" t="s">
        <v>2759</v>
      </c>
      <c r="H584" s="1395"/>
      <c r="I584" s="1395"/>
      <c r="J584" s="1395"/>
      <c r="K584" s="1395"/>
      <c r="L584" s="1395"/>
      <c r="M584" s="1395"/>
      <c r="N584" s="1395"/>
      <c r="O584" s="1395"/>
      <c r="P584" s="1395"/>
      <c r="Q584" s="1395"/>
      <c r="R584" s="1395"/>
      <c r="T584" s="22"/>
      <c r="U584" t="s">
        <v>17</v>
      </c>
      <c r="Z584" s="1366" t="s">
        <v>2738</v>
      </c>
      <c r="AA584" s="1366"/>
      <c r="AB584" s="1366"/>
      <c r="AC584" s="1366"/>
      <c r="AD584" s="1366"/>
      <c r="AE584" s="1366"/>
      <c r="AF584" s="1366"/>
      <c r="AG584" s="1366"/>
      <c r="AH584" s="1366"/>
      <c r="AI584" s="1366"/>
      <c r="AJ584" s="1366"/>
      <c r="AK584" s="136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517" t="s">
        <v>2760</v>
      </c>
      <c r="H585" s="1437"/>
      <c r="I585" s="1437"/>
      <c r="J585" s="1437"/>
      <c r="K585" s="1437"/>
      <c r="L585" s="1437"/>
      <c r="O585" s="33" t="s">
        <v>208</v>
      </c>
      <c r="P585" s="1466"/>
      <c r="Q585" s="1466"/>
      <c r="R585" s="1466"/>
      <c r="T585" s="22"/>
      <c r="U585" t="s">
        <v>318</v>
      </c>
      <c r="Z585" s="1517" t="s">
        <v>2739</v>
      </c>
      <c r="AA585" s="1437"/>
      <c r="AB585" s="1437"/>
      <c r="AC585" s="1437"/>
      <c r="AD585" s="1437"/>
      <c r="AE585" s="1437"/>
      <c r="AH585" s="33" t="s">
        <v>208</v>
      </c>
      <c r="AI585" s="1466"/>
      <c r="AJ585" s="1466"/>
      <c r="AK585" s="1466"/>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514" t="s">
        <v>2743</v>
      </c>
      <c r="I586" s="1395"/>
      <c r="J586" s="1395"/>
      <c r="K586" s="1395"/>
      <c r="L586" s="1395"/>
      <c r="M586" s="1395"/>
      <c r="N586" s="1395"/>
      <c r="O586" s="1395"/>
      <c r="P586" s="1395"/>
      <c r="Q586" s="1395"/>
      <c r="R586" s="1395"/>
      <c r="T586" s="22"/>
      <c r="U586" t="s">
        <v>18</v>
      </c>
      <c r="AA586" s="1395" t="s">
        <v>2736</v>
      </c>
      <c r="AB586" s="1395"/>
      <c r="AC586" s="1395"/>
      <c r="AD586" s="1395"/>
      <c r="AE586" s="1395"/>
      <c r="AF586" s="1395"/>
      <c r="AG586" s="1395"/>
      <c r="AH586" s="1395"/>
      <c r="AI586" s="1395"/>
      <c r="AJ586" s="1395"/>
      <c r="AK586" s="139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73" t="s">
        <v>554</v>
      </c>
      <c r="O587" s="1373"/>
      <c r="T587" s="22"/>
      <c r="U587" t="s">
        <v>20</v>
      </c>
      <c r="AG587" s="1373" t="s">
        <v>554</v>
      </c>
      <c r="AH587" s="1373"/>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464</v>
      </c>
      <c r="B589" t="s">
        <v>472</v>
      </c>
      <c r="G589" s="1516" t="str">
        <f>C556</f>
        <v xml:space="preserve">Deferred Fees and Cost </v>
      </c>
      <c r="H589" s="1516"/>
      <c r="I589" s="1516"/>
      <c r="J589" s="1516"/>
      <c r="K589" s="1516"/>
      <c r="L589" s="1516"/>
      <c r="M589" s="1516"/>
      <c r="N589" s="1516"/>
      <c r="O589" s="1516"/>
      <c r="P589" s="1516"/>
      <c r="Q589" s="1516"/>
      <c r="R589" s="1516"/>
      <c r="T589" s="55" t="s">
        <v>465</v>
      </c>
      <c r="U589" t="s">
        <v>472</v>
      </c>
      <c r="Z589" s="1516">
        <f>C557</f>
        <v>0</v>
      </c>
      <c r="AA589" s="1516"/>
      <c r="AB589" s="1516"/>
      <c r="AC589" s="1516"/>
      <c r="AD589" s="1516"/>
      <c r="AE589" s="1516"/>
      <c r="AF589" s="1516"/>
      <c r="AG589" s="1516"/>
      <c r="AH589" s="1516"/>
      <c r="AI589" s="1516"/>
      <c r="AJ589" s="1516"/>
      <c r="AK589" s="151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95" t="s">
        <v>2649</v>
      </c>
      <c r="H590" s="1395"/>
      <c r="I590" s="1395"/>
      <c r="J590" s="1395"/>
      <c r="K590" s="1395"/>
      <c r="L590" s="1395"/>
      <c r="M590" s="1395"/>
      <c r="N590" s="1395"/>
      <c r="O590" s="1395"/>
      <c r="P590" s="1395"/>
      <c r="Q590" s="1395"/>
      <c r="R590" s="1395"/>
      <c r="T590" s="22"/>
      <c r="U590" t="s">
        <v>86</v>
      </c>
      <c r="Z590" s="1395"/>
      <c r="AA590" s="1395"/>
      <c r="AB590" s="1395"/>
      <c r="AC590" s="1395"/>
      <c r="AD590" s="1395"/>
      <c r="AE590" s="1395"/>
      <c r="AF590" s="1395"/>
      <c r="AG590" s="1395"/>
      <c r="AH590" s="1395"/>
      <c r="AI590" s="1395"/>
      <c r="AJ590" s="1395"/>
      <c r="AK590" s="139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589</v>
      </c>
      <c r="G591" s="1395" t="s">
        <v>2679</v>
      </c>
      <c r="H591" s="1395"/>
      <c r="I591" s="1395"/>
      <c r="J591" s="1395"/>
      <c r="K591" s="1395"/>
      <c r="L591" s="1395"/>
      <c r="M591" s="1395"/>
      <c r="N591" s="1395"/>
      <c r="O591" s="1395"/>
      <c r="P591" s="1395"/>
      <c r="Q591" s="1395"/>
      <c r="R591" s="1395"/>
      <c r="T591" s="22"/>
      <c r="U591" t="s">
        <v>589</v>
      </c>
      <c r="Z591" s="1366"/>
      <c r="AA591" s="1366"/>
      <c r="AB591" s="1366"/>
      <c r="AC591" s="1366"/>
      <c r="AD591" s="1366"/>
      <c r="AE591" s="1366"/>
      <c r="AF591" s="1366"/>
      <c r="AG591" s="1366"/>
      <c r="AH591" s="1366"/>
      <c r="AI591" s="1366"/>
      <c r="AJ591" s="1366"/>
      <c r="AK591" s="136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95" t="s">
        <v>2653</v>
      </c>
      <c r="H592" s="1395"/>
      <c r="I592" s="1395"/>
      <c r="J592" s="1395"/>
      <c r="K592" s="1395"/>
      <c r="L592" s="1395"/>
      <c r="M592" s="1395"/>
      <c r="N592" s="1395"/>
      <c r="O592" s="1395"/>
      <c r="P592" s="1395"/>
      <c r="Q592" s="1395"/>
      <c r="R592" s="1395"/>
      <c r="T592" s="22"/>
      <c r="U592" t="s">
        <v>17</v>
      </c>
      <c r="Z592" s="1366"/>
      <c r="AA592" s="1366"/>
      <c r="AB592" s="1366"/>
      <c r="AC592" s="1366"/>
      <c r="AD592" s="1366"/>
      <c r="AE592" s="1366"/>
      <c r="AF592" s="1366"/>
      <c r="AG592" s="1366"/>
      <c r="AH592" s="1366"/>
      <c r="AI592" s="1366"/>
      <c r="AJ592" s="1366"/>
      <c r="AK592" s="1366"/>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517" t="s">
        <v>2733</v>
      </c>
      <c r="H593" s="1437"/>
      <c r="I593" s="1437"/>
      <c r="J593" s="1437"/>
      <c r="K593" s="1437"/>
      <c r="L593" s="1437"/>
      <c r="M593"/>
      <c r="N593"/>
      <c r="O593" s="33" t="s">
        <v>208</v>
      </c>
      <c r="P593" s="1466"/>
      <c r="Q593" s="1466"/>
      <c r="R593" s="1466"/>
      <c r="S593"/>
      <c r="T593" s="22"/>
      <c r="U593" t="s">
        <v>318</v>
      </c>
      <c r="V593"/>
      <c r="W593"/>
      <c r="X593"/>
      <c r="Y593"/>
      <c r="Z593" s="1437"/>
      <c r="AA593" s="1437"/>
      <c r="AB593" s="1437"/>
      <c r="AC593" s="1437"/>
      <c r="AD593" s="1437"/>
      <c r="AE593" s="1437"/>
      <c r="AF593"/>
      <c r="AG593"/>
      <c r="AH593" s="33" t="s">
        <v>208</v>
      </c>
      <c r="AI593" s="1466"/>
      <c r="AJ593" s="1466"/>
      <c r="AK593" s="1466"/>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95" t="s">
        <v>2744</v>
      </c>
      <c r="I594" s="1395"/>
      <c r="J594" s="1395"/>
      <c r="K594" s="1395"/>
      <c r="L594" s="1395"/>
      <c r="M594" s="1395"/>
      <c r="N594" s="1395"/>
      <c r="O594" s="1395"/>
      <c r="P594" s="1395"/>
      <c r="Q594" s="1395"/>
      <c r="R594" s="1395"/>
      <c r="S594"/>
      <c r="T594" s="22"/>
      <c r="U594" t="s">
        <v>18</v>
      </c>
      <c r="V594"/>
      <c r="W594"/>
      <c r="X594"/>
      <c r="Y594"/>
      <c r="Z594"/>
      <c r="AA594" s="1395"/>
      <c r="AB594" s="1395"/>
      <c r="AC594" s="1395"/>
      <c r="AD594" s="1395"/>
      <c r="AE594" s="1395"/>
      <c r="AF594" s="1395"/>
      <c r="AG594" s="1395"/>
      <c r="AH594" s="1395"/>
      <c r="AI594" s="1395"/>
      <c r="AJ594" s="1395"/>
      <c r="AK594" s="139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2105</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73" t="s">
        <v>554</v>
      </c>
      <c r="O595" s="1373"/>
      <c r="P595"/>
      <c r="Q595"/>
      <c r="R595"/>
      <c r="S595"/>
      <c r="T595" s="22"/>
      <c r="U595" t="s">
        <v>20</v>
      </c>
      <c r="V595"/>
      <c r="W595"/>
      <c r="X595"/>
      <c r="Y595"/>
      <c r="Z595"/>
      <c r="AA595"/>
      <c r="AB595"/>
      <c r="AC595"/>
      <c r="AD595"/>
      <c r="AE595"/>
      <c r="AF595"/>
      <c r="AG595" s="1373" t="s">
        <v>678</v>
      </c>
      <c r="AH595" s="1373"/>
      <c r="AI595"/>
      <c r="AJ595"/>
      <c r="AK595"/>
      <c r="AL595"/>
      <c r="AM595"/>
      <c r="AN595"/>
      <c r="AO595"/>
      <c r="AP595"/>
      <c r="AQ595"/>
      <c r="AR595"/>
      <c r="AS595"/>
      <c r="AT595"/>
      <c r="AU595"/>
      <c r="AV595"/>
      <c r="AW595"/>
      <c r="AX595"/>
      <c r="AY595"/>
      <c r="BA595" s="4" t="s">
        <v>326</v>
      </c>
      <c r="BB595" s="3"/>
      <c r="BC595" s="3"/>
      <c r="BD595" s="3"/>
      <c r="BE595" s="121" t="s">
        <v>483</v>
      </c>
      <c r="BF595" s="122"/>
      <c r="BG595" s="1511"/>
      <c r="BH595" s="1512"/>
      <c r="BI595" s="121" t="s">
        <v>484</v>
      </c>
      <c r="BJ595" s="122"/>
      <c r="BK595" s="1511"/>
      <c r="BL595" s="1512"/>
      <c r="BM595" s="3"/>
      <c r="BN595" s="1720" t="s">
        <v>642</v>
      </c>
      <c r="BO595" s="1721"/>
      <c r="BP595" s="1721"/>
      <c r="BQ595" s="1721"/>
      <c r="BR595" s="1722"/>
      <c r="BS595" s="1515" t="s">
        <v>327</v>
      </c>
      <c r="BT595" s="1515"/>
      <c r="BU595" s="1515"/>
      <c r="BV595" s="1515"/>
      <c r="BW595" s="1515"/>
      <c r="BX595" s="1515" t="s">
        <v>164</v>
      </c>
      <c r="BY595" s="1515"/>
      <c r="BZ595" s="1515"/>
      <c r="CA595" s="1515"/>
      <c r="CB595" s="1515"/>
      <c r="CC595" s="1515" t="s">
        <v>165</v>
      </c>
      <c r="CD595" s="1515"/>
      <c r="CE595" s="1515"/>
      <c r="CF595" s="1515"/>
      <c r="CG595" s="1515"/>
      <c r="CH595" s="1515" t="s">
        <v>469</v>
      </c>
      <c r="CI595" s="1515"/>
      <c r="CJ595" s="1515"/>
      <c r="CK595" s="1515"/>
      <c r="CL595" s="1515"/>
      <c r="CM595" s="1515" t="s">
        <v>30</v>
      </c>
      <c r="CN595" s="1515"/>
      <c r="CO595" s="1515"/>
      <c r="CP595" s="1515"/>
      <c r="CQ595" s="1515"/>
      <c r="CR595" s="89"/>
      <c r="CS595" s="1515" t="s">
        <v>642</v>
      </c>
      <c r="CT595" s="1515"/>
      <c r="CU595" s="1515"/>
      <c r="CV595" s="1515"/>
      <c r="CW595" s="1515"/>
      <c r="CX595" s="1515" t="s">
        <v>327</v>
      </c>
      <c r="CY595" s="1515"/>
      <c r="CZ595" s="1515"/>
      <c r="DA595" s="1515"/>
      <c r="DB595" s="1515"/>
      <c r="DC595" s="1515" t="s">
        <v>164</v>
      </c>
      <c r="DD595" s="1515"/>
      <c r="DE595" s="1515"/>
      <c r="DF595" s="1515"/>
      <c r="DG595" s="1515"/>
      <c r="DH595" s="1515" t="s">
        <v>165</v>
      </c>
      <c r="DI595" s="1515"/>
      <c r="DJ595" s="1515"/>
      <c r="DK595" s="1515"/>
      <c r="DL595" s="1515"/>
      <c r="DM595" s="1515" t="s">
        <v>469</v>
      </c>
      <c r="DN595" s="1515"/>
      <c r="DO595" s="1515"/>
      <c r="DP595" s="1515"/>
      <c r="DQ595" s="1515"/>
      <c r="DR595" s="1515" t="s">
        <v>30</v>
      </c>
      <c r="DS595" s="1515"/>
      <c r="DT595" s="1515"/>
      <c r="DU595" s="1515"/>
      <c r="DV595" s="1515"/>
      <c r="DX595" s="1515" t="s">
        <v>642</v>
      </c>
      <c r="DY595" s="1515"/>
      <c r="DZ595" s="1515"/>
      <c r="EA595" s="1515"/>
      <c r="EB595" s="1515"/>
      <c r="EC595" s="1515" t="s">
        <v>327</v>
      </c>
      <c r="ED595" s="1515"/>
      <c r="EE595" s="1515"/>
      <c r="EF595" s="1515"/>
      <c r="EG595" s="1515"/>
      <c r="EH595" s="1515" t="s">
        <v>164</v>
      </c>
      <c r="EI595" s="1515"/>
      <c r="EJ595" s="1515"/>
      <c r="EK595" s="1515"/>
      <c r="EL595" s="1515"/>
      <c r="EM595" s="1515" t="s">
        <v>165</v>
      </c>
      <c r="EN595" s="1515"/>
      <c r="EO595" s="1515"/>
      <c r="EP595" s="1515"/>
      <c r="EQ595" s="1515"/>
      <c r="ER595" s="1515" t="s">
        <v>469</v>
      </c>
      <c r="ES595" s="1515"/>
      <c r="ET595" s="1515"/>
      <c r="EU595" s="1515"/>
      <c r="EV595" s="1515"/>
      <c r="EW595" s="1515" t="s">
        <v>30</v>
      </c>
      <c r="EX595" s="1515"/>
      <c r="EY595" s="1515"/>
      <c r="EZ595" s="1515"/>
      <c r="FA595" s="1515"/>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21">
        <f t="shared" ref="BE596:BE620" si="2">IF(AND(AC714&lt;=0.5,AC714&gt;=0.36),1,0)</f>
        <v>0</v>
      </c>
      <c r="BF596" s="1422"/>
      <c r="BG596" s="1511">
        <f t="shared" ref="BG596:BG620" si="3">IF(BE596=1,G714,0)</f>
        <v>0</v>
      </c>
      <c r="BH596" s="1512"/>
      <c r="BI596" s="1421">
        <f t="shared" ref="BI596:BI620" si="4">IF(AND(AC714&lt;=0.35,AC714&gt;0),1,0)</f>
        <v>1</v>
      </c>
      <c r="BJ596" s="1422"/>
      <c r="BK596" s="1511">
        <f t="shared" ref="BK596:BK620" si="5">IF(BI596=1,G714,0)</f>
        <v>5</v>
      </c>
      <c r="BL596" s="1512"/>
      <c r="BM596" s="3"/>
      <c r="BN596" s="1508">
        <f t="shared" ref="BN596:BN620" si="6">IF(B714="SRO/Studio",G714,0)</f>
        <v>0</v>
      </c>
      <c r="BO596" s="1509"/>
      <c r="BP596" s="1509"/>
      <c r="BQ596" s="1509"/>
      <c r="BR596" s="1510"/>
      <c r="BS596" s="1396">
        <f t="shared" ref="BS596:BS620" si="7">IF(B714="1 Bedroom",G714,0)</f>
        <v>0</v>
      </c>
      <c r="BT596" s="1396"/>
      <c r="BU596" s="1396"/>
      <c r="BV596" s="1396"/>
      <c r="BW596" s="1396"/>
      <c r="BX596" s="1396">
        <f t="shared" ref="BX596:BX620" si="8">IF(B714="2 Bedrooms",G714,0)</f>
        <v>5</v>
      </c>
      <c r="BY596" s="1396"/>
      <c r="BZ596" s="1396"/>
      <c r="CA596" s="1396"/>
      <c r="CB596" s="1396"/>
      <c r="CC596" s="1396">
        <f t="shared" ref="CC596:CC620" si="9">IF(B714="3 Bedrooms",G714,0)</f>
        <v>0</v>
      </c>
      <c r="CD596" s="1396"/>
      <c r="CE596" s="1396"/>
      <c r="CF596" s="1396"/>
      <c r="CG596" s="1396"/>
      <c r="CH596" s="1396">
        <f t="shared" ref="CH596:CH620" si="10">IF(B714="4 Bedrooms",G714,0)</f>
        <v>0</v>
      </c>
      <c r="CI596" s="1396"/>
      <c r="CJ596" s="1396"/>
      <c r="CK596" s="1396"/>
      <c r="CL596" s="1396"/>
      <c r="CM596" s="1396">
        <f t="shared" ref="CM596:CM620" si="11">IF(B714="5 Bedrooms",G714,0)</f>
        <v>0</v>
      </c>
      <c r="CN596" s="1396"/>
      <c r="CO596" s="1396"/>
      <c r="CP596" s="1396"/>
      <c r="CQ596" s="1396"/>
      <c r="CR596" s="6"/>
      <c r="CS596" s="1724">
        <f t="shared" ref="CS596:CS620" si="12">IF(AND(B714="SRO/Studio",AC714&lt;=0.3),G714,0)</f>
        <v>0</v>
      </c>
      <c r="CT596" s="1724"/>
      <c r="CU596" s="1724"/>
      <c r="CV596" s="1724"/>
      <c r="CW596" s="1724"/>
      <c r="CX596" s="1724">
        <f t="shared" ref="CX596:CX620" si="13">IF(AND(B714="1 Bedroom",AC714&lt;=0.3),G714,0)</f>
        <v>0</v>
      </c>
      <c r="CY596" s="1724"/>
      <c r="CZ596" s="1724"/>
      <c r="DA596" s="1724"/>
      <c r="DB596" s="1724"/>
      <c r="DC596" s="1724">
        <f t="shared" ref="DC596:DC620" si="14">IF(AND(B714="2 Bedrooms",AC714&lt;=0.3),G714,0)</f>
        <v>5</v>
      </c>
      <c r="DD596" s="1724"/>
      <c r="DE596" s="1724"/>
      <c r="DF596" s="1724"/>
      <c r="DG596" s="1724"/>
      <c r="DH596" s="1724">
        <f t="shared" ref="DH596:DH620" si="15">IF(AND(B714="3 Bedrooms",AC714&lt;=0.3),G714,0)</f>
        <v>0</v>
      </c>
      <c r="DI596" s="1724"/>
      <c r="DJ596" s="1724"/>
      <c r="DK596" s="1724"/>
      <c r="DL596" s="1724"/>
      <c r="DM596" s="1724">
        <f t="shared" ref="DM596:DM620" si="16">IF(AND(B714="4 Bedrooms",AC714&lt;=0.3),G714,0)</f>
        <v>0</v>
      </c>
      <c r="DN596" s="1724"/>
      <c r="DO596" s="1724"/>
      <c r="DP596" s="1724"/>
      <c r="DQ596" s="1724"/>
      <c r="DR596" s="1724">
        <f t="shared" ref="DR596:DR620" si="17">IF(AND(B714="5 Bedrooms",AC714&lt;=0.3),G714,0)</f>
        <v>0</v>
      </c>
      <c r="DS596" s="1724"/>
      <c r="DT596" s="1724"/>
      <c r="DU596" s="1724"/>
      <c r="DV596" s="1724"/>
      <c r="DX596" s="1421" t="str">
        <f t="shared" ref="DX596:DX620" si="18">IF(BN596&gt;0,O714," ")</f>
        <v xml:space="preserve"> </v>
      </c>
      <c r="DY596" s="1855"/>
      <c r="DZ596" s="1855"/>
      <c r="EA596" s="1855"/>
      <c r="EB596" s="1422"/>
      <c r="EC596" s="1421" t="str">
        <f t="shared" ref="EC596:EC620" si="19">IF(BS596&gt;0,O714," ")</f>
        <v xml:space="preserve"> </v>
      </c>
      <c r="ED596" s="1855"/>
      <c r="EE596" s="1855"/>
      <c r="EF596" s="1855"/>
      <c r="EG596" s="1422"/>
      <c r="EH596" s="1421">
        <f t="shared" ref="EH596:EH620" si="20">IF(BX596&gt;0,O714," ")</f>
        <v>859</v>
      </c>
      <c r="EI596" s="1855"/>
      <c r="EJ596" s="1855"/>
      <c r="EK596" s="1855"/>
      <c r="EL596" s="1422"/>
      <c r="EM596" s="1421" t="str">
        <f t="shared" ref="EM596:EM620" si="21">IF(CC596&gt;0,O714," ")</f>
        <v xml:space="preserve"> </v>
      </c>
      <c r="EN596" s="1855"/>
      <c r="EO596" s="1855"/>
      <c r="EP596" s="1855"/>
      <c r="EQ596" s="1422"/>
      <c r="ER596" s="1421" t="str">
        <f t="shared" ref="ER596:ER620" si="22">IF(CH596&gt;0,O714," ")</f>
        <v xml:space="preserve"> </v>
      </c>
      <c r="ES596" s="1855"/>
      <c r="ET596" s="1855"/>
      <c r="EU596" s="1855"/>
      <c r="EV596" s="1422"/>
      <c r="EW596" s="1421" t="str">
        <f t="shared" ref="EW596:EW620" si="23">IF(CM596&gt;0,O714," ")</f>
        <v xml:space="preserve"> </v>
      </c>
      <c r="EX596" s="1855"/>
      <c r="EY596" s="1855"/>
      <c r="EZ596" s="1855"/>
      <c r="FA596" s="1422"/>
    </row>
    <row r="597" spans="1:157" s="4" customFormat="1" ht="12.95" customHeight="1">
      <c r="A597" s="55" t="s">
        <v>470</v>
      </c>
      <c r="B597" t="s">
        <v>472</v>
      </c>
      <c r="C597"/>
      <c r="D597"/>
      <c r="E597"/>
      <c r="F597"/>
      <c r="G597" s="1516">
        <f>C558</f>
        <v>0</v>
      </c>
      <c r="H597" s="1516"/>
      <c r="I597" s="1516"/>
      <c r="J597" s="1516"/>
      <c r="K597" s="1516"/>
      <c r="L597" s="1516"/>
      <c r="M597" s="1516"/>
      <c r="N597" s="1516"/>
      <c r="O597" s="1516"/>
      <c r="P597" s="1516"/>
      <c r="Q597" s="1516"/>
      <c r="R597" s="1516"/>
      <c r="S597"/>
      <c r="T597" s="55" t="s">
        <v>655</v>
      </c>
      <c r="U597" t="s">
        <v>472</v>
      </c>
      <c r="V597"/>
      <c r="W597"/>
      <c r="X597"/>
      <c r="Y597"/>
      <c r="Z597" s="1516">
        <f>C559</f>
        <v>0</v>
      </c>
      <c r="AA597" s="1516"/>
      <c r="AB597" s="1516"/>
      <c r="AC597" s="1516"/>
      <c r="AD597" s="1516"/>
      <c r="AE597" s="1516"/>
      <c r="AF597" s="1516"/>
      <c r="AG597" s="1516"/>
      <c r="AH597" s="1516"/>
      <c r="AI597" s="1516"/>
      <c r="AJ597" s="1516"/>
      <c r="AK597" s="1516"/>
      <c r="AL597"/>
      <c r="AM597"/>
      <c r="AN597"/>
      <c r="AO597"/>
      <c r="AP597"/>
      <c r="AQ597"/>
      <c r="AR597"/>
      <c r="AS597"/>
      <c r="AT597"/>
      <c r="AU597"/>
      <c r="AV597"/>
      <c r="AW597"/>
      <c r="AX597"/>
      <c r="AY597"/>
      <c r="BA597" s="4" t="s">
        <v>164</v>
      </c>
      <c r="BB597" s="3"/>
      <c r="BC597" s="3"/>
      <c r="BD597" s="3"/>
      <c r="BE597" s="1421">
        <f t="shared" si="2"/>
        <v>1</v>
      </c>
      <c r="BF597" s="1422"/>
      <c r="BG597" s="1511">
        <f t="shared" si="3"/>
        <v>19</v>
      </c>
      <c r="BH597" s="1512"/>
      <c r="BI597" s="1421">
        <f t="shared" si="4"/>
        <v>0</v>
      </c>
      <c r="BJ597" s="1422"/>
      <c r="BK597" s="1511">
        <f t="shared" si="5"/>
        <v>0</v>
      </c>
      <c r="BL597" s="1512"/>
      <c r="BM597" s="3"/>
      <c r="BN597" s="1508">
        <f t="shared" si="6"/>
        <v>0</v>
      </c>
      <c r="BO597" s="1509"/>
      <c r="BP597" s="1509"/>
      <c r="BQ597" s="1509"/>
      <c r="BR597" s="1510"/>
      <c r="BS597" s="1396">
        <f t="shared" si="7"/>
        <v>0</v>
      </c>
      <c r="BT597" s="1396"/>
      <c r="BU597" s="1396"/>
      <c r="BV597" s="1396"/>
      <c r="BW597" s="1396"/>
      <c r="BX597" s="1396">
        <f t="shared" si="8"/>
        <v>19</v>
      </c>
      <c r="BY597" s="1396"/>
      <c r="BZ597" s="1396"/>
      <c r="CA597" s="1396"/>
      <c r="CB597" s="1396"/>
      <c r="CC597" s="1396">
        <f t="shared" si="9"/>
        <v>0</v>
      </c>
      <c r="CD597" s="1396"/>
      <c r="CE597" s="1396"/>
      <c r="CF597" s="1396"/>
      <c r="CG597" s="1396"/>
      <c r="CH597" s="1396">
        <f t="shared" si="10"/>
        <v>0</v>
      </c>
      <c r="CI597" s="1396"/>
      <c r="CJ597" s="1396"/>
      <c r="CK597" s="1396"/>
      <c r="CL597" s="1396"/>
      <c r="CM597" s="1396">
        <f t="shared" si="11"/>
        <v>0</v>
      </c>
      <c r="CN597" s="1396"/>
      <c r="CO597" s="1396"/>
      <c r="CP597" s="1396"/>
      <c r="CQ597" s="1396"/>
      <c r="CR597" s="6"/>
      <c r="CS597" s="1724">
        <f t="shared" si="12"/>
        <v>0</v>
      </c>
      <c r="CT597" s="1724"/>
      <c r="CU597" s="1724"/>
      <c r="CV597" s="1724"/>
      <c r="CW597" s="1724"/>
      <c r="CX597" s="1724">
        <f t="shared" si="13"/>
        <v>0</v>
      </c>
      <c r="CY597" s="1724"/>
      <c r="CZ597" s="1724"/>
      <c r="DA597" s="1724"/>
      <c r="DB597" s="1724"/>
      <c r="DC597" s="1724">
        <f t="shared" si="14"/>
        <v>0</v>
      </c>
      <c r="DD597" s="1724"/>
      <c r="DE597" s="1724"/>
      <c r="DF597" s="1724"/>
      <c r="DG597" s="1724"/>
      <c r="DH597" s="1724">
        <f t="shared" si="15"/>
        <v>0</v>
      </c>
      <c r="DI597" s="1724"/>
      <c r="DJ597" s="1724"/>
      <c r="DK597" s="1724"/>
      <c r="DL597" s="1724"/>
      <c r="DM597" s="1724">
        <f t="shared" si="16"/>
        <v>0</v>
      </c>
      <c r="DN597" s="1724"/>
      <c r="DO597" s="1724"/>
      <c r="DP597" s="1724"/>
      <c r="DQ597" s="1724"/>
      <c r="DR597" s="1724">
        <f t="shared" si="17"/>
        <v>0</v>
      </c>
      <c r="DS597" s="1724"/>
      <c r="DT597" s="1724"/>
      <c r="DU597" s="1724"/>
      <c r="DV597" s="1724"/>
      <c r="DX597" s="1421" t="str">
        <f t="shared" si="18"/>
        <v xml:space="preserve"> </v>
      </c>
      <c r="DY597" s="1855"/>
      <c r="DZ597" s="1855"/>
      <c r="EA597" s="1855"/>
      <c r="EB597" s="1422"/>
      <c r="EC597" s="1421" t="str">
        <f t="shared" si="19"/>
        <v xml:space="preserve"> </v>
      </c>
      <c r="ED597" s="1855"/>
      <c r="EE597" s="1855"/>
      <c r="EF597" s="1855"/>
      <c r="EG597" s="1422"/>
      <c r="EH597" s="1421">
        <f t="shared" si="20"/>
        <v>1343</v>
      </c>
      <c r="EI597" s="1855"/>
      <c r="EJ597" s="1855"/>
      <c r="EK597" s="1855"/>
      <c r="EL597" s="1422"/>
      <c r="EM597" s="1421" t="str">
        <f t="shared" si="21"/>
        <v xml:space="preserve"> </v>
      </c>
      <c r="EN597" s="1855"/>
      <c r="EO597" s="1855"/>
      <c r="EP597" s="1855"/>
      <c r="EQ597" s="1422"/>
      <c r="ER597" s="1421" t="str">
        <f t="shared" si="22"/>
        <v xml:space="preserve"> </v>
      </c>
      <c r="ES597" s="1855"/>
      <c r="ET597" s="1855"/>
      <c r="EU597" s="1855"/>
      <c r="EV597" s="1422"/>
      <c r="EW597" s="1421" t="str">
        <f t="shared" si="23"/>
        <v xml:space="preserve"> </v>
      </c>
      <c r="EX597" s="1855"/>
      <c r="EY597" s="1855"/>
      <c r="EZ597" s="1855"/>
      <c r="FA597" s="1422"/>
    </row>
    <row r="598" spans="1:157" ht="12.95" customHeight="1">
      <c r="A598" s="22"/>
      <c r="B598" t="s">
        <v>86</v>
      </c>
      <c r="G598" s="1395"/>
      <c r="H598" s="1395"/>
      <c r="I598" s="1395"/>
      <c r="J598" s="1395"/>
      <c r="K598" s="1395"/>
      <c r="L598" s="1395"/>
      <c r="M598" s="1395"/>
      <c r="N598" s="1395"/>
      <c r="O598" s="1395"/>
      <c r="P598" s="1395"/>
      <c r="Q598" s="1395"/>
      <c r="R598" s="1395"/>
      <c r="T598" s="22"/>
      <c r="U598" t="s">
        <v>86</v>
      </c>
      <c r="Z598" s="1395"/>
      <c r="AA598" s="1395"/>
      <c r="AB598" s="1395"/>
      <c r="AC598" s="1395"/>
      <c r="AD598" s="1395"/>
      <c r="AE598" s="1395"/>
      <c r="AF598" s="1395"/>
      <c r="AG598" s="1395"/>
      <c r="AH598" s="1395"/>
      <c r="AI598" s="1395"/>
      <c r="AJ598" s="1395"/>
      <c r="AK598" s="1395"/>
      <c r="BA598" s="4" t="s">
        <v>165</v>
      </c>
      <c r="BB598" s="3"/>
      <c r="BC598" s="3"/>
      <c r="BD598" s="3"/>
      <c r="BE598" s="1421">
        <f t="shared" si="2"/>
        <v>1</v>
      </c>
      <c r="BF598" s="1422"/>
      <c r="BG598" s="1511">
        <f t="shared" si="3"/>
        <v>18</v>
      </c>
      <c r="BH598" s="1512"/>
      <c r="BI598" s="1421">
        <f t="shared" si="4"/>
        <v>0</v>
      </c>
      <c r="BJ598" s="1422"/>
      <c r="BK598" s="1511">
        <f t="shared" si="5"/>
        <v>0</v>
      </c>
      <c r="BL598" s="1512"/>
      <c r="BM598" s="3"/>
      <c r="BN598" s="1508">
        <f t="shared" si="6"/>
        <v>0</v>
      </c>
      <c r="BO598" s="1509"/>
      <c r="BP598" s="1509"/>
      <c r="BQ598" s="1509"/>
      <c r="BR598" s="1510"/>
      <c r="BS598" s="1396">
        <f t="shared" si="7"/>
        <v>0</v>
      </c>
      <c r="BT598" s="1396"/>
      <c r="BU598" s="1396"/>
      <c r="BV598" s="1396"/>
      <c r="BW598" s="1396"/>
      <c r="BX598" s="1396">
        <f t="shared" si="8"/>
        <v>18</v>
      </c>
      <c r="BY598" s="1396"/>
      <c r="BZ598" s="1396"/>
      <c r="CA598" s="1396"/>
      <c r="CB598" s="1396"/>
      <c r="CC598" s="1396">
        <f t="shared" si="9"/>
        <v>0</v>
      </c>
      <c r="CD598" s="1396"/>
      <c r="CE598" s="1396"/>
      <c r="CF598" s="1396"/>
      <c r="CG598" s="1396"/>
      <c r="CH598" s="1396">
        <f t="shared" si="10"/>
        <v>0</v>
      </c>
      <c r="CI598" s="1396"/>
      <c r="CJ598" s="1396"/>
      <c r="CK598" s="1396"/>
      <c r="CL598" s="1396"/>
      <c r="CM598" s="1396">
        <f t="shared" si="11"/>
        <v>0</v>
      </c>
      <c r="CN598" s="1396"/>
      <c r="CO598" s="1396"/>
      <c r="CP598" s="1396"/>
      <c r="CQ598" s="1396"/>
      <c r="CR598" s="6"/>
      <c r="CS598" s="1724">
        <f t="shared" si="12"/>
        <v>0</v>
      </c>
      <c r="CT598" s="1724"/>
      <c r="CU598" s="1724"/>
      <c r="CV598" s="1724"/>
      <c r="CW598" s="1724"/>
      <c r="CX598" s="1724">
        <f t="shared" si="13"/>
        <v>0</v>
      </c>
      <c r="CY598" s="1724"/>
      <c r="CZ598" s="1724"/>
      <c r="DA598" s="1724"/>
      <c r="DB598" s="1724"/>
      <c r="DC598" s="1724">
        <f t="shared" si="14"/>
        <v>0</v>
      </c>
      <c r="DD598" s="1724"/>
      <c r="DE598" s="1724"/>
      <c r="DF598" s="1724"/>
      <c r="DG598" s="1724"/>
      <c r="DH598" s="1724">
        <f t="shared" si="15"/>
        <v>0</v>
      </c>
      <c r="DI598" s="1724"/>
      <c r="DJ598" s="1724"/>
      <c r="DK598" s="1724"/>
      <c r="DL598" s="1724"/>
      <c r="DM598" s="1724">
        <f t="shared" si="16"/>
        <v>0</v>
      </c>
      <c r="DN598" s="1724"/>
      <c r="DO598" s="1724"/>
      <c r="DP598" s="1724"/>
      <c r="DQ598" s="1724"/>
      <c r="DR598" s="1724">
        <f t="shared" si="17"/>
        <v>0</v>
      </c>
      <c r="DS598" s="1724"/>
      <c r="DT598" s="1724"/>
      <c r="DU598" s="1724"/>
      <c r="DV598" s="1724"/>
      <c r="DX598" s="1421" t="str">
        <f t="shared" si="18"/>
        <v xml:space="preserve"> </v>
      </c>
      <c r="DY598" s="1855"/>
      <c r="DZ598" s="1855"/>
      <c r="EA598" s="1855"/>
      <c r="EB598" s="1422"/>
      <c r="EC598" s="1421" t="str">
        <f t="shared" si="19"/>
        <v xml:space="preserve"> </v>
      </c>
      <c r="ED598" s="1855"/>
      <c r="EE598" s="1855"/>
      <c r="EF598" s="1855"/>
      <c r="EG598" s="1422"/>
      <c r="EH598" s="1421">
        <f t="shared" si="20"/>
        <v>1505</v>
      </c>
      <c r="EI598" s="1855"/>
      <c r="EJ598" s="1855"/>
      <c r="EK598" s="1855"/>
      <c r="EL598" s="1422"/>
      <c r="EM598" s="1421" t="str">
        <f t="shared" si="21"/>
        <v xml:space="preserve"> </v>
      </c>
      <c r="EN598" s="1855"/>
      <c r="EO598" s="1855"/>
      <c r="EP598" s="1855"/>
      <c r="EQ598" s="1422"/>
      <c r="ER598" s="1421" t="str">
        <f t="shared" si="22"/>
        <v xml:space="preserve"> </v>
      </c>
      <c r="ES598" s="1855"/>
      <c r="ET598" s="1855"/>
      <c r="EU598" s="1855"/>
      <c r="EV598" s="1422"/>
      <c r="EW598" s="1421" t="str">
        <f t="shared" si="23"/>
        <v xml:space="preserve"> </v>
      </c>
      <c r="EX598" s="1855"/>
      <c r="EY598" s="1855"/>
      <c r="EZ598" s="1855"/>
      <c r="FA598" s="1422"/>
    </row>
    <row r="599" spans="1:157" ht="12.95" customHeight="1">
      <c r="A599" s="22"/>
      <c r="B599" t="s">
        <v>589</v>
      </c>
      <c r="G599" s="1395"/>
      <c r="H599" s="1395"/>
      <c r="I599" s="1395"/>
      <c r="J599" s="1395"/>
      <c r="K599" s="1395"/>
      <c r="L599" s="1395"/>
      <c r="M599" s="1395"/>
      <c r="N599" s="1395"/>
      <c r="O599" s="1395"/>
      <c r="P599" s="1395"/>
      <c r="Q599" s="1395"/>
      <c r="R599" s="1395"/>
      <c r="T599" s="22"/>
      <c r="U599" t="s">
        <v>589</v>
      </c>
      <c r="Z599" s="1366"/>
      <c r="AA599" s="1366"/>
      <c r="AB599" s="1366"/>
      <c r="AC599" s="1366"/>
      <c r="AD599" s="1366"/>
      <c r="AE599" s="1366"/>
      <c r="AF599" s="1366"/>
      <c r="AG599" s="1366"/>
      <c r="AH599" s="1366"/>
      <c r="AI599" s="1366"/>
      <c r="AJ599" s="1366"/>
      <c r="AK599" s="1366"/>
      <c r="BA599" s="4" t="s">
        <v>166</v>
      </c>
      <c r="BB599" s="3"/>
      <c r="BC599" s="3"/>
      <c r="BD599" s="3"/>
      <c r="BE599" s="1421">
        <f t="shared" si="2"/>
        <v>0</v>
      </c>
      <c r="BF599" s="1422"/>
      <c r="BG599" s="1511">
        <f t="shared" si="3"/>
        <v>0</v>
      </c>
      <c r="BH599" s="1512"/>
      <c r="BI599" s="1421">
        <f t="shared" si="4"/>
        <v>0</v>
      </c>
      <c r="BJ599" s="1422"/>
      <c r="BK599" s="1511">
        <f t="shared" si="5"/>
        <v>0</v>
      </c>
      <c r="BL599" s="1512"/>
      <c r="BM599" s="3"/>
      <c r="BN599" s="1508">
        <f t="shared" si="6"/>
        <v>0</v>
      </c>
      <c r="BO599" s="1509"/>
      <c r="BP599" s="1509"/>
      <c r="BQ599" s="1509"/>
      <c r="BR599" s="1510"/>
      <c r="BS599" s="1396">
        <f t="shared" si="7"/>
        <v>0</v>
      </c>
      <c r="BT599" s="1396"/>
      <c r="BU599" s="1396"/>
      <c r="BV599" s="1396"/>
      <c r="BW599" s="1396"/>
      <c r="BX599" s="1396">
        <f t="shared" si="8"/>
        <v>10</v>
      </c>
      <c r="BY599" s="1396"/>
      <c r="BZ599" s="1396"/>
      <c r="CA599" s="1396"/>
      <c r="CB599" s="1396"/>
      <c r="CC599" s="1396">
        <f t="shared" si="9"/>
        <v>0</v>
      </c>
      <c r="CD599" s="1396"/>
      <c r="CE599" s="1396"/>
      <c r="CF599" s="1396"/>
      <c r="CG599" s="1396"/>
      <c r="CH599" s="1396">
        <f t="shared" si="10"/>
        <v>0</v>
      </c>
      <c r="CI599" s="1396"/>
      <c r="CJ599" s="1396"/>
      <c r="CK599" s="1396"/>
      <c r="CL599" s="1396"/>
      <c r="CM599" s="1396">
        <f t="shared" si="11"/>
        <v>0</v>
      </c>
      <c r="CN599" s="1396"/>
      <c r="CO599" s="1396"/>
      <c r="CP599" s="1396"/>
      <c r="CQ599" s="1396"/>
      <c r="CR599" s="6"/>
      <c r="CS599" s="1724">
        <f t="shared" si="12"/>
        <v>0</v>
      </c>
      <c r="CT599" s="1724"/>
      <c r="CU599" s="1724"/>
      <c r="CV599" s="1724"/>
      <c r="CW599" s="1724"/>
      <c r="CX599" s="1724">
        <f t="shared" si="13"/>
        <v>0</v>
      </c>
      <c r="CY599" s="1724"/>
      <c r="CZ599" s="1724"/>
      <c r="DA599" s="1724"/>
      <c r="DB599" s="1724"/>
      <c r="DC599" s="1724">
        <f t="shared" si="14"/>
        <v>0</v>
      </c>
      <c r="DD599" s="1724"/>
      <c r="DE599" s="1724"/>
      <c r="DF599" s="1724"/>
      <c r="DG599" s="1724"/>
      <c r="DH599" s="1724">
        <f t="shared" si="15"/>
        <v>0</v>
      </c>
      <c r="DI599" s="1724"/>
      <c r="DJ599" s="1724"/>
      <c r="DK599" s="1724"/>
      <c r="DL599" s="1724"/>
      <c r="DM599" s="1724">
        <f t="shared" si="16"/>
        <v>0</v>
      </c>
      <c r="DN599" s="1724"/>
      <c r="DO599" s="1724"/>
      <c r="DP599" s="1724"/>
      <c r="DQ599" s="1724"/>
      <c r="DR599" s="1724">
        <f t="shared" si="17"/>
        <v>0</v>
      </c>
      <c r="DS599" s="1724"/>
      <c r="DT599" s="1724"/>
      <c r="DU599" s="1724"/>
      <c r="DV599" s="1724"/>
      <c r="DX599" s="1421" t="str">
        <f t="shared" si="18"/>
        <v xml:space="preserve"> </v>
      </c>
      <c r="DY599" s="1855"/>
      <c r="DZ599" s="1855"/>
      <c r="EA599" s="1855"/>
      <c r="EB599" s="1422"/>
      <c r="EC599" s="1421" t="str">
        <f t="shared" si="19"/>
        <v xml:space="preserve"> </v>
      </c>
      <c r="ED599" s="1855"/>
      <c r="EE599" s="1855"/>
      <c r="EF599" s="1855"/>
      <c r="EG599" s="1422"/>
      <c r="EH599" s="1421">
        <f t="shared" si="20"/>
        <v>1828</v>
      </c>
      <c r="EI599" s="1855"/>
      <c r="EJ599" s="1855"/>
      <c r="EK599" s="1855"/>
      <c r="EL599" s="1422"/>
      <c r="EM599" s="1421" t="str">
        <f t="shared" si="21"/>
        <v xml:space="preserve"> </v>
      </c>
      <c r="EN599" s="1855"/>
      <c r="EO599" s="1855"/>
      <c r="EP599" s="1855"/>
      <c r="EQ599" s="1422"/>
      <c r="ER599" s="1421" t="str">
        <f t="shared" si="22"/>
        <v xml:space="preserve"> </v>
      </c>
      <c r="ES599" s="1855"/>
      <c r="ET599" s="1855"/>
      <c r="EU599" s="1855"/>
      <c r="EV599" s="1422"/>
      <c r="EW599" s="1421" t="str">
        <f t="shared" si="23"/>
        <v xml:space="preserve"> </v>
      </c>
      <c r="EX599" s="1855"/>
      <c r="EY599" s="1855"/>
      <c r="EZ599" s="1855"/>
      <c r="FA599" s="1422"/>
    </row>
    <row r="600" spans="1:157" ht="12.95" customHeight="1">
      <c r="A600" s="22"/>
      <c r="B600" t="s">
        <v>17</v>
      </c>
      <c r="G600" s="1395"/>
      <c r="H600" s="1395"/>
      <c r="I600" s="1395"/>
      <c r="J600" s="1395"/>
      <c r="K600" s="1395"/>
      <c r="L600" s="1395"/>
      <c r="M600" s="1395"/>
      <c r="N600" s="1395"/>
      <c r="O600" s="1395"/>
      <c r="P600" s="1395"/>
      <c r="Q600" s="1395"/>
      <c r="R600" s="1395"/>
      <c r="T600" s="22"/>
      <c r="U600" t="s">
        <v>17</v>
      </c>
      <c r="Z600" s="1366"/>
      <c r="AA600" s="1366"/>
      <c r="AB600" s="1366"/>
      <c r="AC600" s="1366"/>
      <c r="AD600" s="1366"/>
      <c r="AE600" s="1366"/>
      <c r="AF600" s="1366"/>
      <c r="AG600" s="1366"/>
      <c r="AH600" s="1366"/>
      <c r="AI600" s="1366"/>
      <c r="AJ600" s="1366"/>
      <c r="AK600" s="1366"/>
      <c r="BA600" s="4" t="s">
        <v>30</v>
      </c>
      <c r="BB600" s="3"/>
      <c r="BC600" s="3"/>
      <c r="BD600" s="3"/>
      <c r="BE600" s="1421">
        <f t="shared" si="2"/>
        <v>0</v>
      </c>
      <c r="BF600" s="1422"/>
      <c r="BG600" s="1511">
        <f t="shared" si="3"/>
        <v>0</v>
      </c>
      <c r="BH600" s="1512"/>
      <c r="BI600" s="1421">
        <f t="shared" si="4"/>
        <v>1</v>
      </c>
      <c r="BJ600" s="1422"/>
      <c r="BK600" s="1511">
        <f t="shared" si="5"/>
        <v>3</v>
      </c>
      <c r="BL600" s="1512"/>
      <c r="BM600" s="3"/>
      <c r="BN600" s="1508">
        <f t="shared" si="6"/>
        <v>0</v>
      </c>
      <c r="BO600" s="1509"/>
      <c r="BP600" s="1509"/>
      <c r="BQ600" s="1509"/>
      <c r="BR600" s="1510"/>
      <c r="BS600" s="1396">
        <f t="shared" si="7"/>
        <v>0</v>
      </c>
      <c r="BT600" s="1396"/>
      <c r="BU600" s="1396"/>
      <c r="BV600" s="1396"/>
      <c r="BW600" s="1396"/>
      <c r="BX600" s="1396">
        <f t="shared" si="8"/>
        <v>0</v>
      </c>
      <c r="BY600" s="1396"/>
      <c r="BZ600" s="1396"/>
      <c r="CA600" s="1396"/>
      <c r="CB600" s="1396"/>
      <c r="CC600" s="1396">
        <f t="shared" si="9"/>
        <v>3</v>
      </c>
      <c r="CD600" s="1396"/>
      <c r="CE600" s="1396"/>
      <c r="CF600" s="1396"/>
      <c r="CG600" s="1396"/>
      <c r="CH600" s="1396">
        <f t="shared" si="10"/>
        <v>0</v>
      </c>
      <c r="CI600" s="1396"/>
      <c r="CJ600" s="1396"/>
      <c r="CK600" s="1396"/>
      <c r="CL600" s="1396"/>
      <c r="CM600" s="1396">
        <f t="shared" si="11"/>
        <v>0</v>
      </c>
      <c r="CN600" s="1396"/>
      <c r="CO600" s="1396"/>
      <c r="CP600" s="1396"/>
      <c r="CQ600" s="1396"/>
      <c r="CR600" s="6"/>
      <c r="CS600" s="1724">
        <f t="shared" si="12"/>
        <v>0</v>
      </c>
      <c r="CT600" s="1724"/>
      <c r="CU600" s="1724"/>
      <c r="CV600" s="1724"/>
      <c r="CW600" s="1724"/>
      <c r="CX600" s="1724">
        <f t="shared" si="13"/>
        <v>0</v>
      </c>
      <c r="CY600" s="1724"/>
      <c r="CZ600" s="1724"/>
      <c r="DA600" s="1724"/>
      <c r="DB600" s="1724"/>
      <c r="DC600" s="1724">
        <f t="shared" si="14"/>
        <v>0</v>
      </c>
      <c r="DD600" s="1724"/>
      <c r="DE600" s="1724"/>
      <c r="DF600" s="1724"/>
      <c r="DG600" s="1724"/>
      <c r="DH600" s="1724">
        <f t="shared" si="15"/>
        <v>3</v>
      </c>
      <c r="DI600" s="1724"/>
      <c r="DJ600" s="1724"/>
      <c r="DK600" s="1724"/>
      <c r="DL600" s="1724"/>
      <c r="DM600" s="1724">
        <f t="shared" si="16"/>
        <v>0</v>
      </c>
      <c r="DN600" s="1724"/>
      <c r="DO600" s="1724"/>
      <c r="DP600" s="1724"/>
      <c r="DQ600" s="1724"/>
      <c r="DR600" s="1724">
        <f t="shared" si="17"/>
        <v>0</v>
      </c>
      <c r="DS600" s="1724"/>
      <c r="DT600" s="1724"/>
      <c r="DU600" s="1724"/>
      <c r="DV600" s="1724"/>
      <c r="DX600" s="1421" t="str">
        <f t="shared" si="18"/>
        <v xml:space="preserve"> </v>
      </c>
      <c r="DY600" s="1855"/>
      <c r="DZ600" s="1855"/>
      <c r="EA600" s="1855"/>
      <c r="EB600" s="1422"/>
      <c r="EC600" s="1421" t="str">
        <f t="shared" si="19"/>
        <v xml:space="preserve"> </v>
      </c>
      <c r="ED600" s="1855"/>
      <c r="EE600" s="1855"/>
      <c r="EF600" s="1855"/>
      <c r="EG600" s="1422"/>
      <c r="EH600" s="1421" t="str">
        <f t="shared" si="20"/>
        <v xml:space="preserve"> </v>
      </c>
      <c r="EI600" s="1855"/>
      <c r="EJ600" s="1855"/>
      <c r="EK600" s="1855"/>
      <c r="EL600" s="1422"/>
      <c r="EM600" s="1421">
        <f t="shared" si="21"/>
        <v>980</v>
      </c>
      <c r="EN600" s="1855"/>
      <c r="EO600" s="1855"/>
      <c r="EP600" s="1855"/>
      <c r="EQ600" s="1422"/>
      <c r="ER600" s="1421" t="str">
        <f t="shared" si="22"/>
        <v xml:space="preserve"> </v>
      </c>
      <c r="ES600" s="1855"/>
      <c r="ET600" s="1855"/>
      <c r="EU600" s="1855"/>
      <c r="EV600" s="1422"/>
      <c r="EW600" s="1421" t="str">
        <f t="shared" si="23"/>
        <v xml:space="preserve"> </v>
      </c>
      <c r="EX600" s="1855"/>
      <c r="EY600" s="1855"/>
      <c r="EZ600" s="1855"/>
      <c r="FA600" s="1422"/>
    </row>
    <row r="601" spans="1:157" ht="12.95" customHeight="1">
      <c r="A601" s="22"/>
      <c r="B601" t="s">
        <v>318</v>
      </c>
      <c r="G601" s="1437"/>
      <c r="H601" s="1437"/>
      <c r="I601" s="1437"/>
      <c r="J601" s="1437"/>
      <c r="K601" s="1437"/>
      <c r="L601" s="1437"/>
      <c r="O601" s="33" t="s">
        <v>208</v>
      </c>
      <c r="P601" s="1466"/>
      <c r="Q601" s="1466"/>
      <c r="R601" s="1466"/>
      <c r="T601" s="22"/>
      <c r="U601" t="s">
        <v>318</v>
      </c>
      <c r="Z601" s="1437"/>
      <c r="AA601" s="1437"/>
      <c r="AB601" s="1437"/>
      <c r="AC601" s="1437"/>
      <c r="AD601" s="1437"/>
      <c r="AE601" s="1437"/>
      <c r="AH601" s="33" t="s">
        <v>208</v>
      </c>
      <c r="AI601" s="1466"/>
      <c r="AJ601" s="1466"/>
      <c r="AK601" s="1466"/>
      <c r="AZ601" s="3"/>
      <c r="BA601" s="3"/>
      <c r="BB601" s="3"/>
      <c r="BC601" s="3"/>
      <c r="BD601" s="3"/>
      <c r="BE601" s="1421">
        <f t="shared" si="2"/>
        <v>1</v>
      </c>
      <c r="BF601" s="1422"/>
      <c r="BG601" s="1511">
        <f t="shared" si="3"/>
        <v>12</v>
      </c>
      <c r="BH601" s="1512"/>
      <c r="BI601" s="1421">
        <f t="shared" si="4"/>
        <v>0</v>
      </c>
      <c r="BJ601" s="1422"/>
      <c r="BK601" s="1511">
        <f t="shared" si="5"/>
        <v>0</v>
      </c>
      <c r="BL601" s="1512"/>
      <c r="BM601" s="3"/>
      <c r="BN601" s="1508">
        <f t="shared" si="6"/>
        <v>0</v>
      </c>
      <c r="BO601" s="1509"/>
      <c r="BP601" s="1509"/>
      <c r="BQ601" s="1509"/>
      <c r="BR601" s="1510"/>
      <c r="BS601" s="1396">
        <f t="shared" si="7"/>
        <v>0</v>
      </c>
      <c r="BT601" s="1396"/>
      <c r="BU601" s="1396"/>
      <c r="BV601" s="1396"/>
      <c r="BW601" s="1396"/>
      <c r="BX601" s="1396">
        <f t="shared" si="8"/>
        <v>0</v>
      </c>
      <c r="BY601" s="1396"/>
      <c r="BZ601" s="1396"/>
      <c r="CA601" s="1396"/>
      <c r="CB601" s="1396"/>
      <c r="CC601" s="1396">
        <f t="shared" si="9"/>
        <v>12</v>
      </c>
      <c r="CD601" s="1396"/>
      <c r="CE601" s="1396"/>
      <c r="CF601" s="1396"/>
      <c r="CG601" s="1396"/>
      <c r="CH601" s="1396">
        <f t="shared" si="10"/>
        <v>0</v>
      </c>
      <c r="CI601" s="1396"/>
      <c r="CJ601" s="1396"/>
      <c r="CK601" s="1396"/>
      <c r="CL601" s="1396"/>
      <c r="CM601" s="1396">
        <f t="shared" si="11"/>
        <v>0</v>
      </c>
      <c r="CN601" s="1396"/>
      <c r="CO601" s="1396"/>
      <c r="CP601" s="1396"/>
      <c r="CQ601" s="1396"/>
      <c r="CR601" s="6"/>
      <c r="CS601" s="1724">
        <f t="shared" si="12"/>
        <v>0</v>
      </c>
      <c r="CT601" s="1724"/>
      <c r="CU601" s="1724"/>
      <c r="CV601" s="1724"/>
      <c r="CW601" s="1724"/>
      <c r="CX601" s="1724">
        <f t="shared" si="13"/>
        <v>0</v>
      </c>
      <c r="CY601" s="1724"/>
      <c r="CZ601" s="1724"/>
      <c r="DA601" s="1724"/>
      <c r="DB601" s="1724"/>
      <c r="DC601" s="1724">
        <f t="shared" si="14"/>
        <v>0</v>
      </c>
      <c r="DD601" s="1724"/>
      <c r="DE601" s="1724"/>
      <c r="DF601" s="1724"/>
      <c r="DG601" s="1724"/>
      <c r="DH601" s="1724">
        <f t="shared" si="15"/>
        <v>0</v>
      </c>
      <c r="DI601" s="1724"/>
      <c r="DJ601" s="1724"/>
      <c r="DK601" s="1724"/>
      <c r="DL601" s="1724"/>
      <c r="DM601" s="1724">
        <f t="shared" si="16"/>
        <v>0</v>
      </c>
      <c r="DN601" s="1724"/>
      <c r="DO601" s="1724"/>
      <c r="DP601" s="1724"/>
      <c r="DQ601" s="1724"/>
      <c r="DR601" s="1724">
        <f t="shared" si="17"/>
        <v>0</v>
      </c>
      <c r="DS601" s="1724"/>
      <c r="DT601" s="1724"/>
      <c r="DU601" s="1724"/>
      <c r="DV601" s="1724"/>
      <c r="DX601" s="1421" t="str">
        <f t="shared" si="18"/>
        <v xml:space="preserve"> </v>
      </c>
      <c r="DY601" s="1855"/>
      <c r="DZ601" s="1855"/>
      <c r="EA601" s="1855"/>
      <c r="EB601" s="1422"/>
      <c r="EC601" s="1421" t="str">
        <f t="shared" si="19"/>
        <v xml:space="preserve"> </v>
      </c>
      <c r="ED601" s="1855"/>
      <c r="EE601" s="1855"/>
      <c r="EF601" s="1855"/>
      <c r="EG601" s="1422"/>
      <c r="EH601" s="1421" t="str">
        <f t="shared" si="20"/>
        <v xml:space="preserve"> </v>
      </c>
      <c r="EI601" s="1855"/>
      <c r="EJ601" s="1855"/>
      <c r="EK601" s="1855"/>
      <c r="EL601" s="1422"/>
      <c r="EM601" s="1421">
        <f t="shared" si="21"/>
        <v>1540</v>
      </c>
      <c r="EN601" s="1855"/>
      <c r="EO601" s="1855"/>
      <c r="EP601" s="1855"/>
      <c r="EQ601" s="1422"/>
      <c r="ER601" s="1421" t="str">
        <f t="shared" si="22"/>
        <v xml:space="preserve"> </v>
      </c>
      <c r="ES601" s="1855"/>
      <c r="ET601" s="1855"/>
      <c r="EU601" s="1855"/>
      <c r="EV601" s="1422"/>
      <c r="EW601" s="1421" t="str">
        <f t="shared" si="23"/>
        <v xml:space="preserve"> </v>
      </c>
      <c r="EX601" s="1855"/>
      <c r="EY601" s="1855"/>
      <c r="EZ601" s="1855"/>
      <c r="FA601" s="1422"/>
    </row>
    <row r="602" spans="1:157" ht="12.95" customHeight="1">
      <c r="A602" s="22"/>
      <c r="B602" t="s">
        <v>18</v>
      </c>
      <c r="H602" s="1395"/>
      <c r="I602" s="1395"/>
      <c r="J602" s="1395"/>
      <c r="K602" s="1395"/>
      <c r="L602" s="1395"/>
      <c r="M602" s="1395"/>
      <c r="N602" s="1395"/>
      <c r="O602" s="1395"/>
      <c r="P602" s="1395"/>
      <c r="Q602" s="1395"/>
      <c r="R602" s="1395"/>
      <c r="T602" s="22"/>
      <c r="U602" t="s">
        <v>18</v>
      </c>
      <c r="AA602" s="1395"/>
      <c r="AB602" s="1395"/>
      <c r="AC602" s="1395"/>
      <c r="AD602" s="1395"/>
      <c r="AE602" s="1395"/>
      <c r="AF602" s="1395"/>
      <c r="AG602" s="1395"/>
      <c r="AH602" s="1395"/>
      <c r="AI602" s="1395"/>
      <c r="AJ602" s="1395"/>
      <c r="AK602" s="1395"/>
      <c r="AZ602" s="3"/>
      <c r="BA602" s="3"/>
      <c r="BB602" s="3"/>
      <c r="BC602" s="3"/>
      <c r="BD602" s="3"/>
      <c r="BE602" s="1421">
        <f t="shared" si="2"/>
        <v>1</v>
      </c>
      <c r="BF602" s="1422"/>
      <c r="BG602" s="1511">
        <f t="shared" si="3"/>
        <v>5</v>
      </c>
      <c r="BH602" s="1512"/>
      <c r="BI602" s="1421">
        <f t="shared" si="4"/>
        <v>0</v>
      </c>
      <c r="BJ602" s="1422"/>
      <c r="BK602" s="1511">
        <f t="shared" si="5"/>
        <v>0</v>
      </c>
      <c r="BL602" s="1512"/>
      <c r="BM602" s="3"/>
      <c r="BN602" s="1508">
        <f t="shared" si="6"/>
        <v>0</v>
      </c>
      <c r="BO602" s="1509"/>
      <c r="BP602" s="1509"/>
      <c r="BQ602" s="1509"/>
      <c r="BR602" s="1510"/>
      <c r="BS602" s="1396">
        <f t="shared" si="7"/>
        <v>0</v>
      </c>
      <c r="BT602" s="1396"/>
      <c r="BU602" s="1396"/>
      <c r="BV602" s="1396"/>
      <c r="BW602" s="1396"/>
      <c r="BX602" s="1396">
        <f t="shared" si="8"/>
        <v>0</v>
      </c>
      <c r="BY602" s="1396"/>
      <c r="BZ602" s="1396"/>
      <c r="CA602" s="1396"/>
      <c r="CB602" s="1396"/>
      <c r="CC602" s="1396">
        <f t="shared" si="9"/>
        <v>5</v>
      </c>
      <c r="CD602" s="1396"/>
      <c r="CE602" s="1396"/>
      <c r="CF602" s="1396"/>
      <c r="CG602" s="1396"/>
      <c r="CH602" s="1396">
        <f t="shared" si="10"/>
        <v>0</v>
      </c>
      <c r="CI602" s="1396"/>
      <c r="CJ602" s="1396"/>
      <c r="CK602" s="1396"/>
      <c r="CL602" s="1396"/>
      <c r="CM602" s="1396">
        <f t="shared" si="11"/>
        <v>0</v>
      </c>
      <c r="CN602" s="1396"/>
      <c r="CO602" s="1396"/>
      <c r="CP602" s="1396"/>
      <c r="CQ602" s="1396"/>
      <c r="CR602" s="6"/>
      <c r="CS602" s="1724">
        <f t="shared" si="12"/>
        <v>0</v>
      </c>
      <c r="CT602" s="1724"/>
      <c r="CU602" s="1724"/>
      <c r="CV602" s="1724"/>
      <c r="CW602" s="1724"/>
      <c r="CX602" s="1724">
        <f t="shared" si="13"/>
        <v>0</v>
      </c>
      <c r="CY602" s="1724"/>
      <c r="CZ602" s="1724"/>
      <c r="DA602" s="1724"/>
      <c r="DB602" s="1724"/>
      <c r="DC602" s="1724">
        <f t="shared" si="14"/>
        <v>0</v>
      </c>
      <c r="DD602" s="1724"/>
      <c r="DE602" s="1724"/>
      <c r="DF602" s="1724"/>
      <c r="DG602" s="1724"/>
      <c r="DH602" s="1724">
        <f t="shared" si="15"/>
        <v>0</v>
      </c>
      <c r="DI602" s="1724"/>
      <c r="DJ602" s="1724"/>
      <c r="DK602" s="1724"/>
      <c r="DL602" s="1724"/>
      <c r="DM602" s="1724">
        <f t="shared" si="16"/>
        <v>0</v>
      </c>
      <c r="DN602" s="1724"/>
      <c r="DO602" s="1724"/>
      <c r="DP602" s="1724"/>
      <c r="DQ602" s="1724"/>
      <c r="DR602" s="1724">
        <f t="shared" si="17"/>
        <v>0</v>
      </c>
      <c r="DS602" s="1724"/>
      <c r="DT602" s="1724"/>
      <c r="DU602" s="1724"/>
      <c r="DV602" s="1724"/>
      <c r="DX602" s="1421" t="str">
        <f t="shared" si="18"/>
        <v xml:space="preserve"> </v>
      </c>
      <c r="DY602" s="1855"/>
      <c r="DZ602" s="1855"/>
      <c r="EA602" s="1855"/>
      <c r="EB602" s="1422"/>
      <c r="EC602" s="1421" t="str">
        <f t="shared" si="19"/>
        <v xml:space="preserve"> </v>
      </c>
      <c r="ED602" s="1855"/>
      <c r="EE602" s="1855"/>
      <c r="EF602" s="1855"/>
      <c r="EG602" s="1422"/>
      <c r="EH602" s="1421" t="str">
        <f t="shared" si="20"/>
        <v xml:space="preserve"> </v>
      </c>
      <c r="EI602" s="1855"/>
      <c r="EJ602" s="1855"/>
      <c r="EK602" s="1855"/>
      <c r="EL602" s="1422"/>
      <c r="EM602" s="1421">
        <f t="shared" si="21"/>
        <v>1726</v>
      </c>
      <c r="EN602" s="1855"/>
      <c r="EO602" s="1855"/>
      <c r="EP602" s="1855"/>
      <c r="EQ602" s="1422"/>
      <c r="ER602" s="1421" t="str">
        <f t="shared" si="22"/>
        <v xml:space="preserve"> </v>
      </c>
      <c r="ES602" s="1855"/>
      <c r="ET602" s="1855"/>
      <c r="EU602" s="1855"/>
      <c r="EV602" s="1422"/>
      <c r="EW602" s="1421" t="str">
        <f t="shared" si="23"/>
        <v xml:space="preserve"> </v>
      </c>
      <c r="EX602" s="1855"/>
      <c r="EY602" s="1855"/>
      <c r="EZ602" s="1855"/>
      <c r="FA602" s="1422"/>
    </row>
    <row r="603" spans="1:157" ht="12.95" customHeight="1">
      <c r="A603" s="22"/>
      <c r="B603" t="s">
        <v>20</v>
      </c>
      <c r="N603" s="1373" t="s">
        <v>678</v>
      </c>
      <c r="O603" s="1373"/>
      <c r="T603" s="22"/>
      <c r="U603" t="s">
        <v>20</v>
      </c>
      <c r="AG603" s="1373" t="s">
        <v>678</v>
      </c>
      <c r="AH603" s="1373"/>
      <c r="AZ603" s="3"/>
      <c r="BA603" s="3"/>
      <c r="BB603" s="3"/>
      <c r="BC603" s="3"/>
      <c r="BD603" s="3"/>
      <c r="BE603" s="1421">
        <f t="shared" si="2"/>
        <v>0</v>
      </c>
      <c r="BF603" s="1422"/>
      <c r="BG603" s="1511">
        <f t="shared" si="3"/>
        <v>0</v>
      </c>
      <c r="BH603" s="1512"/>
      <c r="BI603" s="1421">
        <f t="shared" si="4"/>
        <v>0</v>
      </c>
      <c r="BJ603" s="1422"/>
      <c r="BK603" s="1511">
        <f t="shared" si="5"/>
        <v>0</v>
      </c>
      <c r="BL603" s="1512"/>
      <c r="BM603" s="3"/>
      <c r="BN603" s="1508">
        <f t="shared" si="6"/>
        <v>0</v>
      </c>
      <c r="BO603" s="1509"/>
      <c r="BP603" s="1509"/>
      <c r="BQ603" s="1509"/>
      <c r="BR603" s="1510"/>
      <c r="BS603" s="1396">
        <f t="shared" si="7"/>
        <v>0</v>
      </c>
      <c r="BT603" s="1396"/>
      <c r="BU603" s="1396"/>
      <c r="BV603" s="1396"/>
      <c r="BW603" s="1396"/>
      <c r="BX603" s="1396">
        <f t="shared" si="8"/>
        <v>0</v>
      </c>
      <c r="BY603" s="1396"/>
      <c r="BZ603" s="1396"/>
      <c r="CA603" s="1396"/>
      <c r="CB603" s="1396"/>
      <c r="CC603" s="1396">
        <f t="shared" si="9"/>
        <v>3</v>
      </c>
      <c r="CD603" s="1396"/>
      <c r="CE603" s="1396"/>
      <c r="CF603" s="1396"/>
      <c r="CG603" s="1396"/>
      <c r="CH603" s="1396">
        <f t="shared" si="10"/>
        <v>0</v>
      </c>
      <c r="CI603" s="1396"/>
      <c r="CJ603" s="1396"/>
      <c r="CK603" s="1396"/>
      <c r="CL603" s="1396"/>
      <c r="CM603" s="1396">
        <f t="shared" si="11"/>
        <v>0</v>
      </c>
      <c r="CN603" s="1396"/>
      <c r="CO603" s="1396"/>
      <c r="CP603" s="1396"/>
      <c r="CQ603" s="1396"/>
      <c r="CR603" s="6"/>
      <c r="CS603" s="1724">
        <f t="shared" si="12"/>
        <v>0</v>
      </c>
      <c r="CT603" s="1724"/>
      <c r="CU603" s="1724"/>
      <c r="CV603" s="1724"/>
      <c r="CW603" s="1724"/>
      <c r="CX603" s="1724">
        <f t="shared" si="13"/>
        <v>0</v>
      </c>
      <c r="CY603" s="1724"/>
      <c r="CZ603" s="1724"/>
      <c r="DA603" s="1724"/>
      <c r="DB603" s="1724"/>
      <c r="DC603" s="1724">
        <f t="shared" si="14"/>
        <v>0</v>
      </c>
      <c r="DD603" s="1724"/>
      <c r="DE603" s="1724"/>
      <c r="DF603" s="1724"/>
      <c r="DG603" s="1724"/>
      <c r="DH603" s="1724">
        <f t="shared" si="15"/>
        <v>0</v>
      </c>
      <c r="DI603" s="1724"/>
      <c r="DJ603" s="1724"/>
      <c r="DK603" s="1724"/>
      <c r="DL603" s="1724"/>
      <c r="DM603" s="1724">
        <f t="shared" si="16"/>
        <v>0</v>
      </c>
      <c r="DN603" s="1724"/>
      <c r="DO603" s="1724"/>
      <c r="DP603" s="1724"/>
      <c r="DQ603" s="1724"/>
      <c r="DR603" s="1724">
        <f t="shared" si="17"/>
        <v>0</v>
      </c>
      <c r="DS603" s="1724"/>
      <c r="DT603" s="1724"/>
      <c r="DU603" s="1724"/>
      <c r="DV603" s="1724"/>
      <c r="DX603" s="1421" t="str">
        <f t="shared" si="18"/>
        <v xml:space="preserve"> </v>
      </c>
      <c r="DY603" s="1855"/>
      <c r="DZ603" s="1855"/>
      <c r="EA603" s="1855"/>
      <c r="EB603" s="1422"/>
      <c r="EC603" s="1421" t="str">
        <f t="shared" si="19"/>
        <v xml:space="preserve"> </v>
      </c>
      <c r="ED603" s="1855"/>
      <c r="EE603" s="1855"/>
      <c r="EF603" s="1855"/>
      <c r="EG603" s="1422"/>
      <c r="EH603" s="1421" t="str">
        <f t="shared" si="20"/>
        <v xml:space="preserve"> </v>
      </c>
      <c r="EI603" s="1855"/>
      <c r="EJ603" s="1855"/>
      <c r="EK603" s="1855"/>
      <c r="EL603" s="1422"/>
      <c r="EM603" s="1421">
        <f t="shared" si="21"/>
        <v>2099</v>
      </c>
      <c r="EN603" s="1855"/>
      <c r="EO603" s="1855"/>
      <c r="EP603" s="1855"/>
      <c r="EQ603" s="1422"/>
      <c r="ER603" s="1421" t="str">
        <f t="shared" si="22"/>
        <v xml:space="preserve"> </v>
      </c>
      <c r="ES603" s="1855"/>
      <c r="ET603" s="1855"/>
      <c r="EU603" s="1855"/>
      <c r="EV603" s="1422"/>
      <c r="EW603" s="1421" t="str">
        <f t="shared" si="23"/>
        <v xml:space="preserve"> </v>
      </c>
      <c r="EX603" s="1855"/>
      <c r="EY603" s="1855"/>
      <c r="EZ603" s="1855"/>
      <c r="FA603" s="1422"/>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1">
        <f t="shared" si="2"/>
        <v>0</v>
      </c>
      <c r="BF604" s="1422"/>
      <c r="BG604" s="1511">
        <f t="shared" si="3"/>
        <v>0</v>
      </c>
      <c r="BH604" s="1512"/>
      <c r="BI604" s="1421">
        <f t="shared" si="4"/>
        <v>0</v>
      </c>
      <c r="BJ604" s="1422"/>
      <c r="BK604" s="1511">
        <f t="shared" si="5"/>
        <v>0</v>
      </c>
      <c r="BL604" s="1512"/>
      <c r="BM604" s="3"/>
      <c r="BN604" s="1508">
        <f t="shared" si="6"/>
        <v>0</v>
      </c>
      <c r="BO604" s="1509"/>
      <c r="BP604" s="1509"/>
      <c r="BQ604" s="1509"/>
      <c r="BR604" s="1510"/>
      <c r="BS604" s="1396">
        <f t="shared" si="7"/>
        <v>0</v>
      </c>
      <c r="BT604" s="1396"/>
      <c r="BU604" s="1396"/>
      <c r="BV604" s="1396"/>
      <c r="BW604" s="1396"/>
      <c r="BX604" s="1396">
        <f t="shared" si="8"/>
        <v>0</v>
      </c>
      <c r="BY604" s="1396"/>
      <c r="BZ604" s="1396"/>
      <c r="CA604" s="1396"/>
      <c r="CB604" s="1396"/>
      <c r="CC604" s="1396">
        <f t="shared" si="9"/>
        <v>0</v>
      </c>
      <c r="CD604" s="1396"/>
      <c r="CE604" s="1396"/>
      <c r="CF604" s="1396"/>
      <c r="CG604" s="1396"/>
      <c r="CH604" s="1396">
        <f t="shared" si="10"/>
        <v>0</v>
      </c>
      <c r="CI604" s="1396"/>
      <c r="CJ604" s="1396"/>
      <c r="CK604" s="1396"/>
      <c r="CL604" s="1396"/>
      <c r="CM604" s="1396">
        <f t="shared" si="11"/>
        <v>0</v>
      </c>
      <c r="CN604" s="1396"/>
      <c r="CO604" s="1396"/>
      <c r="CP604" s="1396"/>
      <c r="CQ604" s="1396"/>
      <c r="CR604" s="6"/>
      <c r="CS604" s="1724">
        <f t="shared" si="12"/>
        <v>0</v>
      </c>
      <c r="CT604" s="1724"/>
      <c r="CU604" s="1724"/>
      <c r="CV604" s="1724"/>
      <c r="CW604" s="1724"/>
      <c r="CX604" s="1724">
        <f t="shared" si="13"/>
        <v>0</v>
      </c>
      <c r="CY604" s="1724"/>
      <c r="CZ604" s="1724"/>
      <c r="DA604" s="1724"/>
      <c r="DB604" s="1724"/>
      <c r="DC604" s="1724">
        <f t="shared" si="14"/>
        <v>0</v>
      </c>
      <c r="DD604" s="1724"/>
      <c r="DE604" s="1724"/>
      <c r="DF604" s="1724"/>
      <c r="DG604" s="1724"/>
      <c r="DH604" s="1724">
        <f t="shared" si="15"/>
        <v>0</v>
      </c>
      <c r="DI604" s="1724"/>
      <c r="DJ604" s="1724"/>
      <c r="DK604" s="1724"/>
      <c r="DL604" s="1724"/>
      <c r="DM604" s="1724">
        <f t="shared" si="16"/>
        <v>0</v>
      </c>
      <c r="DN604" s="1724"/>
      <c r="DO604" s="1724"/>
      <c r="DP604" s="1724"/>
      <c r="DQ604" s="1724"/>
      <c r="DR604" s="1724">
        <f t="shared" si="17"/>
        <v>0</v>
      </c>
      <c r="DS604" s="1724"/>
      <c r="DT604" s="1724"/>
      <c r="DU604" s="1724"/>
      <c r="DV604" s="1724"/>
      <c r="DX604" s="1421" t="str">
        <f t="shared" si="18"/>
        <v xml:space="preserve"> </v>
      </c>
      <c r="DY604" s="1855"/>
      <c r="DZ604" s="1855"/>
      <c r="EA604" s="1855"/>
      <c r="EB604" s="1422"/>
      <c r="EC604" s="1421" t="str">
        <f t="shared" si="19"/>
        <v xml:space="preserve"> </v>
      </c>
      <c r="ED604" s="1855"/>
      <c r="EE604" s="1855"/>
      <c r="EF604" s="1855"/>
      <c r="EG604" s="1422"/>
      <c r="EH604" s="1421" t="str">
        <f t="shared" si="20"/>
        <v xml:space="preserve"> </v>
      </c>
      <c r="EI604" s="1855"/>
      <c r="EJ604" s="1855"/>
      <c r="EK604" s="1855"/>
      <c r="EL604" s="1422"/>
      <c r="EM604" s="1421" t="str">
        <f t="shared" si="21"/>
        <v xml:space="preserve"> </v>
      </c>
      <c r="EN604" s="1855"/>
      <c r="EO604" s="1855"/>
      <c r="EP604" s="1855"/>
      <c r="EQ604" s="1422"/>
      <c r="ER604" s="1421" t="str">
        <f t="shared" si="22"/>
        <v xml:space="preserve"> </v>
      </c>
      <c r="ES604" s="1855"/>
      <c r="ET604" s="1855"/>
      <c r="EU604" s="1855"/>
      <c r="EV604" s="1422"/>
      <c r="EW604" s="1421" t="str">
        <f t="shared" si="23"/>
        <v xml:space="preserve"> </v>
      </c>
      <c r="EX604" s="1855"/>
      <c r="EY604" s="1855"/>
      <c r="EZ604" s="1855"/>
      <c r="FA604" s="1422"/>
    </row>
    <row r="605" spans="1:157" s="4" customFormat="1" ht="12.95" customHeight="1">
      <c r="A605" s="55" t="s">
        <v>364</v>
      </c>
      <c r="B605" t="s">
        <v>472</v>
      </c>
      <c r="C605"/>
      <c r="D605"/>
      <c r="E605"/>
      <c r="F605"/>
      <c r="G605" s="1516">
        <f>C560</f>
        <v>0</v>
      </c>
      <c r="H605" s="1516"/>
      <c r="I605" s="1516"/>
      <c r="J605" s="1516"/>
      <c r="K605" s="1516"/>
      <c r="L605" s="1516"/>
      <c r="M605" s="1516"/>
      <c r="N605" s="1516"/>
      <c r="O605" s="1516"/>
      <c r="P605" s="1516"/>
      <c r="Q605" s="1516"/>
      <c r="R605" s="1516"/>
      <c r="S605"/>
      <c r="T605" s="55" t="s">
        <v>365</v>
      </c>
      <c r="U605" t="s">
        <v>472</v>
      </c>
      <c r="V605"/>
      <c r="W605"/>
      <c r="X605"/>
      <c r="Y605"/>
      <c r="Z605" s="1516">
        <f>C561</f>
        <v>0</v>
      </c>
      <c r="AA605" s="1516"/>
      <c r="AB605" s="1516"/>
      <c r="AC605" s="1516"/>
      <c r="AD605" s="1516"/>
      <c r="AE605" s="1516"/>
      <c r="AF605" s="1516"/>
      <c r="AG605" s="1516"/>
      <c r="AH605" s="1516"/>
      <c r="AI605" s="1516"/>
      <c r="AJ605" s="1516"/>
      <c r="AK605" s="1516"/>
      <c r="AL605"/>
      <c r="AM605"/>
      <c r="AN605"/>
      <c r="AO605"/>
      <c r="AP605"/>
      <c r="AQ605"/>
      <c r="AR605"/>
      <c r="AS605"/>
      <c r="AT605"/>
      <c r="AU605"/>
      <c r="AV605"/>
      <c r="AW605"/>
      <c r="AX605"/>
      <c r="AY605"/>
      <c r="AZ605" s="3"/>
      <c r="BA605" s="3"/>
      <c r="BB605" s="3"/>
      <c r="BC605" s="3"/>
      <c r="BD605" s="3"/>
      <c r="BE605" s="1421">
        <f t="shared" si="2"/>
        <v>0</v>
      </c>
      <c r="BF605" s="1422"/>
      <c r="BG605" s="1511">
        <f t="shared" si="3"/>
        <v>0</v>
      </c>
      <c r="BH605" s="1512"/>
      <c r="BI605" s="1421">
        <f t="shared" si="4"/>
        <v>0</v>
      </c>
      <c r="BJ605" s="1422"/>
      <c r="BK605" s="1511">
        <f t="shared" si="5"/>
        <v>0</v>
      </c>
      <c r="BL605" s="1512"/>
      <c r="BM605" s="3"/>
      <c r="BN605" s="1508">
        <f t="shared" si="6"/>
        <v>0</v>
      </c>
      <c r="BO605" s="1509"/>
      <c r="BP605" s="1509"/>
      <c r="BQ605" s="1509"/>
      <c r="BR605" s="1510"/>
      <c r="BS605" s="1396">
        <f t="shared" si="7"/>
        <v>0</v>
      </c>
      <c r="BT605" s="1396"/>
      <c r="BU605" s="1396"/>
      <c r="BV605" s="1396"/>
      <c r="BW605" s="1396"/>
      <c r="BX605" s="1396">
        <f t="shared" si="8"/>
        <v>0</v>
      </c>
      <c r="BY605" s="1396"/>
      <c r="BZ605" s="1396"/>
      <c r="CA605" s="1396"/>
      <c r="CB605" s="1396"/>
      <c r="CC605" s="1396">
        <f t="shared" si="9"/>
        <v>0</v>
      </c>
      <c r="CD605" s="1396"/>
      <c r="CE605" s="1396"/>
      <c r="CF605" s="1396"/>
      <c r="CG605" s="1396"/>
      <c r="CH605" s="1396">
        <f t="shared" si="10"/>
        <v>0</v>
      </c>
      <c r="CI605" s="1396"/>
      <c r="CJ605" s="1396"/>
      <c r="CK605" s="1396"/>
      <c r="CL605" s="1396"/>
      <c r="CM605" s="1396">
        <f t="shared" si="11"/>
        <v>0</v>
      </c>
      <c r="CN605" s="1396"/>
      <c r="CO605" s="1396"/>
      <c r="CP605" s="1396"/>
      <c r="CQ605" s="1396"/>
      <c r="CR605" s="6"/>
      <c r="CS605" s="1724">
        <f t="shared" si="12"/>
        <v>0</v>
      </c>
      <c r="CT605" s="1724"/>
      <c r="CU605" s="1724"/>
      <c r="CV605" s="1724"/>
      <c r="CW605" s="1724"/>
      <c r="CX605" s="1724">
        <f t="shared" si="13"/>
        <v>0</v>
      </c>
      <c r="CY605" s="1724"/>
      <c r="CZ605" s="1724"/>
      <c r="DA605" s="1724"/>
      <c r="DB605" s="1724"/>
      <c r="DC605" s="1724">
        <f t="shared" si="14"/>
        <v>0</v>
      </c>
      <c r="DD605" s="1724"/>
      <c r="DE605" s="1724"/>
      <c r="DF605" s="1724"/>
      <c r="DG605" s="1724"/>
      <c r="DH605" s="1724">
        <f t="shared" si="15"/>
        <v>0</v>
      </c>
      <c r="DI605" s="1724"/>
      <c r="DJ605" s="1724"/>
      <c r="DK605" s="1724"/>
      <c r="DL605" s="1724"/>
      <c r="DM605" s="1724">
        <f t="shared" si="16"/>
        <v>0</v>
      </c>
      <c r="DN605" s="1724"/>
      <c r="DO605" s="1724"/>
      <c r="DP605" s="1724"/>
      <c r="DQ605" s="1724"/>
      <c r="DR605" s="1724">
        <f t="shared" si="17"/>
        <v>0</v>
      </c>
      <c r="DS605" s="1724"/>
      <c r="DT605" s="1724"/>
      <c r="DU605" s="1724"/>
      <c r="DV605" s="1724"/>
      <c r="DX605" s="1421" t="str">
        <f t="shared" si="18"/>
        <v xml:space="preserve"> </v>
      </c>
      <c r="DY605" s="1855"/>
      <c r="DZ605" s="1855"/>
      <c r="EA605" s="1855"/>
      <c r="EB605" s="1422"/>
      <c r="EC605" s="1421" t="str">
        <f t="shared" si="19"/>
        <v xml:space="preserve"> </v>
      </c>
      <c r="ED605" s="1855"/>
      <c r="EE605" s="1855"/>
      <c r="EF605" s="1855"/>
      <c r="EG605" s="1422"/>
      <c r="EH605" s="1421" t="str">
        <f t="shared" si="20"/>
        <v xml:space="preserve"> </v>
      </c>
      <c r="EI605" s="1855"/>
      <c r="EJ605" s="1855"/>
      <c r="EK605" s="1855"/>
      <c r="EL605" s="1422"/>
      <c r="EM605" s="1421" t="str">
        <f t="shared" si="21"/>
        <v xml:space="preserve"> </v>
      </c>
      <c r="EN605" s="1855"/>
      <c r="EO605" s="1855"/>
      <c r="EP605" s="1855"/>
      <c r="EQ605" s="1422"/>
      <c r="ER605" s="1421" t="str">
        <f t="shared" si="22"/>
        <v xml:space="preserve"> </v>
      </c>
      <c r="ES605" s="1855"/>
      <c r="ET605" s="1855"/>
      <c r="EU605" s="1855"/>
      <c r="EV605" s="1422"/>
      <c r="EW605" s="1421" t="str">
        <f t="shared" si="23"/>
        <v xml:space="preserve"> </v>
      </c>
      <c r="EX605" s="1855"/>
      <c r="EY605" s="1855"/>
      <c r="EZ605" s="1855"/>
      <c r="FA605" s="1422"/>
    </row>
    <row r="606" spans="1:157" s="4" customFormat="1" ht="12.95" customHeight="1">
      <c r="A606"/>
      <c r="B606" t="s">
        <v>86</v>
      </c>
      <c r="C606"/>
      <c r="D606"/>
      <c r="E606"/>
      <c r="F606"/>
      <c r="G606" s="1395"/>
      <c r="H606" s="1395"/>
      <c r="I606" s="1395"/>
      <c r="J606" s="1395"/>
      <c r="K606" s="1395"/>
      <c r="L606" s="1395"/>
      <c r="M606" s="1395"/>
      <c r="N606" s="1395"/>
      <c r="O606" s="1395"/>
      <c r="P606" s="1395"/>
      <c r="Q606" s="1395"/>
      <c r="R606" s="1395"/>
      <c r="S606"/>
      <c r="T606"/>
      <c r="U606" t="s">
        <v>86</v>
      </c>
      <c r="V606"/>
      <c r="W606"/>
      <c r="X606"/>
      <c r="Y606"/>
      <c r="Z606" s="1395"/>
      <c r="AA606" s="1395"/>
      <c r="AB606" s="1395"/>
      <c r="AC606" s="1395"/>
      <c r="AD606" s="1395"/>
      <c r="AE606" s="1395"/>
      <c r="AF606" s="1395"/>
      <c r="AG606" s="1395"/>
      <c r="AH606" s="1395"/>
      <c r="AI606" s="1395"/>
      <c r="AJ606" s="1395"/>
      <c r="AK606" s="1395"/>
      <c r="AL606"/>
      <c r="AM606"/>
      <c r="AN606"/>
      <c r="AO606"/>
      <c r="AP606"/>
      <c r="AQ606"/>
      <c r="AR606"/>
      <c r="AS606"/>
      <c r="AT606"/>
      <c r="AU606"/>
      <c r="AV606"/>
      <c r="AW606"/>
      <c r="AX606"/>
      <c r="AY606"/>
      <c r="AZ606" s="3"/>
      <c r="BA606" s="3"/>
      <c r="BB606" s="3"/>
      <c r="BC606" s="3"/>
      <c r="BD606" s="3"/>
      <c r="BE606" s="1421">
        <f t="shared" si="2"/>
        <v>0</v>
      </c>
      <c r="BF606" s="1422"/>
      <c r="BG606" s="1511">
        <f t="shared" si="3"/>
        <v>0</v>
      </c>
      <c r="BH606" s="1512"/>
      <c r="BI606" s="1421">
        <f t="shared" si="4"/>
        <v>0</v>
      </c>
      <c r="BJ606" s="1422"/>
      <c r="BK606" s="1511">
        <f t="shared" si="5"/>
        <v>0</v>
      </c>
      <c r="BL606" s="1512"/>
      <c r="BM606" s="3"/>
      <c r="BN606" s="1508">
        <f t="shared" si="6"/>
        <v>0</v>
      </c>
      <c r="BO606" s="1509"/>
      <c r="BP606" s="1509"/>
      <c r="BQ606" s="1509"/>
      <c r="BR606" s="1510"/>
      <c r="BS606" s="1396">
        <f t="shared" si="7"/>
        <v>0</v>
      </c>
      <c r="BT606" s="1396"/>
      <c r="BU606" s="1396"/>
      <c r="BV606" s="1396"/>
      <c r="BW606" s="1396"/>
      <c r="BX606" s="1396">
        <f t="shared" si="8"/>
        <v>0</v>
      </c>
      <c r="BY606" s="1396"/>
      <c r="BZ606" s="1396"/>
      <c r="CA606" s="1396"/>
      <c r="CB606" s="1396"/>
      <c r="CC606" s="1396">
        <f t="shared" si="9"/>
        <v>0</v>
      </c>
      <c r="CD606" s="1396"/>
      <c r="CE606" s="1396"/>
      <c r="CF606" s="1396"/>
      <c r="CG606" s="1396"/>
      <c r="CH606" s="1396">
        <f t="shared" si="10"/>
        <v>0</v>
      </c>
      <c r="CI606" s="1396"/>
      <c r="CJ606" s="1396"/>
      <c r="CK606" s="1396"/>
      <c r="CL606" s="1396"/>
      <c r="CM606" s="1396">
        <f t="shared" si="11"/>
        <v>0</v>
      </c>
      <c r="CN606" s="1396"/>
      <c r="CO606" s="1396"/>
      <c r="CP606" s="1396"/>
      <c r="CQ606" s="1396"/>
      <c r="CR606" s="6"/>
      <c r="CS606" s="1724">
        <f t="shared" si="12"/>
        <v>0</v>
      </c>
      <c r="CT606" s="1724"/>
      <c r="CU606" s="1724"/>
      <c r="CV606" s="1724"/>
      <c r="CW606" s="1724"/>
      <c r="CX606" s="1724">
        <f t="shared" si="13"/>
        <v>0</v>
      </c>
      <c r="CY606" s="1724"/>
      <c r="CZ606" s="1724"/>
      <c r="DA606" s="1724"/>
      <c r="DB606" s="1724"/>
      <c r="DC606" s="1724">
        <f t="shared" si="14"/>
        <v>0</v>
      </c>
      <c r="DD606" s="1724"/>
      <c r="DE606" s="1724"/>
      <c r="DF606" s="1724"/>
      <c r="DG606" s="1724"/>
      <c r="DH606" s="1724">
        <f t="shared" si="15"/>
        <v>0</v>
      </c>
      <c r="DI606" s="1724"/>
      <c r="DJ606" s="1724"/>
      <c r="DK606" s="1724"/>
      <c r="DL606" s="1724"/>
      <c r="DM606" s="1724">
        <f t="shared" si="16"/>
        <v>0</v>
      </c>
      <c r="DN606" s="1724"/>
      <c r="DO606" s="1724"/>
      <c r="DP606" s="1724"/>
      <c r="DQ606" s="1724"/>
      <c r="DR606" s="1724">
        <f t="shared" si="17"/>
        <v>0</v>
      </c>
      <c r="DS606" s="1724"/>
      <c r="DT606" s="1724"/>
      <c r="DU606" s="1724"/>
      <c r="DV606" s="1724"/>
      <c r="DX606" s="1421" t="str">
        <f t="shared" si="18"/>
        <v xml:space="preserve"> </v>
      </c>
      <c r="DY606" s="1855"/>
      <c r="DZ606" s="1855"/>
      <c r="EA606" s="1855"/>
      <c r="EB606" s="1422"/>
      <c r="EC606" s="1421" t="str">
        <f t="shared" si="19"/>
        <v xml:space="preserve"> </v>
      </c>
      <c r="ED606" s="1855"/>
      <c r="EE606" s="1855"/>
      <c r="EF606" s="1855"/>
      <c r="EG606" s="1422"/>
      <c r="EH606" s="1421" t="str">
        <f t="shared" si="20"/>
        <v xml:space="preserve"> </v>
      </c>
      <c r="EI606" s="1855"/>
      <c r="EJ606" s="1855"/>
      <c r="EK606" s="1855"/>
      <c r="EL606" s="1422"/>
      <c r="EM606" s="1421" t="str">
        <f t="shared" si="21"/>
        <v xml:space="preserve"> </v>
      </c>
      <c r="EN606" s="1855"/>
      <c r="EO606" s="1855"/>
      <c r="EP606" s="1855"/>
      <c r="EQ606" s="1422"/>
      <c r="ER606" s="1421" t="str">
        <f t="shared" si="22"/>
        <v xml:space="preserve"> </v>
      </c>
      <c r="ES606" s="1855"/>
      <c r="ET606" s="1855"/>
      <c r="EU606" s="1855"/>
      <c r="EV606" s="1422"/>
      <c r="EW606" s="1421" t="str">
        <f t="shared" si="23"/>
        <v xml:space="preserve"> </v>
      </c>
      <c r="EX606" s="1855"/>
      <c r="EY606" s="1855"/>
      <c r="EZ606" s="1855"/>
      <c r="FA606" s="1422"/>
    </row>
    <row r="607" spans="1:157" ht="12.95" customHeight="1">
      <c r="B607" t="s">
        <v>589</v>
      </c>
      <c r="G607" s="1395"/>
      <c r="H607" s="1395"/>
      <c r="I607" s="1395"/>
      <c r="J607" s="1395"/>
      <c r="K607" s="1395"/>
      <c r="L607" s="1395"/>
      <c r="M607" s="1395"/>
      <c r="N607" s="1395"/>
      <c r="O607" s="1395"/>
      <c r="P607" s="1395"/>
      <c r="Q607" s="1395"/>
      <c r="R607" s="1395"/>
      <c r="U607" t="s">
        <v>589</v>
      </c>
      <c r="Z607" s="1366"/>
      <c r="AA607" s="1366"/>
      <c r="AB607" s="1366"/>
      <c r="AC607" s="1366"/>
      <c r="AD607" s="1366"/>
      <c r="AE607" s="1366"/>
      <c r="AF607" s="1366"/>
      <c r="AG607" s="1366"/>
      <c r="AH607" s="1366"/>
      <c r="AI607" s="1366"/>
      <c r="AJ607" s="1366"/>
      <c r="AK607" s="1366"/>
      <c r="AZ607" s="3"/>
      <c r="BA607" s="3"/>
      <c r="BB607" s="3"/>
      <c r="BC607" s="3"/>
      <c r="BD607" s="3"/>
      <c r="BE607" s="1421">
        <f t="shared" si="2"/>
        <v>0</v>
      </c>
      <c r="BF607" s="1422"/>
      <c r="BG607" s="1511">
        <f t="shared" si="3"/>
        <v>0</v>
      </c>
      <c r="BH607" s="1512"/>
      <c r="BI607" s="1421">
        <f t="shared" si="4"/>
        <v>0</v>
      </c>
      <c r="BJ607" s="1422"/>
      <c r="BK607" s="1511">
        <f t="shared" si="5"/>
        <v>0</v>
      </c>
      <c r="BL607" s="1512"/>
      <c r="BM607" s="3"/>
      <c r="BN607" s="1508">
        <f t="shared" si="6"/>
        <v>0</v>
      </c>
      <c r="BO607" s="1509"/>
      <c r="BP607" s="1509"/>
      <c r="BQ607" s="1509"/>
      <c r="BR607" s="1510"/>
      <c r="BS607" s="1396">
        <f t="shared" si="7"/>
        <v>0</v>
      </c>
      <c r="BT607" s="1396"/>
      <c r="BU607" s="1396"/>
      <c r="BV607" s="1396"/>
      <c r="BW607" s="1396"/>
      <c r="BX607" s="1396">
        <f t="shared" si="8"/>
        <v>0</v>
      </c>
      <c r="BY607" s="1396"/>
      <c r="BZ607" s="1396"/>
      <c r="CA607" s="1396"/>
      <c r="CB607" s="1396"/>
      <c r="CC607" s="1396">
        <f t="shared" si="9"/>
        <v>0</v>
      </c>
      <c r="CD607" s="1396"/>
      <c r="CE607" s="1396"/>
      <c r="CF607" s="1396"/>
      <c r="CG607" s="1396"/>
      <c r="CH607" s="1396">
        <f t="shared" si="10"/>
        <v>0</v>
      </c>
      <c r="CI607" s="1396"/>
      <c r="CJ607" s="1396"/>
      <c r="CK607" s="1396"/>
      <c r="CL607" s="1396"/>
      <c r="CM607" s="1396">
        <f t="shared" si="11"/>
        <v>0</v>
      </c>
      <c r="CN607" s="1396"/>
      <c r="CO607" s="1396"/>
      <c r="CP607" s="1396"/>
      <c r="CQ607" s="1396"/>
      <c r="CR607" s="6"/>
      <c r="CS607" s="1724">
        <f t="shared" si="12"/>
        <v>0</v>
      </c>
      <c r="CT607" s="1724"/>
      <c r="CU607" s="1724"/>
      <c r="CV607" s="1724"/>
      <c r="CW607" s="1724"/>
      <c r="CX607" s="1724">
        <f t="shared" si="13"/>
        <v>0</v>
      </c>
      <c r="CY607" s="1724"/>
      <c r="CZ607" s="1724"/>
      <c r="DA607" s="1724"/>
      <c r="DB607" s="1724"/>
      <c r="DC607" s="1724">
        <f t="shared" si="14"/>
        <v>0</v>
      </c>
      <c r="DD607" s="1724"/>
      <c r="DE607" s="1724"/>
      <c r="DF607" s="1724"/>
      <c r="DG607" s="1724"/>
      <c r="DH607" s="1724">
        <f t="shared" si="15"/>
        <v>0</v>
      </c>
      <c r="DI607" s="1724"/>
      <c r="DJ607" s="1724"/>
      <c r="DK607" s="1724"/>
      <c r="DL607" s="1724"/>
      <c r="DM607" s="1724">
        <f t="shared" si="16"/>
        <v>0</v>
      </c>
      <c r="DN607" s="1724"/>
      <c r="DO607" s="1724"/>
      <c r="DP607" s="1724"/>
      <c r="DQ607" s="1724"/>
      <c r="DR607" s="1724">
        <f t="shared" si="17"/>
        <v>0</v>
      </c>
      <c r="DS607" s="1724"/>
      <c r="DT607" s="1724"/>
      <c r="DU607" s="1724"/>
      <c r="DV607" s="1724"/>
      <c r="DX607" s="1421" t="str">
        <f t="shared" si="18"/>
        <v xml:space="preserve"> </v>
      </c>
      <c r="DY607" s="1855"/>
      <c r="DZ607" s="1855"/>
      <c r="EA607" s="1855"/>
      <c r="EB607" s="1422"/>
      <c r="EC607" s="1421" t="str">
        <f t="shared" si="19"/>
        <v xml:space="preserve"> </v>
      </c>
      <c r="ED607" s="1855"/>
      <c r="EE607" s="1855"/>
      <c r="EF607" s="1855"/>
      <c r="EG607" s="1422"/>
      <c r="EH607" s="1421" t="str">
        <f t="shared" si="20"/>
        <v xml:space="preserve"> </v>
      </c>
      <c r="EI607" s="1855"/>
      <c r="EJ607" s="1855"/>
      <c r="EK607" s="1855"/>
      <c r="EL607" s="1422"/>
      <c r="EM607" s="1421" t="str">
        <f t="shared" si="21"/>
        <v xml:space="preserve"> </v>
      </c>
      <c r="EN607" s="1855"/>
      <c r="EO607" s="1855"/>
      <c r="EP607" s="1855"/>
      <c r="EQ607" s="1422"/>
      <c r="ER607" s="1421" t="str">
        <f t="shared" si="22"/>
        <v xml:space="preserve"> </v>
      </c>
      <c r="ES607" s="1855"/>
      <c r="ET607" s="1855"/>
      <c r="EU607" s="1855"/>
      <c r="EV607" s="1422"/>
      <c r="EW607" s="1421" t="str">
        <f t="shared" si="23"/>
        <v xml:space="preserve"> </v>
      </c>
      <c r="EX607" s="1855"/>
      <c r="EY607" s="1855"/>
      <c r="EZ607" s="1855"/>
      <c r="FA607" s="1422"/>
    </row>
    <row r="608" spans="1:157" ht="12.95" customHeight="1">
      <c r="B608" t="s">
        <v>17</v>
      </c>
      <c r="G608" s="1395"/>
      <c r="H608" s="1395"/>
      <c r="I608" s="1395"/>
      <c r="J608" s="1395"/>
      <c r="K608" s="1395"/>
      <c r="L608" s="1395"/>
      <c r="M608" s="1395"/>
      <c r="N608" s="1395"/>
      <c r="O608" s="1395"/>
      <c r="P608" s="1395"/>
      <c r="Q608" s="1395"/>
      <c r="R608" s="1395"/>
      <c r="U608" t="s">
        <v>17</v>
      </c>
      <c r="Z608" s="1366"/>
      <c r="AA608" s="1366"/>
      <c r="AB608" s="1366"/>
      <c r="AC608" s="1366"/>
      <c r="AD608" s="1366"/>
      <c r="AE608" s="1366"/>
      <c r="AF608" s="1366"/>
      <c r="AG608" s="1366"/>
      <c r="AH608" s="1366"/>
      <c r="AI608" s="1366"/>
      <c r="AJ608" s="1366"/>
      <c r="AK608" s="1366"/>
      <c r="AZ608" s="3"/>
      <c r="BA608" s="3"/>
      <c r="BB608" s="3"/>
      <c r="BC608" s="3"/>
      <c r="BD608" s="3"/>
      <c r="BE608" s="1421">
        <f t="shared" si="2"/>
        <v>0</v>
      </c>
      <c r="BF608" s="1422"/>
      <c r="BG608" s="1511">
        <f t="shared" si="3"/>
        <v>0</v>
      </c>
      <c r="BH608" s="1512"/>
      <c r="BI608" s="1421">
        <f t="shared" si="4"/>
        <v>0</v>
      </c>
      <c r="BJ608" s="1422"/>
      <c r="BK608" s="1511">
        <f t="shared" si="5"/>
        <v>0</v>
      </c>
      <c r="BL608" s="1512"/>
      <c r="BM608" s="3"/>
      <c r="BN608" s="1508">
        <f t="shared" si="6"/>
        <v>0</v>
      </c>
      <c r="BO608" s="1509"/>
      <c r="BP608" s="1509"/>
      <c r="BQ608" s="1509"/>
      <c r="BR608" s="1510"/>
      <c r="BS608" s="1396">
        <f t="shared" si="7"/>
        <v>0</v>
      </c>
      <c r="BT608" s="1396"/>
      <c r="BU608" s="1396"/>
      <c r="BV608" s="1396"/>
      <c r="BW608" s="1396"/>
      <c r="BX608" s="1396">
        <f t="shared" si="8"/>
        <v>0</v>
      </c>
      <c r="BY608" s="1396"/>
      <c r="BZ608" s="1396"/>
      <c r="CA608" s="1396"/>
      <c r="CB608" s="1396"/>
      <c r="CC608" s="1396">
        <f t="shared" si="9"/>
        <v>0</v>
      </c>
      <c r="CD608" s="1396"/>
      <c r="CE608" s="1396"/>
      <c r="CF608" s="1396"/>
      <c r="CG608" s="1396"/>
      <c r="CH608" s="1396">
        <f t="shared" si="10"/>
        <v>0</v>
      </c>
      <c r="CI608" s="1396"/>
      <c r="CJ608" s="1396"/>
      <c r="CK608" s="1396"/>
      <c r="CL608" s="1396"/>
      <c r="CM608" s="1396">
        <f t="shared" si="11"/>
        <v>0</v>
      </c>
      <c r="CN608" s="1396"/>
      <c r="CO608" s="1396"/>
      <c r="CP608" s="1396"/>
      <c r="CQ608" s="1396"/>
      <c r="CR608" s="6"/>
      <c r="CS608" s="1724">
        <f t="shared" si="12"/>
        <v>0</v>
      </c>
      <c r="CT608" s="1724"/>
      <c r="CU608" s="1724"/>
      <c r="CV608" s="1724"/>
      <c r="CW608" s="1724"/>
      <c r="CX608" s="1724">
        <f t="shared" si="13"/>
        <v>0</v>
      </c>
      <c r="CY608" s="1724"/>
      <c r="CZ608" s="1724"/>
      <c r="DA608" s="1724"/>
      <c r="DB608" s="1724"/>
      <c r="DC608" s="1724">
        <f t="shared" si="14"/>
        <v>0</v>
      </c>
      <c r="DD608" s="1724"/>
      <c r="DE608" s="1724"/>
      <c r="DF608" s="1724"/>
      <c r="DG608" s="1724"/>
      <c r="DH608" s="1724">
        <f t="shared" si="15"/>
        <v>0</v>
      </c>
      <c r="DI608" s="1724"/>
      <c r="DJ608" s="1724"/>
      <c r="DK608" s="1724"/>
      <c r="DL608" s="1724"/>
      <c r="DM608" s="1724">
        <f t="shared" si="16"/>
        <v>0</v>
      </c>
      <c r="DN608" s="1724"/>
      <c r="DO608" s="1724"/>
      <c r="DP608" s="1724"/>
      <c r="DQ608" s="1724"/>
      <c r="DR608" s="1724">
        <f t="shared" si="17"/>
        <v>0</v>
      </c>
      <c r="DS608" s="1724"/>
      <c r="DT608" s="1724"/>
      <c r="DU608" s="1724"/>
      <c r="DV608" s="1724"/>
      <c r="DX608" s="1421" t="str">
        <f t="shared" si="18"/>
        <v xml:space="preserve"> </v>
      </c>
      <c r="DY608" s="1855"/>
      <c r="DZ608" s="1855"/>
      <c r="EA608" s="1855"/>
      <c r="EB608" s="1422"/>
      <c r="EC608" s="1421" t="str">
        <f t="shared" si="19"/>
        <v xml:space="preserve"> </v>
      </c>
      <c r="ED608" s="1855"/>
      <c r="EE608" s="1855"/>
      <c r="EF608" s="1855"/>
      <c r="EG608" s="1422"/>
      <c r="EH608" s="1421" t="str">
        <f t="shared" si="20"/>
        <v xml:space="preserve"> </v>
      </c>
      <c r="EI608" s="1855"/>
      <c r="EJ608" s="1855"/>
      <c r="EK608" s="1855"/>
      <c r="EL608" s="1422"/>
      <c r="EM608" s="1421" t="str">
        <f t="shared" si="21"/>
        <v xml:space="preserve"> </v>
      </c>
      <c r="EN608" s="1855"/>
      <c r="EO608" s="1855"/>
      <c r="EP608" s="1855"/>
      <c r="EQ608" s="1422"/>
      <c r="ER608" s="1421" t="str">
        <f t="shared" si="22"/>
        <v xml:space="preserve"> </v>
      </c>
      <c r="ES608" s="1855"/>
      <c r="ET608" s="1855"/>
      <c r="EU608" s="1855"/>
      <c r="EV608" s="1422"/>
      <c r="EW608" s="1421" t="str">
        <f t="shared" si="23"/>
        <v xml:space="preserve"> </v>
      </c>
      <c r="EX608" s="1855"/>
      <c r="EY608" s="1855"/>
      <c r="EZ608" s="1855"/>
      <c r="FA608" s="1422"/>
    </row>
    <row r="609" spans="1:157" ht="12.95" customHeight="1">
      <c r="B609" t="s">
        <v>318</v>
      </c>
      <c r="G609" s="1437"/>
      <c r="H609" s="1437"/>
      <c r="I609" s="1437"/>
      <c r="J609" s="1437"/>
      <c r="K609" s="1437"/>
      <c r="L609" s="1437"/>
      <c r="O609" s="33" t="s">
        <v>208</v>
      </c>
      <c r="P609" s="1466"/>
      <c r="Q609" s="1466"/>
      <c r="R609" s="1466"/>
      <c r="U609" t="s">
        <v>318</v>
      </c>
      <c r="Z609" s="1437"/>
      <c r="AA609" s="1437"/>
      <c r="AB609" s="1437"/>
      <c r="AC609" s="1437"/>
      <c r="AD609" s="1437"/>
      <c r="AE609" s="1437"/>
      <c r="AH609" s="33" t="s">
        <v>208</v>
      </c>
      <c r="AI609" s="1466"/>
      <c r="AJ609" s="1466"/>
      <c r="AK609" s="1466"/>
      <c r="AZ609" s="3"/>
      <c r="BA609" s="3"/>
      <c r="BB609" s="3"/>
      <c r="BC609" s="3"/>
      <c r="BD609" s="3"/>
      <c r="BE609" s="1421">
        <f t="shared" si="2"/>
        <v>0</v>
      </c>
      <c r="BF609" s="1422"/>
      <c r="BG609" s="1511">
        <f t="shared" si="3"/>
        <v>0</v>
      </c>
      <c r="BH609" s="1512"/>
      <c r="BI609" s="1421">
        <f t="shared" si="4"/>
        <v>0</v>
      </c>
      <c r="BJ609" s="1422"/>
      <c r="BK609" s="1511">
        <f t="shared" si="5"/>
        <v>0</v>
      </c>
      <c r="BL609" s="1512"/>
      <c r="BM609" s="3"/>
      <c r="BN609" s="1508">
        <f t="shared" si="6"/>
        <v>0</v>
      </c>
      <c r="BO609" s="1509"/>
      <c r="BP609" s="1509"/>
      <c r="BQ609" s="1509"/>
      <c r="BR609" s="1510"/>
      <c r="BS609" s="1396">
        <f t="shared" si="7"/>
        <v>0</v>
      </c>
      <c r="BT609" s="1396"/>
      <c r="BU609" s="1396"/>
      <c r="BV609" s="1396"/>
      <c r="BW609" s="1396"/>
      <c r="BX609" s="1396">
        <f t="shared" si="8"/>
        <v>0</v>
      </c>
      <c r="BY609" s="1396"/>
      <c r="BZ609" s="1396"/>
      <c r="CA609" s="1396"/>
      <c r="CB609" s="1396"/>
      <c r="CC609" s="1396">
        <f t="shared" si="9"/>
        <v>0</v>
      </c>
      <c r="CD609" s="1396"/>
      <c r="CE609" s="1396"/>
      <c r="CF609" s="1396"/>
      <c r="CG609" s="1396"/>
      <c r="CH609" s="1396">
        <f t="shared" si="10"/>
        <v>0</v>
      </c>
      <c r="CI609" s="1396"/>
      <c r="CJ609" s="1396"/>
      <c r="CK609" s="1396"/>
      <c r="CL609" s="1396"/>
      <c r="CM609" s="1396">
        <f t="shared" si="11"/>
        <v>0</v>
      </c>
      <c r="CN609" s="1396"/>
      <c r="CO609" s="1396"/>
      <c r="CP609" s="1396"/>
      <c r="CQ609" s="1396"/>
      <c r="CR609" s="6"/>
      <c r="CS609" s="1724">
        <f t="shared" si="12"/>
        <v>0</v>
      </c>
      <c r="CT609" s="1724"/>
      <c r="CU609" s="1724"/>
      <c r="CV609" s="1724"/>
      <c r="CW609" s="1724"/>
      <c r="CX609" s="1724">
        <f t="shared" si="13"/>
        <v>0</v>
      </c>
      <c r="CY609" s="1724"/>
      <c r="CZ609" s="1724"/>
      <c r="DA609" s="1724"/>
      <c r="DB609" s="1724"/>
      <c r="DC609" s="1724">
        <f t="shared" si="14"/>
        <v>0</v>
      </c>
      <c r="DD609" s="1724"/>
      <c r="DE609" s="1724"/>
      <c r="DF609" s="1724"/>
      <c r="DG609" s="1724"/>
      <c r="DH609" s="1724">
        <f t="shared" si="15"/>
        <v>0</v>
      </c>
      <c r="DI609" s="1724"/>
      <c r="DJ609" s="1724"/>
      <c r="DK609" s="1724"/>
      <c r="DL609" s="1724"/>
      <c r="DM609" s="1724">
        <f t="shared" si="16"/>
        <v>0</v>
      </c>
      <c r="DN609" s="1724"/>
      <c r="DO609" s="1724"/>
      <c r="DP609" s="1724"/>
      <c r="DQ609" s="1724"/>
      <c r="DR609" s="1724">
        <f t="shared" si="17"/>
        <v>0</v>
      </c>
      <c r="DS609" s="1724"/>
      <c r="DT609" s="1724"/>
      <c r="DU609" s="1724"/>
      <c r="DV609" s="1724"/>
      <c r="DX609" s="1421" t="str">
        <f t="shared" si="18"/>
        <v xml:space="preserve"> </v>
      </c>
      <c r="DY609" s="1855"/>
      <c r="DZ609" s="1855"/>
      <c r="EA609" s="1855"/>
      <c r="EB609" s="1422"/>
      <c r="EC609" s="1421" t="str">
        <f t="shared" si="19"/>
        <v xml:space="preserve"> </v>
      </c>
      <c r="ED609" s="1855"/>
      <c r="EE609" s="1855"/>
      <c r="EF609" s="1855"/>
      <c r="EG609" s="1422"/>
      <c r="EH609" s="1421" t="str">
        <f t="shared" si="20"/>
        <v xml:space="preserve"> </v>
      </c>
      <c r="EI609" s="1855"/>
      <c r="EJ609" s="1855"/>
      <c r="EK609" s="1855"/>
      <c r="EL609" s="1422"/>
      <c r="EM609" s="1421" t="str">
        <f t="shared" si="21"/>
        <v xml:space="preserve"> </v>
      </c>
      <c r="EN609" s="1855"/>
      <c r="EO609" s="1855"/>
      <c r="EP609" s="1855"/>
      <c r="EQ609" s="1422"/>
      <c r="ER609" s="1421" t="str">
        <f t="shared" si="22"/>
        <v xml:space="preserve"> </v>
      </c>
      <c r="ES609" s="1855"/>
      <c r="ET609" s="1855"/>
      <c r="EU609" s="1855"/>
      <c r="EV609" s="1422"/>
      <c r="EW609" s="1421" t="str">
        <f t="shared" si="23"/>
        <v xml:space="preserve"> </v>
      </c>
      <c r="EX609" s="1855"/>
      <c r="EY609" s="1855"/>
      <c r="EZ609" s="1855"/>
      <c r="FA609" s="1422"/>
    </row>
    <row r="610" spans="1:157" ht="12.95" customHeight="1">
      <c r="B610" t="s">
        <v>18</v>
      </c>
      <c r="H610" s="1395"/>
      <c r="I610" s="1395"/>
      <c r="J610" s="1395"/>
      <c r="K610" s="1395"/>
      <c r="L610" s="1395"/>
      <c r="M610" s="1395"/>
      <c r="N610" s="1395"/>
      <c r="O610" s="1395"/>
      <c r="P610" s="1395"/>
      <c r="Q610" s="1395"/>
      <c r="R610" s="1395"/>
      <c r="U610" t="s">
        <v>18</v>
      </c>
      <c r="AA610" s="1395"/>
      <c r="AB610" s="1395"/>
      <c r="AC610" s="1395"/>
      <c r="AD610" s="1395"/>
      <c r="AE610" s="1395"/>
      <c r="AF610" s="1395"/>
      <c r="AG610" s="1395"/>
      <c r="AH610" s="1395"/>
      <c r="AI610" s="1395"/>
      <c r="AJ610" s="1395"/>
      <c r="AK610" s="1395"/>
      <c r="AZ610" s="3"/>
      <c r="BA610" s="3"/>
      <c r="BB610" s="3"/>
      <c r="BC610" s="3"/>
      <c r="BD610" s="3"/>
      <c r="BE610" s="1421">
        <f t="shared" si="2"/>
        <v>0</v>
      </c>
      <c r="BF610" s="1422"/>
      <c r="BG610" s="1511">
        <f t="shared" si="3"/>
        <v>0</v>
      </c>
      <c r="BH610" s="1512"/>
      <c r="BI610" s="1421">
        <f t="shared" si="4"/>
        <v>0</v>
      </c>
      <c r="BJ610" s="1422"/>
      <c r="BK610" s="1511">
        <f t="shared" si="5"/>
        <v>0</v>
      </c>
      <c r="BL610" s="1512"/>
      <c r="BM610" s="3"/>
      <c r="BN610" s="1508">
        <f t="shared" si="6"/>
        <v>0</v>
      </c>
      <c r="BO610" s="1509"/>
      <c r="BP610" s="1509"/>
      <c r="BQ610" s="1509"/>
      <c r="BR610" s="1510"/>
      <c r="BS610" s="1396">
        <f t="shared" si="7"/>
        <v>0</v>
      </c>
      <c r="BT610" s="1396"/>
      <c r="BU610" s="1396"/>
      <c r="BV610" s="1396"/>
      <c r="BW610" s="1396"/>
      <c r="BX610" s="1396">
        <f t="shared" si="8"/>
        <v>0</v>
      </c>
      <c r="BY610" s="1396"/>
      <c r="BZ610" s="1396"/>
      <c r="CA610" s="1396"/>
      <c r="CB610" s="1396"/>
      <c r="CC610" s="1396">
        <f t="shared" si="9"/>
        <v>0</v>
      </c>
      <c r="CD610" s="1396"/>
      <c r="CE610" s="1396"/>
      <c r="CF610" s="1396"/>
      <c r="CG610" s="1396"/>
      <c r="CH610" s="1396">
        <f t="shared" si="10"/>
        <v>0</v>
      </c>
      <c r="CI610" s="1396"/>
      <c r="CJ610" s="1396"/>
      <c r="CK610" s="1396"/>
      <c r="CL610" s="1396"/>
      <c r="CM610" s="1396">
        <f t="shared" si="11"/>
        <v>0</v>
      </c>
      <c r="CN610" s="1396"/>
      <c r="CO610" s="1396"/>
      <c r="CP610" s="1396"/>
      <c r="CQ610" s="1396"/>
      <c r="CR610" s="6"/>
      <c r="CS610" s="1724">
        <f t="shared" si="12"/>
        <v>0</v>
      </c>
      <c r="CT610" s="1724"/>
      <c r="CU610" s="1724"/>
      <c r="CV610" s="1724"/>
      <c r="CW610" s="1724"/>
      <c r="CX610" s="1724">
        <f t="shared" si="13"/>
        <v>0</v>
      </c>
      <c r="CY610" s="1724"/>
      <c r="CZ610" s="1724"/>
      <c r="DA610" s="1724"/>
      <c r="DB610" s="1724"/>
      <c r="DC610" s="1724">
        <f t="shared" si="14"/>
        <v>0</v>
      </c>
      <c r="DD610" s="1724"/>
      <c r="DE610" s="1724"/>
      <c r="DF610" s="1724"/>
      <c r="DG610" s="1724"/>
      <c r="DH610" s="1724">
        <f t="shared" si="15"/>
        <v>0</v>
      </c>
      <c r="DI610" s="1724"/>
      <c r="DJ610" s="1724"/>
      <c r="DK610" s="1724"/>
      <c r="DL610" s="1724"/>
      <c r="DM610" s="1724">
        <f t="shared" si="16"/>
        <v>0</v>
      </c>
      <c r="DN610" s="1724"/>
      <c r="DO610" s="1724"/>
      <c r="DP610" s="1724"/>
      <c r="DQ610" s="1724"/>
      <c r="DR610" s="1724">
        <f t="shared" si="17"/>
        <v>0</v>
      </c>
      <c r="DS610" s="1724"/>
      <c r="DT610" s="1724"/>
      <c r="DU610" s="1724"/>
      <c r="DV610" s="1724"/>
      <c r="DX610" s="1421" t="str">
        <f t="shared" si="18"/>
        <v xml:space="preserve"> </v>
      </c>
      <c r="DY610" s="1855"/>
      <c r="DZ610" s="1855"/>
      <c r="EA610" s="1855"/>
      <c r="EB610" s="1422"/>
      <c r="EC610" s="1421" t="str">
        <f t="shared" si="19"/>
        <v xml:space="preserve"> </v>
      </c>
      <c r="ED610" s="1855"/>
      <c r="EE610" s="1855"/>
      <c r="EF610" s="1855"/>
      <c r="EG610" s="1422"/>
      <c r="EH610" s="1421" t="str">
        <f t="shared" si="20"/>
        <v xml:space="preserve"> </v>
      </c>
      <c r="EI610" s="1855"/>
      <c r="EJ610" s="1855"/>
      <c r="EK610" s="1855"/>
      <c r="EL610" s="1422"/>
      <c r="EM610" s="1421" t="str">
        <f t="shared" si="21"/>
        <v xml:space="preserve"> </v>
      </c>
      <c r="EN610" s="1855"/>
      <c r="EO610" s="1855"/>
      <c r="EP610" s="1855"/>
      <c r="EQ610" s="1422"/>
      <c r="ER610" s="1421" t="str">
        <f t="shared" si="22"/>
        <v xml:space="preserve"> </v>
      </c>
      <c r="ES610" s="1855"/>
      <c r="ET610" s="1855"/>
      <c r="EU610" s="1855"/>
      <c r="EV610" s="1422"/>
      <c r="EW610" s="1421" t="str">
        <f t="shared" si="23"/>
        <v xml:space="preserve"> </v>
      </c>
      <c r="EX610" s="1855"/>
      <c r="EY610" s="1855"/>
      <c r="EZ610" s="1855"/>
      <c r="FA610" s="1422"/>
    </row>
    <row r="611" spans="1:157" ht="12.95" customHeight="1">
      <c r="B611" t="s">
        <v>20</v>
      </c>
      <c r="N611" s="1373" t="s">
        <v>678</v>
      </c>
      <c r="O611" s="1373"/>
      <c r="U611" t="s">
        <v>20</v>
      </c>
      <c r="AG611" s="1373" t="s">
        <v>678</v>
      </c>
      <c r="AH611" s="1373"/>
      <c r="AZ611" s="3"/>
      <c r="BA611" s="3"/>
      <c r="BB611" s="3"/>
      <c r="BC611" s="3"/>
      <c r="BD611" s="3"/>
      <c r="BE611" s="1421">
        <f t="shared" si="2"/>
        <v>0</v>
      </c>
      <c r="BF611" s="1422"/>
      <c r="BG611" s="1511">
        <f t="shared" si="3"/>
        <v>0</v>
      </c>
      <c r="BH611" s="1512"/>
      <c r="BI611" s="1421">
        <f t="shared" si="4"/>
        <v>0</v>
      </c>
      <c r="BJ611" s="1422"/>
      <c r="BK611" s="1511">
        <f t="shared" si="5"/>
        <v>0</v>
      </c>
      <c r="BL611" s="1512"/>
      <c r="BM611" s="3"/>
      <c r="BN611" s="1508">
        <f t="shared" si="6"/>
        <v>0</v>
      </c>
      <c r="BO611" s="1509"/>
      <c r="BP611" s="1509"/>
      <c r="BQ611" s="1509"/>
      <c r="BR611" s="1510"/>
      <c r="BS611" s="1396">
        <f t="shared" si="7"/>
        <v>0</v>
      </c>
      <c r="BT611" s="1396"/>
      <c r="BU611" s="1396"/>
      <c r="BV611" s="1396"/>
      <c r="BW611" s="1396"/>
      <c r="BX611" s="1396">
        <f t="shared" si="8"/>
        <v>0</v>
      </c>
      <c r="BY611" s="1396"/>
      <c r="BZ611" s="1396"/>
      <c r="CA611" s="1396"/>
      <c r="CB611" s="1396"/>
      <c r="CC611" s="1396">
        <f t="shared" si="9"/>
        <v>0</v>
      </c>
      <c r="CD611" s="1396"/>
      <c r="CE611" s="1396"/>
      <c r="CF611" s="1396"/>
      <c r="CG611" s="1396"/>
      <c r="CH611" s="1396">
        <f t="shared" si="10"/>
        <v>0</v>
      </c>
      <c r="CI611" s="1396"/>
      <c r="CJ611" s="1396"/>
      <c r="CK611" s="1396"/>
      <c r="CL611" s="1396"/>
      <c r="CM611" s="1396">
        <f t="shared" si="11"/>
        <v>0</v>
      </c>
      <c r="CN611" s="1396"/>
      <c r="CO611" s="1396"/>
      <c r="CP611" s="1396"/>
      <c r="CQ611" s="1396"/>
      <c r="CR611" s="6"/>
      <c r="CS611" s="1724">
        <f t="shared" si="12"/>
        <v>0</v>
      </c>
      <c r="CT611" s="1724"/>
      <c r="CU611" s="1724"/>
      <c r="CV611" s="1724"/>
      <c r="CW611" s="1724"/>
      <c r="CX611" s="1724">
        <f t="shared" si="13"/>
        <v>0</v>
      </c>
      <c r="CY611" s="1724"/>
      <c r="CZ611" s="1724"/>
      <c r="DA611" s="1724"/>
      <c r="DB611" s="1724"/>
      <c r="DC611" s="1724">
        <f t="shared" si="14"/>
        <v>0</v>
      </c>
      <c r="DD611" s="1724"/>
      <c r="DE611" s="1724"/>
      <c r="DF611" s="1724"/>
      <c r="DG611" s="1724"/>
      <c r="DH611" s="1724">
        <f t="shared" si="15"/>
        <v>0</v>
      </c>
      <c r="DI611" s="1724"/>
      <c r="DJ611" s="1724"/>
      <c r="DK611" s="1724"/>
      <c r="DL611" s="1724"/>
      <c r="DM611" s="1724">
        <f t="shared" si="16"/>
        <v>0</v>
      </c>
      <c r="DN611" s="1724"/>
      <c r="DO611" s="1724"/>
      <c r="DP611" s="1724"/>
      <c r="DQ611" s="1724"/>
      <c r="DR611" s="1724">
        <f t="shared" si="17"/>
        <v>0</v>
      </c>
      <c r="DS611" s="1724"/>
      <c r="DT611" s="1724"/>
      <c r="DU611" s="1724"/>
      <c r="DV611" s="1724"/>
      <c r="DX611" s="1421" t="str">
        <f t="shared" si="18"/>
        <v xml:space="preserve"> </v>
      </c>
      <c r="DY611" s="1855"/>
      <c r="DZ611" s="1855"/>
      <c r="EA611" s="1855"/>
      <c r="EB611" s="1422"/>
      <c r="EC611" s="1421" t="str">
        <f t="shared" si="19"/>
        <v xml:space="preserve"> </v>
      </c>
      <c r="ED611" s="1855"/>
      <c r="EE611" s="1855"/>
      <c r="EF611" s="1855"/>
      <c r="EG611" s="1422"/>
      <c r="EH611" s="1421" t="str">
        <f t="shared" si="20"/>
        <v xml:space="preserve"> </v>
      </c>
      <c r="EI611" s="1855"/>
      <c r="EJ611" s="1855"/>
      <c r="EK611" s="1855"/>
      <c r="EL611" s="1422"/>
      <c r="EM611" s="1421" t="str">
        <f t="shared" si="21"/>
        <v xml:space="preserve"> </v>
      </c>
      <c r="EN611" s="1855"/>
      <c r="EO611" s="1855"/>
      <c r="EP611" s="1855"/>
      <c r="EQ611" s="1422"/>
      <c r="ER611" s="1421" t="str">
        <f t="shared" si="22"/>
        <v xml:space="preserve"> </v>
      </c>
      <c r="ES611" s="1855"/>
      <c r="ET611" s="1855"/>
      <c r="EU611" s="1855"/>
      <c r="EV611" s="1422"/>
      <c r="EW611" s="1421" t="str">
        <f t="shared" si="23"/>
        <v xml:space="preserve"> </v>
      </c>
      <c r="EX611" s="1855"/>
      <c r="EY611" s="1855"/>
      <c r="EZ611" s="1855"/>
      <c r="FA611" s="1422"/>
    </row>
    <row r="612" spans="1:157" ht="12.95" customHeight="1">
      <c r="AZ612" s="3"/>
      <c r="BA612" s="3"/>
      <c r="BB612" s="3"/>
      <c r="BC612" s="3"/>
      <c r="BD612" s="3"/>
      <c r="BE612" s="1421">
        <f t="shared" si="2"/>
        <v>0</v>
      </c>
      <c r="BF612" s="1422"/>
      <c r="BG612" s="1511">
        <f t="shared" si="3"/>
        <v>0</v>
      </c>
      <c r="BH612" s="1512"/>
      <c r="BI612" s="1421">
        <f t="shared" si="4"/>
        <v>0</v>
      </c>
      <c r="BJ612" s="1422"/>
      <c r="BK612" s="1511">
        <f t="shared" si="5"/>
        <v>0</v>
      </c>
      <c r="BL612" s="1512"/>
      <c r="BM612" s="3"/>
      <c r="BN612" s="1508">
        <f t="shared" si="6"/>
        <v>0</v>
      </c>
      <c r="BO612" s="1509"/>
      <c r="BP612" s="1509"/>
      <c r="BQ612" s="1509"/>
      <c r="BR612" s="1510"/>
      <c r="BS612" s="1396">
        <f t="shared" si="7"/>
        <v>0</v>
      </c>
      <c r="BT612" s="1396"/>
      <c r="BU612" s="1396"/>
      <c r="BV612" s="1396"/>
      <c r="BW612" s="1396"/>
      <c r="BX612" s="1396">
        <f t="shared" si="8"/>
        <v>0</v>
      </c>
      <c r="BY612" s="1396"/>
      <c r="BZ612" s="1396"/>
      <c r="CA612" s="1396"/>
      <c r="CB612" s="1396"/>
      <c r="CC612" s="1396">
        <f t="shared" si="9"/>
        <v>0</v>
      </c>
      <c r="CD612" s="1396"/>
      <c r="CE612" s="1396"/>
      <c r="CF612" s="1396"/>
      <c r="CG612" s="1396"/>
      <c r="CH612" s="1396">
        <f t="shared" si="10"/>
        <v>0</v>
      </c>
      <c r="CI612" s="1396"/>
      <c r="CJ612" s="1396"/>
      <c r="CK612" s="1396"/>
      <c r="CL612" s="1396"/>
      <c r="CM612" s="1396">
        <f t="shared" si="11"/>
        <v>0</v>
      </c>
      <c r="CN612" s="1396"/>
      <c r="CO612" s="1396"/>
      <c r="CP612" s="1396"/>
      <c r="CQ612" s="1396"/>
      <c r="CR612" s="6"/>
      <c r="CS612" s="1724">
        <f t="shared" si="12"/>
        <v>0</v>
      </c>
      <c r="CT612" s="1724"/>
      <c r="CU612" s="1724"/>
      <c r="CV612" s="1724"/>
      <c r="CW612" s="1724"/>
      <c r="CX612" s="1724">
        <f t="shared" si="13"/>
        <v>0</v>
      </c>
      <c r="CY612" s="1724"/>
      <c r="CZ612" s="1724"/>
      <c r="DA612" s="1724"/>
      <c r="DB612" s="1724"/>
      <c r="DC612" s="1724">
        <f t="shared" si="14"/>
        <v>0</v>
      </c>
      <c r="DD612" s="1724"/>
      <c r="DE612" s="1724"/>
      <c r="DF612" s="1724"/>
      <c r="DG612" s="1724"/>
      <c r="DH612" s="1724">
        <f t="shared" si="15"/>
        <v>0</v>
      </c>
      <c r="DI612" s="1724"/>
      <c r="DJ612" s="1724"/>
      <c r="DK612" s="1724"/>
      <c r="DL612" s="1724"/>
      <c r="DM612" s="1724">
        <f t="shared" si="16"/>
        <v>0</v>
      </c>
      <c r="DN612" s="1724"/>
      <c r="DO612" s="1724"/>
      <c r="DP612" s="1724"/>
      <c r="DQ612" s="1724"/>
      <c r="DR612" s="1724">
        <f t="shared" si="17"/>
        <v>0</v>
      </c>
      <c r="DS612" s="1724"/>
      <c r="DT612" s="1724"/>
      <c r="DU612" s="1724"/>
      <c r="DV612" s="1724"/>
      <c r="DX612" s="1421" t="str">
        <f t="shared" si="18"/>
        <v xml:space="preserve"> </v>
      </c>
      <c r="DY612" s="1855"/>
      <c r="DZ612" s="1855"/>
      <c r="EA612" s="1855"/>
      <c r="EB612" s="1422"/>
      <c r="EC612" s="1421" t="str">
        <f t="shared" si="19"/>
        <v xml:space="preserve"> </v>
      </c>
      <c r="ED612" s="1855"/>
      <c r="EE612" s="1855"/>
      <c r="EF612" s="1855"/>
      <c r="EG612" s="1422"/>
      <c r="EH612" s="1421" t="str">
        <f t="shared" si="20"/>
        <v xml:space="preserve"> </v>
      </c>
      <c r="EI612" s="1855"/>
      <c r="EJ612" s="1855"/>
      <c r="EK612" s="1855"/>
      <c r="EL612" s="1422"/>
      <c r="EM612" s="1421" t="str">
        <f t="shared" si="21"/>
        <v xml:space="preserve"> </v>
      </c>
      <c r="EN612" s="1855"/>
      <c r="EO612" s="1855"/>
      <c r="EP612" s="1855"/>
      <c r="EQ612" s="1422"/>
      <c r="ER612" s="1421" t="str">
        <f t="shared" si="22"/>
        <v xml:space="preserve"> </v>
      </c>
      <c r="ES612" s="1855"/>
      <c r="ET612" s="1855"/>
      <c r="EU612" s="1855"/>
      <c r="EV612" s="1422"/>
      <c r="EW612" s="1421" t="str">
        <f t="shared" si="23"/>
        <v xml:space="preserve"> </v>
      </c>
      <c r="EX612" s="1855"/>
      <c r="EY612" s="1855"/>
      <c r="EZ612" s="1855"/>
      <c r="FA612" s="1422"/>
    </row>
    <row r="613" spans="1:157" ht="12.95" customHeight="1">
      <c r="A613" s="1270" t="s">
        <v>553</v>
      </c>
      <c r="B613" s="1270"/>
      <c r="C613" s="1270"/>
      <c r="D613" s="1270"/>
      <c r="E613" s="1270"/>
      <c r="F613" s="1270"/>
      <c r="G613" s="1270"/>
      <c r="H613" s="1270"/>
      <c r="I613" s="1270"/>
      <c r="J613" s="1270"/>
      <c r="K613" s="1270"/>
      <c r="L613" s="1270"/>
      <c r="M613" s="1270"/>
      <c r="N613" s="1270"/>
      <c r="O613" s="1270"/>
      <c r="P613" s="1270"/>
      <c r="Q613" s="1270"/>
      <c r="R613" s="1270"/>
      <c r="S613" s="1270"/>
      <c r="T613" s="1270"/>
      <c r="U613" s="1270"/>
      <c r="V613" s="1270"/>
      <c r="W613" s="1270"/>
      <c r="X613" s="1270"/>
      <c r="Y613" s="1270"/>
      <c r="Z613" s="1270"/>
      <c r="AA613" s="1270"/>
      <c r="AB613" s="1270"/>
      <c r="AC613" s="1270"/>
      <c r="AD613" s="1270"/>
      <c r="AE613" s="1270"/>
      <c r="AF613" s="1270"/>
      <c r="AG613" s="1270"/>
      <c r="AH613" s="1270"/>
      <c r="AI613" s="1270"/>
      <c r="AJ613" s="1270"/>
      <c r="AK613" s="1270"/>
      <c r="AL613" s="1270"/>
      <c r="AM613" s="1270"/>
      <c r="AN613" s="1270"/>
      <c r="AO613" s="1270"/>
      <c r="AP613" s="1270"/>
      <c r="AQ613" s="1270"/>
      <c r="AR613" s="1270"/>
      <c r="AS613" s="1270"/>
      <c r="AT613" s="936"/>
      <c r="AU613" s="936"/>
      <c r="AV613" s="936"/>
      <c r="AW613" s="936"/>
      <c r="AX613" s="936"/>
      <c r="AY613" s="936"/>
      <c r="AZ613" s="3"/>
      <c r="BA613" s="3"/>
      <c r="BB613" s="3"/>
      <c r="BC613" s="3"/>
      <c r="BD613" s="3"/>
      <c r="BE613" s="1421">
        <f t="shared" si="2"/>
        <v>0</v>
      </c>
      <c r="BF613" s="1422"/>
      <c r="BG613" s="1511">
        <f t="shared" si="3"/>
        <v>0</v>
      </c>
      <c r="BH613" s="1512"/>
      <c r="BI613" s="1421">
        <f t="shared" si="4"/>
        <v>0</v>
      </c>
      <c r="BJ613" s="1422"/>
      <c r="BK613" s="1511">
        <f t="shared" si="5"/>
        <v>0</v>
      </c>
      <c r="BL613" s="1512"/>
      <c r="BM613" s="3"/>
      <c r="BN613" s="1508">
        <f t="shared" si="6"/>
        <v>0</v>
      </c>
      <c r="BO613" s="1509"/>
      <c r="BP613" s="1509"/>
      <c r="BQ613" s="1509"/>
      <c r="BR613" s="1510"/>
      <c r="BS613" s="1396">
        <f t="shared" si="7"/>
        <v>0</v>
      </c>
      <c r="BT613" s="1396"/>
      <c r="BU613" s="1396"/>
      <c r="BV613" s="1396"/>
      <c r="BW613" s="1396"/>
      <c r="BX613" s="1396">
        <f t="shared" si="8"/>
        <v>0</v>
      </c>
      <c r="BY613" s="1396"/>
      <c r="BZ613" s="1396"/>
      <c r="CA613" s="1396"/>
      <c r="CB613" s="1396"/>
      <c r="CC613" s="1396">
        <f t="shared" si="9"/>
        <v>0</v>
      </c>
      <c r="CD613" s="1396"/>
      <c r="CE613" s="1396"/>
      <c r="CF613" s="1396"/>
      <c r="CG613" s="1396"/>
      <c r="CH613" s="1396">
        <f t="shared" si="10"/>
        <v>0</v>
      </c>
      <c r="CI613" s="1396"/>
      <c r="CJ613" s="1396"/>
      <c r="CK613" s="1396"/>
      <c r="CL613" s="1396"/>
      <c r="CM613" s="1396">
        <f t="shared" si="11"/>
        <v>0</v>
      </c>
      <c r="CN613" s="1396"/>
      <c r="CO613" s="1396"/>
      <c r="CP613" s="1396"/>
      <c r="CQ613" s="1396"/>
      <c r="CR613" s="6"/>
      <c r="CS613" s="1724">
        <f t="shared" si="12"/>
        <v>0</v>
      </c>
      <c r="CT613" s="1724"/>
      <c r="CU613" s="1724"/>
      <c r="CV613" s="1724"/>
      <c r="CW613" s="1724"/>
      <c r="CX613" s="1724">
        <f t="shared" si="13"/>
        <v>0</v>
      </c>
      <c r="CY613" s="1724"/>
      <c r="CZ613" s="1724"/>
      <c r="DA613" s="1724"/>
      <c r="DB613" s="1724"/>
      <c r="DC613" s="1724">
        <f t="shared" si="14"/>
        <v>0</v>
      </c>
      <c r="DD613" s="1724"/>
      <c r="DE613" s="1724"/>
      <c r="DF613" s="1724"/>
      <c r="DG613" s="1724"/>
      <c r="DH613" s="1724">
        <f t="shared" si="15"/>
        <v>0</v>
      </c>
      <c r="DI613" s="1724"/>
      <c r="DJ613" s="1724"/>
      <c r="DK613" s="1724"/>
      <c r="DL613" s="1724"/>
      <c r="DM613" s="1724">
        <f t="shared" si="16"/>
        <v>0</v>
      </c>
      <c r="DN613" s="1724"/>
      <c r="DO613" s="1724"/>
      <c r="DP613" s="1724"/>
      <c r="DQ613" s="1724"/>
      <c r="DR613" s="1724">
        <f t="shared" si="17"/>
        <v>0</v>
      </c>
      <c r="DS613" s="1724"/>
      <c r="DT613" s="1724"/>
      <c r="DU613" s="1724"/>
      <c r="DV613" s="1724"/>
      <c r="DX613" s="1421" t="str">
        <f t="shared" si="18"/>
        <v xml:space="preserve"> </v>
      </c>
      <c r="DY613" s="1855"/>
      <c r="DZ613" s="1855"/>
      <c r="EA613" s="1855"/>
      <c r="EB613" s="1422"/>
      <c r="EC613" s="1421" t="str">
        <f t="shared" si="19"/>
        <v xml:space="preserve"> </v>
      </c>
      <c r="ED613" s="1855"/>
      <c r="EE613" s="1855"/>
      <c r="EF613" s="1855"/>
      <c r="EG613" s="1422"/>
      <c r="EH613" s="1421" t="str">
        <f t="shared" si="20"/>
        <v xml:space="preserve"> </v>
      </c>
      <c r="EI613" s="1855"/>
      <c r="EJ613" s="1855"/>
      <c r="EK613" s="1855"/>
      <c r="EL613" s="1422"/>
      <c r="EM613" s="1421" t="str">
        <f t="shared" si="21"/>
        <v xml:space="preserve"> </v>
      </c>
      <c r="EN613" s="1855"/>
      <c r="EO613" s="1855"/>
      <c r="EP613" s="1855"/>
      <c r="EQ613" s="1422"/>
      <c r="ER613" s="1421" t="str">
        <f t="shared" si="22"/>
        <v xml:space="preserve"> </v>
      </c>
      <c r="ES613" s="1855"/>
      <c r="ET613" s="1855"/>
      <c r="EU613" s="1855"/>
      <c r="EV613" s="1422"/>
      <c r="EW613" s="1421" t="str">
        <f t="shared" si="23"/>
        <v xml:space="preserve"> </v>
      </c>
      <c r="EX613" s="1855"/>
      <c r="EY613" s="1855"/>
      <c r="EZ613" s="1855"/>
      <c r="FA613" s="1422"/>
    </row>
    <row r="614" spans="1:157" ht="12.95" customHeight="1">
      <c r="A614" s="1270"/>
      <c r="B614" s="1270"/>
      <c r="C614" s="1270"/>
      <c r="D614" s="1270"/>
      <c r="E614" s="1270"/>
      <c r="F614" s="1270"/>
      <c r="G614" s="1270"/>
      <c r="H614" s="1270"/>
      <c r="I614" s="1270"/>
      <c r="J614" s="1270"/>
      <c r="K614" s="1270"/>
      <c r="L614" s="1270"/>
      <c r="M614" s="1270"/>
      <c r="N614" s="1270"/>
      <c r="O614" s="1270"/>
      <c r="P614" s="1270"/>
      <c r="Q614" s="1270"/>
      <c r="R614" s="1270"/>
      <c r="S614" s="1270"/>
      <c r="T614" s="1270"/>
      <c r="U614" s="1270"/>
      <c r="V614" s="1270"/>
      <c r="W614" s="1270"/>
      <c r="X614" s="1270"/>
      <c r="Y614" s="1270"/>
      <c r="Z614" s="1270"/>
      <c r="AA614" s="1270"/>
      <c r="AB614" s="1270"/>
      <c r="AC614" s="1270"/>
      <c r="AD614" s="1270"/>
      <c r="AE614" s="1270"/>
      <c r="AF614" s="1270"/>
      <c r="AG614" s="1270"/>
      <c r="AH614" s="1270"/>
      <c r="AI614" s="1270"/>
      <c r="AJ614" s="1270"/>
      <c r="AK614" s="1270"/>
      <c r="AL614" s="1270"/>
      <c r="AM614" s="1270"/>
      <c r="AN614" s="1270"/>
      <c r="AO614" s="1270"/>
      <c r="AP614" s="1270"/>
      <c r="AQ614" s="1270"/>
      <c r="AR614" s="1270"/>
      <c r="AS614" s="1270"/>
      <c r="AT614" s="936"/>
      <c r="AU614" s="936"/>
      <c r="AV614" s="936"/>
      <c r="AW614" s="936"/>
      <c r="AX614" s="936"/>
      <c r="AY614" s="936"/>
      <c r="AZ614" s="3"/>
      <c r="BA614" s="3"/>
      <c r="BB614" s="3"/>
      <c r="BC614" s="3"/>
      <c r="BD614" s="3"/>
      <c r="BE614" s="1421">
        <f t="shared" si="2"/>
        <v>0</v>
      </c>
      <c r="BF614" s="1422"/>
      <c r="BG614" s="1511">
        <f t="shared" si="3"/>
        <v>0</v>
      </c>
      <c r="BH614" s="1512"/>
      <c r="BI614" s="1421">
        <f t="shared" si="4"/>
        <v>0</v>
      </c>
      <c r="BJ614" s="1422"/>
      <c r="BK614" s="1511">
        <f t="shared" si="5"/>
        <v>0</v>
      </c>
      <c r="BL614" s="1512"/>
      <c r="BM614" s="3"/>
      <c r="BN614" s="1508">
        <f t="shared" si="6"/>
        <v>0</v>
      </c>
      <c r="BO614" s="1509"/>
      <c r="BP614" s="1509"/>
      <c r="BQ614" s="1509"/>
      <c r="BR614" s="1510"/>
      <c r="BS614" s="1396">
        <f t="shared" si="7"/>
        <v>0</v>
      </c>
      <c r="BT614" s="1396"/>
      <c r="BU614" s="1396"/>
      <c r="BV614" s="1396"/>
      <c r="BW614" s="1396"/>
      <c r="BX614" s="1396">
        <f t="shared" si="8"/>
        <v>0</v>
      </c>
      <c r="BY614" s="1396"/>
      <c r="BZ614" s="1396"/>
      <c r="CA614" s="1396"/>
      <c r="CB614" s="1396"/>
      <c r="CC614" s="1396">
        <f t="shared" si="9"/>
        <v>0</v>
      </c>
      <c r="CD614" s="1396"/>
      <c r="CE614" s="1396"/>
      <c r="CF614" s="1396"/>
      <c r="CG614" s="1396"/>
      <c r="CH614" s="1396">
        <f t="shared" si="10"/>
        <v>0</v>
      </c>
      <c r="CI614" s="1396"/>
      <c r="CJ614" s="1396"/>
      <c r="CK614" s="1396"/>
      <c r="CL614" s="1396"/>
      <c r="CM614" s="1396">
        <f t="shared" si="11"/>
        <v>0</v>
      </c>
      <c r="CN614" s="1396"/>
      <c r="CO614" s="1396"/>
      <c r="CP614" s="1396"/>
      <c r="CQ614" s="1396"/>
      <c r="CR614" s="6"/>
      <c r="CS614" s="1724">
        <f t="shared" si="12"/>
        <v>0</v>
      </c>
      <c r="CT614" s="1724"/>
      <c r="CU614" s="1724"/>
      <c r="CV614" s="1724"/>
      <c r="CW614" s="1724"/>
      <c r="CX614" s="1724">
        <f t="shared" si="13"/>
        <v>0</v>
      </c>
      <c r="CY614" s="1724"/>
      <c r="CZ614" s="1724"/>
      <c r="DA614" s="1724"/>
      <c r="DB614" s="1724"/>
      <c r="DC614" s="1724">
        <f t="shared" si="14"/>
        <v>0</v>
      </c>
      <c r="DD614" s="1724"/>
      <c r="DE614" s="1724"/>
      <c r="DF614" s="1724"/>
      <c r="DG614" s="1724"/>
      <c r="DH614" s="1724">
        <f t="shared" si="15"/>
        <v>0</v>
      </c>
      <c r="DI614" s="1724"/>
      <c r="DJ614" s="1724"/>
      <c r="DK614" s="1724"/>
      <c r="DL614" s="1724"/>
      <c r="DM614" s="1724">
        <f t="shared" si="16"/>
        <v>0</v>
      </c>
      <c r="DN614" s="1724"/>
      <c r="DO614" s="1724"/>
      <c r="DP614" s="1724"/>
      <c r="DQ614" s="1724"/>
      <c r="DR614" s="1724">
        <f t="shared" si="17"/>
        <v>0</v>
      </c>
      <c r="DS614" s="1724"/>
      <c r="DT614" s="1724"/>
      <c r="DU614" s="1724"/>
      <c r="DV614" s="1724"/>
      <c r="DX614" s="1421" t="str">
        <f t="shared" si="18"/>
        <v xml:space="preserve"> </v>
      </c>
      <c r="DY614" s="1855"/>
      <c r="DZ614" s="1855"/>
      <c r="EA614" s="1855"/>
      <c r="EB614" s="1422"/>
      <c r="EC614" s="1421" t="str">
        <f t="shared" si="19"/>
        <v xml:space="preserve"> </v>
      </c>
      <c r="ED614" s="1855"/>
      <c r="EE614" s="1855"/>
      <c r="EF614" s="1855"/>
      <c r="EG614" s="1422"/>
      <c r="EH614" s="1421" t="str">
        <f t="shared" si="20"/>
        <v xml:space="preserve"> </v>
      </c>
      <c r="EI614" s="1855"/>
      <c r="EJ614" s="1855"/>
      <c r="EK614" s="1855"/>
      <c r="EL614" s="1422"/>
      <c r="EM614" s="1421" t="str">
        <f t="shared" si="21"/>
        <v xml:space="preserve"> </v>
      </c>
      <c r="EN614" s="1855"/>
      <c r="EO614" s="1855"/>
      <c r="EP614" s="1855"/>
      <c r="EQ614" s="1422"/>
      <c r="ER614" s="1421" t="str">
        <f t="shared" si="22"/>
        <v xml:space="preserve"> </v>
      </c>
      <c r="ES614" s="1855"/>
      <c r="ET614" s="1855"/>
      <c r="EU614" s="1855"/>
      <c r="EV614" s="1422"/>
      <c r="EW614" s="1421" t="str">
        <f t="shared" si="23"/>
        <v xml:space="preserve"> </v>
      </c>
      <c r="EX614" s="1855"/>
      <c r="EY614" s="1855"/>
      <c r="EZ614" s="1855"/>
      <c r="FA614" s="1422"/>
    </row>
    <row r="615" spans="1:157" ht="12.95" customHeight="1">
      <c r="AZ615" s="3"/>
      <c r="BA615" s="3"/>
      <c r="BB615" s="3"/>
      <c r="BC615" s="3"/>
      <c r="BD615" s="3"/>
      <c r="BE615" s="1421">
        <f t="shared" si="2"/>
        <v>0</v>
      </c>
      <c r="BF615" s="1422"/>
      <c r="BG615" s="1511">
        <f t="shared" si="3"/>
        <v>0</v>
      </c>
      <c r="BH615" s="1512"/>
      <c r="BI615" s="1421">
        <f t="shared" si="4"/>
        <v>0</v>
      </c>
      <c r="BJ615" s="1422"/>
      <c r="BK615" s="1511">
        <f t="shared" si="5"/>
        <v>0</v>
      </c>
      <c r="BL615" s="1512"/>
      <c r="BM615" s="3"/>
      <c r="BN615" s="1508">
        <f t="shared" si="6"/>
        <v>0</v>
      </c>
      <c r="BO615" s="1509"/>
      <c r="BP615" s="1509"/>
      <c r="BQ615" s="1509"/>
      <c r="BR615" s="1510"/>
      <c r="BS615" s="1396">
        <f t="shared" si="7"/>
        <v>0</v>
      </c>
      <c r="BT615" s="1396"/>
      <c r="BU615" s="1396"/>
      <c r="BV615" s="1396"/>
      <c r="BW615" s="1396"/>
      <c r="BX615" s="1396">
        <f t="shared" si="8"/>
        <v>0</v>
      </c>
      <c r="BY615" s="1396"/>
      <c r="BZ615" s="1396"/>
      <c r="CA615" s="1396"/>
      <c r="CB615" s="1396"/>
      <c r="CC615" s="1396">
        <f t="shared" si="9"/>
        <v>0</v>
      </c>
      <c r="CD615" s="1396"/>
      <c r="CE615" s="1396"/>
      <c r="CF615" s="1396"/>
      <c r="CG615" s="1396"/>
      <c r="CH615" s="1396">
        <f t="shared" si="10"/>
        <v>0</v>
      </c>
      <c r="CI615" s="1396"/>
      <c r="CJ615" s="1396"/>
      <c r="CK615" s="1396"/>
      <c r="CL615" s="1396"/>
      <c r="CM615" s="1396">
        <f t="shared" si="11"/>
        <v>0</v>
      </c>
      <c r="CN615" s="1396"/>
      <c r="CO615" s="1396"/>
      <c r="CP615" s="1396"/>
      <c r="CQ615" s="1396"/>
      <c r="CR615" s="6"/>
      <c r="CS615" s="1724">
        <f t="shared" si="12"/>
        <v>0</v>
      </c>
      <c r="CT615" s="1724"/>
      <c r="CU615" s="1724"/>
      <c r="CV615" s="1724"/>
      <c r="CW615" s="1724"/>
      <c r="CX615" s="1724">
        <f t="shared" si="13"/>
        <v>0</v>
      </c>
      <c r="CY615" s="1724"/>
      <c r="CZ615" s="1724"/>
      <c r="DA615" s="1724"/>
      <c r="DB615" s="1724"/>
      <c r="DC615" s="1724">
        <f t="shared" si="14"/>
        <v>0</v>
      </c>
      <c r="DD615" s="1724"/>
      <c r="DE615" s="1724"/>
      <c r="DF615" s="1724"/>
      <c r="DG615" s="1724"/>
      <c r="DH615" s="1724">
        <f t="shared" si="15"/>
        <v>0</v>
      </c>
      <c r="DI615" s="1724"/>
      <c r="DJ615" s="1724"/>
      <c r="DK615" s="1724"/>
      <c r="DL615" s="1724"/>
      <c r="DM615" s="1724">
        <f t="shared" si="16"/>
        <v>0</v>
      </c>
      <c r="DN615" s="1724"/>
      <c r="DO615" s="1724"/>
      <c r="DP615" s="1724"/>
      <c r="DQ615" s="1724"/>
      <c r="DR615" s="1724">
        <f t="shared" si="17"/>
        <v>0</v>
      </c>
      <c r="DS615" s="1724"/>
      <c r="DT615" s="1724"/>
      <c r="DU615" s="1724"/>
      <c r="DV615" s="1724"/>
      <c r="DX615" s="1421" t="str">
        <f t="shared" si="18"/>
        <v xml:space="preserve"> </v>
      </c>
      <c r="DY615" s="1855"/>
      <c r="DZ615" s="1855"/>
      <c r="EA615" s="1855"/>
      <c r="EB615" s="1422"/>
      <c r="EC615" s="1421" t="str">
        <f t="shared" si="19"/>
        <v xml:space="preserve"> </v>
      </c>
      <c r="ED615" s="1855"/>
      <c r="EE615" s="1855"/>
      <c r="EF615" s="1855"/>
      <c r="EG615" s="1422"/>
      <c r="EH615" s="1421" t="str">
        <f t="shared" si="20"/>
        <v xml:space="preserve"> </v>
      </c>
      <c r="EI615" s="1855"/>
      <c r="EJ615" s="1855"/>
      <c r="EK615" s="1855"/>
      <c r="EL615" s="1422"/>
      <c r="EM615" s="1421" t="str">
        <f t="shared" si="21"/>
        <v xml:space="preserve"> </v>
      </c>
      <c r="EN615" s="1855"/>
      <c r="EO615" s="1855"/>
      <c r="EP615" s="1855"/>
      <c r="EQ615" s="1422"/>
      <c r="ER615" s="1421" t="str">
        <f t="shared" si="22"/>
        <v xml:space="preserve"> </v>
      </c>
      <c r="ES615" s="1855"/>
      <c r="ET615" s="1855"/>
      <c r="EU615" s="1855"/>
      <c r="EV615" s="1422"/>
      <c r="EW615" s="1421" t="str">
        <f t="shared" si="23"/>
        <v xml:space="preserve"> </v>
      </c>
      <c r="EX615" s="1855"/>
      <c r="EY615" s="1855"/>
      <c r="EZ615" s="1855"/>
      <c r="FA615" s="1422"/>
    </row>
    <row r="616" spans="1:157" ht="12.95" customHeight="1">
      <c r="A616" s="2" t="s">
        <v>321</v>
      </c>
      <c r="B616" s="2"/>
      <c r="C616" s="2" t="s">
        <v>21</v>
      </c>
      <c r="AZ616" s="3"/>
      <c r="BA616" s="3"/>
      <c r="BB616" s="3"/>
      <c r="BC616" s="3"/>
      <c r="BD616" s="3"/>
      <c r="BE616" s="1421">
        <f t="shared" si="2"/>
        <v>0</v>
      </c>
      <c r="BF616" s="1422"/>
      <c r="BG616" s="1511">
        <f t="shared" si="3"/>
        <v>0</v>
      </c>
      <c r="BH616" s="1512"/>
      <c r="BI616" s="1421">
        <f t="shared" si="4"/>
        <v>0</v>
      </c>
      <c r="BJ616" s="1422"/>
      <c r="BK616" s="1511">
        <f t="shared" si="5"/>
        <v>0</v>
      </c>
      <c r="BL616" s="1512"/>
      <c r="BM616" s="3"/>
      <c r="BN616" s="1508">
        <f t="shared" si="6"/>
        <v>0</v>
      </c>
      <c r="BO616" s="1509"/>
      <c r="BP616" s="1509"/>
      <c r="BQ616" s="1509"/>
      <c r="BR616" s="1510"/>
      <c r="BS616" s="1396">
        <f t="shared" si="7"/>
        <v>0</v>
      </c>
      <c r="BT616" s="1396"/>
      <c r="BU616" s="1396"/>
      <c r="BV616" s="1396"/>
      <c r="BW616" s="1396"/>
      <c r="BX616" s="1396">
        <f t="shared" si="8"/>
        <v>0</v>
      </c>
      <c r="BY616" s="1396"/>
      <c r="BZ616" s="1396"/>
      <c r="CA616" s="1396"/>
      <c r="CB616" s="1396"/>
      <c r="CC616" s="1396">
        <f t="shared" si="9"/>
        <v>0</v>
      </c>
      <c r="CD616" s="1396"/>
      <c r="CE616" s="1396"/>
      <c r="CF616" s="1396"/>
      <c r="CG616" s="1396"/>
      <c r="CH616" s="1396">
        <f t="shared" si="10"/>
        <v>0</v>
      </c>
      <c r="CI616" s="1396"/>
      <c r="CJ616" s="1396"/>
      <c r="CK616" s="1396"/>
      <c r="CL616" s="1396"/>
      <c r="CM616" s="1396">
        <f t="shared" si="11"/>
        <v>0</v>
      </c>
      <c r="CN616" s="1396"/>
      <c r="CO616" s="1396"/>
      <c r="CP616" s="1396"/>
      <c r="CQ616" s="1396"/>
      <c r="CR616" s="6"/>
      <c r="CS616" s="1724">
        <f t="shared" si="12"/>
        <v>0</v>
      </c>
      <c r="CT616" s="1724"/>
      <c r="CU616" s="1724"/>
      <c r="CV616" s="1724"/>
      <c r="CW616" s="1724"/>
      <c r="CX616" s="1724">
        <f t="shared" si="13"/>
        <v>0</v>
      </c>
      <c r="CY616" s="1724"/>
      <c r="CZ616" s="1724"/>
      <c r="DA616" s="1724"/>
      <c r="DB616" s="1724"/>
      <c r="DC616" s="1724">
        <f t="shared" si="14"/>
        <v>0</v>
      </c>
      <c r="DD616" s="1724"/>
      <c r="DE616" s="1724"/>
      <c r="DF616" s="1724"/>
      <c r="DG616" s="1724"/>
      <c r="DH616" s="1724">
        <f t="shared" si="15"/>
        <v>0</v>
      </c>
      <c r="DI616" s="1724"/>
      <c r="DJ616" s="1724"/>
      <c r="DK616" s="1724"/>
      <c r="DL616" s="1724"/>
      <c r="DM616" s="1724">
        <f t="shared" si="16"/>
        <v>0</v>
      </c>
      <c r="DN616" s="1724"/>
      <c r="DO616" s="1724"/>
      <c r="DP616" s="1724"/>
      <c r="DQ616" s="1724"/>
      <c r="DR616" s="1724">
        <f t="shared" si="17"/>
        <v>0</v>
      </c>
      <c r="DS616" s="1724"/>
      <c r="DT616" s="1724"/>
      <c r="DU616" s="1724"/>
      <c r="DV616" s="1724"/>
      <c r="DX616" s="1421" t="str">
        <f t="shared" si="18"/>
        <v xml:space="preserve"> </v>
      </c>
      <c r="DY616" s="1855"/>
      <c r="DZ616" s="1855"/>
      <c r="EA616" s="1855"/>
      <c r="EB616" s="1422"/>
      <c r="EC616" s="1421" t="str">
        <f t="shared" si="19"/>
        <v xml:space="preserve"> </v>
      </c>
      <c r="ED616" s="1855"/>
      <c r="EE616" s="1855"/>
      <c r="EF616" s="1855"/>
      <c r="EG616" s="1422"/>
      <c r="EH616" s="1421" t="str">
        <f t="shared" si="20"/>
        <v xml:space="preserve"> </v>
      </c>
      <c r="EI616" s="1855"/>
      <c r="EJ616" s="1855"/>
      <c r="EK616" s="1855"/>
      <c r="EL616" s="1422"/>
      <c r="EM616" s="1421" t="str">
        <f t="shared" si="21"/>
        <v xml:space="preserve"> </v>
      </c>
      <c r="EN616" s="1855"/>
      <c r="EO616" s="1855"/>
      <c r="EP616" s="1855"/>
      <c r="EQ616" s="1422"/>
      <c r="ER616" s="1421" t="str">
        <f t="shared" si="22"/>
        <v xml:space="preserve"> </v>
      </c>
      <c r="ES616" s="1855"/>
      <c r="ET616" s="1855"/>
      <c r="EU616" s="1855"/>
      <c r="EV616" s="1422"/>
      <c r="EW616" s="1421" t="str">
        <f t="shared" si="23"/>
        <v xml:space="preserve"> </v>
      </c>
      <c r="EX616" s="1855"/>
      <c r="EY616" s="1855"/>
      <c r="EZ616" s="1855"/>
      <c r="FA616" s="1422"/>
    </row>
    <row r="617" spans="1:157" ht="12.95" customHeight="1">
      <c r="A617" s="2"/>
      <c r="B617" s="2"/>
      <c r="C617" s="2"/>
      <c r="AZ617" s="3"/>
      <c r="BA617" s="3"/>
      <c r="BB617" s="3"/>
      <c r="BC617" s="3"/>
      <c r="BD617" s="3"/>
      <c r="BE617" s="1421">
        <f t="shared" si="2"/>
        <v>0</v>
      </c>
      <c r="BF617" s="1422"/>
      <c r="BG617" s="1511">
        <f t="shared" si="3"/>
        <v>0</v>
      </c>
      <c r="BH617" s="1512"/>
      <c r="BI617" s="1421">
        <f t="shared" si="4"/>
        <v>0</v>
      </c>
      <c r="BJ617" s="1422"/>
      <c r="BK617" s="1511">
        <f t="shared" si="5"/>
        <v>0</v>
      </c>
      <c r="BL617" s="1512"/>
      <c r="BM617" s="3"/>
      <c r="BN617" s="1508">
        <f t="shared" si="6"/>
        <v>0</v>
      </c>
      <c r="BO617" s="1509"/>
      <c r="BP617" s="1509"/>
      <c r="BQ617" s="1509"/>
      <c r="BR617" s="1510"/>
      <c r="BS617" s="1396">
        <f t="shared" si="7"/>
        <v>0</v>
      </c>
      <c r="BT617" s="1396"/>
      <c r="BU617" s="1396"/>
      <c r="BV617" s="1396"/>
      <c r="BW617" s="1396"/>
      <c r="BX617" s="1396">
        <f t="shared" si="8"/>
        <v>0</v>
      </c>
      <c r="BY617" s="1396"/>
      <c r="BZ617" s="1396"/>
      <c r="CA617" s="1396"/>
      <c r="CB617" s="1396"/>
      <c r="CC617" s="1396">
        <f t="shared" si="9"/>
        <v>0</v>
      </c>
      <c r="CD617" s="1396"/>
      <c r="CE617" s="1396"/>
      <c r="CF617" s="1396"/>
      <c r="CG617" s="1396"/>
      <c r="CH617" s="1396">
        <f t="shared" si="10"/>
        <v>0</v>
      </c>
      <c r="CI617" s="1396"/>
      <c r="CJ617" s="1396"/>
      <c r="CK617" s="1396"/>
      <c r="CL617" s="1396"/>
      <c r="CM617" s="1396">
        <f t="shared" si="11"/>
        <v>0</v>
      </c>
      <c r="CN617" s="1396"/>
      <c r="CO617" s="1396"/>
      <c r="CP617" s="1396"/>
      <c r="CQ617" s="1396"/>
      <c r="CR617" s="6"/>
      <c r="CS617" s="1724">
        <f t="shared" si="12"/>
        <v>0</v>
      </c>
      <c r="CT617" s="1724"/>
      <c r="CU617" s="1724"/>
      <c r="CV617" s="1724"/>
      <c r="CW617" s="1724"/>
      <c r="CX617" s="1724">
        <f t="shared" si="13"/>
        <v>0</v>
      </c>
      <c r="CY617" s="1724"/>
      <c r="CZ617" s="1724"/>
      <c r="DA617" s="1724"/>
      <c r="DB617" s="1724"/>
      <c r="DC617" s="1724">
        <f t="shared" si="14"/>
        <v>0</v>
      </c>
      <c r="DD617" s="1724"/>
      <c r="DE617" s="1724"/>
      <c r="DF617" s="1724"/>
      <c r="DG617" s="1724"/>
      <c r="DH617" s="1724">
        <f t="shared" si="15"/>
        <v>0</v>
      </c>
      <c r="DI617" s="1724"/>
      <c r="DJ617" s="1724"/>
      <c r="DK617" s="1724"/>
      <c r="DL617" s="1724"/>
      <c r="DM617" s="1724">
        <f t="shared" si="16"/>
        <v>0</v>
      </c>
      <c r="DN617" s="1724"/>
      <c r="DO617" s="1724"/>
      <c r="DP617" s="1724"/>
      <c r="DQ617" s="1724"/>
      <c r="DR617" s="1724">
        <f t="shared" si="17"/>
        <v>0</v>
      </c>
      <c r="DS617" s="1724"/>
      <c r="DT617" s="1724"/>
      <c r="DU617" s="1724"/>
      <c r="DV617" s="1724"/>
      <c r="DX617" s="1421" t="str">
        <f t="shared" si="18"/>
        <v xml:space="preserve"> </v>
      </c>
      <c r="DY617" s="1855"/>
      <c r="DZ617" s="1855"/>
      <c r="EA617" s="1855"/>
      <c r="EB617" s="1422"/>
      <c r="EC617" s="1421" t="str">
        <f t="shared" si="19"/>
        <v xml:space="preserve"> </v>
      </c>
      <c r="ED617" s="1855"/>
      <c r="EE617" s="1855"/>
      <c r="EF617" s="1855"/>
      <c r="EG617" s="1422"/>
      <c r="EH617" s="1421" t="str">
        <f t="shared" si="20"/>
        <v xml:space="preserve"> </v>
      </c>
      <c r="EI617" s="1855"/>
      <c r="EJ617" s="1855"/>
      <c r="EK617" s="1855"/>
      <c r="EL617" s="1422"/>
      <c r="EM617" s="1421" t="str">
        <f t="shared" si="21"/>
        <v xml:space="preserve"> </v>
      </c>
      <c r="EN617" s="1855"/>
      <c r="EO617" s="1855"/>
      <c r="EP617" s="1855"/>
      <c r="EQ617" s="1422"/>
      <c r="ER617" s="1421" t="str">
        <f t="shared" si="22"/>
        <v xml:space="preserve"> </v>
      </c>
      <c r="ES617" s="1855"/>
      <c r="ET617" s="1855"/>
      <c r="EU617" s="1855"/>
      <c r="EV617" s="1422"/>
      <c r="EW617" s="1421" t="str">
        <f t="shared" si="23"/>
        <v xml:space="preserve"> </v>
      </c>
      <c r="EX617" s="1855"/>
      <c r="EY617" s="1855"/>
      <c r="EZ617" s="1855"/>
      <c r="FA617" s="1422"/>
    </row>
    <row r="618" spans="1:157" ht="12.95" customHeight="1">
      <c r="C618" s="2" t="s">
        <v>2522</v>
      </c>
      <c r="AZ618" s="3"/>
      <c r="BA618" s="3"/>
      <c r="BB618" s="3"/>
      <c r="BC618" s="3"/>
      <c r="BD618" s="3"/>
      <c r="BE618" s="1421">
        <f t="shared" si="2"/>
        <v>0</v>
      </c>
      <c r="BF618" s="1422"/>
      <c r="BG618" s="1511">
        <f t="shared" si="3"/>
        <v>0</v>
      </c>
      <c r="BH618" s="1512"/>
      <c r="BI618" s="1421">
        <f t="shared" si="4"/>
        <v>0</v>
      </c>
      <c r="BJ618" s="1422"/>
      <c r="BK618" s="1511">
        <f t="shared" si="5"/>
        <v>0</v>
      </c>
      <c r="BL618" s="1512"/>
      <c r="BM618" s="3"/>
      <c r="BN618" s="1508">
        <f t="shared" si="6"/>
        <v>0</v>
      </c>
      <c r="BO618" s="1509"/>
      <c r="BP618" s="1509"/>
      <c r="BQ618" s="1509"/>
      <c r="BR618" s="1510"/>
      <c r="BS618" s="1396">
        <f t="shared" si="7"/>
        <v>0</v>
      </c>
      <c r="BT618" s="1396"/>
      <c r="BU618" s="1396"/>
      <c r="BV618" s="1396"/>
      <c r="BW618" s="1396"/>
      <c r="BX618" s="1396">
        <f t="shared" si="8"/>
        <v>0</v>
      </c>
      <c r="BY618" s="1396"/>
      <c r="BZ618" s="1396"/>
      <c r="CA618" s="1396"/>
      <c r="CB618" s="1396"/>
      <c r="CC618" s="1396">
        <f t="shared" si="9"/>
        <v>0</v>
      </c>
      <c r="CD618" s="1396"/>
      <c r="CE618" s="1396"/>
      <c r="CF618" s="1396"/>
      <c r="CG618" s="1396"/>
      <c r="CH618" s="1396">
        <f t="shared" si="10"/>
        <v>0</v>
      </c>
      <c r="CI618" s="1396"/>
      <c r="CJ618" s="1396"/>
      <c r="CK618" s="1396"/>
      <c r="CL618" s="1396"/>
      <c r="CM618" s="1396">
        <f t="shared" si="11"/>
        <v>0</v>
      </c>
      <c r="CN618" s="1396"/>
      <c r="CO618" s="1396"/>
      <c r="CP618" s="1396"/>
      <c r="CQ618" s="1396"/>
      <c r="CR618" s="6"/>
      <c r="CS618" s="1724">
        <f t="shared" si="12"/>
        <v>0</v>
      </c>
      <c r="CT618" s="1724"/>
      <c r="CU618" s="1724"/>
      <c r="CV618" s="1724"/>
      <c r="CW618" s="1724"/>
      <c r="CX618" s="1724">
        <f t="shared" si="13"/>
        <v>0</v>
      </c>
      <c r="CY618" s="1724"/>
      <c r="CZ618" s="1724"/>
      <c r="DA618" s="1724"/>
      <c r="DB618" s="1724"/>
      <c r="DC618" s="1724">
        <f t="shared" si="14"/>
        <v>0</v>
      </c>
      <c r="DD618" s="1724"/>
      <c r="DE618" s="1724"/>
      <c r="DF618" s="1724"/>
      <c r="DG618" s="1724"/>
      <c r="DH618" s="1724">
        <f t="shared" si="15"/>
        <v>0</v>
      </c>
      <c r="DI618" s="1724"/>
      <c r="DJ618" s="1724"/>
      <c r="DK618" s="1724"/>
      <c r="DL618" s="1724"/>
      <c r="DM618" s="1724">
        <f t="shared" si="16"/>
        <v>0</v>
      </c>
      <c r="DN618" s="1724"/>
      <c r="DO618" s="1724"/>
      <c r="DP618" s="1724"/>
      <c r="DQ618" s="1724"/>
      <c r="DR618" s="1724">
        <f t="shared" si="17"/>
        <v>0</v>
      </c>
      <c r="DS618" s="1724"/>
      <c r="DT618" s="1724"/>
      <c r="DU618" s="1724"/>
      <c r="DV618" s="1724"/>
      <c r="DX618" s="1421" t="str">
        <f t="shared" si="18"/>
        <v xml:space="preserve"> </v>
      </c>
      <c r="DY618" s="1855"/>
      <c r="DZ618" s="1855"/>
      <c r="EA618" s="1855"/>
      <c r="EB618" s="1422"/>
      <c r="EC618" s="1421" t="str">
        <f t="shared" si="19"/>
        <v xml:space="preserve"> </v>
      </c>
      <c r="ED618" s="1855"/>
      <c r="EE618" s="1855"/>
      <c r="EF618" s="1855"/>
      <c r="EG618" s="1422"/>
      <c r="EH618" s="1421" t="str">
        <f t="shared" si="20"/>
        <v xml:space="preserve"> </v>
      </c>
      <c r="EI618" s="1855"/>
      <c r="EJ618" s="1855"/>
      <c r="EK618" s="1855"/>
      <c r="EL618" s="1422"/>
      <c r="EM618" s="1421" t="str">
        <f t="shared" si="21"/>
        <v xml:space="preserve"> </v>
      </c>
      <c r="EN618" s="1855"/>
      <c r="EO618" s="1855"/>
      <c r="EP618" s="1855"/>
      <c r="EQ618" s="1422"/>
      <c r="ER618" s="1421" t="str">
        <f t="shared" si="22"/>
        <v xml:space="preserve"> </v>
      </c>
      <c r="ES618" s="1855"/>
      <c r="ET618" s="1855"/>
      <c r="EU618" s="1855"/>
      <c r="EV618" s="1422"/>
      <c r="EW618" s="1421" t="str">
        <f t="shared" si="23"/>
        <v xml:space="preserve"> </v>
      </c>
      <c r="EX618" s="1855"/>
      <c r="EY618" s="1855"/>
      <c r="EZ618" s="1855"/>
      <c r="FA618" s="1422"/>
    </row>
    <row r="619" spans="1:157" ht="12.95" customHeight="1">
      <c r="B619" s="547"/>
      <c r="C619" s="2"/>
      <c r="AZ619" s="3"/>
      <c r="BA619" s="3"/>
      <c r="BB619" s="3"/>
      <c r="BC619" s="3"/>
      <c r="BD619" s="3"/>
      <c r="BE619" s="1421">
        <f t="shared" si="2"/>
        <v>0</v>
      </c>
      <c r="BF619" s="1422"/>
      <c r="BG619" s="1511">
        <f t="shared" si="3"/>
        <v>0</v>
      </c>
      <c r="BH619" s="1512"/>
      <c r="BI619" s="1421">
        <f t="shared" si="4"/>
        <v>0</v>
      </c>
      <c r="BJ619" s="1422"/>
      <c r="BK619" s="1511">
        <f t="shared" si="5"/>
        <v>0</v>
      </c>
      <c r="BL619" s="1512"/>
      <c r="BM619" s="3"/>
      <c r="BN619" s="1508">
        <f t="shared" si="6"/>
        <v>0</v>
      </c>
      <c r="BO619" s="1509"/>
      <c r="BP619" s="1509"/>
      <c r="BQ619" s="1509"/>
      <c r="BR619" s="1510"/>
      <c r="BS619" s="1396">
        <f t="shared" si="7"/>
        <v>0</v>
      </c>
      <c r="BT619" s="1396"/>
      <c r="BU619" s="1396"/>
      <c r="BV619" s="1396"/>
      <c r="BW619" s="1396"/>
      <c r="BX619" s="1396">
        <f t="shared" si="8"/>
        <v>0</v>
      </c>
      <c r="BY619" s="1396"/>
      <c r="BZ619" s="1396"/>
      <c r="CA619" s="1396"/>
      <c r="CB619" s="1396"/>
      <c r="CC619" s="1396">
        <f t="shared" si="9"/>
        <v>0</v>
      </c>
      <c r="CD619" s="1396"/>
      <c r="CE619" s="1396"/>
      <c r="CF619" s="1396"/>
      <c r="CG619" s="1396"/>
      <c r="CH619" s="1396">
        <f t="shared" si="10"/>
        <v>0</v>
      </c>
      <c r="CI619" s="1396"/>
      <c r="CJ619" s="1396"/>
      <c r="CK619" s="1396"/>
      <c r="CL619" s="1396"/>
      <c r="CM619" s="1396">
        <f t="shared" si="11"/>
        <v>0</v>
      </c>
      <c r="CN619" s="1396"/>
      <c r="CO619" s="1396"/>
      <c r="CP619" s="1396"/>
      <c r="CQ619" s="1396"/>
      <c r="CR619" s="6"/>
      <c r="CS619" s="1724">
        <f t="shared" si="12"/>
        <v>0</v>
      </c>
      <c r="CT619" s="1724"/>
      <c r="CU619" s="1724"/>
      <c r="CV619" s="1724"/>
      <c r="CW619" s="1724"/>
      <c r="CX619" s="1724">
        <f t="shared" si="13"/>
        <v>0</v>
      </c>
      <c r="CY619" s="1724"/>
      <c r="CZ619" s="1724"/>
      <c r="DA619" s="1724"/>
      <c r="DB619" s="1724"/>
      <c r="DC619" s="1724">
        <f t="shared" si="14"/>
        <v>0</v>
      </c>
      <c r="DD619" s="1724"/>
      <c r="DE619" s="1724"/>
      <c r="DF619" s="1724"/>
      <c r="DG619" s="1724"/>
      <c r="DH619" s="1724">
        <f t="shared" si="15"/>
        <v>0</v>
      </c>
      <c r="DI619" s="1724"/>
      <c r="DJ619" s="1724"/>
      <c r="DK619" s="1724"/>
      <c r="DL619" s="1724"/>
      <c r="DM619" s="1724">
        <f t="shared" si="16"/>
        <v>0</v>
      </c>
      <c r="DN619" s="1724"/>
      <c r="DO619" s="1724"/>
      <c r="DP619" s="1724"/>
      <c r="DQ619" s="1724"/>
      <c r="DR619" s="1724">
        <f t="shared" si="17"/>
        <v>0</v>
      </c>
      <c r="DS619" s="1724"/>
      <c r="DT619" s="1724"/>
      <c r="DU619" s="1724"/>
      <c r="DV619" s="1724"/>
      <c r="DX619" s="1421" t="str">
        <f t="shared" si="18"/>
        <v xml:space="preserve"> </v>
      </c>
      <c r="DY619" s="1855"/>
      <c r="DZ619" s="1855"/>
      <c r="EA619" s="1855"/>
      <c r="EB619" s="1422"/>
      <c r="EC619" s="1421" t="str">
        <f t="shared" si="19"/>
        <v xml:space="preserve"> </v>
      </c>
      <c r="ED619" s="1855"/>
      <c r="EE619" s="1855"/>
      <c r="EF619" s="1855"/>
      <c r="EG619" s="1422"/>
      <c r="EH619" s="1421" t="str">
        <f t="shared" si="20"/>
        <v xml:space="preserve"> </v>
      </c>
      <c r="EI619" s="1855"/>
      <c r="EJ619" s="1855"/>
      <c r="EK619" s="1855"/>
      <c r="EL619" s="1422"/>
      <c r="EM619" s="1421" t="str">
        <f t="shared" si="21"/>
        <v xml:space="preserve"> </v>
      </c>
      <c r="EN619" s="1855"/>
      <c r="EO619" s="1855"/>
      <c r="EP619" s="1855"/>
      <c r="EQ619" s="1422"/>
      <c r="ER619" s="1421" t="str">
        <f t="shared" si="22"/>
        <v xml:space="preserve"> </v>
      </c>
      <c r="ES619" s="1855"/>
      <c r="ET619" s="1855"/>
      <c r="EU619" s="1855"/>
      <c r="EV619" s="1422"/>
      <c r="EW619" s="1421" t="str">
        <f t="shared" si="23"/>
        <v xml:space="preserve"> </v>
      </c>
      <c r="EX619" s="1855"/>
      <c r="EY619" s="1855"/>
      <c r="EZ619" s="1855"/>
      <c r="FA619" s="1422"/>
    </row>
    <row r="620" spans="1:157" ht="12.95" customHeight="1">
      <c r="B620" s="1862" t="s">
        <v>2524</v>
      </c>
      <c r="C620" s="1862"/>
      <c r="D620" s="1862"/>
      <c r="E620" s="1862"/>
      <c r="F620" s="1862"/>
      <c r="G620" s="1862"/>
      <c r="H620" s="1862"/>
      <c r="I620" s="1862"/>
      <c r="J620" s="1862"/>
      <c r="K620" s="1862"/>
      <c r="L620" s="1862"/>
      <c r="M620" s="1518" t="s">
        <v>2525</v>
      </c>
      <c r="N620" s="1518"/>
      <c r="O620" s="1518"/>
      <c r="P620" s="1518"/>
      <c r="Q620" s="1518" t="s">
        <v>2115</v>
      </c>
      <c r="R620" s="1518"/>
      <c r="S620" s="1518"/>
      <c r="T620" s="1518" t="s">
        <v>2113</v>
      </c>
      <c r="U620" s="1518"/>
      <c r="V620" s="1518"/>
      <c r="W620" s="1861" t="s">
        <v>462</v>
      </c>
      <c r="X620" s="1861"/>
      <c r="Y620" s="1861"/>
      <c r="Z620" s="1411" t="s">
        <v>2554</v>
      </c>
      <c r="AA620" s="1411"/>
      <c r="AB620" s="1412"/>
      <c r="AC620" s="1747" t="s">
        <v>1935</v>
      </c>
      <c r="AD620" s="1748"/>
      <c r="AE620" s="1749"/>
      <c r="AF620" s="1410" t="s">
        <v>2312</v>
      </c>
      <c r="AG620" s="1411"/>
      <c r="AH620" s="1411"/>
      <c r="AI620" s="1411"/>
      <c r="AJ620" s="1412"/>
      <c r="AK620" s="1737" t="s">
        <v>2313</v>
      </c>
      <c r="AL620" s="1738"/>
      <c r="AM620" s="1738"/>
      <c r="AN620" s="1739"/>
      <c r="AO620" s="1518" t="s">
        <v>463</v>
      </c>
      <c r="AP620" s="1518"/>
      <c r="AQ620" s="1518"/>
      <c r="AR620" s="1518"/>
      <c r="AS620" s="1518"/>
      <c r="AZ620" s="3"/>
      <c r="BA620" s="3"/>
      <c r="BB620" s="3"/>
      <c r="BC620" s="3"/>
      <c r="BD620" s="3"/>
      <c r="BE620" s="1421">
        <f t="shared" si="2"/>
        <v>0</v>
      </c>
      <c r="BF620" s="1422"/>
      <c r="BG620" s="1511">
        <f t="shared" si="3"/>
        <v>0</v>
      </c>
      <c r="BH620" s="1512"/>
      <c r="BI620" s="1421">
        <f t="shared" si="4"/>
        <v>0</v>
      </c>
      <c r="BJ620" s="1422"/>
      <c r="BK620" s="1511">
        <f t="shared" si="5"/>
        <v>0</v>
      </c>
      <c r="BL620" s="1512"/>
      <c r="BM620" s="3"/>
      <c r="BN620" s="1508">
        <f t="shared" si="6"/>
        <v>0</v>
      </c>
      <c r="BO620" s="1509"/>
      <c r="BP620" s="1509"/>
      <c r="BQ620" s="1509"/>
      <c r="BR620" s="1510"/>
      <c r="BS620" s="1396">
        <f t="shared" si="7"/>
        <v>0</v>
      </c>
      <c r="BT620" s="1396"/>
      <c r="BU620" s="1396"/>
      <c r="BV620" s="1396"/>
      <c r="BW620" s="1396"/>
      <c r="BX620" s="1396">
        <f t="shared" si="8"/>
        <v>0</v>
      </c>
      <c r="BY620" s="1396"/>
      <c r="BZ620" s="1396"/>
      <c r="CA620" s="1396"/>
      <c r="CB620" s="1396"/>
      <c r="CC620" s="1396">
        <f t="shared" si="9"/>
        <v>0</v>
      </c>
      <c r="CD620" s="1396"/>
      <c r="CE620" s="1396"/>
      <c r="CF620" s="1396"/>
      <c r="CG620" s="1396"/>
      <c r="CH620" s="1396">
        <f t="shared" si="10"/>
        <v>0</v>
      </c>
      <c r="CI620" s="1396"/>
      <c r="CJ620" s="1396"/>
      <c r="CK620" s="1396"/>
      <c r="CL620" s="1396"/>
      <c r="CM620" s="1396">
        <f t="shared" si="11"/>
        <v>0</v>
      </c>
      <c r="CN620" s="1396"/>
      <c r="CO620" s="1396"/>
      <c r="CP620" s="1396"/>
      <c r="CQ620" s="1396"/>
      <c r="CR620" s="6"/>
      <c r="CS620" s="1724">
        <f t="shared" si="12"/>
        <v>0</v>
      </c>
      <c r="CT620" s="1724"/>
      <c r="CU620" s="1724"/>
      <c r="CV620" s="1724"/>
      <c r="CW620" s="1724"/>
      <c r="CX620" s="1724">
        <f t="shared" si="13"/>
        <v>0</v>
      </c>
      <c r="CY620" s="1724"/>
      <c r="CZ620" s="1724"/>
      <c r="DA620" s="1724"/>
      <c r="DB620" s="1724"/>
      <c r="DC620" s="1724">
        <f t="shared" si="14"/>
        <v>0</v>
      </c>
      <c r="DD620" s="1724"/>
      <c r="DE620" s="1724"/>
      <c r="DF620" s="1724"/>
      <c r="DG620" s="1724"/>
      <c r="DH620" s="1724">
        <f t="shared" si="15"/>
        <v>0</v>
      </c>
      <c r="DI620" s="1724"/>
      <c r="DJ620" s="1724"/>
      <c r="DK620" s="1724"/>
      <c r="DL620" s="1724"/>
      <c r="DM620" s="1724">
        <f t="shared" si="16"/>
        <v>0</v>
      </c>
      <c r="DN620" s="1724"/>
      <c r="DO620" s="1724"/>
      <c r="DP620" s="1724"/>
      <c r="DQ620" s="1724"/>
      <c r="DR620" s="1724">
        <f t="shared" si="17"/>
        <v>0</v>
      </c>
      <c r="DS620" s="1724"/>
      <c r="DT620" s="1724"/>
      <c r="DU620" s="1724"/>
      <c r="DV620" s="1724"/>
      <c r="DX620" s="1421" t="str">
        <f t="shared" si="18"/>
        <v xml:space="preserve"> </v>
      </c>
      <c r="DY620" s="1855"/>
      <c r="DZ620" s="1855"/>
      <c r="EA620" s="1855"/>
      <c r="EB620" s="1422"/>
      <c r="EC620" s="1421" t="str">
        <f t="shared" si="19"/>
        <v xml:space="preserve"> </v>
      </c>
      <c r="ED620" s="1855"/>
      <c r="EE620" s="1855"/>
      <c r="EF620" s="1855"/>
      <c r="EG620" s="1422"/>
      <c r="EH620" s="1421" t="str">
        <f t="shared" si="20"/>
        <v xml:space="preserve"> </v>
      </c>
      <c r="EI620" s="1855"/>
      <c r="EJ620" s="1855"/>
      <c r="EK620" s="1855"/>
      <c r="EL620" s="1422"/>
      <c r="EM620" s="1421" t="str">
        <f t="shared" si="21"/>
        <v xml:space="preserve"> </v>
      </c>
      <c r="EN620" s="1855"/>
      <c r="EO620" s="1855"/>
      <c r="EP620" s="1855"/>
      <c r="EQ620" s="1422"/>
      <c r="ER620" s="1421" t="str">
        <f t="shared" si="22"/>
        <v xml:space="preserve"> </v>
      </c>
      <c r="ES620" s="1855"/>
      <c r="ET620" s="1855"/>
      <c r="EU620" s="1855"/>
      <c r="EV620" s="1422"/>
      <c r="EW620" s="1421" t="str">
        <f t="shared" si="23"/>
        <v xml:space="preserve"> </v>
      </c>
      <c r="EX620" s="1855"/>
      <c r="EY620" s="1855"/>
      <c r="EZ620" s="1855"/>
      <c r="FA620" s="1422"/>
    </row>
    <row r="621" spans="1:157" ht="12.95" customHeight="1">
      <c r="B621" s="1862"/>
      <c r="C621" s="1862"/>
      <c r="D621" s="1862"/>
      <c r="E621" s="1862"/>
      <c r="F621" s="1862"/>
      <c r="G621" s="1862"/>
      <c r="H621" s="1862"/>
      <c r="I621" s="1862"/>
      <c r="J621" s="1862"/>
      <c r="K621" s="1862"/>
      <c r="L621" s="1862"/>
      <c r="M621" s="1518"/>
      <c r="N621" s="1518"/>
      <c r="O621" s="1518"/>
      <c r="P621" s="1518"/>
      <c r="Q621" s="1518"/>
      <c r="R621" s="1518"/>
      <c r="S621" s="1518"/>
      <c r="T621" s="1518"/>
      <c r="U621" s="1518"/>
      <c r="V621" s="1518"/>
      <c r="W621" s="1861"/>
      <c r="X621" s="1861"/>
      <c r="Y621" s="1861"/>
      <c r="Z621" s="1414"/>
      <c r="AA621" s="1414"/>
      <c r="AB621" s="1415"/>
      <c r="AC621" s="1750"/>
      <c r="AD621" s="1751"/>
      <c r="AE621" s="1752"/>
      <c r="AF621" s="1413"/>
      <c r="AG621" s="1414"/>
      <c r="AH621" s="1414"/>
      <c r="AI621" s="1414"/>
      <c r="AJ621" s="1415"/>
      <c r="AK621" s="1740"/>
      <c r="AL621" s="1741"/>
      <c r="AM621" s="1741"/>
      <c r="AN621" s="1742"/>
      <c r="AO621" s="1518"/>
      <c r="AP621" s="1518"/>
      <c r="AQ621" s="1518"/>
      <c r="AR621" s="1518"/>
      <c r="AS621" s="1518"/>
      <c r="AZ621" s="3"/>
      <c r="BA621" s="3"/>
      <c r="BB621" s="3"/>
      <c r="BC621" s="3"/>
      <c r="BD621" s="3"/>
      <c r="BE621" s="3"/>
      <c r="BF621" s="3"/>
      <c r="BG621" s="1421">
        <f>SUM(BG596:BH620)</f>
        <v>54</v>
      </c>
      <c r="BH621" s="1422"/>
      <c r="BI621" s="3"/>
      <c r="BJ621" s="3"/>
      <c r="BK621" s="1421">
        <f>SUM(BK596:BL620)</f>
        <v>8</v>
      </c>
      <c r="BL621" s="1422"/>
      <c r="BM621" s="3"/>
      <c r="BN621" s="1421">
        <f>SUM(BN596:BR620)</f>
        <v>0</v>
      </c>
      <c r="BO621" s="1855"/>
      <c r="BP621" s="1855"/>
      <c r="BQ621" s="1855"/>
      <c r="BR621" s="1422"/>
      <c r="BS621" s="1695">
        <f>SUM(BS596:BW620)</f>
        <v>0</v>
      </c>
      <c r="BT621" s="1695"/>
      <c r="BU621" s="1695"/>
      <c r="BV621" s="1695"/>
      <c r="BW621" s="1695"/>
      <c r="BX621" s="1695">
        <f>SUM(BX596:CB620)</f>
        <v>52</v>
      </c>
      <c r="BY621" s="1695"/>
      <c r="BZ621" s="1695"/>
      <c r="CA621" s="1695"/>
      <c r="CB621" s="1695"/>
      <c r="CC621" s="1695">
        <f>SUM(CC596:CG620)</f>
        <v>23</v>
      </c>
      <c r="CD621" s="1695"/>
      <c r="CE621" s="1695"/>
      <c r="CF621" s="1695"/>
      <c r="CG621" s="1695"/>
      <c r="CH621" s="1695">
        <f>SUM(CH596:CL620)</f>
        <v>0</v>
      </c>
      <c r="CI621" s="1695"/>
      <c r="CJ621" s="1695"/>
      <c r="CK621" s="1695"/>
      <c r="CL621" s="1695"/>
      <c r="CM621" s="1695">
        <f>SUM(CM596:CQ620)</f>
        <v>0</v>
      </c>
      <c r="CN621" s="1695"/>
      <c r="CO621" s="1695"/>
      <c r="CP621" s="1695"/>
      <c r="CQ621" s="1695"/>
      <c r="CR621" s="386"/>
      <c r="CS621" s="1695">
        <f>SUM(CS596:CW620)</f>
        <v>0</v>
      </c>
      <c r="CT621" s="1695"/>
      <c r="CU621" s="1695"/>
      <c r="CV621" s="1695"/>
      <c r="CW621" s="1695"/>
      <c r="CX621" s="1695">
        <f>SUM(CX596:DB620)</f>
        <v>0</v>
      </c>
      <c r="CY621" s="1695"/>
      <c r="CZ621" s="1695"/>
      <c r="DA621" s="1695"/>
      <c r="DB621" s="1695"/>
      <c r="DC621" s="1695">
        <f>SUM(DC596:DG620)</f>
        <v>5</v>
      </c>
      <c r="DD621" s="1695"/>
      <c r="DE621" s="1695"/>
      <c r="DF621" s="1695"/>
      <c r="DG621" s="1695"/>
      <c r="DH621" s="1695">
        <f>SUM(DH596:DL620)</f>
        <v>3</v>
      </c>
      <c r="DI621" s="1695"/>
      <c r="DJ621" s="1695"/>
      <c r="DK621" s="1695"/>
      <c r="DL621" s="1695"/>
      <c r="DM621" s="1695">
        <f>SUM(DM596:DQ620)</f>
        <v>0</v>
      </c>
      <c r="DN621" s="1695"/>
      <c r="DO621" s="1695"/>
      <c r="DP621" s="1695"/>
      <c r="DQ621" s="1695"/>
      <c r="DR621" s="1695">
        <f>SUM(DR596:DV620)</f>
        <v>0</v>
      </c>
      <c r="DS621" s="1695"/>
      <c r="DT621" s="1695"/>
      <c r="DU621" s="1695"/>
      <c r="DV621" s="1695"/>
      <c r="DX621" s="1695">
        <f>SUM(DX596:EB620)</f>
        <v>0</v>
      </c>
      <c r="DY621" s="1695"/>
      <c r="DZ621" s="1695"/>
      <c r="EA621" s="1695"/>
      <c r="EB621" s="1695"/>
      <c r="EC621" s="1695">
        <f>SUM(EC596:EG620)</f>
        <v>0</v>
      </c>
      <c r="ED621" s="1695"/>
      <c r="EE621" s="1695"/>
      <c r="EF621" s="1695"/>
      <c r="EG621" s="1695"/>
      <c r="EH621" s="1695">
        <f>SUM(EH596:EL620)</f>
        <v>5535</v>
      </c>
      <c r="EI621" s="1695"/>
      <c r="EJ621" s="1695"/>
      <c r="EK621" s="1695"/>
      <c r="EL621" s="1695"/>
      <c r="EM621" s="1695">
        <f>SUM(EM596:EQ620)</f>
        <v>6345</v>
      </c>
      <c r="EN621" s="1695"/>
      <c r="EO621" s="1695"/>
      <c r="EP621" s="1695"/>
      <c r="EQ621" s="1695"/>
      <c r="ER621" s="1695">
        <f>SUM(ER596:EV620)</f>
        <v>0</v>
      </c>
      <c r="ES621" s="1695"/>
      <c r="ET621" s="1695"/>
      <c r="EU621" s="1695"/>
      <c r="EV621" s="1695"/>
      <c r="EW621" s="1695">
        <f>SUM(EW596:FA620)</f>
        <v>0</v>
      </c>
      <c r="EX621" s="1695"/>
      <c r="EY621" s="1695"/>
      <c r="EZ621" s="1695"/>
      <c r="FA621" s="1695"/>
    </row>
    <row r="622" spans="1:157" ht="12.95" customHeight="1">
      <c r="B622" s="1862"/>
      <c r="C622" s="1862"/>
      <c r="D622" s="1862"/>
      <c r="E622" s="1862"/>
      <c r="F622" s="1862"/>
      <c r="G622" s="1862"/>
      <c r="H622" s="1862"/>
      <c r="I622" s="1862"/>
      <c r="J622" s="1862"/>
      <c r="K622" s="1862"/>
      <c r="L622" s="1862"/>
      <c r="M622" s="1518"/>
      <c r="N622" s="1518"/>
      <c r="O622" s="1518"/>
      <c r="P622" s="1518"/>
      <c r="Q622" s="1518"/>
      <c r="R622" s="1518"/>
      <c r="S622" s="1518"/>
      <c r="T622" s="1518"/>
      <c r="U622" s="1518"/>
      <c r="V622" s="1518"/>
      <c r="W622" s="1861"/>
      <c r="X622" s="1861"/>
      <c r="Y622" s="1861"/>
      <c r="Z622" s="1417"/>
      <c r="AA622" s="1417"/>
      <c r="AB622" s="1418"/>
      <c r="AC622" s="1753"/>
      <c r="AD622" s="1754"/>
      <c r="AE622" s="1755"/>
      <c r="AF622" s="1416"/>
      <c r="AG622" s="1417"/>
      <c r="AH622" s="1417"/>
      <c r="AI622" s="1417"/>
      <c r="AJ622" s="1418"/>
      <c r="AK622" s="1743"/>
      <c r="AL622" s="1744"/>
      <c r="AM622" s="1744"/>
      <c r="AN622" s="1745"/>
      <c r="AO622" s="1518"/>
      <c r="AP622" s="1518"/>
      <c r="AQ622" s="1518"/>
      <c r="AR622" s="1518"/>
      <c r="AS622" s="1518"/>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2123</v>
      </c>
      <c r="CM622" s="1421">
        <f>BN621+BS621+BX621+CC621+CH621+CM621</f>
        <v>75</v>
      </c>
      <c r="CN622" s="1855"/>
      <c r="CO622" s="1855"/>
      <c r="CP622" s="1855"/>
      <c r="CQ622" s="1422"/>
      <c r="CR622" s="386"/>
      <c r="CS622" s="3"/>
      <c r="CT622" s="3"/>
      <c r="CU622" s="3"/>
      <c r="CV622" s="3"/>
      <c r="CW622" s="3"/>
      <c r="CX622" s="3"/>
      <c r="CY622" s="3"/>
      <c r="CZ622" s="3"/>
      <c r="DA622" s="3"/>
      <c r="DB622" s="3"/>
      <c r="DC622" s="3"/>
      <c r="DD622" s="3"/>
      <c r="DE622" s="3"/>
      <c r="DF622" s="3"/>
    </row>
    <row r="623" spans="1:157" ht="12.95" customHeight="1">
      <c r="B623" s="51" t="s">
        <v>113</v>
      </c>
      <c r="C623" s="1714" t="s">
        <v>2767</v>
      </c>
      <c r="D623" s="1714"/>
      <c r="E623" s="1714"/>
      <c r="F623" s="1714"/>
      <c r="G623" s="1714"/>
      <c r="H623" s="1714"/>
      <c r="I623" s="1714"/>
      <c r="J623" s="1714"/>
      <c r="K623" s="1714"/>
      <c r="L623" s="1714"/>
      <c r="M623" s="1860" t="s">
        <v>2541</v>
      </c>
      <c r="N623" s="1860"/>
      <c r="O623" s="1860"/>
      <c r="P623" s="1860"/>
      <c r="Q623" s="1552">
        <f>17*12</f>
        <v>204</v>
      </c>
      <c r="R623" s="1552"/>
      <c r="S623" s="1759"/>
      <c r="T623" s="1758">
        <f>35*12</f>
        <v>420</v>
      </c>
      <c r="U623" s="1552"/>
      <c r="V623" s="1759"/>
      <c r="W623" s="1602">
        <v>0.08</v>
      </c>
      <c r="X623" s="1603"/>
      <c r="Y623" s="1604"/>
      <c r="Z623" s="1717" t="s">
        <v>2553</v>
      </c>
      <c r="AA623" s="1718"/>
      <c r="AB623" s="1719"/>
      <c r="AC623" s="1430">
        <v>1</v>
      </c>
      <c r="AD623" s="1431"/>
      <c r="AE623" s="1432"/>
      <c r="AF623" s="1587">
        <f>-PMT(W623/12,T623,AO623)*12</f>
        <v>535611.93356407504</v>
      </c>
      <c r="AG623" s="1588"/>
      <c r="AH623" s="1588"/>
      <c r="AI623" s="1588"/>
      <c r="AJ623" s="1589"/>
      <c r="AK623" s="1605"/>
      <c r="AL623" s="1606"/>
      <c r="AM623" s="1606"/>
      <c r="AN623" s="1607"/>
      <c r="AO623" s="1628">
        <v>6284216</v>
      </c>
      <c r="AP623" s="1628"/>
      <c r="AQ623" s="1628"/>
      <c r="AR623" s="1628"/>
      <c r="AS623" s="1628"/>
      <c r="AT623" s="3"/>
      <c r="AU623" s="3"/>
      <c r="AV623" s="3"/>
      <c r="AW623" s="3"/>
      <c r="AX623" s="3"/>
      <c r="AY623" s="3"/>
      <c r="AZ623" s="3"/>
      <c r="BA623" s="3" t="s">
        <v>1327</v>
      </c>
      <c r="BB623" s="3"/>
      <c r="BC623" s="3"/>
      <c r="BD623" s="3"/>
      <c r="BE623" s="3"/>
      <c r="BF623" s="3"/>
      <c r="BG623" s="3"/>
      <c r="BH623" s="3"/>
      <c r="BI623" s="3"/>
      <c r="BJ623" s="3"/>
      <c r="BK623" s="3"/>
      <c r="BL623" s="3"/>
      <c r="BM623" s="3"/>
      <c r="BR623" s="897">
        <f>BN621*1</f>
        <v>0</v>
      </c>
      <c r="BS623" s="3"/>
      <c r="BT623" s="3"/>
      <c r="BU623" s="3"/>
      <c r="BV623" s="3"/>
      <c r="BW623" s="897">
        <f>BS621*1</f>
        <v>0</v>
      </c>
      <c r="BX623" s="3"/>
      <c r="BY623" s="3"/>
      <c r="BZ623" s="3"/>
      <c r="CA623" s="3"/>
      <c r="CB623" s="897">
        <f>BX621*2</f>
        <v>104</v>
      </c>
      <c r="CC623" s="3"/>
      <c r="CD623" s="3"/>
      <c r="CE623" s="3"/>
      <c r="CF623" s="3"/>
      <c r="CG623" s="897">
        <f>CC621*3</f>
        <v>69</v>
      </c>
      <c r="CH623" s="3"/>
      <c r="CI623" s="3"/>
      <c r="CJ623" s="3"/>
      <c r="CK623" s="3"/>
      <c r="CL623" s="897">
        <f>CH621*4</f>
        <v>0</v>
      </c>
      <c r="CM623" s="3"/>
      <c r="CN623" s="3"/>
      <c r="CO623" s="3"/>
      <c r="CP623" s="3"/>
      <c r="CQ623" s="897">
        <f>CM621*5</f>
        <v>0</v>
      </c>
      <c r="CS623" s="897">
        <f>BR623+BW623+CB623+CG623+CL623+CQ623</f>
        <v>173</v>
      </c>
      <c r="CT623" s="57" t="s">
        <v>2125</v>
      </c>
      <c r="CU623" s="3"/>
      <c r="CV623" s="3"/>
      <c r="CW623" s="3"/>
      <c r="CX623" s="3"/>
      <c r="CY623" s="3"/>
      <c r="CZ623" s="3"/>
      <c r="DA623" s="3"/>
      <c r="DB623" s="3"/>
      <c r="DC623" s="3"/>
      <c r="DD623" s="3"/>
      <c r="DE623" s="3"/>
      <c r="DF623" s="3"/>
    </row>
    <row r="624" spans="1:157" ht="12.95" customHeight="1">
      <c r="B624" s="52" t="s">
        <v>114</v>
      </c>
      <c r="C624" s="1714" t="s">
        <v>2728</v>
      </c>
      <c r="D624" s="1714"/>
      <c r="E624" s="1714"/>
      <c r="F624" s="1714"/>
      <c r="G624" s="1714"/>
      <c r="H624" s="1714"/>
      <c r="I624" s="1714"/>
      <c r="J624" s="1714"/>
      <c r="K624" s="1714"/>
      <c r="L624" s="1714"/>
      <c r="M624" s="1860" t="s">
        <v>2537</v>
      </c>
      <c r="N624" s="1860"/>
      <c r="O624" s="1860"/>
      <c r="P624" s="1860"/>
      <c r="Q624" s="1758"/>
      <c r="R624" s="1552"/>
      <c r="S624" s="1759"/>
      <c r="T624" s="1758"/>
      <c r="U624" s="1552"/>
      <c r="V624" s="1759"/>
      <c r="W624" s="1602"/>
      <c r="X624" s="1603"/>
      <c r="Y624" s="1604"/>
      <c r="Z624" s="1717" t="s">
        <v>466</v>
      </c>
      <c r="AA624" s="1718"/>
      <c r="AB624" s="1719"/>
      <c r="AC624" s="1430"/>
      <c r="AD624" s="1431"/>
      <c r="AE624" s="1432"/>
      <c r="AF624" s="1587"/>
      <c r="AG624" s="1588"/>
      <c r="AH624" s="1588"/>
      <c r="AI624" s="1588"/>
      <c r="AJ624" s="1589"/>
      <c r="AK624" s="1605"/>
      <c r="AL624" s="1606"/>
      <c r="AM624" s="1606"/>
      <c r="AN624" s="1607"/>
      <c r="AO624" s="1608">
        <v>18804880</v>
      </c>
      <c r="AP624" s="1609"/>
      <c r="AQ624" s="1609"/>
      <c r="AR624" s="1609"/>
      <c r="AS624" s="1610"/>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59" t="e">
        <f t="shared" ref="DX624:DX648" si="24">DX596*(BN596/$BN$621)</f>
        <v>#VALUE!</v>
      </c>
      <c r="DY624" s="1859"/>
      <c r="DZ624" s="1859"/>
      <c r="EA624" s="1859"/>
      <c r="EB624" s="1859"/>
      <c r="EC624" s="1859" t="e">
        <f t="shared" ref="EC624:EC648" si="25">EC596*(BS596/$BS$621)</f>
        <v>#VALUE!</v>
      </c>
      <c r="ED624" s="1859"/>
      <c r="EE624" s="1859"/>
      <c r="EF624" s="1859"/>
      <c r="EG624" s="1859"/>
      <c r="EH624" s="1859">
        <f t="shared" ref="EH624:EH648" si="26">EH596*(BX596/$BX$621)</f>
        <v>82.596153846153854</v>
      </c>
      <c r="EI624" s="1859"/>
      <c r="EJ624" s="1859"/>
      <c r="EK624" s="1859"/>
      <c r="EL624" s="1859"/>
      <c r="EM624" s="1859" t="e">
        <f t="shared" ref="EM624:EM648" si="27">EM596*(CC596/$CC$621)</f>
        <v>#VALUE!</v>
      </c>
      <c r="EN624" s="1859"/>
      <c r="EO624" s="1859"/>
      <c r="EP624" s="1859"/>
      <c r="EQ624" s="1859"/>
      <c r="ER624" s="1859" t="e">
        <f t="shared" ref="ER624:ER648" si="28">ER596*(CH596/$CH$621)</f>
        <v>#VALUE!</v>
      </c>
      <c r="ES624" s="1859"/>
      <c r="ET624" s="1859"/>
      <c r="EU624" s="1859"/>
      <c r="EV624" s="1859"/>
      <c r="EW624" s="1859" t="e">
        <f t="shared" ref="EW624:EW648" si="29">EW596*(CM596/$CM$621)</f>
        <v>#VALUE!</v>
      </c>
      <c r="EX624" s="1859"/>
      <c r="EY624" s="1859"/>
      <c r="EZ624" s="1859"/>
      <c r="FA624" s="1859"/>
    </row>
    <row r="625" spans="1:157" ht="12.95" customHeight="1">
      <c r="B625" s="52" t="s">
        <v>120</v>
      </c>
      <c r="C625" s="1714" t="s">
        <v>2714</v>
      </c>
      <c r="D625" s="1714"/>
      <c r="E625" s="1714"/>
      <c r="F625" s="1714"/>
      <c r="G625" s="1714"/>
      <c r="H625" s="1714"/>
      <c r="I625" s="1714"/>
      <c r="J625" s="1714"/>
      <c r="K625" s="1714"/>
      <c r="L625" s="1714"/>
      <c r="M625" s="1860" t="s">
        <v>2537</v>
      </c>
      <c r="N625" s="1860"/>
      <c r="O625" s="1860"/>
      <c r="P625" s="1860"/>
      <c r="Q625" s="1758"/>
      <c r="R625" s="1552"/>
      <c r="S625" s="1759"/>
      <c r="T625" s="1758"/>
      <c r="U625" s="1552"/>
      <c r="V625" s="1759"/>
      <c r="W625" s="1602"/>
      <c r="X625" s="1603"/>
      <c r="Y625" s="1604"/>
      <c r="Z625" s="1717" t="s">
        <v>466</v>
      </c>
      <c r="AA625" s="1718"/>
      <c r="AB625" s="1719"/>
      <c r="AC625" s="1430"/>
      <c r="AD625" s="1431"/>
      <c r="AE625" s="1432"/>
      <c r="AF625" s="1587"/>
      <c r="AG625" s="1588"/>
      <c r="AH625" s="1588"/>
      <c r="AI625" s="1588"/>
      <c r="AJ625" s="1589"/>
      <c r="AK625" s="1605"/>
      <c r="AL625" s="1606"/>
      <c r="AM625" s="1606"/>
      <c r="AN625" s="1607"/>
      <c r="AO625" s="1608">
        <v>750000</v>
      </c>
      <c r="AP625" s="1609"/>
      <c r="AQ625" s="1609"/>
      <c r="AR625" s="1609"/>
      <c r="AS625" s="1610"/>
      <c r="AT625" s="1201" t="str">
        <f>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59" t="e">
        <f t="shared" si="24"/>
        <v>#VALUE!</v>
      </c>
      <c r="DY625" s="1859"/>
      <c r="DZ625" s="1859"/>
      <c r="EA625" s="1859"/>
      <c r="EB625" s="1859"/>
      <c r="EC625" s="1859" t="e">
        <f t="shared" si="25"/>
        <v>#VALUE!</v>
      </c>
      <c r="ED625" s="1859"/>
      <c r="EE625" s="1859"/>
      <c r="EF625" s="1859"/>
      <c r="EG625" s="1859"/>
      <c r="EH625" s="1859">
        <f t="shared" si="26"/>
        <v>490.71153846153845</v>
      </c>
      <c r="EI625" s="1859"/>
      <c r="EJ625" s="1859"/>
      <c r="EK625" s="1859"/>
      <c r="EL625" s="1859"/>
      <c r="EM625" s="1859" t="e">
        <f t="shared" si="27"/>
        <v>#VALUE!</v>
      </c>
      <c r="EN625" s="1859"/>
      <c r="EO625" s="1859"/>
      <c r="EP625" s="1859"/>
      <c r="EQ625" s="1859"/>
      <c r="ER625" s="1859" t="e">
        <f t="shared" si="28"/>
        <v>#VALUE!</v>
      </c>
      <c r="ES625" s="1859"/>
      <c r="ET625" s="1859"/>
      <c r="EU625" s="1859"/>
      <c r="EV625" s="1859"/>
      <c r="EW625" s="1859" t="e">
        <f t="shared" si="29"/>
        <v>#VALUE!</v>
      </c>
      <c r="EX625" s="1859"/>
      <c r="EY625" s="1859"/>
      <c r="EZ625" s="1859"/>
      <c r="FA625" s="1859"/>
    </row>
    <row r="626" spans="1:157" ht="12.95" customHeight="1">
      <c r="B626" s="52" t="s">
        <v>590</v>
      </c>
      <c r="C626" s="1714" t="s">
        <v>1921</v>
      </c>
      <c r="D626" s="1715"/>
      <c r="E626" s="1715"/>
      <c r="F626" s="1715"/>
      <c r="G626" s="1715"/>
      <c r="H626" s="1715"/>
      <c r="I626" s="1715"/>
      <c r="J626" s="1715"/>
      <c r="K626" s="1715"/>
      <c r="L626" s="1716"/>
      <c r="M626" s="1860" t="s">
        <v>2528</v>
      </c>
      <c r="N626" s="1860"/>
      <c r="O626" s="1860"/>
      <c r="P626" s="1860"/>
      <c r="Q626" s="1758"/>
      <c r="R626" s="1552"/>
      <c r="S626" s="1759"/>
      <c r="T626" s="1758"/>
      <c r="U626" s="1552"/>
      <c r="V626" s="1759"/>
      <c r="W626" s="1602"/>
      <c r="X626" s="1603"/>
      <c r="Y626" s="1604"/>
      <c r="Z626" s="1717" t="s">
        <v>467</v>
      </c>
      <c r="AA626" s="1718"/>
      <c r="AB626" s="1719"/>
      <c r="AC626" s="1430"/>
      <c r="AD626" s="1431"/>
      <c r="AE626" s="1432"/>
      <c r="AF626" s="1587"/>
      <c r="AG626" s="1588"/>
      <c r="AH626" s="1588"/>
      <c r="AI626" s="1588"/>
      <c r="AJ626" s="1589"/>
      <c r="AK626" s="1605"/>
      <c r="AL626" s="1606"/>
      <c r="AM626" s="1606"/>
      <c r="AN626" s="1607"/>
      <c r="AO626" s="1608">
        <f>'Sources and Uses Budget'!B105-SUM(Application!AO623:AS625,Application!AO636)</f>
        <v>821769.13339101523</v>
      </c>
      <c r="AP626" s="1609"/>
      <c r="AQ626" s="1609"/>
      <c r="AR626" s="1609"/>
      <c r="AS626" s="1610"/>
      <c r="AT626" s="1201" t="str">
        <f>IF(AND(NOT(C625=""),C626="",NOT(C627="")),"!","")</f>
        <v/>
      </c>
      <c r="AU626" s="3"/>
      <c r="AV626" s="3"/>
      <c r="AW626" s="3"/>
      <c r="AX626" s="3"/>
      <c r="AY626" s="3"/>
      <c r="AZ626" s="34"/>
      <c r="BA626" s="3" t="s">
        <v>2553</v>
      </c>
      <c r="BB626" s="34"/>
      <c r="BC626" s="34"/>
      <c r="BD626" s="34"/>
      <c r="BE626" s="34"/>
      <c r="BF626" s="34"/>
      <c r="BG626" s="34"/>
      <c r="BH626" s="34"/>
      <c r="BI626" s="34"/>
      <c r="BJ626" s="34"/>
      <c r="BK626" s="34"/>
      <c r="BL626" s="34"/>
      <c r="BM626" s="34"/>
      <c r="BN626" s="1508">
        <f>IF(J758="SRO/Studio",O758,0)</f>
        <v>0</v>
      </c>
      <c r="BO626" s="1509"/>
      <c r="BP626" s="1509"/>
      <c r="BQ626" s="1509"/>
      <c r="BR626" s="1510"/>
      <c r="BS626" s="1396">
        <f>IF(J758="1 Bedroom",O758,0)</f>
        <v>0</v>
      </c>
      <c r="BT626" s="1396"/>
      <c r="BU626" s="1396"/>
      <c r="BV626" s="1396"/>
      <c r="BW626" s="1396"/>
      <c r="BX626" s="1396">
        <f>IF(J758="2 Bedrooms",O758,0)</f>
        <v>0</v>
      </c>
      <c r="BY626" s="1396"/>
      <c r="BZ626" s="1396"/>
      <c r="CA626" s="1396"/>
      <c r="CB626" s="1396"/>
      <c r="CC626" s="1396">
        <f>IF(J758="3 Bedrooms",O758,0)</f>
        <v>1</v>
      </c>
      <c r="CD626" s="1396"/>
      <c r="CE626" s="1396"/>
      <c r="CF626" s="1396"/>
      <c r="CG626" s="1396"/>
      <c r="CH626" s="1396">
        <f>IF(J758="4 Bedrooms",O758,0)</f>
        <v>0</v>
      </c>
      <c r="CI626" s="1396"/>
      <c r="CJ626" s="1396"/>
      <c r="CK626" s="1396"/>
      <c r="CL626" s="1396"/>
      <c r="CM626" s="1396">
        <f>IF(J758="5 Bedrooms",O758,0)</f>
        <v>0</v>
      </c>
      <c r="CN626" s="1396"/>
      <c r="CO626" s="1396"/>
      <c r="CP626" s="1396"/>
      <c r="CQ626" s="1396"/>
      <c r="CR626" s="6"/>
      <c r="CS626" s="3"/>
      <c r="CT626" s="3"/>
      <c r="CU626" s="3"/>
      <c r="CV626" s="3"/>
      <c r="CW626" s="3"/>
      <c r="CX626" s="3"/>
      <c r="CY626" s="3"/>
      <c r="CZ626" s="3"/>
      <c r="DA626" s="3"/>
      <c r="DB626" s="3"/>
      <c r="DC626" s="3"/>
      <c r="DD626" s="3"/>
      <c r="DE626" s="3"/>
      <c r="DF626" s="3"/>
      <c r="DX626" s="1859" t="e">
        <f t="shared" si="24"/>
        <v>#VALUE!</v>
      </c>
      <c r="DY626" s="1859"/>
      <c r="DZ626" s="1859"/>
      <c r="EA626" s="1859"/>
      <c r="EB626" s="1859"/>
      <c r="EC626" s="1859" t="e">
        <f t="shared" si="25"/>
        <v>#VALUE!</v>
      </c>
      <c r="ED626" s="1859"/>
      <c r="EE626" s="1859"/>
      <c r="EF626" s="1859"/>
      <c r="EG626" s="1859"/>
      <c r="EH626" s="1859">
        <f t="shared" si="26"/>
        <v>520.96153846153845</v>
      </c>
      <c r="EI626" s="1859"/>
      <c r="EJ626" s="1859"/>
      <c r="EK626" s="1859"/>
      <c r="EL626" s="1859"/>
      <c r="EM626" s="1859" t="e">
        <f t="shared" si="27"/>
        <v>#VALUE!</v>
      </c>
      <c r="EN626" s="1859"/>
      <c r="EO626" s="1859"/>
      <c r="EP626" s="1859"/>
      <c r="EQ626" s="1859"/>
      <c r="ER626" s="1859" t="e">
        <f t="shared" si="28"/>
        <v>#VALUE!</v>
      </c>
      <c r="ES626" s="1859"/>
      <c r="ET626" s="1859"/>
      <c r="EU626" s="1859"/>
      <c r="EV626" s="1859"/>
      <c r="EW626" s="1859" t="e">
        <f t="shared" si="29"/>
        <v>#VALUE!</v>
      </c>
      <c r="EX626" s="1859"/>
      <c r="EY626" s="1859"/>
      <c r="EZ626" s="1859"/>
      <c r="FA626" s="1859"/>
    </row>
    <row r="627" spans="1:157" ht="12.95" customHeight="1">
      <c r="B627" s="52" t="s">
        <v>787</v>
      </c>
      <c r="C627" s="1714"/>
      <c r="D627" s="1715"/>
      <c r="E627" s="1715"/>
      <c r="F627" s="1715"/>
      <c r="G627" s="1715"/>
      <c r="H627" s="1715"/>
      <c r="I627" s="1715"/>
      <c r="J627" s="1715"/>
      <c r="K627" s="1715"/>
      <c r="L627" s="1715"/>
      <c r="M627" s="1860" t="s">
        <v>1327</v>
      </c>
      <c r="N627" s="1860"/>
      <c r="O627" s="1860"/>
      <c r="P627" s="1860"/>
      <c r="Q627" s="1758"/>
      <c r="R627" s="1552"/>
      <c r="S627" s="1759"/>
      <c r="T627" s="1758"/>
      <c r="U627" s="1552"/>
      <c r="V627" s="1759"/>
      <c r="W627" s="1602"/>
      <c r="X627" s="1603"/>
      <c r="Y627" s="1604"/>
      <c r="Z627" s="1717" t="s">
        <v>1327</v>
      </c>
      <c r="AA627" s="1718"/>
      <c r="AB627" s="1719"/>
      <c r="AC627" s="1430"/>
      <c r="AD627" s="1431"/>
      <c r="AE627" s="1432"/>
      <c r="AF627" s="1587"/>
      <c r="AG627" s="1588"/>
      <c r="AH627" s="1588"/>
      <c r="AI627" s="1588"/>
      <c r="AJ627" s="1589"/>
      <c r="AK627" s="1605"/>
      <c r="AL627" s="1606"/>
      <c r="AM627" s="1606"/>
      <c r="AN627" s="1607"/>
      <c r="AO627" s="1608"/>
      <c r="AP627" s="1609"/>
      <c r="AQ627" s="1609"/>
      <c r="AR627" s="1609"/>
      <c r="AS627" s="1610"/>
      <c r="AT627" s="1201" t="str">
        <f>IF(AND(NOT(C626=""),C627="",NOT(C628="")),"!","")</f>
        <v/>
      </c>
      <c r="AU627" s="3"/>
      <c r="AV627" s="3"/>
      <c r="AW627" s="3"/>
      <c r="AX627" s="3"/>
      <c r="AY627" s="3"/>
      <c r="AZ627" s="34"/>
      <c r="BA627" s="3" t="s">
        <v>302</v>
      </c>
      <c r="BB627" s="34"/>
      <c r="BC627" s="34"/>
      <c r="BD627" s="34"/>
      <c r="BE627" s="34"/>
      <c r="BF627" s="34"/>
      <c r="BG627" s="34"/>
      <c r="BH627" s="34"/>
      <c r="BI627" s="34"/>
      <c r="BJ627" s="34"/>
      <c r="BK627" s="34"/>
      <c r="BL627" s="34"/>
      <c r="BM627" s="34"/>
      <c r="BN627" s="1508">
        <f>IF(J759="SRO/Studio",O759,0)</f>
        <v>0</v>
      </c>
      <c r="BO627" s="1509"/>
      <c r="BP627" s="1509"/>
      <c r="BQ627" s="1509"/>
      <c r="BR627" s="1510"/>
      <c r="BS627" s="1396">
        <f>IF(J759="1 Bedroom",O759,0)</f>
        <v>0</v>
      </c>
      <c r="BT627" s="1396"/>
      <c r="BU627" s="1396"/>
      <c r="BV627" s="1396"/>
      <c r="BW627" s="1396"/>
      <c r="BX627" s="1396">
        <f>IF(J759="2 Bedrooms",O759,0)</f>
        <v>0</v>
      </c>
      <c r="BY627" s="1396"/>
      <c r="BZ627" s="1396"/>
      <c r="CA627" s="1396"/>
      <c r="CB627" s="1396"/>
      <c r="CC627" s="1396">
        <f>IF(J759="3 Bedrooms",O759,0)</f>
        <v>0</v>
      </c>
      <c r="CD627" s="1396"/>
      <c r="CE627" s="1396"/>
      <c r="CF627" s="1396"/>
      <c r="CG627" s="1396"/>
      <c r="CH627" s="1396">
        <f>IF(J759="4 Bedrooms",O759,0)</f>
        <v>0</v>
      </c>
      <c r="CI627" s="1396"/>
      <c r="CJ627" s="1396"/>
      <c r="CK627" s="1396"/>
      <c r="CL627" s="1396"/>
      <c r="CM627" s="1396">
        <f>IF(J759="5 Bedrooms",O759,0)</f>
        <v>0</v>
      </c>
      <c r="CN627" s="1396"/>
      <c r="CO627" s="1396"/>
      <c r="CP627" s="1396"/>
      <c r="CQ627" s="1396"/>
      <c r="CR627" s="6"/>
      <c r="CS627" s="3"/>
      <c r="CT627" s="3"/>
      <c r="CU627" s="3"/>
      <c r="CV627" s="3"/>
      <c r="CW627" s="3"/>
      <c r="CX627" s="3"/>
      <c r="CY627" s="3"/>
      <c r="CZ627" s="3"/>
      <c r="DA627" s="3"/>
      <c r="DB627" s="3"/>
      <c r="DC627" s="3"/>
      <c r="DD627" s="3"/>
      <c r="DE627" s="3"/>
      <c r="DF627" s="3"/>
      <c r="DX627" s="1859" t="e">
        <f t="shared" si="24"/>
        <v>#VALUE!</v>
      </c>
      <c r="DY627" s="1859"/>
      <c r="DZ627" s="1859"/>
      <c r="EA627" s="1859"/>
      <c r="EB627" s="1859"/>
      <c r="EC627" s="1859" t="e">
        <f t="shared" si="25"/>
        <v>#VALUE!</v>
      </c>
      <c r="ED627" s="1859"/>
      <c r="EE627" s="1859"/>
      <c r="EF627" s="1859"/>
      <c r="EG627" s="1859"/>
      <c r="EH627" s="1859">
        <f t="shared" si="26"/>
        <v>351.53846153846155</v>
      </c>
      <c r="EI627" s="1859"/>
      <c r="EJ627" s="1859"/>
      <c r="EK627" s="1859"/>
      <c r="EL627" s="1859"/>
      <c r="EM627" s="1859" t="e">
        <f t="shared" si="27"/>
        <v>#VALUE!</v>
      </c>
      <c r="EN627" s="1859"/>
      <c r="EO627" s="1859"/>
      <c r="EP627" s="1859"/>
      <c r="EQ627" s="1859"/>
      <c r="ER627" s="1859" t="e">
        <f t="shared" si="28"/>
        <v>#VALUE!</v>
      </c>
      <c r="ES627" s="1859"/>
      <c r="ET627" s="1859"/>
      <c r="EU627" s="1859"/>
      <c r="EV627" s="1859"/>
      <c r="EW627" s="1859" t="e">
        <f t="shared" si="29"/>
        <v>#VALUE!</v>
      </c>
      <c r="EX627" s="1859"/>
      <c r="EY627" s="1859"/>
      <c r="EZ627" s="1859"/>
      <c r="FA627" s="1859"/>
    </row>
    <row r="628" spans="1:157" ht="12.95" customHeight="1">
      <c r="B628" s="52" t="s">
        <v>593</v>
      </c>
      <c r="C628" s="1715"/>
      <c r="D628" s="1715"/>
      <c r="E628" s="1715"/>
      <c r="F628" s="1715"/>
      <c r="G628" s="1715"/>
      <c r="H628" s="1715"/>
      <c r="I628" s="1715"/>
      <c r="J628" s="1715"/>
      <c r="K628" s="1715"/>
      <c r="L628" s="1715"/>
      <c r="M628" s="1860" t="s">
        <v>1327</v>
      </c>
      <c r="N628" s="1860"/>
      <c r="O628" s="1860"/>
      <c r="P628" s="1860"/>
      <c r="Q628" s="1758"/>
      <c r="R628" s="1552"/>
      <c r="S628" s="1759"/>
      <c r="T628" s="1758"/>
      <c r="U628" s="1552"/>
      <c r="V628" s="1759"/>
      <c r="W628" s="1602"/>
      <c r="X628" s="1603"/>
      <c r="Y628" s="1604"/>
      <c r="Z628" s="1717" t="s">
        <v>1327</v>
      </c>
      <c r="AA628" s="1718"/>
      <c r="AB628" s="1719"/>
      <c r="AC628" s="1430"/>
      <c r="AD628" s="1431"/>
      <c r="AE628" s="1432"/>
      <c r="AF628" s="1587"/>
      <c r="AG628" s="1588"/>
      <c r="AH628" s="1588"/>
      <c r="AI628" s="1588"/>
      <c r="AJ628" s="1589"/>
      <c r="AK628" s="1605"/>
      <c r="AL628" s="1606"/>
      <c r="AM628" s="1606"/>
      <c r="AN628" s="1607"/>
      <c r="AO628" s="1608"/>
      <c r="AP628" s="1609"/>
      <c r="AQ628" s="1609"/>
      <c r="AR628" s="1609"/>
      <c r="AS628" s="1610"/>
      <c r="AT628" s="1201" t="str">
        <f t="shared" ref="AT628:AT634" si="30">IF(AND(NOT(C627=""),C628="",NOT(C629="")),"!","")</f>
        <v/>
      </c>
      <c r="AU628" s="3"/>
      <c r="AV628" s="3"/>
      <c r="AW628" s="3"/>
      <c r="AX628" s="3"/>
      <c r="AY628" s="3"/>
      <c r="AZ628" s="34"/>
      <c r="BA628" s="34"/>
      <c r="BB628" s="34"/>
      <c r="BC628" s="34"/>
      <c r="BD628" s="34"/>
      <c r="BE628" s="34"/>
      <c r="BF628" s="34"/>
      <c r="BG628" s="34"/>
      <c r="BH628" s="34"/>
      <c r="BI628" s="34"/>
      <c r="BJ628" s="34"/>
      <c r="BK628" s="34"/>
      <c r="BL628" s="34"/>
      <c r="BM628" s="34"/>
      <c r="BN628" s="1508">
        <f>IF(J760="SRO/Studio",O760,0)</f>
        <v>0</v>
      </c>
      <c r="BO628" s="1509"/>
      <c r="BP628" s="1509"/>
      <c r="BQ628" s="1509"/>
      <c r="BR628" s="1510"/>
      <c r="BS628" s="1396">
        <f>IF(J760="1 Bedroom",O760,0)</f>
        <v>0</v>
      </c>
      <c r="BT628" s="1396"/>
      <c r="BU628" s="1396"/>
      <c r="BV628" s="1396"/>
      <c r="BW628" s="1396"/>
      <c r="BX628" s="1396">
        <f>IF(J760="2 Bedrooms",O760,0)</f>
        <v>0</v>
      </c>
      <c r="BY628" s="1396"/>
      <c r="BZ628" s="1396"/>
      <c r="CA628" s="1396"/>
      <c r="CB628" s="1396"/>
      <c r="CC628" s="1396">
        <f>IF(J760="3 Bedrooms",O760,0)</f>
        <v>0</v>
      </c>
      <c r="CD628" s="1396"/>
      <c r="CE628" s="1396"/>
      <c r="CF628" s="1396"/>
      <c r="CG628" s="1396"/>
      <c r="CH628" s="1396">
        <f>IF(J760="4 Bedrooms",O760,0)</f>
        <v>0</v>
      </c>
      <c r="CI628" s="1396"/>
      <c r="CJ628" s="1396"/>
      <c r="CK628" s="1396"/>
      <c r="CL628" s="1396"/>
      <c r="CM628" s="1396">
        <f>IF(J760="5 Bedrooms",O760,0)</f>
        <v>0</v>
      </c>
      <c r="CN628" s="1396"/>
      <c r="CO628" s="1396"/>
      <c r="CP628" s="1396"/>
      <c r="CQ628" s="1396"/>
      <c r="CR628" s="1049"/>
      <c r="CV628" s="3"/>
      <c r="CW628" s="3"/>
      <c r="CX628" s="3"/>
      <c r="CY628" s="3"/>
      <c r="CZ628" s="3"/>
      <c r="DA628" s="3"/>
      <c r="DB628" s="3"/>
      <c r="DC628" s="3"/>
      <c r="DD628" s="3"/>
      <c r="DE628" s="3"/>
      <c r="DF628" s="3"/>
      <c r="DX628" s="1859" t="e">
        <f t="shared" si="24"/>
        <v>#VALUE!</v>
      </c>
      <c r="DY628" s="1859"/>
      <c r="DZ628" s="1859"/>
      <c r="EA628" s="1859"/>
      <c r="EB628" s="1859"/>
      <c r="EC628" s="1859" t="e">
        <f t="shared" si="25"/>
        <v>#VALUE!</v>
      </c>
      <c r="ED628" s="1859"/>
      <c r="EE628" s="1859"/>
      <c r="EF628" s="1859"/>
      <c r="EG628" s="1859"/>
      <c r="EH628" s="1859" t="e">
        <f t="shared" si="26"/>
        <v>#VALUE!</v>
      </c>
      <c r="EI628" s="1859"/>
      <c r="EJ628" s="1859"/>
      <c r="EK628" s="1859"/>
      <c r="EL628" s="1859"/>
      <c r="EM628" s="1859">
        <f t="shared" si="27"/>
        <v>127.82608695652173</v>
      </c>
      <c r="EN628" s="1859"/>
      <c r="EO628" s="1859"/>
      <c r="EP628" s="1859"/>
      <c r="EQ628" s="1859"/>
      <c r="ER628" s="1859" t="e">
        <f t="shared" si="28"/>
        <v>#VALUE!</v>
      </c>
      <c r="ES628" s="1859"/>
      <c r="ET628" s="1859"/>
      <c r="EU628" s="1859"/>
      <c r="EV628" s="1859"/>
      <c r="EW628" s="1859" t="e">
        <f t="shared" si="29"/>
        <v>#VALUE!</v>
      </c>
      <c r="EX628" s="1859"/>
      <c r="EY628" s="1859"/>
      <c r="EZ628" s="1859"/>
      <c r="FA628" s="1859"/>
    </row>
    <row r="629" spans="1:157" ht="12.95" customHeight="1">
      <c r="B629" s="52" t="s">
        <v>464</v>
      </c>
      <c r="C629" s="1715"/>
      <c r="D629" s="1715"/>
      <c r="E629" s="1715"/>
      <c r="F629" s="1715"/>
      <c r="G629" s="1715"/>
      <c r="H629" s="1715"/>
      <c r="I629" s="1715"/>
      <c r="J629" s="1715"/>
      <c r="K629" s="1715"/>
      <c r="L629" s="1715"/>
      <c r="M629" s="1860" t="s">
        <v>1327</v>
      </c>
      <c r="N629" s="1860"/>
      <c r="O629" s="1860"/>
      <c r="P629" s="1860"/>
      <c r="Q629" s="1758"/>
      <c r="R629" s="1552"/>
      <c r="S629" s="1759"/>
      <c r="T629" s="1758"/>
      <c r="U629" s="1552"/>
      <c r="V629" s="1759"/>
      <c r="W629" s="1602"/>
      <c r="X629" s="1603"/>
      <c r="Y629" s="1604"/>
      <c r="Z629" s="1717" t="s">
        <v>1327</v>
      </c>
      <c r="AA629" s="1718"/>
      <c r="AB629" s="1719"/>
      <c r="AC629" s="1430"/>
      <c r="AD629" s="1431"/>
      <c r="AE629" s="1432"/>
      <c r="AF629" s="1587"/>
      <c r="AG629" s="1588"/>
      <c r="AH629" s="1588"/>
      <c r="AI629" s="1588"/>
      <c r="AJ629" s="1589"/>
      <c r="AK629" s="1605"/>
      <c r="AL629" s="1606"/>
      <c r="AM629" s="1606"/>
      <c r="AN629" s="1607"/>
      <c r="AO629" s="1608"/>
      <c r="AP629" s="1609"/>
      <c r="AQ629" s="1609"/>
      <c r="AR629" s="1609"/>
      <c r="AS629" s="1610"/>
      <c r="AT629" s="1201" t="str">
        <f t="shared" si="30"/>
        <v/>
      </c>
      <c r="AU629" s="3"/>
      <c r="AV629" s="3"/>
      <c r="AW629" s="3"/>
      <c r="AX629" s="3"/>
      <c r="AY629" s="3"/>
      <c r="AZ629" s="34"/>
      <c r="BA629" s="34"/>
      <c r="BB629" s="34"/>
      <c r="BC629" s="34"/>
      <c r="BD629" s="34"/>
      <c r="BE629" s="34"/>
      <c r="BF629" s="34"/>
      <c r="BG629" s="34"/>
      <c r="BH629" s="34"/>
      <c r="BI629" s="34"/>
      <c r="BJ629" s="34"/>
      <c r="BK629" s="34"/>
      <c r="BL629" s="34"/>
      <c r="BM629" s="34"/>
      <c r="BN629" s="1508">
        <f>IF(J761="SRO/Studio",O761,0)</f>
        <v>0</v>
      </c>
      <c r="BO629" s="1509"/>
      <c r="BP629" s="1509"/>
      <c r="BQ629" s="1509"/>
      <c r="BR629" s="1510"/>
      <c r="BS629" s="1396">
        <f>IF(J761="1 Bedroom",O761,0)</f>
        <v>0</v>
      </c>
      <c r="BT629" s="1396"/>
      <c r="BU629" s="1396"/>
      <c r="BV629" s="1396"/>
      <c r="BW629" s="1396"/>
      <c r="BX629" s="1396">
        <f>IF(J761="2 Bedrooms",O761,0)</f>
        <v>0</v>
      </c>
      <c r="BY629" s="1396"/>
      <c r="BZ629" s="1396"/>
      <c r="CA629" s="1396"/>
      <c r="CB629" s="1396"/>
      <c r="CC629" s="1396">
        <f>IF(J761="3 Bedrooms",O761,0)</f>
        <v>0</v>
      </c>
      <c r="CD629" s="1396"/>
      <c r="CE629" s="1396"/>
      <c r="CF629" s="1396"/>
      <c r="CG629" s="1396"/>
      <c r="CH629" s="1396">
        <f>IF(J761="4 Bedrooms",O761,0)</f>
        <v>0</v>
      </c>
      <c r="CI629" s="1396"/>
      <c r="CJ629" s="1396"/>
      <c r="CK629" s="1396"/>
      <c r="CL629" s="1396"/>
      <c r="CM629" s="1396">
        <f>IF(J761="5 Bedrooms",O761,0)</f>
        <v>0</v>
      </c>
      <c r="CN629" s="1396"/>
      <c r="CO629" s="1396"/>
      <c r="CP629" s="1396"/>
      <c r="CQ629" s="1396"/>
      <c r="CV629" s="3"/>
      <c r="CW629" s="3"/>
      <c r="CX629" s="3"/>
      <c r="CY629" s="3"/>
      <c r="CZ629" s="3"/>
      <c r="DA629" s="3"/>
      <c r="DB629" s="3"/>
      <c r="DC629" s="3"/>
      <c r="DD629" s="3"/>
      <c r="DE629" s="3"/>
      <c r="DF629" s="3"/>
      <c r="DX629" s="1859" t="e">
        <f t="shared" si="24"/>
        <v>#VALUE!</v>
      </c>
      <c r="DY629" s="1859"/>
      <c r="DZ629" s="1859"/>
      <c r="EA629" s="1859"/>
      <c r="EB629" s="1859"/>
      <c r="EC629" s="1859" t="e">
        <f t="shared" si="25"/>
        <v>#VALUE!</v>
      </c>
      <c r="ED629" s="1859"/>
      <c r="EE629" s="1859"/>
      <c r="EF629" s="1859"/>
      <c r="EG629" s="1859"/>
      <c r="EH629" s="1859" t="e">
        <f t="shared" si="26"/>
        <v>#VALUE!</v>
      </c>
      <c r="EI629" s="1859"/>
      <c r="EJ629" s="1859"/>
      <c r="EK629" s="1859"/>
      <c r="EL629" s="1859"/>
      <c r="EM629" s="1859">
        <f t="shared" si="27"/>
        <v>803.47826086956525</v>
      </c>
      <c r="EN629" s="1859"/>
      <c r="EO629" s="1859"/>
      <c r="EP629" s="1859"/>
      <c r="EQ629" s="1859"/>
      <c r="ER629" s="1859" t="e">
        <f t="shared" si="28"/>
        <v>#VALUE!</v>
      </c>
      <c r="ES629" s="1859"/>
      <c r="ET629" s="1859"/>
      <c r="EU629" s="1859"/>
      <c r="EV629" s="1859"/>
      <c r="EW629" s="1859" t="e">
        <f t="shared" si="29"/>
        <v>#VALUE!</v>
      </c>
      <c r="EX629" s="1859"/>
      <c r="EY629" s="1859"/>
      <c r="EZ629" s="1859"/>
      <c r="FA629" s="1859"/>
    </row>
    <row r="630" spans="1:157" ht="12.95" customHeight="1">
      <c r="B630" s="52" t="s">
        <v>465</v>
      </c>
      <c r="C630" s="1715"/>
      <c r="D630" s="1715"/>
      <c r="E630" s="1715"/>
      <c r="F630" s="1715"/>
      <c r="G630" s="1715"/>
      <c r="H630" s="1715"/>
      <c r="I630" s="1715"/>
      <c r="J630" s="1715"/>
      <c r="K630" s="1715"/>
      <c r="L630" s="1715"/>
      <c r="M630" s="1860" t="s">
        <v>1327</v>
      </c>
      <c r="N630" s="1860"/>
      <c r="O630" s="1860"/>
      <c r="P630" s="1860"/>
      <c r="Q630" s="1758"/>
      <c r="R630" s="1552"/>
      <c r="S630" s="1759"/>
      <c r="T630" s="1758"/>
      <c r="U630" s="1552"/>
      <c r="V630" s="1759"/>
      <c r="W630" s="1602"/>
      <c r="X630" s="1603"/>
      <c r="Y630" s="1604"/>
      <c r="Z630" s="1717" t="s">
        <v>1327</v>
      </c>
      <c r="AA630" s="1718"/>
      <c r="AB630" s="1719"/>
      <c r="AC630" s="1430"/>
      <c r="AD630" s="1431"/>
      <c r="AE630" s="1432"/>
      <c r="AF630" s="1587"/>
      <c r="AG630" s="1588"/>
      <c r="AH630" s="1588"/>
      <c r="AI630" s="1588"/>
      <c r="AJ630" s="1589"/>
      <c r="AK630" s="1605"/>
      <c r="AL630" s="1606"/>
      <c r="AM630" s="1606"/>
      <c r="AN630" s="1607"/>
      <c r="AO630" s="1608"/>
      <c r="AP630" s="1609"/>
      <c r="AQ630" s="1609"/>
      <c r="AR630" s="1609"/>
      <c r="AS630" s="1610"/>
      <c r="AT630" s="1201" t="str">
        <f t="shared" si="30"/>
        <v/>
      </c>
      <c r="AU630" s="3"/>
      <c r="AV630" s="3"/>
      <c r="AW630" s="3"/>
      <c r="AX630" s="3"/>
      <c r="AY630" s="3"/>
      <c r="AZ630" s="34"/>
      <c r="BA630" s="34"/>
      <c r="BB630" s="34"/>
      <c r="BC630" s="34"/>
      <c r="BD630" s="34"/>
      <c r="BE630" s="34"/>
      <c r="BF630" s="34"/>
      <c r="BG630" s="34"/>
      <c r="BH630" s="34"/>
      <c r="BI630" s="34"/>
      <c r="BJ630" s="34"/>
      <c r="BK630" s="34"/>
      <c r="BL630" s="34"/>
      <c r="BM630" s="34"/>
      <c r="BN630" s="1511">
        <f>SUM(BN626:BR629)</f>
        <v>0</v>
      </c>
      <c r="BO630" s="1513"/>
      <c r="BP630" s="1513"/>
      <c r="BQ630" s="1513"/>
      <c r="BR630" s="1512"/>
      <c r="BS630" s="1708">
        <f>SUM(BS626:BW629)</f>
        <v>0</v>
      </c>
      <c r="BT630" s="1709"/>
      <c r="BU630" s="1709"/>
      <c r="BV630" s="1709"/>
      <c r="BW630" s="1710"/>
      <c r="BX630" s="1708">
        <f>SUM(BX626:CB629)</f>
        <v>0</v>
      </c>
      <c r="BY630" s="1709"/>
      <c r="BZ630" s="1709"/>
      <c r="CA630" s="1709"/>
      <c r="CB630" s="1710"/>
      <c r="CC630" s="1708">
        <f>SUM(CC626:CG629)</f>
        <v>1</v>
      </c>
      <c r="CD630" s="1709"/>
      <c r="CE630" s="1709"/>
      <c r="CF630" s="1709"/>
      <c r="CG630" s="1710"/>
      <c r="CH630" s="1708">
        <f>SUM(CH626:CL629)</f>
        <v>0</v>
      </c>
      <c r="CI630" s="1709"/>
      <c r="CJ630" s="1709"/>
      <c r="CK630" s="1709"/>
      <c r="CL630" s="1710"/>
      <c r="CM630" s="1708">
        <f>SUM(CM626:CQ629)</f>
        <v>0</v>
      </c>
      <c r="CN630" s="1709"/>
      <c r="CO630" s="1709"/>
      <c r="CP630" s="1709"/>
      <c r="CQ630" s="1710"/>
      <c r="CS630" s="897">
        <f>BN630+BS630+BX630+CC630+CH630+CM630</f>
        <v>1</v>
      </c>
      <c r="CT630" s="57" t="s">
        <v>2122</v>
      </c>
      <c r="CU630" s="3"/>
      <c r="CV630" s="3"/>
      <c r="CW630" s="3"/>
      <c r="CX630" s="3"/>
      <c r="CY630" s="3"/>
      <c r="CZ630" s="3"/>
      <c r="DA630" s="3"/>
      <c r="DB630" s="3"/>
      <c r="DC630" s="3"/>
      <c r="DD630" s="3"/>
      <c r="DE630" s="3"/>
      <c r="DF630" s="3"/>
      <c r="DX630" s="1859" t="e">
        <f t="shared" si="24"/>
        <v>#VALUE!</v>
      </c>
      <c r="DY630" s="1859"/>
      <c r="DZ630" s="1859"/>
      <c r="EA630" s="1859"/>
      <c r="EB630" s="1859"/>
      <c r="EC630" s="1859" t="e">
        <f t="shared" si="25"/>
        <v>#VALUE!</v>
      </c>
      <c r="ED630" s="1859"/>
      <c r="EE630" s="1859"/>
      <c r="EF630" s="1859"/>
      <c r="EG630" s="1859"/>
      <c r="EH630" s="1859" t="e">
        <f t="shared" si="26"/>
        <v>#VALUE!</v>
      </c>
      <c r="EI630" s="1859"/>
      <c r="EJ630" s="1859"/>
      <c r="EK630" s="1859"/>
      <c r="EL630" s="1859"/>
      <c r="EM630" s="1859">
        <f t="shared" si="27"/>
        <v>375.21739130434781</v>
      </c>
      <c r="EN630" s="1859"/>
      <c r="EO630" s="1859"/>
      <c r="EP630" s="1859"/>
      <c r="EQ630" s="1859"/>
      <c r="ER630" s="1859" t="e">
        <f t="shared" si="28"/>
        <v>#VALUE!</v>
      </c>
      <c r="ES630" s="1859"/>
      <c r="ET630" s="1859"/>
      <c r="EU630" s="1859"/>
      <c r="EV630" s="1859"/>
      <c r="EW630" s="1859" t="e">
        <f t="shared" si="29"/>
        <v>#VALUE!</v>
      </c>
      <c r="EX630" s="1859"/>
      <c r="EY630" s="1859"/>
      <c r="EZ630" s="1859"/>
      <c r="FA630" s="1859"/>
    </row>
    <row r="631" spans="1:157" ht="12.95" customHeight="1">
      <c r="B631" s="52" t="s">
        <v>470</v>
      </c>
      <c r="C631" s="1715"/>
      <c r="D631" s="1715"/>
      <c r="E631" s="1715"/>
      <c r="F631" s="1715"/>
      <c r="G631" s="1715"/>
      <c r="H631" s="1715"/>
      <c r="I631" s="1715"/>
      <c r="J631" s="1715"/>
      <c r="K631" s="1715"/>
      <c r="L631" s="1715"/>
      <c r="M631" s="1860" t="s">
        <v>1327</v>
      </c>
      <c r="N631" s="1860"/>
      <c r="O631" s="1860"/>
      <c r="P631" s="1860"/>
      <c r="Q631" s="1758"/>
      <c r="R631" s="1552"/>
      <c r="S631" s="1759"/>
      <c r="T631" s="1758"/>
      <c r="U631" s="1552"/>
      <c r="V631" s="1759"/>
      <c r="W631" s="1602"/>
      <c r="X631" s="1603"/>
      <c r="Y631" s="1604"/>
      <c r="Z631" s="1717" t="s">
        <v>1327</v>
      </c>
      <c r="AA631" s="1718"/>
      <c r="AB631" s="1719"/>
      <c r="AC631" s="1430"/>
      <c r="AD631" s="1431"/>
      <c r="AE631" s="1432"/>
      <c r="AF631" s="1587"/>
      <c r="AG631" s="1588"/>
      <c r="AH631" s="1588"/>
      <c r="AI631" s="1588"/>
      <c r="AJ631" s="1589"/>
      <c r="AK631" s="1605"/>
      <c r="AL631" s="1606"/>
      <c r="AM631" s="1606"/>
      <c r="AN631" s="1607"/>
      <c r="AO631" s="1608"/>
      <c r="AP631" s="1609"/>
      <c r="AQ631" s="1609"/>
      <c r="AR631" s="1609"/>
      <c r="AS631" s="1610"/>
      <c r="AT631" s="1201" t="str">
        <f t="shared" si="30"/>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0</v>
      </c>
      <c r="CC631" s="3"/>
      <c r="CD631" s="3"/>
      <c r="CE631" s="3"/>
      <c r="CF631" s="3"/>
      <c r="CG631" s="897">
        <f>CC630*3</f>
        <v>3</v>
      </c>
      <c r="CH631" s="3"/>
      <c r="CI631" s="3"/>
      <c r="CJ631" s="3"/>
      <c r="CK631" s="3"/>
      <c r="CL631" s="897">
        <f>CH630*4</f>
        <v>0</v>
      </c>
      <c r="CM631" s="3"/>
      <c r="CN631" s="3"/>
      <c r="CO631" s="3"/>
      <c r="CP631" s="3"/>
      <c r="CQ631" s="897">
        <f>CM630*5</f>
        <v>0</v>
      </c>
      <c r="CS631" s="897">
        <f>BR631+BW631+CB631+CG631+CL631+CQ631</f>
        <v>3</v>
      </c>
      <c r="CT631" s="57" t="s">
        <v>2124</v>
      </c>
      <c r="CU631" s="3"/>
      <c r="CV631" s="3"/>
      <c r="CW631" s="3"/>
      <c r="CX631" s="3"/>
      <c r="CY631" s="3"/>
      <c r="CZ631" s="3"/>
      <c r="DA631" s="3"/>
      <c r="DB631" s="3"/>
      <c r="DC631" s="3"/>
      <c r="DD631" s="3"/>
      <c r="DE631" s="3"/>
      <c r="DF631" s="3"/>
      <c r="DX631" s="1859" t="e">
        <f t="shared" si="24"/>
        <v>#VALUE!</v>
      </c>
      <c r="DY631" s="1859"/>
      <c r="DZ631" s="1859"/>
      <c r="EA631" s="1859"/>
      <c r="EB631" s="1859"/>
      <c r="EC631" s="1859" t="e">
        <f t="shared" si="25"/>
        <v>#VALUE!</v>
      </c>
      <c r="ED631" s="1859"/>
      <c r="EE631" s="1859"/>
      <c r="EF631" s="1859"/>
      <c r="EG631" s="1859"/>
      <c r="EH631" s="1859" t="e">
        <f t="shared" si="26"/>
        <v>#VALUE!</v>
      </c>
      <c r="EI631" s="1859"/>
      <c r="EJ631" s="1859"/>
      <c r="EK631" s="1859"/>
      <c r="EL631" s="1859"/>
      <c r="EM631" s="1859">
        <f t="shared" si="27"/>
        <v>273.78260869565219</v>
      </c>
      <c r="EN631" s="1859"/>
      <c r="EO631" s="1859"/>
      <c r="EP631" s="1859"/>
      <c r="EQ631" s="1859"/>
      <c r="ER631" s="1859" t="e">
        <f t="shared" si="28"/>
        <v>#VALUE!</v>
      </c>
      <c r="ES631" s="1859"/>
      <c r="ET631" s="1859"/>
      <c r="EU631" s="1859"/>
      <c r="EV631" s="1859"/>
      <c r="EW631" s="1859" t="e">
        <f t="shared" si="29"/>
        <v>#VALUE!</v>
      </c>
      <c r="EX631" s="1859"/>
      <c r="EY631" s="1859"/>
      <c r="EZ631" s="1859"/>
      <c r="FA631" s="1859"/>
    </row>
    <row r="632" spans="1:157" ht="12.95" customHeight="1">
      <c r="B632" s="52" t="s">
        <v>655</v>
      </c>
      <c r="C632" s="1715"/>
      <c r="D632" s="1715"/>
      <c r="E632" s="1715"/>
      <c r="F632" s="1715"/>
      <c r="G632" s="1715"/>
      <c r="H632" s="1715"/>
      <c r="I632" s="1715"/>
      <c r="J632" s="1715"/>
      <c r="K632" s="1715"/>
      <c r="L632" s="1715"/>
      <c r="M632" s="1860" t="s">
        <v>1327</v>
      </c>
      <c r="N632" s="1860"/>
      <c r="O632" s="1860"/>
      <c r="P632" s="1860"/>
      <c r="Q632" s="1758"/>
      <c r="R632" s="1552"/>
      <c r="S632" s="1759"/>
      <c r="T632" s="1758"/>
      <c r="U632" s="1552"/>
      <c r="V632" s="1759"/>
      <c r="W632" s="1602"/>
      <c r="X632" s="1603"/>
      <c r="Y632" s="1604"/>
      <c r="Z632" s="1717" t="s">
        <v>1327</v>
      </c>
      <c r="AA632" s="1718"/>
      <c r="AB632" s="1719"/>
      <c r="AC632" s="1430"/>
      <c r="AD632" s="1431"/>
      <c r="AE632" s="1432"/>
      <c r="AF632" s="1587"/>
      <c r="AG632" s="1588"/>
      <c r="AH632" s="1588"/>
      <c r="AI632" s="1588"/>
      <c r="AJ632" s="1589"/>
      <c r="AK632" s="1605"/>
      <c r="AL632" s="1606"/>
      <c r="AM632" s="1606"/>
      <c r="AN632" s="1607"/>
      <c r="AO632" s="1608"/>
      <c r="AP632" s="1609"/>
      <c r="AQ632" s="1609"/>
      <c r="AR632" s="1609"/>
      <c r="AS632" s="1610"/>
      <c r="AT632" s="1201" t="str">
        <f t="shared" si="30"/>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59" t="e">
        <f t="shared" si="24"/>
        <v>#VALUE!</v>
      </c>
      <c r="DY632" s="1859"/>
      <c r="DZ632" s="1859"/>
      <c r="EA632" s="1859"/>
      <c r="EB632" s="1859"/>
      <c r="EC632" s="1859" t="e">
        <f t="shared" si="25"/>
        <v>#VALUE!</v>
      </c>
      <c r="ED632" s="1859"/>
      <c r="EE632" s="1859"/>
      <c r="EF632" s="1859"/>
      <c r="EG632" s="1859"/>
      <c r="EH632" s="1859" t="e">
        <f t="shared" si="26"/>
        <v>#VALUE!</v>
      </c>
      <c r="EI632" s="1859"/>
      <c r="EJ632" s="1859"/>
      <c r="EK632" s="1859"/>
      <c r="EL632" s="1859"/>
      <c r="EM632" s="1859" t="e">
        <f t="shared" si="27"/>
        <v>#VALUE!</v>
      </c>
      <c r="EN632" s="1859"/>
      <c r="EO632" s="1859"/>
      <c r="EP632" s="1859"/>
      <c r="EQ632" s="1859"/>
      <c r="ER632" s="1859" t="e">
        <f t="shared" si="28"/>
        <v>#VALUE!</v>
      </c>
      <c r="ES632" s="1859"/>
      <c r="ET632" s="1859"/>
      <c r="EU632" s="1859"/>
      <c r="EV632" s="1859"/>
      <c r="EW632" s="1859" t="e">
        <f t="shared" si="29"/>
        <v>#VALUE!</v>
      </c>
      <c r="EX632" s="1859"/>
      <c r="EY632" s="1859"/>
      <c r="EZ632" s="1859"/>
      <c r="FA632" s="1859"/>
    </row>
    <row r="633" spans="1:157" ht="12.95" customHeight="1">
      <c r="B633" s="52" t="s">
        <v>364</v>
      </c>
      <c r="C633" s="1715"/>
      <c r="D633" s="1715"/>
      <c r="E633" s="1715"/>
      <c r="F633" s="1715"/>
      <c r="G633" s="1715"/>
      <c r="H633" s="1715"/>
      <c r="I633" s="1715"/>
      <c r="J633" s="1715"/>
      <c r="K633" s="1715"/>
      <c r="L633" s="1715"/>
      <c r="M633" s="1860" t="s">
        <v>1327</v>
      </c>
      <c r="N633" s="1860"/>
      <c r="O633" s="1860"/>
      <c r="P633" s="1860"/>
      <c r="Q633" s="1758"/>
      <c r="R633" s="1552"/>
      <c r="S633" s="1759"/>
      <c r="T633" s="1758"/>
      <c r="U633" s="1552"/>
      <c r="V633" s="1759"/>
      <c r="W633" s="1602"/>
      <c r="X633" s="1603"/>
      <c r="Y633" s="1604"/>
      <c r="Z633" s="1717" t="s">
        <v>1327</v>
      </c>
      <c r="AA633" s="1718"/>
      <c r="AB633" s="1719"/>
      <c r="AC633" s="1430"/>
      <c r="AD633" s="1431"/>
      <c r="AE633" s="1432"/>
      <c r="AF633" s="1587"/>
      <c r="AG633" s="1588"/>
      <c r="AH633" s="1588"/>
      <c r="AI633" s="1588"/>
      <c r="AJ633" s="1589"/>
      <c r="AK633" s="1605"/>
      <c r="AL633" s="1606"/>
      <c r="AM633" s="1606"/>
      <c r="AN633" s="1607"/>
      <c r="AO633" s="1608"/>
      <c r="AP633" s="1609"/>
      <c r="AQ633" s="1609"/>
      <c r="AR633" s="1609"/>
      <c r="AS633" s="1610"/>
      <c r="AT633" s="1201" t="str">
        <f t="shared" si="30"/>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2132</v>
      </c>
      <c r="CT633" s="3"/>
      <c r="CU633" s="3"/>
      <c r="CV633" s="3"/>
      <c r="CW633" s="3"/>
      <c r="CX633" s="3"/>
      <c r="CY633" s="3"/>
      <c r="CZ633" s="3"/>
      <c r="DA633" s="3"/>
      <c r="DB633" s="3"/>
      <c r="DC633" s="3"/>
      <c r="DD633" s="3"/>
      <c r="DE633" s="3"/>
      <c r="DF633" s="3"/>
      <c r="DX633" s="1859" t="e">
        <f t="shared" si="24"/>
        <v>#VALUE!</v>
      </c>
      <c r="DY633" s="1859"/>
      <c r="DZ633" s="1859"/>
      <c r="EA633" s="1859"/>
      <c r="EB633" s="1859"/>
      <c r="EC633" s="1859" t="e">
        <f t="shared" si="25"/>
        <v>#VALUE!</v>
      </c>
      <c r="ED633" s="1859"/>
      <c r="EE633" s="1859"/>
      <c r="EF633" s="1859"/>
      <c r="EG633" s="1859"/>
      <c r="EH633" s="1859" t="e">
        <f t="shared" si="26"/>
        <v>#VALUE!</v>
      </c>
      <c r="EI633" s="1859"/>
      <c r="EJ633" s="1859"/>
      <c r="EK633" s="1859"/>
      <c r="EL633" s="1859"/>
      <c r="EM633" s="1859" t="e">
        <f t="shared" si="27"/>
        <v>#VALUE!</v>
      </c>
      <c r="EN633" s="1859"/>
      <c r="EO633" s="1859"/>
      <c r="EP633" s="1859"/>
      <c r="EQ633" s="1859"/>
      <c r="ER633" s="1859" t="e">
        <f t="shared" si="28"/>
        <v>#VALUE!</v>
      </c>
      <c r="ES633" s="1859"/>
      <c r="ET633" s="1859"/>
      <c r="EU633" s="1859"/>
      <c r="EV633" s="1859"/>
      <c r="EW633" s="1859" t="e">
        <f t="shared" si="29"/>
        <v>#VALUE!</v>
      </c>
      <c r="EX633" s="1859"/>
      <c r="EY633" s="1859"/>
      <c r="EZ633" s="1859"/>
      <c r="FA633" s="1859"/>
    </row>
    <row r="634" spans="1:157" ht="12.95" customHeight="1">
      <c r="B634" s="52" t="s">
        <v>365</v>
      </c>
      <c r="C634" s="1715"/>
      <c r="D634" s="1715"/>
      <c r="E634" s="1715"/>
      <c r="F634" s="1715"/>
      <c r="G634" s="1715"/>
      <c r="H634" s="1715"/>
      <c r="I634" s="1715"/>
      <c r="J634" s="1715"/>
      <c r="K634" s="1715"/>
      <c r="L634" s="1715"/>
      <c r="M634" s="1860" t="s">
        <v>1327</v>
      </c>
      <c r="N634" s="1860"/>
      <c r="O634" s="1860"/>
      <c r="P634" s="1860"/>
      <c r="Q634" s="1758"/>
      <c r="R634" s="1552"/>
      <c r="S634" s="1759"/>
      <c r="T634" s="1758"/>
      <c r="U634" s="1552"/>
      <c r="V634" s="1759"/>
      <c r="W634" s="1602"/>
      <c r="X634" s="1603"/>
      <c r="Y634" s="1604"/>
      <c r="Z634" s="1717" t="s">
        <v>1327</v>
      </c>
      <c r="AA634" s="1718"/>
      <c r="AB634" s="1719"/>
      <c r="AC634" s="1430"/>
      <c r="AD634" s="1431"/>
      <c r="AE634" s="1432"/>
      <c r="AF634" s="1587"/>
      <c r="AG634" s="1588"/>
      <c r="AH634" s="1588"/>
      <c r="AI634" s="1588"/>
      <c r="AJ634" s="1589"/>
      <c r="AK634" s="1605"/>
      <c r="AL634" s="1606"/>
      <c r="AM634" s="1606"/>
      <c r="AN634" s="1607"/>
      <c r="AO634" s="1608"/>
      <c r="AP634" s="1609"/>
      <c r="AQ634" s="1609"/>
      <c r="AR634" s="1609"/>
      <c r="AS634" s="1610"/>
      <c r="AT634" s="1201" t="str">
        <f t="shared" si="30"/>
        <v/>
      </c>
      <c r="AU634" s="3"/>
      <c r="AV634" s="3"/>
      <c r="AW634" s="3"/>
      <c r="AX634" s="3"/>
      <c r="AY634" s="3"/>
      <c r="AZ634" s="3"/>
      <c r="BA634" s="3"/>
      <c r="BB634" s="3"/>
      <c r="BC634" s="3"/>
      <c r="BD634" s="3"/>
      <c r="BE634" s="3"/>
      <c r="BF634" s="3"/>
      <c r="BG634" s="3"/>
      <c r="BH634" s="3"/>
      <c r="BI634" s="3"/>
      <c r="BJ634" s="3"/>
      <c r="BK634" s="3"/>
      <c r="BL634" s="3"/>
      <c r="BM634" s="3"/>
      <c r="BN634" s="1508">
        <f t="shared" ref="BN634:BN643" si="31">IF(J772="SRO/Studio",O772,0)</f>
        <v>0</v>
      </c>
      <c r="BO634" s="1509"/>
      <c r="BP634" s="1509"/>
      <c r="BQ634" s="1509"/>
      <c r="BR634" s="1510"/>
      <c r="BS634" s="1396">
        <f t="shared" ref="BS634:BS643" si="32">IF(J772="1 Bedroom",O772,0)</f>
        <v>0</v>
      </c>
      <c r="BT634" s="1396"/>
      <c r="BU634" s="1396"/>
      <c r="BV634" s="1396"/>
      <c r="BW634" s="1396"/>
      <c r="BX634" s="1396">
        <f t="shared" ref="BX634:BX643" si="33">IF(J772="2 Bedrooms",O772,0)</f>
        <v>0</v>
      </c>
      <c r="BY634" s="1396"/>
      <c r="BZ634" s="1396"/>
      <c r="CA634" s="1396"/>
      <c r="CB634" s="1396"/>
      <c r="CC634" s="1396">
        <f t="shared" ref="CC634:CC643" si="34">IF(J772="3 Bedrooms",O772,0)</f>
        <v>0</v>
      </c>
      <c r="CD634" s="1396"/>
      <c r="CE634" s="1396"/>
      <c r="CF634" s="1396"/>
      <c r="CG634" s="1396"/>
      <c r="CH634" s="1396">
        <f t="shared" ref="CH634:CH643" si="35">IF(J772="4 Bedrooms",O772,0)</f>
        <v>0</v>
      </c>
      <c r="CI634" s="1396"/>
      <c r="CJ634" s="1396"/>
      <c r="CK634" s="1396"/>
      <c r="CL634" s="1396"/>
      <c r="CM634" s="1396">
        <f t="shared" ref="CM634:CM643" si="36">IF(J772="5 Bedrooms",O772,0)</f>
        <v>0</v>
      </c>
      <c r="CN634" s="1396"/>
      <c r="CO634" s="1396"/>
      <c r="CP634" s="1396"/>
      <c r="CQ634" s="1396"/>
      <c r="CR634" s="6"/>
      <c r="CS634" s="1508">
        <f>IF(AND(BN634&gt;=1,AH772&gt;=0.1,AH772&lt;=1),O772,0)</f>
        <v>0</v>
      </c>
      <c r="CT634" s="1509"/>
      <c r="CU634" s="1509"/>
      <c r="CV634" s="1509"/>
      <c r="CW634" s="1510"/>
      <c r="CX634" s="1508">
        <f>IF(AND(BS634&gt;=1,AH772&gt;=0.1,AH772&lt;=1),O772,0)</f>
        <v>0</v>
      </c>
      <c r="CY634" s="1509"/>
      <c r="CZ634" s="1509"/>
      <c r="DA634" s="1509"/>
      <c r="DB634" s="1510"/>
      <c r="DC634" s="1508">
        <f>IF(AND(BX634&gt;=1,AH772&gt;=0.1,AH772&lt;=1),O772,0)</f>
        <v>0</v>
      </c>
      <c r="DD634" s="1509"/>
      <c r="DE634" s="1509"/>
      <c r="DF634" s="1509"/>
      <c r="DG634" s="1510"/>
      <c r="DH634" s="1508">
        <f>IF(AND(CC634&gt;=1,AH772&gt;=0.1,AH772&lt;=1),O772,0)</f>
        <v>0</v>
      </c>
      <c r="DI634" s="1509"/>
      <c r="DJ634" s="1509"/>
      <c r="DK634" s="1509"/>
      <c r="DL634" s="1510"/>
      <c r="DM634" s="1508">
        <f>IF(AND(CH634&gt;=1,AH772&gt;=0.1,AH772&lt;=1),O772,0)</f>
        <v>0</v>
      </c>
      <c r="DN634" s="1509"/>
      <c r="DO634" s="1509"/>
      <c r="DP634" s="1509"/>
      <c r="DQ634" s="1510"/>
      <c r="DR634" s="1508">
        <f>IF(AND(CM634&gt;=1,AH772&gt;=0.1,AH772&lt;=1),O772,0)</f>
        <v>0</v>
      </c>
      <c r="DS634" s="1509"/>
      <c r="DT634" s="1509"/>
      <c r="DU634" s="1509"/>
      <c r="DV634" s="1510"/>
      <c r="DX634" s="1859" t="e">
        <f t="shared" si="24"/>
        <v>#VALUE!</v>
      </c>
      <c r="DY634" s="1859"/>
      <c r="DZ634" s="1859"/>
      <c r="EA634" s="1859"/>
      <c r="EB634" s="1859"/>
      <c r="EC634" s="1859" t="e">
        <f t="shared" si="25"/>
        <v>#VALUE!</v>
      </c>
      <c r="ED634" s="1859"/>
      <c r="EE634" s="1859"/>
      <c r="EF634" s="1859"/>
      <c r="EG634" s="1859"/>
      <c r="EH634" s="1859" t="e">
        <f t="shared" si="26"/>
        <v>#VALUE!</v>
      </c>
      <c r="EI634" s="1859"/>
      <c r="EJ634" s="1859"/>
      <c r="EK634" s="1859"/>
      <c r="EL634" s="1859"/>
      <c r="EM634" s="1859" t="e">
        <f t="shared" si="27"/>
        <v>#VALUE!</v>
      </c>
      <c r="EN634" s="1859"/>
      <c r="EO634" s="1859"/>
      <c r="EP634" s="1859"/>
      <c r="EQ634" s="1859"/>
      <c r="ER634" s="1859" t="e">
        <f t="shared" si="28"/>
        <v>#VALUE!</v>
      </c>
      <c r="ES634" s="1859"/>
      <c r="ET634" s="1859"/>
      <c r="EU634" s="1859"/>
      <c r="EV634" s="1859"/>
      <c r="EW634" s="1859" t="e">
        <f t="shared" si="29"/>
        <v>#VALUE!</v>
      </c>
      <c r="EX634" s="1859"/>
      <c r="EY634" s="1859"/>
      <c r="EZ634" s="1859"/>
      <c r="FA634" s="1859"/>
    </row>
    <row r="635" spans="1:157" ht="12.95" customHeight="1">
      <c r="B635" s="1525" t="s">
        <v>129</v>
      </c>
      <c r="C635" s="1526"/>
      <c r="D635" s="1526"/>
      <c r="E635" s="1526"/>
      <c r="F635" s="1526"/>
      <c r="G635" s="1526"/>
      <c r="H635" s="1526"/>
      <c r="I635" s="1526"/>
      <c r="J635" s="1526"/>
      <c r="K635" s="1526"/>
      <c r="L635" s="1526"/>
      <c r="M635" s="1526"/>
      <c r="N635" s="1526"/>
      <c r="O635" s="1526"/>
      <c r="P635" s="1526"/>
      <c r="Q635" s="1526"/>
      <c r="R635" s="1526"/>
      <c r="S635" s="1526"/>
      <c r="T635" s="1526"/>
      <c r="U635" s="1526"/>
      <c r="V635" s="1526"/>
      <c r="W635" s="1526"/>
      <c r="X635" s="1526"/>
      <c r="Y635" s="1526"/>
      <c r="Z635" s="1526"/>
      <c r="AA635" s="1526"/>
      <c r="AB635" s="1526"/>
      <c r="AC635" s="1526"/>
      <c r="AD635" s="1526"/>
      <c r="AE635" s="1526"/>
      <c r="AF635" s="1526"/>
      <c r="AG635" s="1526"/>
      <c r="AH635" s="1526"/>
      <c r="AI635" s="1526"/>
      <c r="AJ635" s="1526"/>
      <c r="AK635" s="1526"/>
      <c r="AL635" s="1526"/>
      <c r="AM635" s="1526"/>
      <c r="AN635" s="1528"/>
      <c r="AO635" s="1522">
        <f>SUM(AO623:AR634)</f>
        <v>26660865.133391015</v>
      </c>
      <c r="AP635" s="1523"/>
      <c r="AQ635" s="1523"/>
      <c r="AR635" s="1523"/>
      <c r="AS635" s="1524"/>
      <c r="AZ635" s="3"/>
      <c r="BA635" s="3"/>
      <c r="BB635" s="3"/>
      <c r="BC635" s="3"/>
      <c r="BD635" s="3"/>
      <c r="BE635" s="3"/>
      <c r="BF635" s="3"/>
      <c r="BG635" s="3"/>
      <c r="BH635" s="3"/>
      <c r="BI635" s="3"/>
      <c r="BJ635" s="3"/>
      <c r="BK635" s="3"/>
      <c r="BL635" s="3"/>
      <c r="BM635" s="3"/>
      <c r="BN635" s="1508">
        <f t="shared" si="31"/>
        <v>0</v>
      </c>
      <c r="BO635" s="1509"/>
      <c r="BP635" s="1509"/>
      <c r="BQ635" s="1509"/>
      <c r="BR635" s="1510"/>
      <c r="BS635" s="1396">
        <f t="shared" si="32"/>
        <v>0</v>
      </c>
      <c r="BT635" s="1396"/>
      <c r="BU635" s="1396"/>
      <c r="BV635" s="1396"/>
      <c r="BW635" s="1396"/>
      <c r="BX635" s="1396">
        <f t="shared" si="33"/>
        <v>0</v>
      </c>
      <c r="BY635" s="1396"/>
      <c r="BZ635" s="1396"/>
      <c r="CA635" s="1396"/>
      <c r="CB635" s="1396"/>
      <c r="CC635" s="1396">
        <f t="shared" si="34"/>
        <v>0</v>
      </c>
      <c r="CD635" s="1396"/>
      <c r="CE635" s="1396"/>
      <c r="CF635" s="1396"/>
      <c r="CG635" s="1396"/>
      <c r="CH635" s="1396">
        <f t="shared" si="35"/>
        <v>0</v>
      </c>
      <c r="CI635" s="1396"/>
      <c r="CJ635" s="1396"/>
      <c r="CK635" s="1396"/>
      <c r="CL635" s="1396"/>
      <c r="CM635" s="1396">
        <f t="shared" si="36"/>
        <v>0</v>
      </c>
      <c r="CN635" s="1396"/>
      <c r="CO635" s="1396"/>
      <c r="CP635" s="1396"/>
      <c r="CQ635" s="1396"/>
      <c r="CR635" s="6"/>
      <c r="CS635" s="1508">
        <f t="shared" ref="CS635:CS643" si="37">IF(AND(BN635&gt;=1,AH773&gt;=0.1,AH773&lt;=1),O773,0)</f>
        <v>0</v>
      </c>
      <c r="CT635" s="1509"/>
      <c r="CU635" s="1509"/>
      <c r="CV635" s="1509"/>
      <c r="CW635" s="1510"/>
      <c r="CX635" s="1508">
        <f t="shared" ref="CX635:CX643" si="38">IF(AND(BS635&gt;=1,AH773&gt;=0.1,AH773&lt;=1),O773,0)</f>
        <v>0</v>
      </c>
      <c r="CY635" s="1509"/>
      <c r="CZ635" s="1509"/>
      <c r="DA635" s="1509"/>
      <c r="DB635" s="1510"/>
      <c r="DC635" s="1508">
        <f t="shared" ref="DC635:DC643" si="39">IF(AND(BX635&gt;=1,AH773&gt;=0.1,AH773&lt;=1),O773,0)</f>
        <v>0</v>
      </c>
      <c r="DD635" s="1509"/>
      <c r="DE635" s="1509"/>
      <c r="DF635" s="1509"/>
      <c r="DG635" s="1510"/>
      <c r="DH635" s="1508">
        <f t="shared" ref="DH635:DH643" si="40">IF(AND(CC635&gt;=1,AH773&gt;=0.1,AH773&lt;=1),O773,0)</f>
        <v>0</v>
      </c>
      <c r="DI635" s="1509"/>
      <c r="DJ635" s="1509"/>
      <c r="DK635" s="1509"/>
      <c r="DL635" s="1510"/>
      <c r="DM635" s="1508">
        <f t="shared" ref="DM635:DM643" si="41">IF(AND(CH635&gt;=1,AH773&gt;=0.1,AH773&lt;=1),O773,0)</f>
        <v>0</v>
      </c>
      <c r="DN635" s="1509"/>
      <c r="DO635" s="1509"/>
      <c r="DP635" s="1509"/>
      <c r="DQ635" s="1510"/>
      <c r="DR635" s="1508">
        <f t="shared" ref="DR635:DR643" si="42">IF(AND(CM635&gt;=1,AH773&gt;=0.1,AH773&lt;=1),O773,0)</f>
        <v>0</v>
      </c>
      <c r="DS635" s="1509"/>
      <c r="DT635" s="1509"/>
      <c r="DU635" s="1509"/>
      <c r="DV635" s="1510"/>
      <c r="DX635" s="1859" t="e">
        <f t="shared" si="24"/>
        <v>#VALUE!</v>
      </c>
      <c r="DY635" s="1859"/>
      <c r="DZ635" s="1859"/>
      <c r="EA635" s="1859"/>
      <c r="EB635" s="1859"/>
      <c r="EC635" s="1859" t="e">
        <f t="shared" si="25"/>
        <v>#VALUE!</v>
      </c>
      <c r="ED635" s="1859"/>
      <c r="EE635" s="1859"/>
      <c r="EF635" s="1859"/>
      <c r="EG635" s="1859"/>
      <c r="EH635" s="1859" t="e">
        <f t="shared" si="26"/>
        <v>#VALUE!</v>
      </c>
      <c r="EI635" s="1859"/>
      <c r="EJ635" s="1859"/>
      <c r="EK635" s="1859"/>
      <c r="EL635" s="1859"/>
      <c r="EM635" s="1859" t="e">
        <f t="shared" si="27"/>
        <v>#VALUE!</v>
      </c>
      <c r="EN635" s="1859"/>
      <c r="EO635" s="1859"/>
      <c r="EP635" s="1859"/>
      <c r="EQ635" s="1859"/>
      <c r="ER635" s="1859" t="e">
        <f t="shared" si="28"/>
        <v>#VALUE!</v>
      </c>
      <c r="ES635" s="1859"/>
      <c r="ET635" s="1859"/>
      <c r="EU635" s="1859"/>
      <c r="EV635" s="1859"/>
      <c r="EW635" s="1859" t="e">
        <f t="shared" si="29"/>
        <v>#VALUE!</v>
      </c>
      <c r="EX635" s="1859"/>
      <c r="EY635" s="1859"/>
      <c r="EZ635" s="1859"/>
      <c r="FA635" s="1859"/>
    </row>
    <row r="636" spans="1:157" ht="12.95" customHeight="1">
      <c r="B636" s="1525" t="s">
        <v>269</v>
      </c>
      <c r="C636" s="1526"/>
      <c r="D636" s="1526"/>
      <c r="E636" s="1526"/>
      <c r="F636" s="1526"/>
      <c r="G636" s="1526"/>
      <c r="H636" s="1526"/>
      <c r="I636" s="1526"/>
      <c r="J636" s="1526"/>
      <c r="K636" s="1526"/>
      <c r="L636" s="1526"/>
      <c r="M636" s="1526"/>
      <c r="N636" s="1526"/>
      <c r="O636" s="1526"/>
      <c r="P636" s="1526"/>
      <c r="Q636" s="1526"/>
      <c r="R636" s="1526"/>
      <c r="S636" s="1526"/>
      <c r="T636" s="1526"/>
      <c r="U636" s="1526"/>
      <c r="V636" s="1526"/>
      <c r="W636" s="1526"/>
      <c r="X636" s="1526"/>
      <c r="Y636" s="1526"/>
      <c r="Z636" s="1526"/>
      <c r="AA636" s="1526"/>
      <c r="AB636" s="1526"/>
      <c r="AC636" s="1526"/>
      <c r="AD636" s="1526"/>
      <c r="AE636" s="1526"/>
      <c r="AF636" s="1526"/>
      <c r="AG636" s="1526"/>
      <c r="AH636" s="1526"/>
      <c r="AI636" s="1526"/>
      <c r="AJ636" s="1526"/>
      <c r="AK636" s="1526"/>
      <c r="AL636" s="1526"/>
      <c r="AM636" s="1526"/>
      <c r="AN636" s="1528"/>
      <c r="AO636" s="1608">
        <v>14274689</v>
      </c>
      <c r="AP636" s="1609"/>
      <c r="AQ636" s="1609"/>
      <c r="AR636" s="1609"/>
      <c r="AS636" s="1610"/>
      <c r="AZ636" s="34"/>
      <c r="BA636" s="34"/>
      <c r="BB636" s="34"/>
      <c r="BC636" s="34"/>
      <c r="BD636" s="34"/>
      <c r="BE636" s="34"/>
      <c r="BF636" s="34"/>
      <c r="BG636" s="34"/>
      <c r="BH636" s="34"/>
      <c r="BI636" s="34"/>
      <c r="BJ636" s="34"/>
      <c r="BK636" s="34"/>
      <c r="BL636" s="34"/>
      <c r="BM636" s="34"/>
      <c r="BN636" s="1508">
        <f t="shared" si="31"/>
        <v>0</v>
      </c>
      <c r="BO636" s="1509"/>
      <c r="BP636" s="1509"/>
      <c r="BQ636" s="1509"/>
      <c r="BR636" s="1510"/>
      <c r="BS636" s="1396">
        <f t="shared" si="32"/>
        <v>0</v>
      </c>
      <c r="BT636" s="1396"/>
      <c r="BU636" s="1396"/>
      <c r="BV636" s="1396"/>
      <c r="BW636" s="1396"/>
      <c r="BX636" s="1396">
        <f t="shared" si="33"/>
        <v>0</v>
      </c>
      <c r="BY636" s="1396"/>
      <c r="BZ636" s="1396"/>
      <c r="CA636" s="1396"/>
      <c r="CB636" s="1396"/>
      <c r="CC636" s="1396">
        <f t="shared" si="34"/>
        <v>0</v>
      </c>
      <c r="CD636" s="1396"/>
      <c r="CE636" s="1396"/>
      <c r="CF636" s="1396"/>
      <c r="CG636" s="1396"/>
      <c r="CH636" s="1396">
        <f t="shared" si="35"/>
        <v>0</v>
      </c>
      <c r="CI636" s="1396"/>
      <c r="CJ636" s="1396"/>
      <c r="CK636" s="1396"/>
      <c r="CL636" s="1396"/>
      <c r="CM636" s="1396">
        <f t="shared" si="36"/>
        <v>0</v>
      </c>
      <c r="CN636" s="1396"/>
      <c r="CO636" s="1396"/>
      <c r="CP636" s="1396"/>
      <c r="CQ636" s="1396"/>
      <c r="CR636" s="6"/>
      <c r="CS636" s="1508">
        <f t="shared" si="37"/>
        <v>0</v>
      </c>
      <c r="CT636" s="1509"/>
      <c r="CU636" s="1509"/>
      <c r="CV636" s="1509"/>
      <c r="CW636" s="1510"/>
      <c r="CX636" s="1508">
        <f t="shared" si="38"/>
        <v>0</v>
      </c>
      <c r="CY636" s="1509"/>
      <c r="CZ636" s="1509"/>
      <c r="DA636" s="1509"/>
      <c r="DB636" s="1510"/>
      <c r="DC636" s="1508">
        <f t="shared" si="39"/>
        <v>0</v>
      </c>
      <c r="DD636" s="1509"/>
      <c r="DE636" s="1509"/>
      <c r="DF636" s="1509"/>
      <c r="DG636" s="1510"/>
      <c r="DH636" s="1508">
        <f t="shared" si="40"/>
        <v>0</v>
      </c>
      <c r="DI636" s="1509"/>
      <c r="DJ636" s="1509"/>
      <c r="DK636" s="1509"/>
      <c r="DL636" s="1510"/>
      <c r="DM636" s="1508">
        <f t="shared" si="41"/>
        <v>0</v>
      </c>
      <c r="DN636" s="1509"/>
      <c r="DO636" s="1509"/>
      <c r="DP636" s="1509"/>
      <c r="DQ636" s="1510"/>
      <c r="DR636" s="1508">
        <f t="shared" si="42"/>
        <v>0</v>
      </c>
      <c r="DS636" s="1509"/>
      <c r="DT636" s="1509"/>
      <c r="DU636" s="1509"/>
      <c r="DV636" s="1510"/>
      <c r="DX636" s="1859" t="e">
        <f t="shared" si="24"/>
        <v>#VALUE!</v>
      </c>
      <c r="DY636" s="1859"/>
      <c r="DZ636" s="1859"/>
      <c r="EA636" s="1859"/>
      <c r="EB636" s="1859"/>
      <c r="EC636" s="1859" t="e">
        <f t="shared" si="25"/>
        <v>#VALUE!</v>
      </c>
      <c r="ED636" s="1859"/>
      <c r="EE636" s="1859"/>
      <c r="EF636" s="1859"/>
      <c r="EG636" s="1859"/>
      <c r="EH636" s="1859" t="e">
        <f t="shared" si="26"/>
        <v>#VALUE!</v>
      </c>
      <c r="EI636" s="1859"/>
      <c r="EJ636" s="1859"/>
      <c r="EK636" s="1859"/>
      <c r="EL636" s="1859"/>
      <c r="EM636" s="1859" t="e">
        <f t="shared" si="27"/>
        <v>#VALUE!</v>
      </c>
      <c r="EN636" s="1859"/>
      <c r="EO636" s="1859"/>
      <c r="EP636" s="1859"/>
      <c r="EQ636" s="1859"/>
      <c r="ER636" s="1859" t="e">
        <f t="shared" si="28"/>
        <v>#VALUE!</v>
      </c>
      <c r="ES636" s="1859"/>
      <c r="ET636" s="1859"/>
      <c r="EU636" s="1859"/>
      <c r="EV636" s="1859"/>
      <c r="EW636" s="1859" t="e">
        <f t="shared" si="29"/>
        <v>#VALUE!</v>
      </c>
      <c r="EX636" s="1859"/>
      <c r="EY636" s="1859"/>
      <c r="EZ636" s="1859"/>
      <c r="FA636" s="1859"/>
    </row>
    <row r="637" spans="1:157" ht="12.95" customHeight="1">
      <c r="B637" s="1585" t="s">
        <v>270</v>
      </c>
      <c r="C637" s="1527"/>
      <c r="D637" s="1527"/>
      <c r="E637" s="1527"/>
      <c r="F637" s="1527"/>
      <c r="G637" s="1527"/>
      <c r="H637" s="1527"/>
      <c r="I637" s="1527"/>
      <c r="J637" s="1527"/>
      <c r="K637" s="1527"/>
      <c r="L637" s="1527"/>
      <c r="M637" s="1527"/>
      <c r="N637" s="1527"/>
      <c r="O637" s="1527"/>
      <c r="P637" s="1527"/>
      <c r="Q637" s="1527"/>
      <c r="R637" s="1527"/>
      <c r="S637" s="1527"/>
      <c r="T637" s="1527"/>
      <c r="U637" s="1527"/>
      <c r="V637" s="1527"/>
      <c r="W637" s="1527"/>
      <c r="X637" s="1527"/>
      <c r="Y637" s="1527"/>
      <c r="Z637" s="1527"/>
      <c r="AA637" s="1527"/>
      <c r="AB637" s="1527"/>
      <c r="AC637" s="1527"/>
      <c r="AD637" s="1527"/>
      <c r="AE637" s="1527"/>
      <c r="AF637" s="1527"/>
      <c r="AG637" s="1527"/>
      <c r="AH637" s="1527"/>
      <c r="AI637" s="1527"/>
      <c r="AJ637" s="1527"/>
      <c r="AK637" s="1527"/>
      <c r="AL637" s="1527"/>
      <c r="AM637" s="1527"/>
      <c r="AN637" s="1586"/>
      <c r="AO637" s="1522">
        <f>AO635+AO636</f>
        <v>40935554.133391015</v>
      </c>
      <c r="AP637" s="1523"/>
      <c r="AQ637" s="1523"/>
      <c r="AR637" s="1523"/>
      <c r="AS637" s="1524"/>
      <c r="AZ637" s="34"/>
      <c r="BA637" s="34"/>
      <c r="BB637" s="34"/>
      <c r="BC637" s="34"/>
      <c r="BD637" s="34"/>
      <c r="BE637" s="34"/>
      <c r="BF637" s="34"/>
      <c r="BG637" s="34"/>
      <c r="BH637" s="34"/>
      <c r="BI637" s="34"/>
      <c r="BJ637" s="34"/>
      <c r="BK637" s="34"/>
      <c r="BL637" s="34"/>
      <c r="BM637" s="34"/>
      <c r="BN637" s="1508">
        <f t="shared" si="31"/>
        <v>0</v>
      </c>
      <c r="BO637" s="1509"/>
      <c r="BP637" s="1509"/>
      <c r="BQ637" s="1509"/>
      <c r="BR637" s="1510"/>
      <c r="BS637" s="1396">
        <f t="shared" si="32"/>
        <v>0</v>
      </c>
      <c r="BT637" s="1396"/>
      <c r="BU637" s="1396"/>
      <c r="BV637" s="1396"/>
      <c r="BW637" s="1396"/>
      <c r="BX637" s="1396">
        <f t="shared" si="33"/>
        <v>0</v>
      </c>
      <c r="BY637" s="1396"/>
      <c r="BZ637" s="1396"/>
      <c r="CA637" s="1396"/>
      <c r="CB637" s="1396"/>
      <c r="CC637" s="1396">
        <f t="shared" si="34"/>
        <v>0</v>
      </c>
      <c r="CD637" s="1396"/>
      <c r="CE637" s="1396"/>
      <c r="CF637" s="1396"/>
      <c r="CG637" s="1396"/>
      <c r="CH637" s="1396">
        <f t="shared" si="35"/>
        <v>0</v>
      </c>
      <c r="CI637" s="1396"/>
      <c r="CJ637" s="1396"/>
      <c r="CK637" s="1396"/>
      <c r="CL637" s="1396"/>
      <c r="CM637" s="1396">
        <f t="shared" si="36"/>
        <v>0</v>
      </c>
      <c r="CN637" s="1396"/>
      <c r="CO637" s="1396"/>
      <c r="CP637" s="1396"/>
      <c r="CQ637" s="1396"/>
      <c r="CR637" s="6"/>
      <c r="CS637" s="1508">
        <f t="shared" si="37"/>
        <v>0</v>
      </c>
      <c r="CT637" s="1509"/>
      <c r="CU637" s="1509"/>
      <c r="CV637" s="1509"/>
      <c r="CW637" s="1510"/>
      <c r="CX637" s="1508">
        <f t="shared" si="38"/>
        <v>0</v>
      </c>
      <c r="CY637" s="1509"/>
      <c r="CZ637" s="1509"/>
      <c r="DA637" s="1509"/>
      <c r="DB637" s="1510"/>
      <c r="DC637" s="1508">
        <f t="shared" si="39"/>
        <v>0</v>
      </c>
      <c r="DD637" s="1509"/>
      <c r="DE637" s="1509"/>
      <c r="DF637" s="1509"/>
      <c r="DG637" s="1510"/>
      <c r="DH637" s="1508">
        <f t="shared" si="40"/>
        <v>0</v>
      </c>
      <c r="DI637" s="1509"/>
      <c r="DJ637" s="1509"/>
      <c r="DK637" s="1509"/>
      <c r="DL637" s="1510"/>
      <c r="DM637" s="1508">
        <f t="shared" si="41"/>
        <v>0</v>
      </c>
      <c r="DN637" s="1509"/>
      <c r="DO637" s="1509"/>
      <c r="DP637" s="1509"/>
      <c r="DQ637" s="1510"/>
      <c r="DR637" s="1508">
        <f t="shared" si="42"/>
        <v>0</v>
      </c>
      <c r="DS637" s="1509"/>
      <c r="DT637" s="1509"/>
      <c r="DU637" s="1509"/>
      <c r="DV637" s="1510"/>
      <c r="DX637" s="1859" t="e">
        <f t="shared" si="24"/>
        <v>#VALUE!</v>
      </c>
      <c r="DY637" s="1859"/>
      <c r="DZ637" s="1859"/>
      <c r="EA637" s="1859"/>
      <c r="EB637" s="1859"/>
      <c r="EC637" s="1859" t="e">
        <f t="shared" si="25"/>
        <v>#VALUE!</v>
      </c>
      <c r="ED637" s="1859"/>
      <c r="EE637" s="1859"/>
      <c r="EF637" s="1859"/>
      <c r="EG637" s="1859"/>
      <c r="EH637" s="1859" t="e">
        <f t="shared" si="26"/>
        <v>#VALUE!</v>
      </c>
      <c r="EI637" s="1859"/>
      <c r="EJ637" s="1859"/>
      <c r="EK637" s="1859"/>
      <c r="EL637" s="1859"/>
      <c r="EM637" s="1859" t="e">
        <f t="shared" si="27"/>
        <v>#VALUE!</v>
      </c>
      <c r="EN637" s="1859"/>
      <c r="EO637" s="1859"/>
      <c r="EP637" s="1859"/>
      <c r="EQ637" s="1859"/>
      <c r="ER637" s="1859" t="e">
        <f t="shared" si="28"/>
        <v>#VALUE!</v>
      </c>
      <c r="ES637" s="1859"/>
      <c r="ET637" s="1859"/>
      <c r="EU637" s="1859"/>
      <c r="EV637" s="1859"/>
      <c r="EW637" s="1859" t="e">
        <f t="shared" si="29"/>
        <v>#VALUE!</v>
      </c>
      <c r="EX637" s="1859"/>
      <c r="EY637" s="1859"/>
      <c r="EZ637" s="1859"/>
      <c r="FA637" s="1859"/>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08">
        <f t="shared" si="31"/>
        <v>0</v>
      </c>
      <c r="BO638" s="1509"/>
      <c r="BP638" s="1509"/>
      <c r="BQ638" s="1509"/>
      <c r="BR638" s="1510"/>
      <c r="BS638" s="1396">
        <f t="shared" si="32"/>
        <v>0</v>
      </c>
      <c r="BT638" s="1396"/>
      <c r="BU638" s="1396"/>
      <c r="BV638" s="1396"/>
      <c r="BW638" s="1396"/>
      <c r="BX638" s="1396">
        <f t="shared" si="33"/>
        <v>0</v>
      </c>
      <c r="BY638" s="1396"/>
      <c r="BZ638" s="1396"/>
      <c r="CA638" s="1396"/>
      <c r="CB638" s="1396"/>
      <c r="CC638" s="1396">
        <f t="shared" si="34"/>
        <v>0</v>
      </c>
      <c r="CD638" s="1396"/>
      <c r="CE638" s="1396"/>
      <c r="CF638" s="1396"/>
      <c r="CG638" s="1396"/>
      <c r="CH638" s="1396">
        <f t="shared" si="35"/>
        <v>0</v>
      </c>
      <c r="CI638" s="1396"/>
      <c r="CJ638" s="1396"/>
      <c r="CK638" s="1396"/>
      <c r="CL638" s="1396"/>
      <c r="CM638" s="1396">
        <f t="shared" si="36"/>
        <v>0</v>
      </c>
      <c r="CN638" s="1396"/>
      <c r="CO638" s="1396"/>
      <c r="CP638" s="1396"/>
      <c r="CQ638" s="1396"/>
      <c r="CR638" s="6"/>
      <c r="CS638" s="1508">
        <f t="shared" si="37"/>
        <v>0</v>
      </c>
      <c r="CT638" s="1509"/>
      <c r="CU638" s="1509"/>
      <c r="CV638" s="1509"/>
      <c r="CW638" s="1510"/>
      <c r="CX638" s="1508">
        <f t="shared" si="38"/>
        <v>0</v>
      </c>
      <c r="CY638" s="1509"/>
      <c r="CZ638" s="1509"/>
      <c r="DA638" s="1509"/>
      <c r="DB638" s="1510"/>
      <c r="DC638" s="1508">
        <f t="shared" si="39"/>
        <v>0</v>
      </c>
      <c r="DD638" s="1509"/>
      <c r="DE638" s="1509"/>
      <c r="DF638" s="1509"/>
      <c r="DG638" s="1510"/>
      <c r="DH638" s="1508">
        <f t="shared" si="40"/>
        <v>0</v>
      </c>
      <c r="DI638" s="1509"/>
      <c r="DJ638" s="1509"/>
      <c r="DK638" s="1509"/>
      <c r="DL638" s="1510"/>
      <c r="DM638" s="1508">
        <f t="shared" si="41"/>
        <v>0</v>
      </c>
      <c r="DN638" s="1509"/>
      <c r="DO638" s="1509"/>
      <c r="DP638" s="1509"/>
      <c r="DQ638" s="1510"/>
      <c r="DR638" s="1508">
        <f t="shared" si="42"/>
        <v>0</v>
      </c>
      <c r="DS638" s="1509"/>
      <c r="DT638" s="1509"/>
      <c r="DU638" s="1509"/>
      <c r="DV638" s="1510"/>
      <c r="DX638" s="1859" t="e">
        <f t="shared" si="24"/>
        <v>#VALUE!</v>
      </c>
      <c r="DY638" s="1859"/>
      <c r="DZ638" s="1859"/>
      <c r="EA638" s="1859"/>
      <c r="EB638" s="1859"/>
      <c r="EC638" s="1859" t="e">
        <f t="shared" si="25"/>
        <v>#VALUE!</v>
      </c>
      <c r="ED638" s="1859"/>
      <c r="EE638" s="1859"/>
      <c r="EF638" s="1859"/>
      <c r="EG638" s="1859"/>
      <c r="EH638" s="1859" t="e">
        <f t="shared" si="26"/>
        <v>#VALUE!</v>
      </c>
      <c r="EI638" s="1859"/>
      <c r="EJ638" s="1859"/>
      <c r="EK638" s="1859"/>
      <c r="EL638" s="1859"/>
      <c r="EM638" s="1859" t="e">
        <f t="shared" si="27"/>
        <v>#VALUE!</v>
      </c>
      <c r="EN638" s="1859"/>
      <c r="EO638" s="1859"/>
      <c r="EP638" s="1859"/>
      <c r="EQ638" s="1859"/>
      <c r="ER638" s="1859" t="e">
        <f t="shared" si="28"/>
        <v>#VALUE!</v>
      </c>
      <c r="ES638" s="1859"/>
      <c r="ET638" s="1859"/>
      <c r="EU638" s="1859"/>
      <c r="EV638" s="1859"/>
      <c r="EW638" s="1859" t="e">
        <f t="shared" si="29"/>
        <v>#VALUE!</v>
      </c>
      <c r="EX638" s="1859"/>
      <c r="EY638" s="1859"/>
      <c r="EZ638" s="1859"/>
      <c r="FA638" s="1859"/>
    </row>
    <row r="639" spans="1:157" ht="12.95" customHeight="1">
      <c r="A639" s="55" t="s">
        <v>113</v>
      </c>
      <c r="B639" t="s">
        <v>472</v>
      </c>
      <c r="G639" s="1516" t="str">
        <f>C623</f>
        <v>Perm Bond Proceeds - Chase</v>
      </c>
      <c r="H639" s="1516"/>
      <c r="I639" s="1516"/>
      <c r="J639" s="1516"/>
      <c r="K639" s="1516"/>
      <c r="L639" s="1516"/>
      <c r="M639" s="1516"/>
      <c r="N639" s="1516"/>
      <c r="O639" s="1516"/>
      <c r="P639" s="1516"/>
      <c r="Q639" s="1516"/>
      <c r="R639" s="1516"/>
      <c r="S639" s="8"/>
      <c r="T639" s="55" t="s">
        <v>114</v>
      </c>
      <c r="U639" t="s">
        <v>472</v>
      </c>
      <c r="Z639" s="1516" t="str">
        <f>C624</f>
        <v>City of Yorba Linda</v>
      </c>
      <c r="AA639" s="1516"/>
      <c r="AB639" s="1516"/>
      <c r="AC639" s="1516"/>
      <c r="AD639" s="1516"/>
      <c r="AE639" s="1516"/>
      <c r="AF639" s="1516"/>
      <c r="AG639" s="1516"/>
      <c r="AH639" s="1516"/>
      <c r="AI639" s="1516"/>
      <c r="AJ639" s="1516"/>
      <c r="AK639" s="1516"/>
      <c r="AZ639" s="34"/>
      <c r="BA639" s="34"/>
      <c r="BB639" s="34"/>
      <c r="BC639" s="34"/>
      <c r="BD639" s="34"/>
      <c r="BE639" s="34"/>
      <c r="BF639" s="34"/>
      <c r="BG639" s="34"/>
      <c r="BH639" s="34"/>
      <c r="BI639" s="34"/>
      <c r="BJ639" s="34"/>
      <c r="BK639" s="34"/>
      <c r="BL639" s="34"/>
      <c r="BM639" s="34"/>
      <c r="BN639" s="1508">
        <f t="shared" si="31"/>
        <v>0</v>
      </c>
      <c r="BO639" s="1509"/>
      <c r="BP639" s="1509"/>
      <c r="BQ639" s="1509"/>
      <c r="BR639" s="1510"/>
      <c r="BS639" s="1396">
        <f t="shared" si="32"/>
        <v>0</v>
      </c>
      <c r="BT639" s="1396"/>
      <c r="BU639" s="1396"/>
      <c r="BV639" s="1396"/>
      <c r="BW639" s="1396"/>
      <c r="BX639" s="1396">
        <f t="shared" si="33"/>
        <v>0</v>
      </c>
      <c r="BY639" s="1396"/>
      <c r="BZ639" s="1396"/>
      <c r="CA639" s="1396"/>
      <c r="CB639" s="1396"/>
      <c r="CC639" s="1396">
        <f t="shared" si="34"/>
        <v>0</v>
      </c>
      <c r="CD639" s="1396"/>
      <c r="CE639" s="1396"/>
      <c r="CF639" s="1396"/>
      <c r="CG639" s="1396"/>
      <c r="CH639" s="1396">
        <f t="shared" si="35"/>
        <v>0</v>
      </c>
      <c r="CI639" s="1396"/>
      <c r="CJ639" s="1396"/>
      <c r="CK639" s="1396"/>
      <c r="CL639" s="1396"/>
      <c r="CM639" s="1396">
        <f t="shared" si="36"/>
        <v>0</v>
      </c>
      <c r="CN639" s="1396"/>
      <c r="CO639" s="1396"/>
      <c r="CP639" s="1396"/>
      <c r="CQ639" s="1396"/>
      <c r="CR639" s="6"/>
      <c r="CS639" s="1508">
        <f t="shared" si="37"/>
        <v>0</v>
      </c>
      <c r="CT639" s="1509"/>
      <c r="CU639" s="1509"/>
      <c r="CV639" s="1509"/>
      <c r="CW639" s="1510"/>
      <c r="CX639" s="1508">
        <f t="shared" si="38"/>
        <v>0</v>
      </c>
      <c r="CY639" s="1509"/>
      <c r="CZ639" s="1509"/>
      <c r="DA639" s="1509"/>
      <c r="DB639" s="1510"/>
      <c r="DC639" s="1508">
        <f t="shared" si="39"/>
        <v>0</v>
      </c>
      <c r="DD639" s="1509"/>
      <c r="DE639" s="1509"/>
      <c r="DF639" s="1509"/>
      <c r="DG639" s="1510"/>
      <c r="DH639" s="1508">
        <f t="shared" si="40"/>
        <v>0</v>
      </c>
      <c r="DI639" s="1509"/>
      <c r="DJ639" s="1509"/>
      <c r="DK639" s="1509"/>
      <c r="DL639" s="1510"/>
      <c r="DM639" s="1508">
        <f t="shared" si="41"/>
        <v>0</v>
      </c>
      <c r="DN639" s="1509"/>
      <c r="DO639" s="1509"/>
      <c r="DP639" s="1509"/>
      <c r="DQ639" s="1510"/>
      <c r="DR639" s="1508">
        <f t="shared" si="42"/>
        <v>0</v>
      </c>
      <c r="DS639" s="1509"/>
      <c r="DT639" s="1509"/>
      <c r="DU639" s="1509"/>
      <c r="DV639" s="1510"/>
      <c r="DX639" s="1859" t="e">
        <f t="shared" si="24"/>
        <v>#VALUE!</v>
      </c>
      <c r="DY639" s="1859"/>
      <c r="DZ639" s="1859"/>
      <c r="EA639" s="1859"/>
      <c r="EB639" s="1859"/>
      <c r="EC639" s="1859" t="e">
        <f t="shared" si="25"/>
        <v>#VALUE!</v>
      </c>
      <c r="ED639" s="1859"/>
      <c r="EE639" s="1859"/>
      <c r="EF639" s="1859"/>
      <c r="EG639" s="1859"/>
      <c r="EH639" s="1859" t="e">
        <f t="shared" si="26"/>
        <v>#VALUE!</v>
      </c>
      <c r="EI639" s="1859"/>
      <c r="EJ639" s="1859"/>
      <c r="EK639" s="1859"/>
      <c r="EL639" s="1859"/>
      <c r="EM639" s="1859" t="e">
        <f t="shared" si="27"/>
        <v>#VALUE!</v>
      </c>
      <c r="EN639" s="1859"/>
      <c r="EO639" s="1859"/>
      <c r="EP639" s="1859"/>
      <c r="EQ639" s="1859"/>
      <c r="ER639" s="1859" t="e">
        <f t="shared" si="28"/>
        <v>#VALUE!</v>
      </c>
      <c r="ES639" s="1859"/>
      <c r="ET639" s="1859"/>
      <c r="EU639" s="1859"/>
      <c r="EV639" s="1859"/>
      <c r="EW639" s="1859" t="e">
        <f t="shared" si="29"/>
        <v>#VALUE!</v>
      </c>
      <c r="EX639" s="1859"/>
      <c r="EY639" s="1859"/>
      <c r="EZ639" s="1859"/>
      <c r="FA639" s="1859"/>
    </row>
    <row r="640" spans="1:157" ht="12.95" customHeight="1">
      <c r="A640" s="22"/>
      <c r="B640" t="s">
        <v>86</v>
      </c>
      <c r="G640" s="1476" t="s">
        <v>2752</v>
      </c>
      <c r="H640" s="1476"/>
      <c r="I640" s="1476"/>
      <c r="J640" s="1476"/>
      <c r="K640" s="1476"/>
      <c r="L640" s="1476"/>
      <c r="M640" s="1476"/>
      <c r="N640" s="1476"/>
      <c r="O640" s="1476"/>
      <c r="P640" s="1476"/>
      <c r="Q640" s="1476"/>
      <c r="R640" s="1476"/>
      <c r="S640" s="8"/>
      <c r="T640" s="22"/>
      <c r="U640" t="s">
        <v>86</v>
      </c>
      <c r="Z640" s="1395" t="str">
        <f>Z574</f>
        <v>4845 Casa Loma Ave</v>
      </c>
      <c r="AA640" s="1395"/>
      <c r="AB640" s="1395"/>
      <c r="AC640" s="1395"/>
      <c r="AD640" s="1395"/>
      <c r="AE640" s="1395"/>
      <c r="AF640" s="1395"/>
      <c r="AG640" s="1395"/>
      <c r="AH640" s="1395"/>
      <c r="AI640" s="1395"/>
      <c r="AJ640" s="1395"/>
      <c r="AK640" s="1395"/>
      <c r="AZ640" s="34"/>
      <c r="BA640" s="34"/>
      <c r="BB640" s="34"/>
      <c r="BC640" s="34"/>
      <c r="BD640" s="34"/>
      <c r="BE640" s="34"/>
      <c r="BF640" s="34"/>
      <c r="BG640" s="34"/>
      <c r="BH640" s="34"/>
      <c r="BI640" s="34"/>
      <c r="BJ640" s="34"/>
      <c r="BK640" s="34"/>
      <c r="BL640" s="34"/>
      <c r="BM640" s="34"/>
      <c r="BN640" s="1508">
        <f t="shared" si="31"/>
        <v>0</v>
      </c>
      <c r="BO640" s="1509"/>
      <c r="BP640" s="1509"/>
      <c r="BQ640" s="1509"/>
      <c r="BR640" s="1510"/>
      <c r="BS640" s="1396">
        <f t="shared" si="32"/>
        <v>0</v>
      </c>
      <c r="BT640" s="1396"/>
      <c r="BU640" s="1396"/>
      <c r="BV640" s="1396"/>
      <c r="BW640" s="1396"/>
      <c r="BX640" s="1396">
        <f t="shared" si="33"/>
        <v>0</v>
      </c>
      <c r="BY640" s="1396"/>
      <c r="BZ640" s="1396"/>
      <c r="CA640" s="1396"/>
      <c r="CB640" s="1396"/>
      <c r="CC640" s="1396">
        <f t="shared" si="34"/>
        <v>0</v>
      </c>
      <c r="CD640" s="1396"/>
      <c r="CE640" s="1396"/>
      <c r="CF640" s="1396"/>
      <c r="CG640" s="1396"/>
      <c r="CH640" s="1396">
        <f t="shared" si="35"/>
        <v>0</v>
      </c>
      <c r="CI640" s="1396"/>
      <c r="CJ640" s="1396"/>
      <c r="CK640" s="1396"/>
      <c r="CL640" s="1396"/>
      <c r="CM640" s="1396">
        <f t="shared" si="36"/>
        <v>0</v>
      </c>
      <c r="CN640" s="1396"/>
      <c r="CO640" s="1396"/>
      <c r="CP640" s="1396"/>
      <c r="CQ640" s="1396"/>
      <c r="CR640" s="6"/>
      <c r="CS640" s="1508">
        <f t="shared" si="37"/>
        <v>0</v>
      </c>
      <c r="CT640" s="1509"/>
      <c r="CU640" s="1509"/>
      <c r="CV640" s="1509"/>
      <c r="CW640" s="1510"/>
      <c r="CX640" s="1508">
        <f t="shared" si="38"/>
        <v>0</v>
      </c>
      <c r="CY640" s="1509"/>
      <c r="CZ640" s="1509"/>
      <c r="DA640" s="1509"/>
      <c r="DB640" s="1510"/>
      <c r="DC640" s="1508">
        <f t="shared" si="39"/>
        <v>0</v>
      </c>
      <c r="DD640" s="1509"/>
      <c r="DE640" s="1509"/>
      <c r="DF640" s="1509"/>
      <c r="DG640" s="1510"/>
      <c r="DH640" s="1508">
        <f t="shared" si="40"/>
        <v>0</v>
      </c>
      <c r="DI640" s="1509"/>
      <c r="DJ640" s="1509"/>
      <c r="DK640" s="1509"/>
      <c r="DL640" s="1510"/>
      <c r="DM640" s="1508">
        <f t="shared" si="41"/>
        <v>0</v>
      </c>
      <c r="DN640" s="1509"/>
      <c r="DO640" s="1509"/>
      <c r="DP640" s="1509"/>
      <c r="DQ640" s="1510"/>
      <c r="DR640" s="1508">
        <f t="shared" si="42"/>
        <v>0</v>
      </c>
      <c r="DS640" s="1509"/>
      <c r="DT640" s="1509"/>
      <c r="DU640" s="1509"/>
      <c r="DV640" s="1510"/>
      <c r="DX640" s="1859" t="e">
        <f t="shared" si="24"/>
        <v>#VALUE!</v>
      </c>
      <c r="DY640" s="1859"/>
      <c r="DZ640" s="1859"/>
      <c r="EA640" s="1859"/>
      <c r="EB640" s="1859"/>
      <c r="EC640" s="1859" t="e">
        <f t="shared" si="25"/>
        <v>#VALUE!</v>
      </c>
      <c r="ED640" s="1859"/>
      <c r="EE640" s="1859"/>
      <c r="EF640" s="1859"/>
      <c r="EG640" s="1859"/>
      <c r="EH640" s="1859" t="e">
        <f t="shared" si="26"/>
        <v>#VALUE!</v>
      </c>
      <c r="EI640" s="1859"/>
      <c r="EJ640" s="1859"/>
      <c r="EK640" s="1859"/>
      <c r="EL640" s="1859"/>
      <c r="EM640" s="1859" t="e">
        <f t="shared" si="27"/>
        <v>#VALUE!</v>
      </c>
      <c r="EN640" s="1859"/>
      <c r="EO640" s="1859"/>
      <c r="EP640" s="1859"/>
      <c r="EQ640" s="1859"/>
      <c r="ER640" s="1859" t="e">
        <f t="shared" si="28"/>
        <v>#VALUE!</v>
      </c>
      <c r="ES640" s="1859"/>
      <c r="ET640" s="1859"/>
      <c r="EU640" s="1859"/>
      <c r="EV640" s="1859"/>
      <c r="EW640" s="1859" t="e">
        <f t="shared" si="29"/>
        <v>#VALUE!</v>
      </c>
      <c r="EX640" s="1859"/>
      <c r="EY640" s="1859"/>
      <c r="EZ640" s="1859"/>
      <c r="FA640" s="1859"/>
    </row>
    <row r="641" spans="1:157" ht="12.95" customHeight="1">
      <c r="A641" s="22"/>
      <c r="B641" t="s">
        <v>589</v>
      </c>
      <c r="G641" s="1476" t="s">
        <v>2753</v>
      </c>
      <c r="H641" s="1476"/>
      <c r="I641" s="1476"/>
      <c r="J641" s="1476"/>
      <c r="K641" s="1476"/>
      <c r="L641" s="1476"/>
      <c r="M641" s="1476"/>
      <c r="N641" s="1476"/>
      <c r="O641" s="1476"/>
      <c r="P641" s="1476"/>
      <c r="Q641" s="1476"/>
      <c r="R641" s="1476"/>
      <c r="T641" s="22"/>
      <c r="U641" t="s">
        <v>589</v>
      </c>
      <c r="Z641" s="1366" t="str">
        <f>Z575</f>
        <v>Yorba Linda</v>
      </c>
      <c r="AA641" s="1366"/>
      <c r="AB641" s="1366"/>
      <c r="AC641" s="1366"/>
      <c r="AD641" s="1366"/>
      <c r="AE641" s="1366"/>
      <c r="AF641" s="1366"/>
      <c r="AG641" s="1366"/>
      <c r="AH641" s="1366"/>
      <c r="AI641" s="1366"/>
      <c r="AJ641" s="1366"/>
      <c r="AK641" s="1366"/>
      <c r="AZ641" s="34"/>
      <c r="BA641" s="34"/>
      <c r="BB641" s="34"/>
      <c r="BC641" s="34"/>
      <c r="BD641" s="34"/>
      <c r="BE641" s="34"/>
      <c r="BF641" s="34"/>
      <c r="BG641" s="34"/>
      <c r="BH641" s="34"/>
      <c r="BI641" s="34"/>
      <c r="BJ641" s="34"/>
      <c r="BK641" s="34"/>
      <c r="BL641" s="34"/>
      <c r="BM641" s="34"/>
      <c r="BN641" s="1508">
        <f t="shared" si="31"/>
        <v>0</v>
      </c>
      <c r="BO641" s="1509"/>
      <c r="BP641" s="1509"/>
      <c r="BQ641" s="1509"/>
      <c r="BR641" s="1510"/>
      <c r="BS641" s="1396">
        <f t="shared" si="32"/>
        <v>0</v>
      </c>
      <c r="BT641" s="1396"/>
      <c r="BU641" s="1396"/>
      <c r="BV641" s="1396"/>
      <c r="BW641" s="1396"/>
      <c r="BX641" s="1396">
        <f t="shared" si="33"/>
        <v>0</v>
      </c>
      <c r="BY641" s="1396"/>
      <c r="BZ641" s="1396"/>
      <c r="CA641" s="1396"/>
      <c r="CB641" s="1396"/>
      <c r="CC641" s="1396">
        <f t="shared" si="34"/>
        <v>0</v>
      </c>
      <c r="CD641" s="1396"/>
      <c r="CE641" s="1396"/>
      <c r="CF641" s="1396"/>
      <c r="CG641" s="1396"/>
      <c r="CH641" s="1396">
        <f t="shared" si="35"/>
        <v>0</v>
      </c>
      <c r="CI641" s="1396"/>
      <c r="CJ641" s="1396"/>
      <c r="CK641" s="1396"/>
      <c r="CL641" s="1396"/>
      <c r="CM641" s="1396">
        <f t="shared" si="36"/>
        <v>0</v>
      </c>
      <c r="CN641" s="1396"/>
      <c r="CO641" s="1396"/>
      <c r="CP641" s="1396"/>
      <c r="CQ641" s="1396"/>
      <c r="CR641" s="6"/>
      <c r="CS641" s="1508">
        <f t="shared" si="37"/>
        <v>0</v>
      </c>
      <c r="CT641" s="1509"/>
      <c r="CU641" s="1509"/>
      <c r="CV641" s="1509"/>
      <c r="CW641" s="1510"/>
      <c r="CX641" s="1508">
        <f t="shared" si="38"/>
        <v>0</v>
      </c>
      <c r="CY641" s="1509"/>
      <c r="CZ641" s="1509"/>
      <c r="DA641" s="1509"/>
      <c r="DB641" s="1510"/>
      <c r="DC641" s="1508">
        <f t="shared" si="39"/>
        <v>0</v>
      </c>
      <c r="DD641" s="1509"/>
      <c r="DE641" s="1509"/>
      <c r="DF641" s="1509"/>
      <c r="DG641" s="1510"/>
      <c r="DH641" s="1508">
        <f t="shared" si="40"/>
        <v>0</v>
      </c>
      <c r="DI641" s="1509"/>
      <c r="DJ641" s="1509"/>
      <c r="DK641" s="1509"/>
      <c r="DL641" s="1510"/>
      <c r="DM641" s="1508">
        <f t="shared" si="41"/>
        <v>0</v>
      </c>
      <c r="DN641" s="1509"/>
      <c r="DO641" s="1509"/>
      <c r="DP641" s="1509"/>
      <c r="DQ641" s="1510"/>
      <c r="DR641" s="1508">
        <f t="shared" si="42"/>
        <v>0</v>
      </c>
      <c r="DS641" s="1509"/>
      <c r="DT641" s="1509"/>
      <c r="DU641" s="1509"/>
      <c r="DV641" s="1510"/>
      <c r="DX641" s="1859" t="e">
        <f t="shared" si="24"/>
        <v>#VALUE!</v>
      </c>
      <c r="DY641" s="1859"/>
      <c r="DZ641" s="1859"/>
      <c r="EA641" s="1859"/>
      <c r="EB641" s="1859"/>
      <c r="EC641" s="1859" t="e">
        <f t="shared" si="25"/>
        <v>#VALUE!</v>
      </c>
      <c r="ED641" s="1859"/>
      <c r="EE641" s="1859"/>
      <c r="EF641" s="1859"/>
      <c r="EG641" s="1859"/>
      <c r="EH641" s="1859" t="e">
        <f t="shared" si="26"/>
        <v>#VALUE!</v>
      </c>
      <c r="EI641" s="1859"/>
      <c r="EJ641" s="1859"/>
      <c r="EK641" s="1859"/>
      <c r="EL641" s="1859"/>
      <c r="EM641" s="1859" t="e">
        <f t="shared" si="27"/>
        <v>#VALUE!</v>
      </c>
      <c r="EN641" s="1859"/>
      <c r="EO641" s="1859"/>
      <c r="EP641" s="1859"/>
      <c r="EQ641" s="1859"/>
      <c r="ER641" s="1859" t="e">
        <f t="shared" si="28"/>
        <v>#VALUE!</v>
      </c>
      <c r="ES641" s="1859"/>
      <c r="ET641" s="1859"/>
      <c r="EU641" s="1859"/>
      <c r="EV641" s="1859"/>
      <c r="EW641" s="1859" t="e">
        <f t="shared" si="29"/>
        <v>#VALUE!</v>
      </c>
      <c r="EX641" s="1859"/>
      <c r="EY641" s="1859"/>
      <c r="EZ641" s="1859"/>
      <c r="FA641" s="1859"/>
    </row>
    <row r="642" spans="1:157" ht="12.95" customHeight="1">
      <c r="A642" s="22"/>
      <c r="B642" t="s">
        <v>17</v>
      </c>
      <c r="G642" s="1476" t="s">
        <v>2754</v>
      </c>
      <c r="H642" s="1476"/>
      <c r="I642" s="1476"/>
      <c r="J642" s="1476"/>
      <c r="K642" s="1476"/>
      <c r="L642" s="1476"/>
      <c r="M642" s="1476"/>
      <c r="N642" s="1476"/>
      <c r="O642" s="1476"/>
      <c r="P642" s="1476"/>
      <c r="Q642" s="1476"/>
      <c r="R642" s="1476"/>
      <c r="S642" s="8"/>
      <c r="T642" s="22"/>
      <c r="U642" t="s">
        <v>17</v>
      </c>
      <c r="Z642" s="1366" t="str">
        <f>Z576</f>
        <v>Pamela Stoker</v>
      </c>
      <c r="AA642" s="1366"/>
      <c r="AB642" s="1366"/>
      <c r="AC642" s="1366"/>
      <c r="AD642" s="1366"/>
      <c r="AE642" s="1366"/>
      <c r="AF642" s="1366"/>
      <c r="AG642" s="1366"/>
      <c r="AH642" s="1366"/>
      <c r="AI642" s="1366"/>
      <c r="AJ642" s="1366"/>
      <c r="AK642" s="1366"/>
      <c r="AZ642" s="34"/>
      <c r="BA642" s="34"/>
      <c r="BB642" s="34"/>
      <c r="BC642" s="34"/>
      <c r="BD642" s="34"/>
      <c r="BE642" s="34"/>
      <c r="BF642" s="34"/>
      <c r="BG642" s="34"/>
      <c r="BH642" s="34"/>
      <c r="BI642" s="34"/>
      <c r="BJ642" s="34"/>
      <c r="BK642" s="34"/>
      <c r="BL642" s="34"/>
      <c r="BM642" s="34"/>
      <c r="BN642" s="1508">
        <f t="shared" si="31"/>
        <v>0</v>
      </c>
      <c r="BO642" s="1509"/>
      <c r="BP642" s="1509"/>
      <c r="BQ642" s="1509"/>
      <c r="BR642" s="1510"/>
      <c r="BS642" s="1396">
        <f t="shared" si="32"/>
        <v>0</v>
      </c>
      <c r="BT642" s="1396"/>
      <c r="BU642" s="1396"/>
      <c r="BV642" s="1396"/>
      <c r="BW642" s="1396"/>
      <c r="BX642" s="1396">
        <f t="shared" si="33"/>
        <v>0</v>
      </c>
      <c r="BY642" s="1396"/>
      <c r="BZ642" s="1396"/>
      <c r="CA642" s="1396"/>
      <c r="CB642" s="1396"/>
      <c r="CC642" s="1396">
        <f t="shared" si="34"/>
        <v>0</v>
      </c>
      <c r="CD642" s="1396"/>
      <c r="CE642" s="1396"/>
      <c r="CF642" s="1396"/>
      <c r="CG642" s="1396"/>
      <c r="CH642" s="1396">
        <f t="shared" si="35"/>
        <v>0</v>
      </c>
      <c r="CI642" s="1396"/>
      <c r="CJ642" s="1396"/>
      <c r="CK642" s="1396"/>
      <c r="CL642" s="1396"/>
      <c r="CM642" s="1396">
        <f t="shared" si="36"/>
        <v>0</v>
      </c>
      <c r="CN642" s="1396"/>
      <c r="CO642" s="1396"/>
      <c r="CP642" s="1396"/>
      <c r="CQ642" s="1396"/>
      <c r="CR642" s="6"/>
      <c r="CS642" s="1508">
        <f t="shared" si="37"/>
        <v>0</v>
      </c>
      <c r="CT642" s="1509"/>
      <c r="CU642" s="1509"/>
      <c r="CV642" s="1509"/>
      <c r="CW642" s="1510"/>
      <c r="CX642" s="1508">
        <f t="shared" si="38"/>
        <v>0</v>
      </c>
      <c r="CY642" s="1509"/>
      <c r="CZ642" s="1509"/>
      <c r="DA642" s="1509"/>
      <c r="DB642" s="1510"/>
      <c r="DC642" s="1508">
        <f t="shared" si="39"/>
        <v>0</v>
      </c>
      <c r="DD642" s="1509"/>
      <c r="DE642" s="1509"/>
      <c r="DF642" s="1509"/>
      <c r="DG642" s="1510"/>
      <c r="DH642" s="1508">
        <f t="shared" si="40"/>
        <v>0</v>
      </c>
      <c r="DI642" s="1509"/>
      <c r="DJ642" s="1509"/>
      <c r="DK642" s="1509"/>
      <c r="DL642" s="1510"/>
      <c r="DM642" s="1508">
        <f t="shared" si="41"/>
        <v>0</v>
      </c>
      <c r="DN642" s="1509"/>
      <c r="DO642" s="1509"/>
      <c r="DP642" s="1509"/>
      <c r="DQ642" s="1510"/>
      <c r="DR642" s="1508">
        <f t="shared" si="42"/>
        <v>0</v>
      </c>
      <c r="DS642" s="1509"/>
      <c r="DT642" s="1509"/>
      <c r="DU642" s="1509"/>
      <c r="DV642" s="1510"/>
      <c r="DX642" s="1859" t="e">
        <f t="shared" si="24"/>
        <v>#VALUE!</v>
      </c>
      <c r="DY642" s="1859"/>
      <c r="DZ642" s="1859"/>
      <c r="EA642" s="1859"/>
      <c r="EB642" s="1859"/>
      <c r="EC642" s="1859" t="e">
        <f t="shared" si="25"/>
        <v>#VALUE!</v>
      </c>
      <c r="ED642" s="1859"/>
      <c r="EE642" s="1859"/>
      <c r="EF642" s="1859"/>
      <c r="EG642" s="1859"/>
      <c r="EH642" s="1859" t="e">
        <f t="shared" si="26"/>
        <v>#VALUE!</v>
      </c>
      <c r="EI642" s="1859"/>
      <c r="EJ642" s="1859"/>
      <c r="EK642" s="1859"/>
      <c r="EL642" s="1859"/>
      <c r="EM642" s="1859" t="e">
        <f t="shared" si="27"/>
        <v>#VALUE!</v>
      </c>
      <c r="EN642" s="1859"/>
      <c r="EO642" s="1859"/>
      <c r="EP642" s="1859"/>
      <c r="EQ642" s="1859"/>
      <c r="ER642" s="1859" t="e">
        <f t="shared" si="28"/>
        <v>#VALUE!</v>
      </c>
      <c r="ES642" s="1859"/>
      <c r="ET642" s="1859"/>
      <c r="EU642" s="1859"/>
      <c r="EV642" s="1859"/>
      <c r="EW642" s="1859" t="e">
        <f t="shared" si="29"/>
        <v>#VALUE!</v>
      </c>
      <c r="EX642" s="1859"/>
      <c r="EY642" s="1859"/>
      <c r="EZ642" s="1859"/>
      <c r="FA642" s="1859"/>
    </row>
    <row r="643" spans="1:157" ht="12.95" customHeight="1">
      <c r="A643" s="22"/>
      <c r="B643" t="s">
        <v>318</v>
      </c>
      <c r="G643" s="1437" t="str">
        <f>G568</f>
        <v>858-284-5812</v>
      </c>
      <c r="H643" s="1437"/>
      <c r="I643" s="1437"/>
      <c r="J643" s="1437"/>
      <c r="K643" s="1437"/>
      <c r="L643" s="1437"/>
      <c r="O643" s="33" t="s">
        <v>208</v>
      </c>
      <c r="P643" s="1466"/>
      <c r="Q643" s="1466"/>
      <c r="R643" s="1466"/>
      <c r="S643" s="10"/>
      <c r="T643" s="22"/>
      <c r="U643" t="s">
        <v>318</v>
      </c>
      <c r="Z643" s="1437" t="str">
        <f>Z577</f>
        <v>714-961-7105</v>
      </c>
      <c r="AA643" s="1437"/>
      <c r="AB643" s="1437"/>
      <c r="AC643" s="1437"/>
      <c r="AD643" s="1437"/>
      <c r="AE643" s="1437"/>
      <c r="AH643" s="33" t="s">
        <v>208</v>
      </c>
      <c r="AI643" s="1466"/>
      <c r="AJ643" s="1466"/>
      <c r="AK643" s="1466"/>
      <c r="AZ643" s="34"/>
      <c r="BA643" s="34"/>
      <c r="BB643" s="34"/>
      <c r="BC643" s="34"/>
      <c r="BD643" s="34"/>
      <c r="BE643" s="34"/>
      <c r="BF643" s="34"/>
      <c r="BG643" s="34"/>
      <c r="BH643" s="34"/>
      <c r="BI643" s="34"/>
      <c r="BJ643" s="34"/>
      <c r="BK643" s="34"/>
      <c r="BL643" s="34"/>
      <c r="BM643" s="34"/>
      <c r="BN643" s="1508">
        <f t="shared" si="31"/>
        <v>0</v>
      </c>
      <c r="BO643" s="1509"/>
      <c r="BP643" s="1509"/>
      <c r="BQ643" s="1509"/>
      <c r="BR643" s="1510"/>
      <c r="BS643" s="1396">
        <f t="shared" si="32"/>
        <v>0</v>
      </c>
      <c r="BT643" s="1396"/>
      <c r="BU643" s="1396"/>
      <c r="BV643" s="1396"/>
      <c r="BW643" s="1396"/>
      <c r="BX643" s="1396">
        <f t="shared" si="33"/>
        <v>0</v>
      </c>
      <c r="BY643" s="1396"/>
      <c r="BZ643" s="1396"/>
      <c r="CA643" s="1396"/>
      <c r="CB643" s="1396"/>
      <c r="CC643" s="1396">
        <f t="shared" si="34"/>
        <v>0</v>
      </c>
      <c r="CD643" s="1396"/>
      <c r="CE643" s="1396"/>
      <c r="CF643" s="1396"/>
      <c r="CG643" s="1396"/>
      <c r="CH643" s="1396">
        <f t="shared" si="35"/>
        <v>0</v>
      </c>
      <c r="CI643" s="1396"/>
      <c r="CJ643" s="1396"/>
      <c r="CK643" s="1396"/>
      <c r="CL643" s="1396"/>
      <c r="CM643" s="1396">
        <f t="shared" si="36"/>
        <v>0</v>
      </c>
      <c r="CN643" s="1396"/>
      <c r="CO643" s="1396"/>
      <c r="CP643" s="1396"/>
      <c r="CQ643" s="1396"/>
      <c r="CR643" s="6"/>
      <c r="CS643" s="1508">
        <f t="shared" si="37"/>
        <v>0</v>
      </c>
      <c r="CT643" s="1509"/>
      <c r="CU643" s="1509"/>
      <c r="CV643" s="1509"/>
      <c r="CW643" s="1510"/>
      <c r="CX643" s="1508">
        <f t="shared" si="38"/>
        <v>0</v>
      </c>
      <c r="CY643" s="1509"/>
      <c r="CZ643" s="1509"/>
      <c r="DA643" s="1509"/>
      <c r="DB643" s="1510"/>
      <c r="DC643" s="1508">
        <f t="shared" si="39"/>
        <v>0</v>
      </c>
      <c r="DD643" s="1509"/>
      <c r="DE643" s="1509"/>
      <c r="DF643" s="1509"/>
      <c r="DG643" s="1510"/>
      <c r="DH643" s="1508">
        <f t="shared" si="40"/>
        <v>0</v>
      </c>
      <c r="DI643" s="1509"/>
      <c r="DJ643" s="1509"/>
      <c r="DK643" s="1509"/>
      <c r="DL643" s="1510"/>
      <c r="DM643" s="1508">
        <f t="shared" si="41"/>
        <v>0</v>
      </c>
      <c r="DN643" s="1509"/>
      <c r="DO643" s="1509"/>
      <c r="DP643" s="1509"/>
      <c r="DQ643" s="1510"/>
      <c r="DR643" s="1508">
        <f t="shared" si="42"/>
        <v>0</v>
      </c>
      <c r="DS643" s="1509"/>
      <c r="DT643" s="1509"/>
      <c r="DU643" s="1509"/>
      <c r="DV643" s="1510"/>
      <c r="DX643" s="1859" t="e">
        <f t="shared" si="24"/>
        <v>#VALUE!</v>
      </c>
      <c r="DY643" s="1859"/>
      <c r="DZ643" s="1859"/>
      <c r="EA643" s="1859"/>
      <c r="EB643" s="1859"/>
      <c r="EC643" s="1859" t="e">
        <f t="shared" si="25"/>
        <v>#VALUE!</v>
      </c>
      <c r="ED643" s="1859"/>
      <c r="EE643" s="1859"/>
      <c r="EF643" s="1859"/>
      <c r="EG643" s="1859"/>
      <c r="EH643" s="1859" t="e">
        <f t="shared" si="26"/>
        <v>#VALUE!</v>
      </c>
      <c r="EI643" s="1859"/>
      <c r="EJ643" s="1859"/>
      <c r="EK643" s="1859"/>
      <c r="EL643" s="1859"/>
      <c r="EM643" s="1859" t="e">
        <f t="shared" si="27"/>
        <v>#VALUE!</v>
      </c>
      <c r="EN643" s="1859"/>
      <c r="EO643" s="1859"/>
      <c r="EP643" s="1859"/>
      <c r="EQ643" s="1859"/>
      <c r="ER643" s="1859" t="e">
        <f t="shared" si="28"/>
        <v>#VALUE!</v>
      </c>
      <c r="ES643" s="1859"/>
      <c r="ET643" s="1859"/>
      <c r="EU643" s="1859"/>
      <c r="EV643" s="1859"/>
      <c r="EW643" s="1859" t="e">
        <f t="shared" si="29"/>
        <v>#VALUE!</v>
      </c>
      <c r="EX643" s="1859"/>
      <c r="EY643" s="1859"/>
      <c r="EZ643" s="1859"/>
      <c r="FA643" s="1859"/>
    </row>
    <row r="644" spans="1:157" ht="12.95" customHeight="1">
      <c r="A644" s="22"/>
      <c r="B644" t="s">
        <v>18</v>
      </c>
      <c r="H644" s="1395" t="s">
        <v>2735</v>
      </c>
      <c r="I644" s="1395"/>
      <c r="J644" s="1395"/>
      <c r="K644" s="1395"/>
      <c r="L644" s="1395"/>
      <c r="M644" s="1395"/>
      <c r="N644" s="1395"/>
      <c r="O644" s="1395"/>
      <c r="P644" s="1395"/>
      <c r="Q644" s="1395"/>
      <c r="R644" s="1395"/>
      <c r="S644" s="8"/>
      <c r="T644" s="22"/>
      <c r="U644" t="s">
        <v>18</v>
      </c>
      <c r="AA644" s="1395" t="s">
        <v>2743</v>
      </c>
      <c r="AB644" s="1395"/>
      <c r="AC644" s="1395"/>
      <c r="AD644" s="1395"/>
      <c r="AE644" s="1395"/>
      <c r="AF644" s="1395"/>
      <c r="AG644" s="1395"/>
      <c r="AH644" s="1395"/>
      <c r="AI644" s="1395"/>
      <c r="AJ644" s="1395"/>
      <c r="AK644" s="1395"/>
      <c r="AZ644" s="34"/>
      <c r="BA644" s="34"/>
      <c r="BB644" s="34"/>
      <c r="BC644" s="34"/>
      <c r="BD644" s="34"/>
      <c r="BE644" s="34"/>
      <c r="BF644" s="34"/>
      <c r="BG644" s="34"/>
      <c r="BH644" s="34"/>
      <c r="BI644" s="34"/>
      <c r="BJ644" s="34"/>
      <c r="BK644" s="34"/>
      <c r="BL644" s="34"/>
      <c r="BM644" s="34"/>
      <c r="BN644" s="1511">
        <f>SUM(BN634:BR643)</f>
        <v>0</v>
      </c>
      <c r="BO644" s="1513"/>
      <c r="BP644" s="1513"/>
      <c r="BQ644" s="1513"/>
      <c r="BR644" s="1512"/>
      <c r="BS644" s="1708">
        <f>SUM(BS634:BW643)</f>
        <v>0</v>
      </c>
      <c r="BT644" s="1709"/>
      <c r="BU644" s="1709"/>
      <c r="BV644" s="1709"/>
      <c r="BW644" s="1710"/>
      <c r="BX644" s="1708">
        <f>SUM(BX634:CB643)</f>
        <v>0</v>
      </c>
      <c r="BY644" s="1709"/>
      <c r="BZ644" s="1709"/>
      <c r="CA644" s="1709"/>
      <c r="CB644" s="1710"/>
      <c r="CC644" s="1708">
        <f>SUM(CC634:CG643)</f>
        <v>0</v>
      </c>
      <c r="CD644" s="1709"/>
      <c r="CE644" s="1709"/>
      <c r="CF644" s="1709"/>
      <c r="CG644" s="1710"/>
      <c r="CH644" s="1708">
        <f>SUM(CH634:CL643)</f>
        <v>0</v>
      </c>
      <c r="CI644" s="1709"/>
      <c r="CJ644" s="1709"/>
      <c r="CK644" s="1709"/>
      <c r="CL644" s="1710"/>
      <c r="CM644" s="1708">
        <f>SUM(CM634:CQ643)</f>
        <v>0</v>
      </c>
      <c r="CN644" s="1709"/>
      <c r="CO644" s="1709"/>
      <c r="CP644" s="1709"/>
      <c r="CQ644" s="1710"/>
      <c r="CR644" s="1049"/>
      <c r="CS644" s="1706">
        <f>SUM(CS634:CW643)</f>
        <v>0</v>
      </c>
      <c r="CT644" s="1706"/>
      <c r="CU644" s="1706"/>
      <c r="CV644" s="1706"/>
      <c r="CW644" s="1706"/>
      <c r="CX644" s="1706">
        <f>SUM(CX634:DB643)</f>
        <v>0</v>
      </c>
      <c r="CY644" s="1706"/>
      <c r="CZ644" s="1706"/>
      <c r="DA644" s="1706"/>
      <c r="DB644" s="1706"/>
      <c r="DC644" s="1706">
        <f>SUM(DC634:DG643)</f>
        <v>0</v>
      </c>
      <c r="DD644" s="1706"/>
      <c r="DE644" s="1706"/>
      <c r="DF644" s="1706"/>
      <c r="DG644" s="1706"/>
      <c r="DH644" s="1706">
        <f>SUM(DH634:DL643)</f>
        <v>0</v>
      </c>
      <c r="DI644" s="1706"/>
      <c r="DJ644" s="1706"/>
      <c r="DK644" s="1706"/>
      <c r="DL644" s="1706"/>
      <c r="DM644" s="1706">
        <f>SUM(DM634:DQ643)</f>
        <v>0</v>
      </c>
      <c r="DN644" s="1706"/>
      <c r="DO644" s="1706"/>
      <c r="DP644" s="1706"/>
      <c r="DQ644" s="1706"/>
      <c r="DR644" s="1706">
        <f>SUM(DR634:DV643)</f>
        <v>0</v>
      </c>
      <c r="DS644" s="1706"/>
      <c r="DT644" s="1706"/>
      <c r="DU644" s="1706"/>
      <c r="DV644" s="1706"/>
      <c r="DX644" s="1859" t="e">
        <f t="shared" si="24"/>
        <v>#VALUE!</v>
      </c>
      <c r="DY644" s="1859"/>
      <c r="DZ644" s="1859"/>
      <c r="EA644" s="1859"/>
      <c r="EB644" s="1859"/>
      <c r="EC644" s="1859" t="e">
        <f t="shared" si="25"/>
        <v>#VALUE!</v>
      </c>
      <c r="ED644" s="1859"/>
      <c r="EE644" s="1859"/>
      <c r="EF644" s="1859"/>
      <c r="EG644" s="1859"/>
      <c r="EH644" s="1859" t="e">
        <f t="shared" si="26"/>
        <v>#VALUE!</v>
      </c>
      <c r="EI644" s="1859"/>
      <c r="EJ644" s="1859"/>
      <c r="EK644" s="1859"/>
      <c r="EL644" s="1859"/>
      <c r="EM644" s="1859" t="e">
        <f t="shared" si="27"/>
        <v>#VALUE!</v>
      </c>
      <c r="EN644" s="1859"/>
      <c r="EO644" s="1859"/>
      <c r="EP644" s="1859"/>
      <c r="EQ644" s="1859"/>
      <c r="ER644" s="1859" t="e">
        <f t="shared" si="28"/>
        <v>#VALUE!</v>
      </c>
      <c r="ES644" s="1859"/>
      <c r="ET644" s="1859"/>
      <c r="EU644" s="1859"/>
      <c r="EV644" s="1859"/>
      <c r="EW644" s="1859" t="e">
        <f t="shared" si="29"/>
        <v>#VALUE!</v>
      </c>
      <c r="EX644" s="1859"/>
      <c r="EY644" s="1859"/>
      <c r="EZ644" s="1859"/>
      <c r="FA644" s="1859"/>
    </row>
    <row r="645" spans="1:157" ht="12.95" customHeight="1">
      <c r="A645" s="22"/>
      <c r="B645" t="s">
        <v>20</v>
      </c>
      <c r="N645" s="1373" t="s">
        <v>554</v>
      </c>
      <c r="O645" s="1373"/>
      <c r="T645" s="22"/>
      <c r="U645" t="s">
        <v>20</v>
      </c>
      <c r="AG645" s="1373" t="s">
        <v>554</v>
      </c>
      <c r="AH645" s="137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59" t="e">
        <f t="shared" si="24"/>
        <v>#VALUE!</v>
      </c>
      <c r="DY645" s="1859"/>
      <c r="DZ645" s="1859"/>
      <c r="EA645" s="1859"/>
      <c r="EB645" s="1859"/>
      <c r="EC645" s="1859" t="e">
        <f t="shared" si="25"/>
        <v>#VALUE!</v>
      </c>
      <c r="ED645" s="1859"/>
      <c r="EE645" s="1859"/>
      <c r="EF645" s="1859"/>
      <c r="EG645" s="1859"/>
      <c r="EH645" s="1859" t="e">
        <f t="shared" si="26"/>
        <v>#VALUE!</v>
      </c>
      <c r="EI645" s="1859"/>
      <c r="EJ645" s="1859"/>
      <c r="EK645" s="1859"/>
      <c r="EL645" s="1859"/>
      <c r="EM645" s="1859" t="e">
        <f t="shared" si="27"/>
        <v>#VALUE!</v>
      </c>
      <c r="EN645" s="1859"/>
      <c r="EO645" s="1859"/>
      <c r="EP645" s="1859"/>
      <c r="EQ645" s="1859"/>
      <c r="ER645" s="1859" t="e">
        <f t="shared" si="28"/>
        <v>#VALUE!</v>
      </c>
      <c r="ES645" s="1859"/>
      <c r="ET645" s="1859"/>
      <c r="EU645" s="1859"/>
      <c r="EV645" s="1859"/>
      <c r="EW645" s="1859" t="e">
        <f t="shared" si="29"/>
        <v>#VALUE!</v>
      </c>
      <c r="EX645" s="1859"/>
      <c r="EY645" s="1859"/>
      <c r="EZ645" s="1859"/>
      <c r="FA645" s="1859"/>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2121</v>
      </c>
      <c r="CU646" s="3"/>
      <c r="CV646" s="3"/>
      <c r="CW646" s="3"/>
      <c r="CX646" s="3"/>
      <c r="CY646" s="3"/>
      <c r="CZ646" s="3"/>
      <c r="DA646" s="3"/>
      <c r="DB646" s="3"/>
      <c r="DC646" s="3"/>
      <c r="DD646" s="3"/>
      <c r="DE646" s="3"/>
      <c r="DF646" s="3"/>
      <c r="DQ646" s="56" t="s">
        <v>2133</v>
      </c>
      <c r="DR646" s="1859">
        <f>SUM(CS644:DV644)</f>
        <v>0</v>
      </c>
      <c r="DS646" s="1859"/>
      <c r="DT646" s="1859"/>
      <c r="DU646" s="1859"/>
      <c r="DV646" s="1859"/>
      <c r="DX646" s="1859" t="e">
        <f t="shared" si="24"/>
        <v>#VALUE!</v>
      </c>
      <c r="DY646" s="1859"/>
      <c r="DZ646" s="1859"/>
      <c r="EA646" s="1859"/>
      <c r="EB646" s="1859"/>
      <c r="EC646" s="1859" t="e">
        <f t="shared" si="25"/>
        <v>#VALUE!</v>
      </c>
      <c r="ED646" s="1859"/>
      <c r="EE646" s="1859"/>
      <c r="EF646" s="1859"/>
      <c r="EG646" s="1859"/>
      <c r="EH646" s="1859" t="e">
        <f t="shared" si="26"/>
        <v>#VALUE!</v>
      </c>
      <c r="EI646" s="1859"/>
      <c r="EJ646" s="1859"/>
      <c r="EK646" s="1859"/>
      <c r="EL646" s="1859"/>
      <c r="EM646" s="1859" t="e">
        <f t="shared" si="27"/>
        <v>#VALUE!</v>
      </c>
      <c r="EN646" s="1859"/>
      <c r="EO646" s="1859"/>
      <c r="EP646" s="1859"/>
      <c r="EQ646" s="1859"/>
      <c r="ER646" s="1859" t="e">
        <f t="shared" si="28"/>
        <v>#VALUE!</v>
      </c>
      <c r="ES646" s="1859"/>
      <c r="ET646" s="1859"/>
      <c r="EU646" s="1859"/>
      <c r="EV646" s="1859"/>
      <c r="EW646" s="1859" t="e">
        <f t="shared" si="29"/>
        <v>#VALUE!</v>
      </c>
      <c r="EX646" s="1859"/>
      <c r="EY646" s="1859"/>
      <c r="EZ646" s="1859"/>
      <c r="FA646" s="1859"/>
    </row>
    <row r="647" spans="1:157" ht="12.95" customHeight="1">
      <c r="A647" s="55" t="s">
        <v>120</v>
      </c>
      <c r="B647" t="s">
        <v>472</v>
      </c>
      <c r="G647" s="1516" t="str">
        <f>C625</f>
        <v>AHP</v>
      </c>
      <c r="H647" s="1516"/>
      <c r="I647" s="1516"/>
      <c r="J647" s="1516"/>
      <c r="K647" s="1516"/>
      <c r="L647" s="1516"/>
      <c r="M647" s="1516"/>
      <c r="N647" s="1516"/>
      <c r="O647" s="1516"/>
      <c r="P647" s="1516"/>
      <c r="Q647" s="1516"/>
      <c r="R647" s="1516"/>
      <c r="T647" s="55" t="s">
        <v>590</v>
      </c>
      <c r="U647" t="s">
        <v>472</v>
      </c>
      <c r="Z647" s="1516" t="str">
        <f>C626</f>
        <v>Deferred Developer Fee</v>
      </c>
      <c r="AA647" s="1516"/>
      <c r="AB647" s="1516"/>
      <c r="AC647" s="1516"/>
      <c r="AD647" s="1516"/>
      <c r="AE647" s="1516"/>
      <c r="AF647" s="1516"/>
      <c r="AG647" s="1516"/>
      <c r="AH647" s="1516"/>
      <c r="AI647" s="1516"/>
      <c r="AJ647" s="1516"/>
      <c r="AK647" s="1516"/>
      <c r="AZ647" s="34"/>
      <c r="BA647" s="34"/>
      <c r="BB647" s="34"/>
      <c r="BC647" s="34"/>
      <c r="BD647" s="34"/>
      <c r="BE647" s="34"/>
      <c r="BF647" s="34"/>
      <c r="BG647" s="34"/>
      <c r="BH647" s="34"/>
      <c r="BI647" s="34"/>
      <c r="BJ647" s="34"/>
      <c r="BK647" s="34"/>
      <c r="BL647" s="34"/>
      <c r="BM647" s="34"/>
      <c r="CR647" s="3"/>
      <c r="CS647" s="897">
        <f>BR645+BW645+CB645+CG645+CL645+CQ645</f>
        <v>0</v>
      </c>
      <c r="CT647" s="57" t="s">
        <v>1809</v>
      </c>
      <c r="CU647" s="3"/>
      <c r="CV647" s="3"/>
      <c r="CW647" s="3"/>
      <c r="CX647" s="3"/>
      <c r="CY647" s="3"/>
      <c r="CZ647" s="3"/>
      <c r="DA647" s="3"/>
      <c r="DB647" s="3"/>
      <c r="DC647" s="3"/>
      <c r="DD647" s="3"/>
      <c r="DE647" s="3"/>
      <c r="DF647" s="3"/>
      <c r="DX647" s="1859" t="e">
        <f t="shared" si="24"/>
        <v>#VALUE!</v>
      </c>
      <c r="DY647" s="1859"/>
      <c r="DZ647" s="1859"/>
      <c r="EA647" s="1859"/>
      <c r="EB647" s="1859"/>
      <c r="EC647" s="1859" t="e">
        <f t="shared" si="25"/>
        <v>#VALUE!</v>
      </c>
      <c r="ED647" s="1859"/>
      <c r="EE647" s="1859"/>
      <c r="EF647" s="1859"/>
      <c r="EG647" s="1859"/>
      <c r="EH647" s="1859" t="e">
        <f t="shared" si="26"/>
        <v>#VALUE!</v>
      </c>
      <c r="EI647" s="1859"/>
      <c r="EJ647" s="1859"/>
      <c r="EK647" s="1859"/>
      <c r="EL647" s="1859"/>
      <c r="EM647" s="1859" t="e">
        <f t="shared" si="27"/>
        <v>#VALUE!</v>
      </c>
      <c r="EN647" s="1859"/>
      <c r="EO647" s="1859"/>
      <c r="EP647" s="1859"/>
      <c r="EQ647" s="1859"/>
      <c r="ER647" s="1859" t="e">
        <f t="shared" si="28"/>
        <v>#VALUE!</v>
      </c>
      <c r="ES647" s="1859"/>
      <c r="ET647" s="1859"/>
      <c r="EU647" s="1859"/>
      <c r="EV647" s="1859"/>
      <c r="EW647" s="1859" t="e">
        <f t="shared" si="29"/>
        <v>#VALUE!</v>
      </c>
      <c r="EX647" s="1859"/>
      <c r="EY647" s="1859"/>
      <c r="EZ647" s="1859"/>
      <c r="FA647" s="1859"/>
    </row>
    <row r="648" spans="1:157" ht="12.95" customHeight="1">
      <c r="A648" s="22"/>
      <c r="B648" t="s">
        <v>86</v>
      </c>
      <c r="G648" s="1395" t="s">
        <v>2757</v>
      </c>
      <c r="H648" s="1395"/>
      <c r="I648" s="1395"/>
      <c r="J648" s="1395"/>
      <c r="K648" s="1395"/>
      <c r="L648" s="1395"/>
      <c r="M648" s="1395"/>
      <c r="N648" s="1395"/>
      <c r="O648" s="1395"/>
      <c r="P648" s="1395"/>
      <c r="Q648" s="1395"/>
      <c r="R648" s="1395"/>
      <c r="T648" s="22"/>
      <c r="U648" t="s">
        <v>86</v>
      </c>
      <c r="Z648" s="1395" t="str">
        <f>G590</f>
        <v>9421 Haven Ave</v>
      </c>
      <c r="AA648" s="1395"/>
      <c r="AB648" s="1395"/>
      <c r="AC648" s="1395"/>
      <c r="AD648" s="1395"/>
      <c r="AE648" s="1395"/>
      <c r="AF648" s="1395"/>
      <c r="AG648" s="1395"/>
      <c r="AH648" s="1395"/>
      <c r="AI648" s="1395"/>
      <c r="AJ648" s="1395"/>
      <c r="AK648" s="1395"/>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59" t="e">
        <f t="shared" si="24"/>
        <v>#VALUE!</v>
      </c>
      <c r="DY648" s="1859"/>
      <c r="DZ648" s="1859"/>
      <c r="EA648" s="1859"/>
      <c r="EB648" s="1859"/>
      <c r="EC648" s="1859" t="e">
        <f t="shared" si="25"/>
        <v>#VALUE!</v>
      </c>
      <c r="ED648" s="1859"/>
      <c r="EE648" s="1859"/>
      <c r="EF648" s="1859"/>
      <c r="EG648" s="1859"/>
      <c r="EH648" s="1859" t="e">
        <f t="shared" si="26"/>
        <v>#VALUE!</v>
      </c>
      <c r="EI648" s="1859"/>
      <c r="EJ648" s="1859"/>
      <c r="EK648" s="1859"/>
      <c r="EL648" s="1859"/>
      <c r="EM648" s="1859" t="e">
        <f t="shared" si="27"/>
        <v>#VALUE!</v>
      </c>
      <c r="EN648" s="1859"/>
      <c r="EO648" s="1859"/>
      <c r="EP648" s="1859"/>
      <c r="EQ648" s="1859"/>
      <c r="ER648" s="1859" t="e">
        <f t="shared" si="28"/>
        <v>#VALUE!</v>
      </c>
      <c r="ES648" s="1859"/>
      <c r="ET648" s="1859"/>
      <c r="EU648" s="1859"/>
      <c r="EV648" s="1859"/>
      <c r="EW648" s="1859" t="e">
        <f t="shared" si="29"/>
        <v>#VALUE!</v>
      </c>
      <c r="EX648" s="1859"/>
      <c r="EY648" s="1859"/>
      <c r="EZ648" s="1859"/>
      <c r="FA648" s="1859"/>
    </row>
    <row r="649" spans="1:157" ht="12.95" customHeight="1">
      <c r="A649" s="22"/>
      <c r="B649" t="s">
        <v>589</v>
      </c>
      <c r="G649" s="1366" t="s">
        <v>2758</v>
      </c>
      <c r="H649" s="1366"/>
      <c r="I649" s="1366"/>
      <c r="J649" s="1366"/>
      <c r="K649" s="1366"/>
      <c r="L649" s="1366"/>
      <c r="M649" s="1366"/>
      <c r="N649" s="1366"/>
      <c r="O649" s="1366"/>
      <c r="P649" s="1366"/>
      <c r="Q649" s="1366"/>
      <c r="R649" s="1366"/>
      <c r="T649" s="22"/>
      <c r="U649" t="s">
        <v>589</v>
      </c>
      <c r="Z649" s="1366" t="str">
        <f>G591</f>
        <v>Rancho Cucamonga</v>
      </c>
      <c r="AA649" s="1366"/>
      <c r="AB649" s="1366"/>
      <c r="AC649" s="1366"/>
      <c r="AD649" s="1366"/>
      <c r="AE649" s="1366"/>
      <c r="AF649" s="1366"/>
      <c r="AG649" s="1366"/>
      <c r="AH649" s="1366"/>
      <c r="AI649" s="1366"/>
      <c r="AJ649" s="1366"/>
      <c r="AK649" s="1366"/>
      <c r="AZ649" s="34"/>
      <c r="BA649" s="34"/>
      <c r="BB649" s="34"/>
      <c r="BC649" s="34"/>
      <c r="BD649" s="34"/>
      <c r="BE649" s="34"/>
      <c r="BF649" s="34"/>
      <c r="BG649" s="34"/>
      <c r="BH649" s="34"/>
      <c r="BI649" s="34"/>
      <c r="BJ649" s="34"/>
      <c r="BK649" s="34"/>
      <c r="BL649" s="34"/>
      <c r="BM649" s="34"/>
      <c r="BN649" s="1708">
        <f>BN621+BN630+BN644</f>
        <v>0</v>
      </c>
      <c r="BO649" s="1709"/>
      <c r="BP649" s="1709"/>
      <c r="BQ649" s="1709"/>
      <c r="BR649" s="1710"/>
      <c r="BS649" s="1708">
        <f>BS621+BS630+BS644</f>
        <v>0</v>
      </c>
      <c r="BT649" s="1709"/>
      <c r="BU649" s="1709"/>
      <c r="BV649" s="1709"/>
      <c r="BW649" s="1710"/>
      <c r="BX649" s="1708">
        <f>BX621+BX630+BX644</f>
        <v>52</v>
      </c>
      <c r="BY649" s="1709"/>
      <c r="BZ649" s="1709"/>
      <c r="CA649" s="1709"/>
      <c r="CB649" s="1710"/>
      <c r="CC649" s="1708">
        <f>CC621+CC630+CC644</f>
        <v>24</v>
      </c>
      <c r="CD649" s="1709"/>
      <c r="CE649" s="1709"/>
      <c r="CF649" s="1709"/>
      <c r="CG649" s="1710"/>
      <c r="CH649" s="1708">
        <f>CH621+CH630+CH644</f>
        <v>0</v>
      </c>
      <c r="CI649" s="1709"/>
      <c r="CJ649" s="1709"/>
      <c r="CK649" s="1709"/>
      <c r="CL649" s="1710"/>
      <c r="CM649" s="1421">
        <f>CM644+CM630+CM621</f>
        <v>0</v>
      </c>
      <c r="CN649" s="1855"/>
      <c r="CO649" s="1855"/>
      <c r="CP649" s="1855"/>
      <c r="CQ649" s="1422"/>
      <c r="CR649" s="3"/>
      <c r="CS649" s="897">
        <f>CS623+CS647</f>
        <v>173</v>
      </c>
      <c r="CT649" s="57" t="s">
        <v>2126</v>
      </c>
      <c r="CU649" s="3"/>
      <c r="CV649" s="3"/>
      <c r="CW649" s="3"/>
      <c r="CX649" s="3"/>
      <c r="CY649" s="3"/>
      <c r="CZ649" s="3"/>
      <c r="DA649" s="3"/>
      <c r="DB649" s="3"/>
      <c r="DC649" s="3"/>
      <c r="DD649" s="3"/>
      <c r="DE649" s="3"/>
      <c r="DF649" s="3"/>
      <c r="DX649" s="1859">
        <f>SUMIF(DX624:EB648,"&gt;0")</f>
        <v>0</v>
      </c>
      <c r="DY649" s="1859"/>
      <c r="DZ649" s="1859"/>
      <c r="EA649" s="1859"/>
      <c r="EB649" s="1859"/>
      <c r="EC649" s="1859">
        <f>SUMIF(EC624:EG648,"&gt;0")</f>
        <v>0</v>
      </c>
      <c r="ED649" s="1859"/>
      <c r="EE649" s="1859"/>
      <c r="EF649" s="1859"/>
      <c r="EG649" s="1859"/>
      <c r="EH649" s="1859">
        <f>SUMIF(EH624:EL648,"&gt;0")</f>
        <v>1445.8076923076924</v>
      </c>
      <c r="EI649" s="1859"/>
      <c r="EJ649" s="1859"/>
      <c r="EK649" s="1859"/>
      <c r="EL649" s="1859"/>
      <c r="EM649" s="1859">
        <f>SUMIF(EM624:EQ648,"&gt;0")</f>
        <v>1580.304347826087</v>
      </c>
      <c r="EN649" s="1859"/>
      <c r="EO649" s="1859"/>
      <c r="EP649" s="1859"/>
      <c r="EQ649" s="1859"/>
      <c r="ER649" s="1859">
        <f>SUMIF(ER624:EV648,"&gt;0")</f>
        <v>0</v>
      </c>
      <c r="ES649" s="1859"/>
      <c r="ET649" s="1859"/>
      <c r="EU649" s="1859"/>
      <c r="EV649" s="1859"/>
      <c r="EW649" s="1859">
        <f>SUMIF(EW624:FA648,"&gt;0")</f>
        <v>0</v>
      </c>
      <c r="EX649" s="1859"/>
      <c r="EY649" s="1859"/>
      <c r="EZ649" s="1859"/>
      <c r="FA649" s="1859"/>
    </row>
    <row r="650" spans="1:157" ht="12.95" customHeight="1">
      <c r="A650" s="22"/>
      <c r="B650" t="s">
        <v>17</v>
      </c>
      <c r="G650" s="1366" t="s">
        <v>2759</v>
      </c>
      <c r="H650" s="1366"/>
      <c r="I650" s="1366"/>
      <c r="J650" s="1366"/>
      <c r="K650" s="1366"/>
      <c r="L650" s="1366"/>
      <c r="M650" s="1366"/>
      <c r="N650" s="1366"/>
      <c r="O650" s="1366"/>
      <c r="P650" s="1366"/>
      <c r="Q650" s="1366"/>
      <c r="R650" s="1366"/>
      <c r="T650" s="22"/>
      <c r="U650" t="s">
        <v>17</v>
      </c>
      <c r="Z650" s="1366" t="str">
        <f>G592</f>
        <v>Michael Finn</v>
      </c>
      <c r="AA650" s="1366"/>
      <c r="AB650" s="1366"/>
      <c r="AC650" s="1366"/>
      <c r="AD650" s="1366"/>
      <c r="AE650" s="1366"/>
      <c r="AF650" s="1366"/>
      <c r="AG650" s="1366"/>
      <c r="AH650" s="1366"/>
      <c r="AI650" s="1366"/>
      <c r="AJ650" s="1366"/>
      <c r="AK650" s="1366"/>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437" t="s">
        <v>2760</v>
      </c>
      <c r="H651" s="1437"/>
      <c r="I651" s="1437"/>
      <c r="J651" s="1437"/>
      <c r="K651" s="1437"/>
      <c r="L651" s="1437"/>
      <c r="O651" s="33" t="s">
        <v>208</v>
      </c>
      <c r="P651" s="1466"/>
      <c r="Q651" s="1466"/>
      <c r="R651" s="1466"/>
      <c r="T651" s="22"/>
      <c r="U651" t="s">
        <v>318</v>
      </c>
      <c r="Z651" s="1437" t="str">
        <f>G593</f>
        <v>909-483-2444</v>
      </c>
      <c r="AA651" s="1437"/>
      <c r="AB651" s="1437"/>
      <c r="AC651" s="1437"/>
      <c r="AD651" s="1437"/>
      <c r="AE651" s="1437"/>
      <c r="AH651" s="33" t="s">
        <v>208</v>
      </c>
      <c r="AI651" s="1466"/>
      <c r="AJ651" s="1466"/>
      <c r="AK651" s="1466"/>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514" t="s">
        <v>2743</v>
      </c>
      <c r="I652" s="1395"/>
      <c r="J652" s="1395"/>
      <c r="K652" s="1395"/>
      <c r="L652" s="1395"/>
      <c r="M652" s="1395"/>
      <c r="N652" s="1395"/>
      <c r="O652" s="1395"/>
      <c r="P652" s="1395"/>
      <c r="Q652" s="1395"/>
      <c r="R652" s="1395"/>
      <c r="T652" s="22"/>
      <c r="U652" t="s">
        <v>18</v>
      </c>
      <c r="AA652" s="1395" t="s">
        <v>467</v>
      </c>
      <c r="AB652" s="1395"/>
      <c r="AC652" s="1395"/>
      <c r="AD652" s="1395"/>
      <c r="AE652" s="1395"/>
      <c r="AF652" s="1395"/>
      <c r="AG652" s="1395"/>
      <c r="AH652" s="1395"/>
      <c r="AI652" s="1395"/>
      <c r="AJ652" s="1395"/>
      <c r="AK652" s="1395"/>
      <c r="AZ652" s="3"/>
      <c r="BA652" s="3"/>
      <c r="BB652" s="3"/>
      <c r="BC652" s="3"/>
      <c r="BD652" s="3"/>
      <c r="BE652" s="3"/>
      <c r="BF652" s="3"/>
      <c r="BG652" s="3"/>
      <c r="BH652" s="3"/>
      <c r="BI652" s="3"/>
      <c r="BJ652" s="3"/>
      <c r="BK652" s="3"/>
      <c r="BL652" s="3"/>
      <c r="BM652" s="3"/>
      <c r="BN652" s="3"/>
      <c r="BO652" s="3"/>
      <c r="BP652" s="207" t="s">
        <v>2622</v>
      </c>
      <c r="BQ652" s="208"/>
      <c r="BR652" s="208"/>
      <c r="BS652" s="208"/>
      <c r="BT652" s="208"/>
      <c r="BU652" s="208"/>
      <c r="BV652" s="208"/>
      <c r="BW652" s="3"/>
      <c r="BX652" s="207" t="s">
        <v>2621</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73" t="s">
        <v>554</v>
      </c>
      <c r="O653" s="1373"/>
      <c r="T653" s="22"/>
      <c r="U653" t="s">
        <v>20</v>
      </c>
      <c r="AG653" s="1373" t="s">
        <v>554</v>
      </c>
      <c r="AH653" s="1373"/>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2314</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787</v>
      </c>
      <c r="B655" t="s">
        <v>472</v>
      </c>
      <c r="G655" s="1516">
        <f>C627</f>
        <v>0</v>
      </c>
      <c r="H655" s="1516"/>
      <c r="I655" s="1516"/>
      <c r="J655" s="1516"/>
      <c r="K655" s="1516"/>
      <c r="L655" s="1516"/>
      <c r="M655" s="1516"/>
      <c r="N655" s="1516"/>
      <c r="O655" s="1516"/>
      <c r="P655" s="1516"/>
      <c r="Q655" s="1516"/>
      <c r="R655" s="1516"/>
      <c r="T655" s="55" t="s">
        <v>593</v>
      </c>
      <c r="U655" t="s">
        <v>472</v>
      </c>
      <c r="Z655" s="1516">
        <f>C628</f>
        <v>0</v>
      </c>
      <c r="AA655" s="1516"/>
      <c r="AB655" s="1516"/>
      <c r="AC655" s="1516"/>
      <c r="AD655" s="1516"/>
      <c r="AE655" s="1516"/>
      <c r="AF655" s="1516"/>
      <c r="AG655" s="1516"/>
      <c r="AH655" s="1516"/>
      <c r="AI655" s="1516"/>
      <c r="AJ655" s="1516"/>
      <c r="AK655" s="1516"/>
      <c r="AZ655" s="3"/>
      <c r="BA655" s="166" t="s">
        <v>658</v>
      </c>
      <c r="BB655" s="3"/>
      <c r="BC655" s="3"/>
      <c r="BD655" s="3"/>
      <c r="BE655" s="3"/>
      <c r="BF655" s="218"/>
      <c r="BG655" s="219" t="s">
        <v>928</v>
      </c>
      <c r="BH655" s="218"/>
      <c r="BI655" s="218"/>
      <c r="BJ655" s="3"/>
      <c r="BK655" s="3"/>
      <c r="BL655" s="3"/>
      <c r="BM655" s="3"/>
      <c r="BN655" s="3"/>
      <c r="BO655" s="3"/>
      <c r="BP655" s="376" t="s">
        <v>657</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95"/>
      <c r="H656" s="1395"/>
      <c r="I656" s="1395"/>
      <c r="J656" s="1395"/>
      <c r="K656" s="1395"/>
      <c r="L656" s="1395"/>
      <c r="M656" s="1395"/>
      <c r="N656" s="1395"/>
      <c r="O656" s="1395"/>
      <c r="P656" s="1395"/>
      <c r="Q656" s="1395"/>
      <c r="R656" s="1395"/>
      <c r="T656" s="22"/>
      <c r="U656" t="s">
        <v>86</v>
      </c>
      <c r="Z656" s="1395"/>
      <c r="AA656" s="1395"/>
      <c r="AB656" s="1395"/>
      <c r="AC656" s="1395"/>
      <c r="AD656" s="1395"/>
      <c r="AE656" s="1395"/>
      <c r="AF656" s="1395"/>
      <c r="AG656" s="1395"/>
      <c r="AH656" s="1395"/>
      <c r="AI656" s="1395"/>
      <c r="AJ656" s="1395"/>
      <c r="AK656" s="1395"/>
      <c r="AZ656" s="3"/>
      <c r="BA656" s="118">
        <f t="shared" ref="BA656:BA680" si="43">IF($G714=0,"N/A",VLOOKUP($T$189,TC_Rent,(MATCH($B714,bedrooms,FALSE))))</f>
        <v>3230</v>
      </c>
      <c r="BB656" s="3"/>
      <c r="BC656" s="3"/>
      <c r="BD656" s="3"/>
      <c r="BE656" s="3"/>
      <c r="BF656" s="218"/>
      <c r="BG656" s="313" t="s">
        <v>929</v>
      </c>
      <c r="BH656" s="318" t="s">
        <v>930</v>
      </c>
      <c r="BI656" s="317" t="s">
        <v>931</v>
      </c>
      <c r="BJ656" s="3"/>
      <c r="BK656" s="3"/>
      <c r="BL656" s="3"/>
      <c r="BM656" s="3"/>
      <c r="BN656" s="3"/>
      <c r="BO656" s="3"/>
      <c r="BP656" s="378" t="s">
        <v>485</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589</v>
      </c>
      <c r="G657" s="1395"/>
      <c r="H657" s="1395"/>
      <c r="I657" s="1395"/>
      <c r="J657" s="1395"/>
      <c r="K657" s="1395"/>
      <c r="L657" s="1395"/>
      <c r="M657" s="1395"/>
      <c r="N657" s="1395"/>
      <c r="O657" s="1395"/>
      <c r="P657" s="1395"/>
      <c r="Q657" s="1395"/>
      <c r="R657" s="1395"/>
      <c r="T657" s="22"/>
      <c r="U657" t="s">
        <v>589</v>
      </c>
      <c r="Z657" s="1366"/>
      <c r="AA657" s="1366"/>
      <c r="AB657" s="1366"/>
      <c r="AC657" s="1366"/>
      <c r="AD657" s="1366"/>
      <c r="AE657" s="1366"/>
      <c r="AF657" s="1366"/>
      <c r="AG657" s="1366"/>
      <c r="AH657" s="1366"/>
      <c r="AI657" s="1366"/>
      <c r="AJ657" s="1366"/>
      <c r="AK657" s="1366"/>
      <c r="AZ657" s="3"/>
      <c r="BA657" s="118">
        <f t="shared" si="43"/>
        <v>3230</v>
      </c>
      <c r="BB657" s="3"/>
      <c r="BC657" s="3"/>
      <c r="BD657" s="3"/>
      <c r="BE657" s="3"/>
      <c r="BF657" s="218"/>
      <c r="BG657" s="315">
        <f t="shared" ref="BG657:BG681" si="44">G714</f>
        <v>5</v>
      </c>
      <c r="BH657" s="319">
        <f>BG657/$BG$682</f>
        <v>6.6666666666666666E-2</v>
      </c>
      <c r="BI657" s="320">
        <f t="shared" ref="BI657:BI681" si="45">IF(BH657=0," ",BH657*AC714)</f>
        <v>0.02</v>
      </c>
      <c r="BJ657" s="3"/>
      <c r="BK657" s="3"/>
      <c r="BL657" s="3"/>
      <c r="BM657" s="3"/>
      <c r="BN657" s="3"/>
      <c r="BO657" s="3"/>
      <c r="BP657" s="379" t="s">
        <v>486</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95"/>
      <c r="H658" s="1395"/>
      <c r="I658" s="1395"/>
      <c r="J658" s="1395"/>
      <c r="K658" s="1395"/>
      <c r="L658" s="1395"/>
      <c r="M658" s="1395"/>
      <c r="N658" s="1395"/>
      <c r="O658" s="1395"/>
      <c r="P658" s="1395"/>
      <c r="Q658" s="1395"/>
      <c r="R658" s="1395"/>
      <c r="T658" s="22"/>
      <c r="U658" t="s">
        <v>17</v>
      </c>
      <c r="Z658" s="1366"/>
      <c r="AA658" s="1366"/>
      <c r="AB658" s="1366"/>
      <c r="AC658" s="1366"/>
      <c r="AD658" s="1366"/>
      <c r="AE658" s="1366"/>
      <c r="AF658" s="1366"/>
      <c r="AG658" s="1366"/>
      <c r="AH658" s="1366"/>
      <c r="AI658" s="1366"/>
      <c r="AJ658" s="1366"/>
      <c r="AK658" s="1366"/>
      <c r="AZ658" s="3"/>
      <c r="BA658" s="118">
        <f t="shared" si="43"/>
        <v>3230</v>
      </c>
      <c r="BB658" s="3"/>
      <c r="BC658" s="3"/>
      <c r="BD658" s="3"/>
      <c r="BE658" s="3"/>
      <c r="BF658" s="218"/>
      <c r="BG658" s="316">
        <f t="shared" si="44"/>
        <v>19</v>
      </c>
      <c r="BH658" s="319">
        <f t="shared" ref="BH658:BH681" si="46">BG658/$BG$682</f>
        <v>0.25333333333333335</v>
      </c>
      <c r="BI658" s="320">
        <f t="shared" si="45"/>
        <v>0.11400000000000002</v>
      </c>
      <c r="BJ658" s="3"/>
      <c r="BK658" s="3"/>
      <c r="BL658" s="3"/>
      <c r="BM658" s="3"/>
      <c r="BN658" s="3"/>
      <c r="BO658" s="3"/>
      <c r="BP658" s="379" t="s">
        <v>487</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437"/>
      <c r="H659" s="1437"/>
      <c r="I659" s="1437"/>
      <c r="J659" s="1437"/>
      <c r="K659" s="1437"/>
      <c r="L659" s="1437"/>
      <c r="O659" s="33" t="s">
        <v>208</v>
      </c>
      <c r="P659" s="1466"/>
      <c r="Q659" s="1466"/>
      <c r="R659" s="1466"/>
      <c r="T659" s="22"/>
      <c r="U659" t="s">
        <v>318</v>
      </c>
      <c r="Z659" s="1437"/>
      <c r="AA659" s="1437"/>
      <c r="AB659" s="1437"/>
      <c r="AC659" s="1437"/>
      <c r="AD659" s="1437"/>
      <c r="AE659" s="1437"/>
      <c r="AH659" s="33" t="s">
        <v>208</v>
      </c>
      <c r="AI659" s="1466"/>
      <c r="AJ659" s="1466"/>
      <c r="AK659" s="1466"/>
      <c r="AZ659" s="3"/>
      <c r="BA659" s="118">
        <f t="shared" si="43"/>
        <v>3230</v>
      </c>
      <c r="BB659" s="3"/>
      <c r="BC659" s="3"/>
      <c r="BD659" s="3"/>
      <c r="BE659" s="3"/>
      <c r="BF659" s="218"/>
      <c r="BG659" s="316">
        <f t="shared" si="44"/>
        <v>18</v>
      </c>
      <c r="BH659" s="319">
        <f t="shared" si="46"/>
        <v>0.24</v>
      </c>
      <c r="BI659" s="320">
        <f t="shared" si="45"/>
        <v>0.12</v>
      </c>
      <c r="BJ659" s="3"/>
      <c r="BK659" s="3"/>
      <c r="BL659" s="3"/>
      <c r="BM659" s="3"/>
      <c r="BN659" s="3"/>
      <c r="BO659" s="3"/>
      <c r="BP659" s="379" t="s">
        <v>488</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95"/>
      <c r="I660" s="1395"/>
      <c r="J660" s="1395"/>
      <c r="K660" s="1395"/>
      <c r="L660" s="1395"/>
      <c r="M660" s="1395"/>
      <c r="N660" s="1395"/>
      <c r="O660" s="1395"/>
      <c r="P660" s="1395"/>
      <c r="Q660" s="1395"/>
      <c r="R660" s="1395"/>
      <c r="T660" s="22"/>
      <c r="U660" t="s">
        <v>18</v>
      </c>
      <c r="AA660" s="1395"/>
      <c r="AB660" s="1395"/>
      <c r="AC660" s="1395"/>
      <c r="AD660" s="1395"/>
      <c r="AE660" s="1395"/>
      <c r="AF660" s="1395"/>
      <c r="AG660" s="1395"/>
      <c r="AH660" s="1395"/>
      <c r="AI660" s="1395"/>
      <c r="AJ660" s="1395"/>
      <c r="AK660" s="1395"/>
      <c r="AZ660" s="3"/>
      <c r="BA660" s="118">
        <f t="shared" si="43"/>
        <v>3730</v>
      </c>
      <c r="BB660" s="3"/>
      <c r="BC660" s="3"/>
      <c r="BD660" s="3"/>
      <c r="BE660" s="3"/>
      <c r="BF660" s="218"/>
      <c r="BG660" s="316">
        <f t="shared" si="44"/>
        <v>10</v>
      </c>
      <c r="BH660" s="319">
        <f t="shared" si="46"/>
        <v>0.13333333333333333</v>
      </c>
      <c r="BI660" s="320">
        <f t="shared" si="45"/>
        <v>0.08</v>
      </c>
      <c r="BJ660" s="3"/>
      <c r="BK660" s="3"/>
      <c r="BL660" s="3"/>
      <c r="BM660" s="3"/>
      <c r="BN660" s="3"/>
      <c r="BO660" s="3"/>
      <c r="BP660" s="379" t="s">
        <v>489</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73" t="s">
        <v>678</v>
      </c>
      <c r="O661" s="1373"/>
      <c r="T661" s="22"/>
      <c r="U661" t="s">
        <v>20</v>
      </c>
      <c r="AG661" s="1373" t="s">
        <v>678</v>
      </c>
      <c r="AH661" s="1373"/>
      <c r="AZ661" s="3"/>
      <c r="BA661" s="118">
        <f t="shared" si="43"/>
        <v>3730</v>
      </c>
      <c r="BB661" s="3"/>
      <c r="BC661" s="3"/>
      <c r="BD661" s="3"/>
      <c r="BE661" s="3"/>
      <c r="BF661" s="218"/>
      <c r="BG661" s="316">
        <f t="shared" si="44"/>
        <v>3</v>
      </c>
      <c r="BH661" s="319">
        <f t="shared" si="46"/>
        <v>0.04</v>
      </c>
      <c r="BI661" s="320">
        <f t="shared" si="45"/>
        <v>1.2E-2</v>
      </c>
      <c r="BJ661" s="3"/>
      <c r="BK661" s="3"/>
      <c r="BL661" s="3"/>
      <c r="BM661" s="3"/>
      <c r="BN661" s="3"/>
      <c r="BO661" s="3"/>
      <c r="BP661" s="379" t="s">
        <v>490</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3"/>
        <v>3730</v>
      </c>
      <c r="BB662" s="3"/>
      <c r="BC662" s="3"/>
      <c r="BD662" s="3"/>
      <c r="BE662" s="3"/>
      <c r="BF662" s="218"/>
      <c r="BG662" s="316">
        <f t="shared" si="44"/>
        <v>12</v>
      </c>
      <c r="BH662" s="319">
        <f t="shared" si="46"/>
        <v>0.16</v>
      </c>
      <c r="BI662" s="320">
        <f t="shared" si="45"/>
        <v>7.2000000000000008E-2</v>
      </c>
      <c r="BJ662" s="3"/>
      <c r="BK662" s="3"/>
      <c r="BL662" s="3"/>
      <c r="BM662" s="3"/>
      <c r="BN662" s="3"/>
      <c r="BO662" s="3"/>
      <c r="BP662" s="379" t="s">
        <v>491</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464</v>
      </c>
      <c r="B663" t="s">
        <v>472</v>
      </c>
      <c r="G663" s="1516">
        <f>C629</f>
        <v>0</v>
      </c>
      <c r="H663" s="1516"/>
      <c r="I663" s="1516"/>
      <c r="J663" s="1516"/>
      <c r="K663" s="1516"/>
      <c r="L663" s="1516"/>
      <c r="M663" s="1516"/>
      <c r="N663" s="1516"/>
      <c r="O663" s="1516"/>
      <c r="P663" s="1516"/>
      <c r="Q663" s="1516"/>
      <c r="R663" s="1516"/>
      <c r="T663" s="55" t="s">
        <v>465</v>
      </c>
      <c r="U663" t="s">
        <v>472</v>
      </c>
      <c r="Z663" s="1516">
        <f>C630</f>
        <v>0</v>
      </c>
      <c r="AA663" s="1516"/>
      <c r="AB663" s="1516"/>
      <c r="AC663" s="1516"/>
      <c r="AD663" s="1516"/>
      <c r="AE663" s="1516"/>
      <c r="AF663" s="1516"/>
      <c r="AG663" s="1516"/>
      <c r="AH663" s="1516"/>
      <c r="AI663" s="1516"/>
      <c r="AJ663" s="1516"/>
      <c r="AK663" s="1516"/>
      <c r="AZ663" s="3"/>
      <c r="BA663" s="118">
        <f t="shared" si="43"/>
        <v>3730</v>
      </c>
      <c r="BB663" s="3"/>
      <c r="BC663" s="3"/>
      <c r="BD663" s="3"/>
      <c r="BE663" s="3"/>
      <c r="BF663" s="218"/>
      <c r="BG663" s="316">
        <f t="shared" si="44"/>
        <v>5</v>
      </c>
      <c r="BH663" s="319">
        <f t="shared" si="46"/>
        <v>6.6666666666666666E-2</v>
      </c>
      <c r="BI663" s="320">
        <f t="shared" si="45"/>
        <v>3.3333333333333333E-2</v>
      </c>
      <c r="BJ663" s="3"/>
      <c r="BK663" s="3"/>
      <c r="BL663" s="3"/>
      <c r="BM663" s="3"/>
      <c r="BN663" s="3"/>
      <c r="BO663" s="3"/>
      <c r="BP663" s="379" t="s">
        <v>492</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95"/>
      <c r="H664" s="1395"/>
      <c r="I664" s="1395"/>
      <c r="J664" s="1395"/>
      <c r="K664" s="1395"/>
      <c r="L664" s="1395"/>
      <c r="M664" s="1395"/>
      <c r="N664" s="1395"/>
      <c r="O664" s="1395"/>
      <c r="P664" s="1395"/>
      <c r="Q664" s="1395"/>
      <c r="R664" s="1395"/>
      <c r="T664" s="22"/>
      <c r="U664" t="s">
        <v>86</v>
      </c>
      <c r="Z664" s="1395"/>
      <c r="AA664" s="1395"/>
      <c r="AB664" s="1395"/>
      <c r="AC664" s="1395"/>
      <c r="AD664" s="1395"/>
      <c r="AE664" s="1395"/>
      <c r="AF664" s="1395"/>
      <c r="AG664" s="1395"/>
      <c r="AH664" s="1395"/>
      <c r="AI664" s="1395"/>
      <c r="AJ664" s="1395"/>
      <c r="AK664" s="1395"/>
      <c r="AZ664" s="3"/>
      <c r="BA664" s="118" t="str">
        <f t="shared" si="43"/>
        <v>N/A</v>
      </c>
      <c r="BB664" s="3"/>
      <c r="BC664" s="3"/>
      <c r="BD664" s="3"/>
      <c r="BE664" s="3"/>
      <c r="BF664" s="218"/>
      <c r="BG664" s="316">
        <f t="shared" si="44"/>
        <v>3</v>
      </c>
      <c r="BH664" s="319">
        <f t="shared" si="46"/>
        <v>0.04</v>
      </c>
      <c r="BI664" s="320">
        <f t="shared" si="45"/>
        <v>2.4E-2</v>
      </c>
      <c r="BJ664" s="3"/>
      <c r="BK664" s="3"/>
      <c r="BL664" s="3"/>
      <c r="BM664" s="3"/>
      <c r="BN664" s="3"/>
      <c r="BO664" s="3"/>
      <c r="BP664" s="379" t="s">
        <v>493</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589</v>
      </c>
      <c r="G665" s="1395"/>
      <c r="H665" s="1395"/>
      <c r="I665" s="1395"/>
      <c r="J665" s="1395"/>
      <c r="K665" s="1395"/>
      <c r="L665" s="1395"/>
      <c r="M665" s="1395"/>
      <c r="N665" s="1395"/>
      <c r="O665" s="1395"/>
      <c r="P665" s="1395"/>
      <c r="Q665" s="1395"/>
      <c r="R665" s="1395"/>
      <c r="T665" s="22"/>
      <c r="U665" t="s">
        <v>589</v>
      </c>
      <c r="Z665" s="1366"/>
      <c r="AA665" s="1366"/>
      <c r="AB665" s="1366"/>
      <c r="AC665" s="1366"/>
      <c r="AD665" s="1366"/>
      <c r="AE665" s="1366"/>
      <c r="AF665" s="1366"/>
      <c r="AG665" s="1366"/>
      <c r="AH665" s="1366"/>
      <c r="AI665" s="1366"/>
      <c r="AJ665" s="1366"/>
      <c r="AK665" s="1366"/>
      <c r="AZ665" s="3"/>
      <c r="BA665" s="118" t="str">
        <f t="shared" si="43"/>
        <v>N/A</v>
      </c>
      <c r="BB665" s="3"/>
      <c r="BC665" s="3"/>
      <c r="BD665" s="3"/>
      <c r="BE665" s="3"/>
      <c r="BF665" s="218"/>
      <c r="BG665" s="316">
        <f t="shared" si="44"/>
        <v>0</v>
      </c>
      <c r="BH665" s="319">
        <f t="shared" si="46"/>
        <v>0</v>
      </c>
      <c r="BI665" s="320" t="str">
        <f t="shared" si="45"/>
        <v xml:space="preserve"> </v>
      </c>
      <c r="BJ665" s="3"/>
      <c r="BK665" s="3"/>
      <c r="BL665" s="3"/>
      <c r="BM665" s="3"/>
      <c r="BN665" s="3"/>
      <c r="BO665" s="3"/>
      <c r="BP665" s="379" t="s">
        <v>494</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95"/>
      <c r="H666" s="1395"/>
      <c r="I666" s="1395"/>
      <c r="J666" s="1395"/>
      <c r="K666" s="1395"/>
      <c r="L666" s="1395"/>
      <c r="M666" s="1395"/>
      <c r="N666" s="1395"/>
      <c r="O666" s="1395"/>
      <c r="P666" s="1395"/>
      <c r="Q666" s="1395"/>
      <c r="R666" s="1395"/>
      <c r="T666" s="22"/>
      <c r="U666" t="s">
        <v>17</v>
      </c>
      <c r="Z666" s="1366"/>
      <c r="AA666" s="1366"/>
      <c r="AB666" s="1366"/>
      <c r="AC666" s="1366"/>
      <c r="AD666" s="1366"/>
      <c r="AE666" s="1366"/>
      <c r="AF666" s="1366"/>
      <c r="AG666" s="1366"/>
      <c r="AH666" s="1366"/>
      <c r="AI666" s="1366"/>
      <c r="AJ666" s="1366"/>
      <c r="AK666" s="1366"/>
      <c r="AZ666" s="3"/>
      <c r="BA666" s="118" t="str">
        <f t="shared" si="43"/>
        <v>N/A</v>
      </c>
      <c r="BB666" s="3"/>
      <c r="BC666" s="3"/>
      <c r="BD666" s="3"/>
      <c r="BE666" s="3"/>
      <c r="BF666" s="218"/>
      <c r="BG666" s="316">
        <f t="shared" si="44"/>
        <v>0</v>
      </c>
      <c r="BH666" s="319">
        <f t="shared" si="46"/>
        <v>0</v>
      </c>
      <c r="BI666" s="320" t="str">
        <f t="shared" si="45"/>
        <v xml:space="preserve"> </v>
      </c>
      <c r="BJ666" s="3"/>
      <c r="BK666" s="3"/>
      <c r="BL666" s="3"/>
      <c r="BM666" s="3"/>
      <c r="BN666" s="3"/>
      <c r="BO666" s="3"/>
      <c r="BP666" s="379" t="s">
        <v>495</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437"/>
      <c r="H667" s="1437"/>
      <c r="I667" s="1437"/>
      <c r="J667" s="1437"/>
      <c r="K667" s="1437"/>
      <c r="L667" s="1437"/>
      <c r="O667" s="33" t="s">
        <v>208</v>
      </c>
      <c r="P667" s="1466"/>
      <c r="Q667" s="1466"/>
      <c r="R667" s="1466"/>
      <c r="T667" s="22"/>
      <c r="U667" t="s">
        <v>318</v>
      </c>
      <c r="Z667" s="1437"/>
      <c r="AA667" s="1437"/>
      <c r="AB667" s="1437"/>
      <c r="AC667" s="1437"/>
      <c r="AD667" s="1437"/>
      <c r="AE667" s="1437"/>
      <c r="AH667" s="33" t="s">
        <v>208</v>
      </c>
      <c r="AI667" s="1466"/>
      <c r="AJ667" s="1466"/>
      <c r="AK667" s="1466"/>
      <c r="AZ667" s="3"/>
      <c r="BA667" s="118" t="str">
        <f t="shared" si="43"/>
        <v>N/A</v>
      </c>
      <c r="BB667" s="3"/>
      <c r="BC667" s="3"/>
      <c r="BD667" s="3"/>
      <c r="BE667" s="3"/>
      <c r="BF667" s="218"/>
      <c r="BG667" s="316">
        <f t="shared" si="44"/>
        <v>0</v>
      </c>
      <c r="BH667" s="319">
        <f t="shared" si="46"/>
        <v>0</v>
      </c>
      <c r="BI667" s="320" t="str">
        <f t="shared" si="45"/>
        <v xml:space="preserve"> </v>
      </c>
      <c r="BJ667" s="3"/>
      <c r="BK667" s="3"/>
      <c r="BL667" s="3"/>
      <c r="BM667" s="3"/>
      <c r="BN667" s="3"/>
      <c r="BO667" s="3"/>
      <c r="BP667" s="379" t="s">
        <v>496</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95"/>
      <c r="I668" s="1395"/>
      <c r="J668" s="1395"/>
      <c r="K668" s="1395"/>
      <c r="L668" s="1395"/>
      <c r="M668" s="1395"/>
      <c r="N668" s="1395"/>
      <c r="O668" s="1395"/>
      <c r="P668" s="1395"/>
      <c r="Q668" s="1395"/>
      <c r="R668" s="1395"/>
      <c r="T668" s="22"/>
      <c r="U668" t="s">
        <v>18</v>
      </c>
      <c r="AA668" s="1395"/>
      <c r="AB668" s="1395"/>
      <c r="AC668" s="1395"/>
      <c r="AD668" s="1395"/>
      <c r="AE668" s="1395"/>
      <c r="AF668" s="1395"/>
      <c r="AG668" s="1395"/>
      <c r="AH668" s="1395"/>
      <c r="AI668" s="1395"/>
      <c r="AJ668" s="1395"/>
      <c r="AK668" s="1395"/>
      <c r="AZ668" s="3"/>
      <c r="BA668" s="118" t="str">
        <f t="shared" si="43"/>
        <v>N/A</v>
      </c>
      <c r="BB668" s="3"/>
      <c r="BC668" s="3"/>
      <c r="BD668" s="3"/>
      <c r="BE668" s="3"/>
      <c r="BF668" s="218"/>
      <c r="BG668" s="316">
        <f t="shared" si="44"/>
        <v>0</v>
      </c>
      <c r="BH668" s="319">
        <f t="shared" si="46"/>
        <v>0</v>
      </c>
      <c r="BI668" s="320" t="str">
        <f t="shared" si="45"/>
        <v xml:space="preserve"> </v>
      </c>
      <c r="BJ668" s="3"/>
      <c r="BK668" s="3"/>
      <c r="BL668" s="3"/>
      <c r="BM668" s="3"/>
      <c r="BN668" s="3"/>
      <c r="BO668" s="3"/>
      <c r="BP668" s="379" t="s">
        <v>497</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73" t="s">
        <v>678</v>
      </c>
      <c r="O669" s="1373"/>
      <c r="T669" s="22"/>
      <c r="U669" t="s">
        <v>20</v>
      </c>
      <c r="AG669" s="1373" t="s">
        <v>678</v>
      </c>
      <c r="AH669" s="1373"/>
      <c r="AZ669" s="3"/>
      <c r="BA669" s="118" t="str">
        <f t="shared" si="43"/>
        <v>N/A</v>
      </c>
      <c r="BB669" s="3"/>
      <c r="BC669" s="3"/>
      <c r="BD669" s="3"/>
      <c r="BE669" s="3"/>
      <c r="BF669" s="218"/>
      <c r="BG669" s="316">
        <f t="shared" si="44"/>
        <v>0</v>
      </c>
      <c r="BH669" s="319">
        <f t="shared" si="46"/>
        <v>0</v>
      </c>
      <c r="BI669" s="320" t="str">
        <f t="shared" si="45"/>
        <v xml:space="preserve"> </v>
      </c>
      <c r="BJ669" s="3"/>
      <c r="BK669" s="3"/>
      <c r="BL669" s="3"/>
      <c r="BM669" s="3"/>
      <c r="BN669" s="3"/>
      <c r="BO669" s="3"/>
      <c r="BP669" s="379" t="s">
        <v>498</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3"/>
        <v>N/A</v>
      </c>
      <c r="BB670" s="3"/>
      <c r="BC670" s="3"/>
      <c r="BD670" s="3"/>
      <c r="BE670" s="3"/>
      <c r="BF670" s="218"/>
      <c r="BG670" s="316">
        <f t="shared" si="44"/>
        <v>0</v>
      </c>
      <c r="BH670" s="319">
        <f t="shared" si="46"/>
        <v>0</v>
      </c>
      <c r="BI670" s="320" t="str">
        <f t="shared" si="45"/>
        <v xml:space="preserve"> </v>
      </c>
      <c r="BJ670" s="3"/>
      <c r="BK670" s="3"/>
      <c r="BL670" s="3"/>
      <c r="BM670" s="3"/>
      <c r="BN670" s="3"/>
      <c r="BO670" s="3"/>
      <c r="BP670" s="379" t="s">
        <v>499</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470</v>
      </c>
      <c r="B671" t="s">
        <v>472</v>
      </c>
      <c r="G671" s="1516">
        <f>C631</f>
        <v>0</v>
      </c>
      <c r="H671" s="1516"/>
      <c r="I671" s="1516"/>
      <c r="J671" s="1516"/>
      <c r="K671" s="1516"/>
      <c r="L671" s="1516"/>
      <c r="M671" s="1516"/>
      <c r="N671" s="1516"/>
      <c r="O671" s="1516"/>
      <c r="P671" s="1516"/>
      <c r="Q671" s="1516"/>
      <c r="R671" s="1516"/>
      <c r="T671" s="55" t="s">
        <v>655</v>
      </c>
      <c r="U671" t="s">
        <v>472</v>
      </c>
      <c r="Z671" s="1516">
        <f>C632</f>
        <v>0</v>
      </c>
      <c r="AA671" s="1516"/>
      <c r="AB671" s="1516"/>
      <c r="AC671" s="1516"/>
      <c r="AD671" s="1516"/>
      <c r="AE671" s="1516"/>
      <c r="AF671" s="1516"/>
      <c r="AG671" s="1516"/>
      <c r="AH671" s="1516"/>
      <c r="AI671" s="1516"/>
      <c r="AJ671" s="1516"/>
      <c r="AK671" s="1516"/>
      <c r="AZ671" s="3"/>
      <c r="BA671" s="118" t="str">
        <f t="shared" si="43"/>
        <v>N/A</v>
      </c>
      <c r="BB671" s="3"/>
      <c r="BC671" s="3"/>
      <c r="BD671" s="3"/>
      <c r="BE671" s="3"/>
      <c r="BF671" s="218"/>
      <c r="BG671" s="316">
        <f t="shared" si="44"/>
        <v>0</v>
      </c>
      <c r="BH671" s="319">
        <f t="shared" si="46"/>
        <v>0</v>
      </c>
      <c r="BI671" s="320" t="str">
        <f t="shared" si="45"/>
        <v xml:space="preserve"> </v>
      </c>
      <c r="BJ671" s="3"/>
      <c r="BK671" s="3"/>
      <c r="BL671" s="3"/>
      <c r="BM671" s="3"/>
      <c r="BN671" s="3"/>
      <c r="BO671" s="3"/>
      <c r="BP671" s="379" t="s">
        <v>500</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95"/>
      <c r="H672" s="1395"/>
      <c r="I672" s="1395"/>
      <c r="J672" s="1395"/>
      <c r="K672" s="1395"/>
      <c r="L672" s="1395"/>
      <c r="M672" s="1395"/>
      <c r="N672" s="1395"/>
      <c r="O672" s="1395"/>
      <c r="P672" s="1395"/>
      <c r="Q672" s="1395"/>
      <c r="R672" s="1395"/>
      <c r="T672" s="22"/>
      <c r="U672" t="s">
        <v>86</v>
      </c>
      <c r="Z672" s="1395"/>
      <c r="AA672" s="1395"/>
      <c r="AB672" s="1395"/>
      <c r="AC672" s="1395"/>
      <c r="AD672" s="1395"/>
      <c r="AE672" s="1395"/>
      <c r="AF672" s="1395"/>
      <c r="AG672" s="1395"/>
      <c r="AH672" s="1395"/>
      <c r="AI672" s="1395"/>
      <c r="AJ672" s="1395"/>
      <c r="AK672" s="1395"/>
      <c r="AZ672" s="3"/>
      <c r="BA672" s="118" t="str">
        <f t="shared" si="43"/>
        <v>N/A</v>
      </c>
      <c r="BB672" s="3"/>
      <c r="BC672" s="3"/>
      <c r="BD672" s="3"/>
      <c r="BE672" s="3"/>
      <c r="BF672" s="218"/>
      <c r="BG672" s="316">
        <f t="shared" si="44"/>
        <v>0</v>
      </c>
      <c r="BH672" s="319">
        <f t="shared" si="46"/>
        <v>0</v>
      </c>
      <c r="BI672" s="320" t="str">
        <f t="shared" si="45"/>
        <v xml:space="preserve"> </v>
      </c>
      <c r="BJ672" s="3"/>
      <c r="BK672" s="3"/>
      <c r="BL672" s="3"/>
      <c r="BM672" s="3"/>
      <c r="BN672" s="3"/>
      <c r="BO672" s="3"/>
      <c r="BP672" s="379" t="s">
        <v>501</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589</v>
      </c>
      <c r="G673" s="1395"/>
      <c r="H673" s="1395"/>
      <c r="I673" s="1395"/>
      <c r="J673" s="1395"/>
      <c r="K673" s="1395"/>
      <c r="L673" s="1395"/>
      <c r="M673" s="1395"/>
      <c r="N673" s="1395"/>
      <c r="O673" s="1395"/>
      <c r="P673" s="1395"/>
      <c r="Q673" s="1395"/>
      <c r="R673" s="1395"/>
      <c r="T673" s="22"/>
      <c r="U673" t="s">
        <v>589</v>
      </c>
      <c r="Z673" s="1366"/>
      <c r="AA673" s="1366"/>
      <c r="AB673" s="1366"/>
      <c r="AC673" s="1366"/>
      <c r="AD673" s="1366"/>
      <c r="AE673" s="1366"/>
      <c r="AF673" s="1366"/>
      <c r="AG673" s="1366"/>
      <c r="AH673" s="1366"/>
      <c r="AI673" s="1366"/>
      <c r="AJ673" s="1366"/>
      <c r="AK673" s="1366"/>
      <c r="AZ673" s="3"/>
      <c r="BA673" s="118" t="str">
        <f t="shared" si="43"/>
        <v>N/A</v>
      </c>
      <c r="BB673" s="3"/>
      <c r="BC673" s="3"/>
      <c r="BD673" s="3"/>
      <c r="BE673" s="3"/>
      <c r="BF673" s="218"/>
      <c r="BG673" s="316">
        <f t="shared" si="44"/>
        <v>0</v>
      </c>
      <c r="BH673" s="319">
        <f t="shared" si="46"/>
        <v>0</v>
      </c>
      <c r="BI673" s="320" t="str">
        <f t="shared" si="45"/>
        <v xml:space="preserve"> </v>
      </c>
      <c r="BJ673" s="3"/>
      <c r="BK673" s="3"/>
      <c r="BL673" s="3"/>
      <c r="BM673" s="3"/>
      <c r="BN673" s="3"/>
      <c r="BO673" s="3"/>
      <c r="BP673" s="379" t="s">
        <v>502</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95"/>
      <c r="H674" s="1395"/>
      <c r="I674" s="1395"/>
      <c r="J674" s="1395"/>
      <c r="K674" s="1395"/>
      <c r="L674" s="1395"/>
      <c r="M674" s="1395"/>
      <c r="N674" s="1395"/>
      <c r="O674" s="1395"/>
      <c r="P674" s="1395"/>
      <c r="Q674" s="1395"/>
      <c r="R674" s="1395"/>
      <c r="T674" s="22"/>
      <c r="U674" t="s">
        <v>17</v>
      </c>
      <c r="Z674" s="1366"/>
      <c r="AA674" s="1366"/>
      <c r="AB674" s="1366"/>
      <c r="AC674" s="1366"/>
      <c r="AD674" s="1366"/>
      <c r="AE674" s="1366"/>
      <c r="AF674" s="1366"/>
      <c r="AG674" s="1366"/>
      <c r="AH674" s="1366"/>
      <c r="AI674" s="1366"/>
      <c r="AJ674" s="1366"/>
      <c r="AK674" s="1366"/>
      <c r="AZ674" s="3"/>
      <c r="BA674" s="118" t="str">
        <f t="shared" si="43"/>
        <v>N/A</v>
      </c>
      <c r="BB674" s="3"/>
      <c r="BC674" s="3"/>
      <c r="BD674" s="3"/>
      <c r="BE674" s="3"/>
      <c r="BF674" s="218"/>
      <c r="BG674" s="316">
        <f t="shared" si="44"/>
        <v>0</v>
      </c>
      <c r="BH674" s="319">
        <f t="shared" si="46"/>
        <v>0</v>
      </c>
      <c r="BI674" s="320" t="str">
        <f t="shared" si="45"/>
        <v xml:space="preserve"> </v>
      </c>
      <c r="BJ674" s="3"/>
      <c r="BK674" s="3"/>
      <c r="BL674" s="3"/>
      <c r="BM674" s="3"/>
      <c r="BN674" s="3"/>
      <c r="BO674" s="3"/>
      <c r="BP674" s="379" t="s">
        <v>503</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437"/>
      <c r="H675" s="1437"/>
      <c r="I675" s="1437"/>
      <c r="J675" s="1437"/>
      <c r="K675" s="1437"/>
      <c r="L675" s="1437"/>
      <c r="O675" s="33" t="s">
        <v>208</v>
      </c>
      <c r="P675" s="1466"/>
      <c r="Q675" s="1466"/>
      <c r="R675" s="1466"/>
      <c r="T675" s="22"/>
      <c r="U675" t="s">
        <v>318</v>
      </c>
      <c r="Z675" s="1437"/>
      <c r="AA675" s="1437"/>
      <c r="AB675" s="1437"/>
      <c r="AC675" s="1437"/>
      <c r="AD675" s="1437"/>
      <c r="AE675" s="1437"/>
      <c r="AH675" s="33" t="s">
        <v>208</v>
      </c>
      <c r="AI675" s="1466"/>
      <c r="AJ675" s="1466"/>
      <c r="AK675" s="1466"/>
      <c r="AZ675" s="3"/>
      <c r="BA675" s="118" t="str">
        <f t="shared" si="43"/>
        <v>N/A</v>
      </c>
      <c r="BB675" s="3"/>
      <c r="BC675" s="3"/>
      <c r="BD675" s="3"/>
      <c r="BE675" s="3"/>
      <c r="BF675" s="218"/>
      <c r="BG675" s="316">
        <f t="shared" si="44"/>
        <v>0</v>
      </c>
      <c r="BH675" s="319">
        <f t="shared" si="46"/>
        <v>0</v>
      </c>
      <c r="BI675" s="320" t="str">
        <f t="shared" si="45"/>
        <v xml:space="preserve"> </v>
      </c>
      <c r="BJ675" s="3"/>
      <c r="BK675" s="3"/>
      <c r="BL675" s="3"/>
      <c r="BM675" s="3"/>
      <c r="BN675" s="3"/>
      <c r="BO675" s="3"/>
      <c r="BP675" s="379" t="s">
        <v>504</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95"/>
      <c r="I676" s="1395"/>
      <c r="J676" s="1395"/>
      <c r="K676" s="1395"/>
      <c r="L676" s="1395"/>
      <c r="M676" s="1395"/>
      <c r="N676" s="1395"/>
      <c r="O676" s="1395"/>
      <c r="P676" s="1395"/>
      <c r="Q676" s="1395"/>
      <c r="R676" s="1395"/>
      <c r="T676" s="22"/>
      <c r="U676" t="s">
        <v>18</v>
      </c>
      <c r="AA676" s="1395"/>
      <c r="AB676" s="1395"/>
      <c r="AC676" s="1395"/>
      <c r="AD676" s="1395"/>
      <c r="AE676" s="1395"/>
      <c r="AF676" s="1395"/>
      <c r="AG676" s="1395"/>
      <c r="AH676" s="1395"/>
      <c r="AI676" s="1395"/>
      <c r="AJ676" s="1395"/>
      <c r="AK676" s="1395"/>
      <c r="AZ676" s="3"/>
      <c r="BA676" s="118" t="str">
        <f t="shared" si="43"/>
        <v>N/A</v>
      </c>
      <c r="BB676" s="3"/>
      <c r="BC676" s="3"/>
      <c r="BD676" s="3"/>
      <c r="BE676" s="3"/>
      <c r="BF676" s="218"/>
      <c r="BG676" s="316">
        <f t="shared" si="44"/>
        <v>0</v>
      </c>
      <c r="BH676" s="319">
        <f t="shared" si="46"/>
        <v>0</v>
      </c>
      <c r="BI676" s="320" t="str">
        <f t="shared" si="45"/>
        <v xml:space="preserve"> </v>
      </c>
      <c r="BJ676" s="3"/>
      <c r="BK676" s="3"/>
      <c r="BL676" s="3"/>
      <c r="BM676" s="3"/>
      <c r="BN676" s="3"/>
      <c r="BO676" s="3"/>
      <c r="BP676" s="379" t="s">
        <v>505</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73" t="s">
        <v>678</v>
      </c>
      <c r="O677" s="1373"/>
      <c r="T677" s="22"/>
      <c r="U677" t="s">
        <v>20</v>
      </c>
      <c r="AG677" s="1373" t="s">
        <v>678</v>
      </c>
      <c r="AH677" s="1373"/>
      <c r="AZ677" s="3"/>
      <c r="BA677" s="118" t="str">
        <f t="shared" si="43"/>
        <v>N/A</v>
      </c>
      <c r="BB677" s="3"/>
      <c r="BF677" s="218"/>
      <c r="BG677" s="316">
        <f t="shared" si="44"/>
        <v>0</v>
      </c>
      <c r="BH677" s="319">
        <f t="shared" si="46"/>
        <v>0</v>
      </c>
      <c r="BI677" s="320" t="str">
        <f t="shared" si="45"/>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3"/>
        <v>N/A</v>
      </c>
      <c r="BB678" s="3"/>
      <c r="BF678" s="218"/>
      <c r="BG678" s="316">
        <f t="shared" si="44"/>
        <v>0</v>
      </c>
      <c r="BH678" s="319">
        <f t="shared" si="46"/>
        <v>0</v>
      </c>
      <c r="BI678" s="320" t="str">
        <f t="shared" si="45"/>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472</v>
      </c>
      <c r="G679" s="1516">
        <f>C633</f>
        <v>0</v>
      </c>
      <c r="H679" s="1516"/>
      <c r="I679" s="1516"/>
      <c r="J679" s="1516"/>
      <c r="K679" s="1516"/>
      <c r="L679" s="1516"/>
      <c r="M679" s="1516"/>
      <c r="N679" s="1516"/>
      <c r="O679" s="1516"/>
      <c r="P679" s="1516"/>
      <c r="Q679" s="1516"/>
      <c r="R679" s="1516"/>
      <c r="T679" s="55" t="s">
        <v>365</v>
      </c>
      <c r="U679" t="s">
        <v>472</v>
      </c>
      <c r="Z679" s="1516">
        <f>C634</f>
        <v>0</v>
      </c>
      <c r="AA679" s="1516"/>
      <c r="AB679" s="1516"/>
      <c r="AC679" s="1516"/>
      <c r="AD679" s="1516"/>
      <c r="AE679" s="1516"/>
      <c r="AF679" s="1516"/>
      <c r="AG679" s="1516"/>
      <c r="AH679" s="1516"/>
      <c r="AI679" s="1516"/>
      <c r="AJ679" s="1516"/>
      <c r="AK679" s="1516"/>
      <c r="AZ679" s="3"/>
      <c r="BA679" s="118" t="str">
        <f t="shared" si="43"/>
        <v>N/A</v>
      </c>
      <c r="BB679" s="3"/>
      <c r="BF679" s="218"/>
      <c r="BG679" s="316">
        <f t="shared" si="44"/>
        <v>0</v>
      </c>
      <c r="BH679" s="319">
        <f t="shared" si="46"/>
        <v>0</v>
      </c>
      <c r="BI679" s="320" t="str">
        <f t="shared" si="45"/>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95"/>
      <c r="H680" s="1395"/>
      <c r="I680" s="1395"/>
      <c r="J680" s="1395"/>
      <c r="K680" s="1395"/>
      <c r="L680" s="1395"/>
      <c r="M680" s="1395"/>
      <c r="N680" s="1395"/>
      <c r="O680" s="1395"/>
      <c r="P680" s="1395"/>
      <c r="Q680" s="1395"/>
      <c r="R680" s="1395"/>
      <c r="T680" s="22"/>
      <c r="U680" t="s">
        <v>86</v>
      </c>
      <c r="Z680" s="1395"/>
      <c r="AA680" s="1395"/>
      <c r="AB680" s="1395"/>
      <c r="AC680" s="1395"/>
      <c r="AD680" s="1395"/>
      <c r="AE680" s="1395"/>
      <c r="AF680" s="1395"/>
      <c r="AG680" s="1395"/>
      <c r="AH680" s="1395"/>
      <c r="AI680" s="1395"/>
      <c r="AJ680" s="1395"/>
      <c r="AK680" s="1395"/>
      <c r="AZ680" s="3"/>
      <c r="BA680" s="118" t="str">
        <f t="shared" si="43"/>
        <v>N/A</v>
      </c>
      <c r="BB680" s="3"/>
      <c r="BF680" s="218"/>
      <c r="BG680" s="316">
        <f t="shared" si="44"/>
        <v>0</v>
      </c>
      <c r="BH680" s="319">
        <f t="shared" si="46"/>
        <v>0</v>
      </c>
      <c r="BI680" s="320" t="str">
        <f t="shared" si="45"/>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589</v>
      </c>
      <c r="G681" s="1395"/>
      <c r="H681" s="1395"/>
      <c r="I681" s="1395"/>
      <c r="J681" s="1395"/>
      <c r="K681" s="1395"/>
      <c r="L681" s="1395"/>
      <c r="M681" s="1395"/>
      <c r="N681" s="1395"/>
      <c r="O681" s="1395"/>
      <c r="P681" s="1395"/>
      <c r="Q681" s="1395"/>
      <c r="R681" s="1395"/>
      <c r="U681" t="s">
        <v>589</v>
      </c>
      <c r="Z681" s="1366"/>
      <c r="AA681" s="1366"/>
      <c r="AB681" s="1366"/>
      <c r="AC681" s="1366"/>
      <c r="AD681" s="1366"/>
      <c r="AE681" s="1366"/>
      <c r="AF681" s="1366"/>
      <c r="AG681" s="1366"/>
      <c r="AH681" s="1366"/>
      <c r="AI681" s="1366"/>
      <c r="AJ681" s="1366"/>
      <c r="AK681" s="1366"/>
      <c r="AZ681" s="3"/>
      <c r="BA681" s="3"/>
      <c r="BB681" s="3"/>
      <c r="BC681" s="3"/>
      <c r="BF681" s="218"/>
      <c r="BG681" s="316">
        <f t="shared" si="44"/>
        <v>0</v>
      </c>
      <c r="BH681" s="319">
        <f t="shared" si="46"/>
        <v>0</v>
      </c>
      <c r="BI681" s="320" t="str">
        <f t="shared" si="45"/>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95"/>
      <c r="H682" s="1395"/>
      <c r="I682" s="1395"/>
      <c r="J682" s="1395"/>
      <c r="K682" s="1395"/>
      <c r="L682" s="1395"/>
      <c r="M682" s="1395"/>
      <c r="N682" s="1395"/>
      <c r="O682" s="1395"/>
      <c r="P682" s="1395"/>
      <c r="Q682" s="1395"/>
      <c r="R682" s="1395"/>
      <c r="U682" t="s">
        <v>17</v>
      </c>
      <c r="Z682" s="1366"/>
      <c r="AA682" s="1366"/>
      <c r="AB682" s="1366"/>
      <c r="AC682" s="1366"/>
      <c r="AD682" s="1366"/>
      <c r="AE682" s="1366"/>
      <c r="AF682" s="1366"/>
      <c r="AG682" s="1366"/>
      <c r="AH682" s="1366"/>
      <c r="AI682" s="1366"/>
      <c r="AJ682" s="1366"/>
      <c r="AK682" s="1366"/>
      <c r="AZ682" s="3"/>
      <c r="BA682" s="3"/>
      <c r="BB682" s="3"/>
      <c r="BC682" s="3"/>
      <c r="BD682" s="3"/>
      <c r="BF682" s="312" t="s">
        <v>932</v>
      </c>
      <c r="BG682" s="321">
        <f>SUM(BG657:BG681)</f>
        <v>75</v>
      </c>
      <c r="BH682" s="322">
        <f>SUM(BH657:BH681)</f>
        <v>1</v>
      </c>
      <c r="BI682" s="322">
        <f>SUM(BI657:BI681)</f>
        <v>0.47533333333333339</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437"/>
      <c r="H683" s="1437"/>
      <c r="I683" s="1437"/>
      <c r="J683" s="1437"/>
      <c r="K683" s="1437"/>
      <c r="L683" s="1437"/>
      <c r="O683" s="33" t="s">
        <v>208</v>
      </c>
      <c r="P683" s="1466"/>
      <c r="Q683" s="1466"/>
      <c r="R683" s="1466"/>
      <c r="U683" t="s">
        <v>318</v>
      </c>
      <c r="Z683" s="1437"/>
      <c r="AA683" s="1437"/>
      <c r="AB683" s="1437"/>
      <c r="AC683" s="1437"/>
      <c r="AD683" s="1437"/>
      <c r="AE683" s="1437"/>
      <c r="AH683" s="33" t="s">
        <v>208</v>
      </c>
      <c r="AI683" s="1466"/>
      <c r="AJ683" s="1466"/>
      <c r="AK683" s="1466"/>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95"/>
      <c r="I684" s="1395"/>
      <c r="J684" s="1395"/>
      <c r="K684" s="1395"/>
      <c r="L684" s="1395"/>
      <c r="M684" s="1395"/>
      <c r="N684" s="1395"/>
      <c r="O684" s="1395"/>
      <c r="P684" s="1395"/>
      <c r="Q684" s="1395"/>
      <c r="R684" s="1395"/>
      <c r="U684" t="s">
        <v>18</v>
      </c>
      <c r="AA684" s="1395"/>
      <c r="AB684" s="1395"/>
      <c r="AC684" s="1395"/>
      <c r="AD684" s="1395"/>
      <c r="AE684" s="1395"/>
      <c r="AF684" s="1395"/>
      <c r="AG684" s="1395"/>
      <c r="AH684" s="1395"/>
      <c r="AI684" s="1395"/>
      <c r="AJ684" s="1395"/>
      <c r="AK684" s="1395"/>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73" t="s">
        <v>678</v>
      </c>
      <c r="O685" s="1373"/>
      <c r="U685" t="s">
        <v>20</v>
      </c>
      <c r="AG685" s="1373" t="s">
        <v>678</v>
      </c>
      <c r="AH685" s="1373"/>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585</v>
      </c>
      <c r="C687" s="2" t="s">
        <v>329</v>
      </c>
      <c r="E687" s="130"/>
      <c r="F687" s="130"/>
      <c r="G687" s="130"/>
      <c r="H687" s="130"/>
      <c r="AZ687" s="34"/>
      <c r="BA687" s="34"/>
      <c r="BB687" s="34"/>
      <c r="BC687" s="34"/>
      <c r="BD687" s="34"/>
      <c r="BE687" s="34"/>
      <c r="BF687" s="34"/>
      <c r="BG687" s="219" t="s">
        <v>1805</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73" t="s">
        <v>678</v>
      </c>
      <c r="AF689" s="1373"/>
      <c r="AZ689" s="34"/>
      <c r="BA689" s="34"/>
      <c r="BB689" s="34"/>
      <c r="BC689" s="34"/>
      <c r="BD689" s="34"/>
      <c r="BE689" s="34"/>
      <c r="BF689" s="34"/>
      <c r="BG689" s="315">
        <f t="shared" ref="BG689:BG713" si="47">G714</f>
        <v>5</v>
      </c>
      <c r="BH689" s="319">
        <f>BG689/$BG$714</f>
        <v>6.6666666666666666E-2</v>
      </c>
      <c r="BI689" s="320">
        <f t="shared" ref="BI689:BI713" si="48">IF(BH689=0," ",BH689*AH714)</f>
        <v>0.02</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73" t="s">
        <v>554</v>
      </c>
      <c r="AF690" s="1373"/>
      <c r="AZ690" s="34"/>
      <c r="BA690" s="34"/>
      <c r="BB690" s="34"/>
      <c r="BC690" s="34"/>
      <c r="BD690" s="34"/>
      <c r="BE690" s="34"/>
      <c r="BF690" s="34"/>
      <c r="BG690" s="316">
        <f t="shared" si="47"/>
        <v>19</v>
      </c>
      <c r="BH690" s="319">
        <f t="shared" ref="BH690:BH713" si="49">BG690/$BG$714</f>
        <v>0.25333333333333335</v>
      </c>
      <c r="BI690" s="320">
        <f t="shared" si="48"/>
        <v>0.1139607843137255</v>
      </c>
      <c r="BJ690" s="3"/>
      <c r="BK690" s="34"/>
      <c r="BL690" s="34"/>
      <c r="BM690" s="34"/>
      <c r="BN690" s="34"/>
      <c r="BO690" s="34"/>
      <c r="BP690" s="379" t="s">
        <v>739</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959</v>
      </c>
      <c r="E691" s="135"/>
      <c r="F691" s="135"/>
      <c r="G691" s="135"/>
      <c r="H691" s="135"/>
      <c r="AE691" s="1545">
        <v>45175</v>
      </c>
      <c r="AF691" s="1545"/>
      <c r="AG691" s="1545"/>
      <c r="AH691" s="1545"/>
      <c r="AI691" s="1545"/>
      <c r="AZ691" s="34"/>
      <c r="BA691" s="34"/>
      <c r="BB691" s="34"/>
      <c r="BC691" s="34"/>
      <c r="BD691" s="34"/>
      <c r="BE691" s="3"/>
      <c r="BF691" s="3"/>
      <c r="BG691" s="316">
        <f t="shared" si="47"/>
        <v>18</v>
      </c>
      <c r="BH691" s="319">
        <f t="shared" si="49"/>
        <v>0.24</v>
      </c>
      <c r="BI691" s="320">
        <f t="shared" si="48"/>
        <v>0.12</v>
      </c>
      <c r="BJ691" s="3"/>
      <c r="BK691" s="3"/>
      <c r="BL691" s="3"/>
      <c r="BM691" s="3"/>
      <c r="BN691" s="34"/>
      <c r="BO691" s="34"/>
      <c r="BP691" s="379" t="s">
        <v>740</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1023</v>
      </c>
      <c r="E692" s="135"/>
      <c r="F692" s="135"/>
      <c r="G692" s="135"/>
      <c r="H692" s="135"/>
      <c r="AE692" s="1729">
        <v>45266</v>
      </c>
      <c r="AF692" s="1729"/>
      <c r="AG692" s="1729"/>
      <c r="AH692" s="1729"/>
      <c r="AI692" s="1729"/>
      <c r="AZ692" s="34"/>
      <c r="BA692" s="34"/>
      <c r="BB692" s="34"/>
      <c r="BC692" s="34"/>
      <c r="BD692" s="34"/>
      <c r="BE692" s="3"/>
      <c r="BF692" s="2"/>
      <c r="BG692" s="316">
        <f t="shared" si="47"/>
        <v>10</v>
      </c>
      <c r="BH692" s="319">
        <f t="shared" si="49"/>
        <v>0.13333333333333333</v>
      </c>
      <c r="BI692" s="320">
        <f t="shared" si="48"/>
        <v>0.08</v>
      </c>
      <c r="BJ692" s="3"/>
      <c r="BK692" s="3"/>
      <c r="BL692" s="3"/>
      <c r="BM692" s="3"/>
      <c r="BN692" s="34"/>
      <c r="BO692" s="34"/>
      <c r="BP692" s="379" t="s">
        <v>741</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7"/>
        <v>3</v>
      </c>
      <c r="BH693" s="319">
        <f t="shared" si="49"/>
        <v>0.04</v>
      </c>
      <c r="BI693" s="320">
        <f t="shared" si="48"/>
        <v>1.2E-2</v>
      </c>
      <c r="BJ693" s="3"/>
      <c r="BK693" s="3"/>
      <c r="BL693" s="3"/>
      <c r="BM693" s="3"/>
      <c r="BN693" s="34"/>
      <c r="BO693" s="34"/>
      <c r="BP693" s="379" t="s">
        <v>742</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842</v>
      </c>
      <c r="E694" s="135"/>
      <c r="F694" s="135"/>
      <c r="G694" s="135"/>
      <c r="H694" s="135"/>
      <c r="AE694" s="1545">
        <v>45446</v>
      </c>
      <c r="AF694" s="1545"/>
      <c r="AG694" s="1545"/>
      <c r="AH694" s="1545"/>
      <c r="AI694" s="1545"/>
      <c r="AZ694" s="3"/>
      <c r="BA694" s="3"/>
      <c r="BB694" s="3"/>
      <c r="BC694" s="3"/>
      <c r="BD694" s="3"/>
      <c r="BE694" s="3"/>
      <c r="BF694" s="3"/>
      <c r="BG694" s="316">
        <f t="shared" si="47"/>
        <v>12</v>
      </c>
      <c r="BH694" s="319">
        <f t="shared" si="49"/>
        <v>0.16</v>
      </c>
      <c r="BI694" s="320">
        <f t="shared" si="48"/>
        <v>7.2021447721179618E-2</v>
      </c>
      <c r="BJ694" s="3"/>
      <c r="BK694" s="3"/>
      <c r="BL694" s="3"/>
      <c r="BM694" s="3"/>
      <c r="BN694" s="3"/>
      <c r="BO694" s="3"/>
      <c r="BP694" s="379" t="s">
        <v>743</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707">
        <f>SUM(AM550,AM551,AM552)/SUM('Sources and Uses Budget'!S107,'Sources and Uses Budget'!T107,'Sources and Uses Budget'!C4,'Sources and Uses Budget'!C5)</f>
        <v>0.53499998827977246</v>
      </c>
      <c r="AF695" s="1707"/>
      <c r="AG695" s="1707"/>
      <c r="AH695" s="1707"/>
      <c r="AI695" s="1707"/>
      <c r="AZ695" s="3"/>
      <c r="BA695" s="3"/>
      <c r="BB695" s="3"/>
      <c r="BC695" s="3"/>
      <c r="BD695" s="3"/>
      <c r="BE695" s="3"/>
      <c r="BF695" s="3"/>
      <c r="BG695" s="316">
        <f t="shared" si="47"/>
        <v>5</v>
      </c>
      <c r="BH695" s="319">
        <f t="shared" si="49"/>
        <v>6.6666666666666666E-2</v>
      </c>
      <c r="BI695" s="320">
        <f t="shared" si="48"/>
        <v>3.3333333333333333E-2</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516" t="str">
        <f>H334</f>
        <v>The California Statewide Communities Development Authority (CSCDA)</v>
      </c>
      <c r="X696" s="1516"/>
      <c r="Y696" s="1516"/>
      <c r="Z696" s="1516"/>
      <c r="AA696" s="1516"/>
      <c r="AB696" s="1516"/>
      <c r="AC696" s="1516"/>
      <c r="AD696" s="1516"/>
      <c r="AE696" s="1516"/>
      <c r="AF696" s="1516"/>
      <c r="AG696" s="1516"/>
      <c r="AH696" s="1516"/>
      <c r="AI696" s="1516"/>
      <c r="AJ696" s="1516"/>
      <c r="AK696" s="1516"/>
      <c r="AZ696" s="3"/>
      <c r="BA696" s="3"/>
      <c r="BB696" s="3"/>
      <c r="BC696" s="3"/>
      <c r="BD696" s="3"/>
      <c r="BE696" s="3"/>
      <c r="BF696" s="3"/>
      <c r="BG696" s="316">
        <f t="shared" si="47"/>
        <v>3</v>
      </c>
      <c r="BH696" s="319">
        <f t="shared" si="49"/>
        <v>0.04</v>
      </c>
      <c r="BI696" s="320">
        <f t="shared" si="48"/>
        <v>2.4E-2</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7"/>
        <v>0</v>
      </c>
      <c r="BH697" s="319">
        <f t="shared" si="49"/>
        <v>0</v>
      </c>
      <c r="BI697" s="320" t="str">
        <f t="shared" si="48"/>
        <v xml:space="preserve"> </v>
      </c>
      <c r="BJ697" s="3"/>
      <c r="BK697" s="3"/>
      <c r="BL697" s="3"/>
      <c r="BM697" s="3"/>
      <c r="BN697" s="3"/>
      <c r="BO697" s="3"/>
      <c r="BP697" s="379" t="s">
        <v>193</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73" t="s">
        <v>678</v>
      </c>
      <c r="AF698" s="1373"/>
      <c r="AZ698" s="3"/>
      <c r="BA698" s="3"/>
      <c r="BB698" s="3"/>
      <c r="BC698" s="3"/>
      <c r="BD698" s="3"/>
      <c r="BE698" s="3"/>
      <c r="BF698" s="3"/>
      <c r="BG698" s="316">
        <f t="shared" si="47"/>
        <v>0</v>
      </c>
      <c r="BH698" s="319">
        <f t="shared" si="49"/>
        <v>0</v>
      </c>
      <c r="BI698" s="320" t="str">
        <f t="shared" si="48"/>
        <v xml:space="preserve"> </v>
      </c>
      <c r="BJ698" s="3"/>
      <c r="BK698" s="3"/>
      <c r="BL698" s="3"/>
      <c r="BM698" s="3"/>
      <c r="BN698" s="3"/>
      <c r="BO698" s="3"/>
      <c r="BP698" s="379" t="s">
        <v>194</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445</v>
      </c>
      <c r="E699" s="135"/>
      <c r="F699" s="135"/>
      <c r="G699" s="135"/>
      <c r="H699" s="135"/>
      <c r="W699" s="1395"/>
      <c r="X699" s="1395"/>
      <c r="Y699" s="1395"/>
      <c r="Z699" s="1395"/>
      <c r="AA699" s="1395"/>
      <c r="AB699" s="1395"/>
      <c r="AC699" s="1395"/>
      <c r="AD699" s="1395"/>
      <c r="AE699" s="1395"/>
      <c r="AF699" s="1395"/>
      <c r="AG699" s="1395"/>
      <c r="AH699" s="1395"/>
      <c r="AI699" s="1395"/>
      <c r="AJ699" s="1395"/>
      <c r="AK699" s="1395"/>
      <c r="AZ699" s="3"/>
      <c r="BA699" s="3"/>
      <c r="BB699" s="3"/>
      <c r="BC699" s="3"/>
      <c r="BD699" s="3"/>
      <c r="BE699" s="3"/>
      <c r="BF699" s="3"/>
      <c r="BG699" s="316">
        <f t="shared" si="47"/>
        <v>0</v>
      </c>
      <c r="BH699" s="319">
        <f t="shared" si="49"/>
        <v>0</v>
      </c>
      <c r="BI699" s="320" t="str">
        <f t="shared" si="48"/>
        <v xml:space="preserve"> </v>
      </c>
      <c r="BJ699" s="3"/>
      <c r="BK699" s="3"/>
      <c r="BL699" s="3"/>
      <c r="BM699" s="3"/>
      <c r="BN699" s="3"/>
      <c r="BO699" s="3"/>
      <c r="BP699" s="379" t="s">
        <v>195</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95"/>
      <c r="K700" s="1395"/>
      <c r="L700" s="1395"/>
      <c r="M700" s="1395"/>
      <c r="N700" s="1395"/>
      <c r="O700" s="1395"/>
      <c r="P700" s="1395"/>
      <c r="Q700" s="1395"/>
      <c r="R700" s="1395"/>
      <c r="S700" s="1395"/>
      <c r="T700" s="1395"/>
      <c r="U700" s="1395"/>
      <c r="V700" s="1395"/>
      <c r="W700" s="1395"/>
      <c r="X700" s="1395"/>
      <c r="AZ700" s="3"/>
      <c r="BA700" s="3"/>
      <c r="BB700" s="3"/>
      <c r="BC700" s="3"/>
      <c r="BD700" s="3"/>
      <c r="BE700" s="3"/>
      <c r="BF700" s="3"/>
      <c r="BG700" s="316">
        <f t="shared" si="47"/>
        <v>0</v>
      </c>
      <c r="BH700" s="319">
        <f t="shared" si="49"/>
        <v>0</v>
      </c>
      <c r="BI700" s="320" t="str">
        <f t="shared" si="48"/>
        <v xml:space="preserve"> </v>
      </c>
      <c r="BJ700" s="3"/>
      <c r="BK700" s="3"/>
      <c r="BL700" s="3"/>
      <c r="BM700" s="3"/>
      <c r="BN700" s="3"/>
      <c r="BO700" s="3"/>
      <c r="BP700" s="379" t="s">
        <v>196</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437"/>
      <c r="K701" s="1437"/>
      <c r="L701" s="1437"/>
      <c r="M701" s="1437"/>
      <c r="N701" s="1437"/>
      <c r="O701" s="1437"/>
      <c r="P701" s="4" t="s">
        <v>208</v>
      </c>
      <c r="Q701" s="4"/>
      <c r="R701" s="1466"/>
      <c r="S701" s="1466"/>
      <c r="T701" s="1466"/>
      <c r="AZ701" s="3"/>
      <c r="BA701" s="3"/>
      <c r="BB701" s="3"/>
      <c r="BC701" s="3"/>
      <c r="BD701" s="3"/>
      <c r="BE701" s="3"/>
      <c r="BF701" s="3"/>
      <c r="BG701" s="316">
        <f t="shared" si="47"/>
        <v>0</v>
      </c>
      <c r="BH701" s="319">
        <f t="shared" si="49"/>
        <v>0</v>
      </c>
      <c r="BI701" s="320" t="str">
        <f t="shared" si="48"/>
        <v xml:space="preserve"> </v>
      </c>
      <c r="BJ701" s="3"/>
      <c r="BK701" s="3"/>
      <c r="BL701" s="3"/>
      <c r="BM701" s="3"/>
      <c r="BN701" s="3"/>
      <c r="BO701" s="3"/>
      <c r="BP701" s="379" t="s">
        <v>197</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446</v>
      </c>
      <c r="W702" s="1395" t="s">
        <v>309</v>
      </c>
      <c r="X702" s="1395"/>
      <c r="Y702" s="1395"/>
      <c r="Z702" s="1395"/>
      <c r="AA702" s="1395"/>
      <c r="AB702" s="1395"/>
      <c r="AC702" s="1395"/>
      <c r="AD702" s="1395"/>
      <c r="AE702" s="1395"/>
      <c r="AF702" s="1395"/>
      <c r="AG702" s="1395"/>
      <c r="AH702" s="1395"/>
      <c r="AI702" s="1395"/>
      <c r="AJ702" s="1395"/>
      <c r="AK702" s="1395"/>
      <c r="AZ702" s="3"/>
      <c r="BA702" s="3"/>
      <c r="BB702" s="3"/>
      <c r="BC702" s="3"/>
      <c r="BD702" s="3"/>
      <c r="BE702" s="3"/>
      <c r="BF702" s="3"/>
      <c r="BG702" s="316">
        <f t="shared" si="47"/>
        <v>0</v>
      </c>
      <c r="BH702" s="319">
        <f t="shared" si="49"/>
        <v>0</v>
      </c>
      <c r="BI702" s="320" t="str">
        <f t="shared" si="48"/>
        <v xml:space="preserve"> </v>
      </c>
      <c r="BJ702" s="3"/>
      <c r="BK702" s="3"/>
      <c r="BL702" s="3"/>
      <c r="BM702" s="3"/>
      <c r="BN702" s="3"/>
      <c r="BO702" s="3"/>
      <c r="BP702" s="379" t="s">
        <v>198</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95" t="s">
        <v>336</v>
      </c>
      <c r="F703" s="1395"/>
      <c r="G703" s="1395"/>
      <c r="H703" s="1395"/>
      <c r="I703" s="1395"/>
      <c r="J703" s="1395"/>
      <c r="K703" s="1395"/>
      <c r="L703" s="1395"/>
      <c r="M703" s="1395"/>
      <c r="N703" s="1395"/>
      <c r="O703" s="1395"/>
      <c r="P703" s="1395"/>
      <c r="Q703" s="1395"/>
      <c r="R703" s="1395"/>
      <c r="S703" s="1395"/>
      <c r="T703" s="1395"/>
      <c r="U703" s="1395"/>
      <c r="V703" s="1395"/>
      <c r="W703" s="1395"/>
      <c r="X703" s="1395"/>
      <c r="Y703" s="1395"/>
      <c r="Z703" s="1395"/>
      <c r="AA703" s="1395"/>
      <c r="AB703" s="1395"/>
      <c r="AC703" s="1395"/>
      <c r="AD703" s="1395"/>
      <c r="AE703" s="1395"/>
      <c r="AF703" s="1395"/>
      <c r="AG703" s="1395"/>
      <c r="AH703" s="1395"/>
      <c r="AI703" s="1395"/>
      <c r="AJ703" s="1395"/>
      <c r="AK703" s="1395"/>
      <c r="AZ703" s="3"/>
      <c r="BA703" s="3"/>
      <c r="BB703" s="3"/>
      <c r="BC703" s="3"/>
      <c r="BD703" s="3"/>
      <c r="BE703" s="3"/>
      <c r="BF703" s="3"/>
      <c r="BG703" s="316">
        <f t="shared" si="47"/>
        <v>0</v>
      </c>
      <c r="BH703" s="319">
        <f t="shared" si="49"/>
        <v>0</v>
      </c>
      <c r="BI703" s="320" t="str">
        <f t="shared" si="48"/>
        <v xml:space="preserve"> </v>
      </c>
      <c r="BJ703" s="3"/>
      <c r="BK703" s="3"/>
      <c r="BL703" s="3"/>
      <c r="BM703" s="3"/>
      <c r="BN703" s="3"/>
      <c r="BO703" s="3"/>
      <c r="BP703" s="379" t="s">
        <v>199</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7"/>
        <v>0</v>
      </c>
      <c r="BH704" s="319">
        <f t="shared" si="49"/>
        <v>0</v>
      </c>
      <c r="BI704" s="320" t="str">
        <f t="shared" si="48"/>
        <v xml:space="preserve"> </v>
      </c>
      <c r="BJ704" s="3"/>
      <c r="BK704" s="3"/>
      <c r="BL704" s="3"/>
      <c r="BM704" s="3"/>
      <c r="BN704" s="3"/>
      <c r="BO704" s="3"/>
      <c r="BP704" s="379" t="s">
        <v>175</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70" t="s">
        <v>96</v>
      </c>
      <c r="B705" s="1270"/>
      <c r="C705" s="1270"/>
      <c r="D705" s="1270"/>
      <c r="E705" s="1270"/>
      <c r="F705" s="1270"/>
      <c r="G705" s="1270"/>
      <c r="H705" s="1270"/>
      <c r="I705" s="1270"/>
      <c r="J705" s="1270"/>
      <c r="K705" s="1270"/>
      <c r="L705" s="1270"/>
      <c r="M705" s="1270"/>
      <c r="N705" s="1270"/>
      <c r="O705" s="1270"/>
      <c r="P705" s="1270"/>
      <c r="Q705" s="1270"/>
      <c r="R705" s="1270"/>
      <c r="S705" s="1270"/>
      <c r="T705" s="1270"/>
      <c r="U705" s="1270"/>
      <c r="V705" s="1270"/>
      <c r="W705" s="1270"/>
      <c r="X705" s="1270"/>
      <c r="Y705" s="1270"/>
      <c r="Z705" s="1270"/>
      <c r="AA705" s="1270"/>
      <c r="AB705" s="1270"/>
      <c r="AC705" s="1270"/>
      <c r="AD705" s="1270"/>
      <c r="AE705" s="1270"/>
      <c r="AF705" s="1270"/>
      <c r="AG705" s="1270"/>
      <c r="AH705" s="1270"/>
      <c r="AI705" s="1270"/>
      <c r="AJ705" s="1270"/>
      <c r="AK705" s="1270"/>
      <c r="AL705" s="1270"/>
      <c r="AM705" s="1270"/>
      <c r="AN705" s="1270"/>
      <c r="AO705" s="1270"/>
      <c r="AP705" s="936"/>
      <c r="AQ705" s="936"/>
      <c r="AR705" s="936"/>
      <c r="AS705" s="936"/>
      <c r="AZ705" s="3"/>
      <c r="BA705" s="3"/>
      <c r="BB705" s="3"/>
      <c r="BC705" s="3"/>
      <c r="BD705" s="3"/>
      <c r="BE705" s="3"/>
      <c r="BF705" s="3"/>
      <c r="BG705" s="316">
        <f t="shared" si="47"/>
        <v>0</v>
      </c>
      <c r="BH705" s="319">
        <f t="shared" si="49"/>
        <v>0</v>
      </c>
      <c r="BI705" s="320" t="str">
        <f t="shared" si="48"/>
        <v xml:space="preserve"> </v>
      </c>
      <c r="BJ705" s="3"/>
      <c r="BK705" s="3"/>
      <c r="BL705" s="3"/>
      <c r="BM705" s="3"/>
      <c r="BN705" s="3"/>
      <c r="BO705" s="3"/>
      <c r="BP705" s="379" t="s">
        <v>200</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70"/>
      <c r="B706" s="1270"/>
      <c r="C706" s="1270"/>
      <c r="D706" s="1270"/>
      <c r="E706" s="1270"/>
      <c r="F706" s="1270"/>
      <c r="G706" s="1270"/>
      <c r="H706" s="1270"/>
      <c r="I706" s="1270"/>
      <c r="J706" s="1270"/>
      <c r="K706" s="1270"/>
      <c r="L706" s="1270"/>
      <c r="M706" s="1270"/>
      <c r="N706" s="1270"/>
      <c r="O706" s="1270"/>
      <c r="P706" s="1270"/>
      <c r="Q706" s="1270"/>
      <c r="R706" s="1270"/>
      <c r="S706" s="1270"/>
      <c r="T706" s="1270"/>
      <c r="U706" s="1270"/>
      <c r="V706" s="1270"/>
      <c r="W706" s="1270"/>
      <c r="X706" s="1270"/>
      <c r="Y706" s="1270"/>
      <c r="Z706" s="1270"/>
      <c r="AA706" s="1270"/>
      <c r="AB706" s="1270"/>
      <c r="AC706" s="1270"/>
      <c r="AD706" s="1270"/>
      <c r="AE706" s="1270"/>
      <c r="AF706" s="1270"/>
      <c r="AG706" s="1270"/>
      <c r="AH706" s="1270"/>
      <c r="AI706" s="1270"/>
      <c r="AJ706" s="1270"/>
      <c r="AK706" s="1270"/>
      <c r="AL706" s="1270"/>
      <c r="AM706" s="1270"/>
      <c r="AN706" s="1270"/>
      <c r="AO706" s="1270"/>
      <c r="AP706" s="936"/>
      <c r="AQ706" s="936"/>
      <c r="AR706" s="936"/>
      <c r="AS706" s="936"/>
      <c r="AZ706" s="3"/>
      <c r="BA706" s="3"/>
      <c r="BB706" s="3"/>
      <c r="BC706" s="3"/>
      <c r="BD706" s="3"/>
      <c r="BE706" s="3"/>
      <c r="BF706" s="3"/>
      <c r="BG706" s="316">
        <f t="shared" si="47"/>
        <v>0</v>
      </c>
      <c r="BH706" s="319">
        <f t="shared" si="49"/>
        <v>0</v>
      </c>
      <c r="BI706" s="320" t="str">
        <f t="shared" si="48"/>
        <v xml:space="preserve"> </v>
      </c>
      <c r="BJ706" s="3"/>
      <c r="BK706" s="3"/>
      <c r="BL706" s="3"/>
      <c r="BM706" s="3"/>
      <c r="BN706" s="3"/>
      <c r="BO706" s="3"/>
      <c r="BP706" s="379" t="s">
        <v>201</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70"/>
      <c r="B707" s="1270"/>
      <c r="C707" s="1270"/>
      <c r="D707" s="1270"/>
      <c r="E707" s="1270"/>
      <c r="F707" s="1270"/>
      <c r="G707" s="1270"/>
      <c r="H707" s="1270"/>
      <c r="I707" s="1270"/>
      <c r="J707" s="1270"/>
      <c r="K707" s="1270"/>
      <c r="L707" s="1270"/>
      <c r="M707" s="1270"/>
      <c r="N707" s="1270"/>
      <c r="O707" s="1270"/>
      <c r="P707" s="1270"/>
      <c r="Q707" s="1270"/>
      <c r="R707" s="1270"/>
      <c r="S707" s="1270"/>
      <c r="T707" s="1270"/>
      <c r="U707" s="1270"/>
      <c r="V707" s="1270"/>
      <c r="W707" s="1270"/>
      <c r="X707" s="1270"/>
      <c r="Y707" s="1270"/>
      <c r="Z707" s="1270"/>
      <c r="AA707" s="1270"/>
      <c r="AB707" s="1270"/>
      <c r="AC707" s="1270"/>
      <c r="AD707" s="1270"/>
      <c r="AE707" s="1270"/>
      <c r="AF707" s="1270"/>
      <c r="AG707" s="1270"/>
      <c r="AH707" s="1270"/>
      <c r="AI707" s="1270"/>
      <c r="AJ707" s="1270"/>
      <c r="AK707" s="1270"/>
      <c r="AL707" s="1270"/>
      <c r="AM707" s="1270"/>
      <c r="AN707" s="1270"/>
      <c r="AO707" s="1270"/>
      <c r="AZ707" s="3"/>
      <c r="BA707" s="3"/>
      <c r="BB707" s="3"/>
      <c r="BC707" s="3"/>
      <c r="BD707" s="3"/>
      <c r="BE707" s="3"/>
      <c r="BF707" s="3"/>
      <c r="BG707" s="316">
        <f t="shared" si="47"/>
        <v>0</v>
      </c>
      <c r="BH707" s="319">
        <f t="shared" si="49"/>
        <v>0</v>
      </c>
      <c r="BI707" s="320" t="str">
        <f t="shared" si="48"/>
        <v xml:space="preserve"> </v>
      </c>
      <c r="BJ707" s="3"/>
      <c r="BK707" s="3"/>
      <c r="BL707" s="3"/>
      <c r="BM707" s="3"/>
      <c r="BN707" s="3"/>
      <c r="BO707" s="3"/>
      <c r="BP707" s="379" t="s">
        <v>202</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7"/>
        <v>0</v>
      </c>
      <c r="BH708" s="319">
        <f t="shared" si="49"/>
        <v>0</v>
      </c>
      <c r="BI708" s="320" t="str">
        <f t="shared" si="48"/>
        <v xml:space="preserve"> </v>
      </c>
      <c r="BJ708" s="3"/>
      <c r="BK708" s="3"/>
      <c r="BL708" s="3"/>
      <c r="BM708" s="3"/>
      <c r="BN708" s="3"/>
      <c r="BO708" s="3"/>
      <c r="BP708" s="379" t="s">
        <v>203</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7"/>
        <v>0</v>
      </c>
      <c r="BH709" s="319">
        <f t="shared" si="49"/>
        <v>0</v>
      </c>
      <c r="BI709" s="320" t="str">
        <f t="shared" si="48"/>
        <v xml:space="preserve"> </v>
      </c>
      <c r="BK709" s="3"/>
      <c r="BL709" s="3"/>
      <c r="BM709" s="3"/>
      <c r="BN709" s="3"/>
      <c r="BO709" s="3"/>
      <c r="BP709" s="379" t="s">
        <v>204</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83" t="s">
        <v>391</v>
      </c>
      <c r="C710" s="1484"/>
      <c r="D710" s="1484"/>
      <c r="E710" s="1484"/>
      <c r="F710" s="1485"/>
      <c r="G710" s="1483" t="s">
        <v>287</v>
      </c>
      <c r="H710" s="1484"/>
      <c r="I710" s="1484"/>
      <c r="J710" s="1485"/>
      <c r="K710" s="1499" t="s">
        <v>1938</v>
      </c>
      <c r="L710" s="1500"/>
      <c r="M710" s="1500"/>
      <c r="N710" s="1501"/>
      <c r="O710" s="1483" t="s">
        <v>456</v>
      </c>
      <c r="P710" s="1484"/>
      <c r="Q710" s="1484"/>
      <c r="R710" s="1484"/>
      <c r="S710" s="1485"/>
      <c r="T710" s="1581" t="s">
        <v>2333</v>
      </c>
      <c r="U710" s="1484"/>
      <c r="V710" s="1484"/>
      <c r="W710" s="1485"/>
      <c r="X710" s="1581" t="s">
        <v>2335</v>
      </c>
      <c r="Y710" s="1484"/>
      <c r="Z710" s="1484"/>
      <c r="AA710" s="1484"/>
      <c r="AB710" s="1485"/>
      <c r="AC710" s="1581" t="s">
        <v>2334</v>
      </c>
      <c r="AD710" s="1484"/>
      <c r="AE710" s="1484"/>
      <c r="AF710" s="1484"/>
      <c r="AG710" s="1485"/>
      <c r="AH710" s="1581" t="s">
        <v>2336</v>
      </c>
      <c r="AI710" s="1484"/>
      <c r="AJ710" s="1485"/>
      <c r="AK710" s="1581" t="s">
        <v>2370</v>
      </c>
      <c r="AL710" s="1484"/>
      <c r="AM710" s="1484"/>
      <c r="AN710" s="1484"/>
      <c r="AO710" s="1485"/>
      <c r="AP710" s="3"/>
      <c r="AQ710" s="3"/>
      <c r="AR710" s="3"/>
      <c r="AS710" s="3"/>
      <c r="AY710" s="116"/>
      <c r="AZ710" s="116"/>
      <c r="BA710" s="116"/>
      <c r="BB710" s="116"/>
      <c r="BC710" s="116"/>
      <c r="BD710" s="3"/>
      <c r="BE710" s="3"/>
      <c r="BF710" s="3"/>
      <c r="BG710" s="316">
        <f t="shared" si="47"/>
        <v>0</v>
      </c>
      <c r="BH710" s="319">
        <f t="shared" si="49"/>
        <v>0</v>
      </c>
      <c r="BI710" s="320" t="str">
        <f t="shared" si="48"/>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86"/>
      <c r="C711" s="1487"/>
      <c r="D711" s="1487"/>
      <c r="E711" s="1487"/>
      <c r="F711" s="1488"/>
      <c r="G711" s="1486"/>
      <c r="H711" s="1487"/>
      <c r="I711" s="1487"/>
      <c r="J711" s="1488"/>
      <c r="K711" s="1502"/>
      <c r="L711" s="1503"/>
      <c r="M711" s="1503"/>
      <c r="N711" s="1504"/>
      <c r="O711" s="1486"/>
      <c r="P711" s="1487"/>
      <c r="Q711" s="1487"/>
      <c r="R711" s="1487"/>
      <c r="S711" s="1488"/>
      <c r="T711" s="1486"/>
      <c r="U711" s="1487"/>
      <c r="V711" s="1487"/>
      <c r="W711" s="1488"/>
      <c r="X711" s="1486"/>
      <c r="Y711" s="1487"/>
      <c r="Z711" s="1487"/>
      <c r="AA711" s="1487"/>
      <c r="AB711" s="1488"/>
      <c r="AC711" s="1486"/>
      <c r="AD711" s="1487"/>
      <c r="AE711" s="1487"/>
      <c r="AF711" s="1487"/>
      <c r="AG711" s="1488"/>
      <c r="AH711" s="1486"/>
      <c r="AI711" s="1487"/>
      <c r="AJ711" s="1488"/>
      <c r="AK711" s="1486"/>
      <c r="AL711" s="1487"/>
      <c r="AM711" s="1487"/>
      <c r="AN711" s="1487"/>
      <c r="AO711" s="1488"/>
      <c r="AP711" s="3"/>
      <c r="AQ711" s="3"/>
      <c r="AR711" s="3"/>
      <c r="AS711" s="3"/>
      <c r="AY711" s="116"/>
      <c r="AZ711" s="116"/>
      <c r="BA711" s="116"/>
      <c r="BB711" s="116"/>
      <c r="BC711" s="116"/>
      <c r="BD711" s="3"/>
      <c r="BE711" s="3"/>
      <c r="BF711" s="3"/>
      <c r="BG711" s="316">
        <f t="shared" si="47"/>
        <v>0</v>
      </c>
      <c r="BH711" s="319">
        <f t="shared" si="49"/>
        <v>0</v>
      </c>
      <c r="BI711" s="320" t="str">
        <f t="shared" si="48"/>
        <v xml:space="preserve"> </v>
      </c>
      <c r="BK711" s="3"/>
      <c r="BL711" s="3"/>
      <c r="BM711" s="3"/>
      <c r="BN711" s="3"/>
      <c r="BO711" s="3"/>
      <c r="BP711" s="379" t="s">
        <v>205</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86"/>
      <c r="C712" s="1487"/>
      <c r="D712" s="1487"/>
      <c r="E712" s="1487"/>
      <c r="F712" s="1488"/>
      <c r="G712" s="1486"/>
      <c r="H712" s="1487"/>
      <c r="I712" s="1487"/>
      <c r="J712" s="1488"/>
      <c r="K712" s="1502"/>
      <c r="L712" s="1503"/>
      <c r="M712" s="1503"/>
      <c r="N712" s="1504"/>
      <c r="O712" s="1486"/>
      <c r="P712" s="1487"/>
      <c r="Q712" s="1487"/>
      <c r="R712" s="1487"/>
      <c r="S712" s="1488"/>
      <c r="T712" s="1486"/>
      <c r="U712" s="1487"/>
      <c r="V712" s="1487"/>
      <c r="W712" s="1488"/>
      <c r="X712" s="1486"/>
      <c r="Y712" s="1487"/>
      <c r="Z712" s="1487"/>
      <c r="AA712" s="1487"/>
      <c r="AB712" s="1488"/>
      <c r="AC712" s="1486"/>
      <c r="AD712" s="1487"/>
      <c r="AE712" s="1487"/>
      <c r="AF712" s="1487"/>
      <c r="AG712" s="1488"/>
      <c r="AH712" s="1486"/>
      <c r="AI712" s="1487"/>
      <c r="AJ712" s="1488"/>
      <c r="AK712" s="1486"/>
      <c r="AL712" s="1487"/>
      <c r="AM712" s="1487"/>
      <c r="AN712" s="1487"/>
      <c r="AO712" s="1488"/>
      <c r="AP712" s="3"/>
      <c r="AQ712" s="3"/>
      <c r="AR712" s="3"/>
      <c r="AS712" s="3"/>
      <c r="AY712" s="116"/>
      <c r="AZ712" s="116"/>
      <c r="BA712" s="116"/>
      <c r="BB712" s="116"/>
      <c r="BC712" s="116"/>
      <c r="BD712" s="3"/>
      <c r="BE712" s="3"/>
      <c r="BF712" s="3"/>
      <c r="BG712" s="316">
        <f t="shared" si="47"/>
        <v>0</v>
      </c>
      <c r="BH712" s="319">
        <f t="shared" si="49"/>
        <v>0</v>
      </c>
      <c r="BI712" s="320" t="str">
        <f t="shared" si="48"/>
        <v xml:space="preserve"> </v>
      </c>
      <c r="BK712" s="3"/>
      <c r="BL712" s="3"/>
      <c r="BM712" s="3"/>
      <c r="BN712" s="3"/>
      <c r="BO712" s="3"/>
      <c r="BP712" s="379" t="s">
        <v>206</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89"/>
      <c r="C713" s="1490"/>
      <c r="D713" s="1490"/>
      <c r="E713" s="1490"/>
      <c r="F713" s="1491"/>
      <c r="G713" s="1489"/>
      <c r="H713" s="1490"/>
      <c r="I713" s="1490"/>
      <c r="J713" s="1491"/>
      <c r="K713" s="1502"/>
      <c r="L713" s="1503"/>
      <c r="M713" s="1503"/>
      <c r="N713" s="1504"/>
      <c r="O713" s="1489"/>
      <c r="P713" s="1490"/>
      <c r="Q713" s="1490"/>
      <c r="R713" s="1490"/>
      <c r="S713" s="1491"/>
      <c r="T713" s="1489"/>
      <c r="U713" s="1490"/>
      <c r="V713" s="1490"/>
      <c r="W713" s="1491"/>
      <c r="X713" s="1489"/>
      <c r="Y713" s="1490"/>
      <c r="Z713" s="1490"/>
      <c r="AA713" s="1490"/>
      <c r="AB713" s="1491"/>
      <c r="AC713" s="1489"/>
      <c r="AD713" s="1490"/>
      <c r="AE713" s="1490"/>
      <c r="AF713" s="1490"/>
      <c r="AG713" s="1491"/>
      <c r="AH713" s="1489"/>
      <c r="AI713" s="1490"/>
      <c r="AJ713" s="1491"/>
      <c r="AK713" s="1489"/>
      <c r="AL713" s="1490"/>
      <c r="AM713" s="1490"/>
      <c r="AN713" s="1490"/>
      <c r="AO713" s="1491"/>
      <c r="AP713" s="3"/>
      <c r="AQ713" s="3"/>
      <c r="AR713" s="3"/>
      <c r="AS713" s="3"/>
      <c r="AY713" s="116"/>
      <c r="AZ713" s="116"/>
      <c r="BA713" s="116"/>
      <c r="BB713" s="116"/>
      <c r="BC713" s="116"/>
      <c r="BD713" s="3"/>
      <c r="BE713" s="3"/>
      <c r="BF713" s="3"/>
      <c r="BG713" s="896">
        <f t="shared" si="47"/>
        <v>0</v>
      </c>
      <c r="BH713" s="319">
        <f t="shared" si="49"/>
        <v>0</v>
      </c>
      <c r="BI713" s="320" t="str">
        <f t="shared" si="48"/>
        <v xml:space="preserve"> </v>
      </c>
      <c r="BK713" s="3"/>
      <c r="BL713" s="3"/>
      <c r="BM713" s="3"/>
      <c r="BN713" s="3"/>
      <c r="BO713" s="3"/>
      <c r="BP713" s="379" t="s">
        <v>207</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79" t="s">
        <v>164</v>
      </c>
      <c r="C714" s="1380"/>
      <c r="D714" s="1380"/>
      <c r="E714" s="1380"/>
      <c r="F714" s="1381"/>
      <c r="G714" s="1480">
        <v>5</v>
      </c>
      <c r="H714" s="1481"/>
      <c r="I714" s="1481"/>
      <c r="J714" s="1482"/>
      <c r="K714" s="1477">
        <v>941</v>
      </c>
      <c r="L714" s="1478"/>
      <c r="M714" s="1478"/>
      <c r="N714" s="1479"/>
      <c r="O714" s="1492">
        <f>969-T714</f>
        <v>859</v>
      </c>
      <c r="P714" s="1493"/>
      <c r="Q714" s="1493"/>
      <c r="R714" s="1493"/>
      <c r="S714" s="1494"/>
      <c r="T714" s="1492">
        <v>110</v>
      </c>
      <c r="U714" s="1493"/>
      <c r="V714" s="1493"/>
      <c r="W714" s="1494"/>
      <c r="X714" s="1495">
        <f t="shared" ref="X714:X738" si="50">O714+T714</f>
        <v>969</v>
      </c>
      <c r="Y714" s="1496"/>
      <c r="Z714" s="1496"/>
      <c r="AA714" s="1496"/>
      <c r="AB714" s="1497"/>
      <c r="AC714" s="1582">
        <v>0.3</v>
      </c>
      <c r="AD714" s="1583"/>
      <c r="AE714" s="1583"/>
      <c r="AF714" s="1583"/>
      <c r="AG714" s="1584"/>
      <c r="AH714" s="1578">
        <f t="shared" ref="AH714:AH738" si="51">IF($AC714&gt;0,($X714/$BA656), " ")</f>
        <v>0.3</v>
      </c>
      <c r="AI714" s="1579"/>
      <c r="AJ714" s="1580"/>
      <c r="AK714" s="1379" t="s">
        <v>600</v>
      </c>
      <c r="AL714" s="1380"/>
      <c r="AM714" s="1380"/>
      <c r="AN714" s="1380"/>
      <c r="AO714" s="1381"/>
      <c r="AP714" s="3"/>
      <c r="AQ714" s="3"/>
      <c r="AR714" s="3"/>
      <c r="AS714" s="3"/>
      <c r="AY714" s="1134"/>
      <c r="AZ714" s="1134"/>
      <c r="BA714" s="1134"/>
      <c r="BB714" s="1134"/>
      <c r="BC714" s="1134"/>
      <c r="BD714" s="3"/>
      <c r="BE714" s="3"/>
      <c r="BF714" s="3"/>
      <c r="BG714" s="895">
        <f>SUM(BG689:BG713)</f>
        <v>75</v>
      </c>
      <c r="BH714" s="322">
        <f>SUM(BH689:BH713)</f>
        <v>1</v>
      </c>
      <c r="BI714" s="322">
        <f>SUM(BI689:BI713)</f>
        <v>0.47531556536823849</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79" t="s">
        <v>164</v>
      </c>
      <c r="C715" s="1380"/>
      <c r="D715" s="1380"/>
      <c r="E715" s="1380"/>
      <c r="F715" s="1381"/>
      <c r="G715" s="1480">
        <v>19</v>
      </c>
      <c r="H715" s="1481"/>
      <c r="I715" s="1481"/>
      <c r="J715" s="1482"/>
      <c r="K715" s="1477">
        <v>941</v>
      </c>
      <c r="L715" s="1478"/>
      <c r="M715" s="1478"/>
      <c r="N715" s="1479"/>
      <c r="O715" s="1492">
        <f>1453-T715</f>
        <v>1343</v>
      </c>
      <c r="P715" s="1493"/>
      <c r="Q715" s="1493"/>
      <c r="R715" s="1493"/>
      <c r="S715" s="1494"/>
      <c r="T715" s="1492">
        <f>T714</f>
        <v>110</v>
      </c>
      <c r="U715" s="1493"/>
      <c r="V715" s="1493"/>
      <c r="W715" s="1494"/>
      <c r="X715" s="1495">
        <f t="shared" si="50"/>
        <v>1453</v>
      </c>
      <c r="Y715" s="1496"/>
      <c r="Z715" s="1496"/>
      <c r="AA715" s="1496"/>
      <c r="AB715" s="1497"/>
      <c r="AC715" s="1582">
        <v>0.45</v>
      </c>
      <c r="AD715" s="1583"/>
      <c r="AE715" s="1583"/>
      <c r="AF715" s="1583"/>
      <c r="AG715" s="1584"/>
      <c r="AH715" s="1578">
        <f t="shared" si="51"/>
        <v>0.44984520123839011</v>
      </c>
      <c r="AI715" s="1579"/>
      <c r="AJ715" s="1580"/>
      <c r="AK715" s="1379" t="s">
        <v>600</v>
      </c>
      <c r="AL715" s="1380"/>
      <c r="AM715" s="1380"/>
      <c r="AN715" s="1380"/>
      <c r="AO715" s="1381"/>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9" t="s">
        <v>164</v>
      </c>
      <c r="C716" s="1380"/>
      <c r="D716" s="1380"/>
      <c r="E716" s="1380"/>
      <c r="F716" s="1381"/>
      <c r="G716" s="1480">
        <v>18</v>
      </c>
      <c r="H716" s="1481"/>
      <c r="I716" s="1481"/>
      <c r="J716" s="1482"/>
      <c r="K716" s="1477">
        <v>941</v>
      </c>
      <c r="L716" s="1478"/>
      <c r="M716" s="1478"/>
      <c r="N716" s="1479"/>
      <c r="O716" s="1492">
        <f>1615-T716</f>
        <v>1505</v>
      </c>
      <c r="P716" s="1493"/>
      <c r="Q716" s="1493"/>
      <c r="R716" s="1493"/>
      <c r="S716" s="1494"/>
      <c r="T716" s="1492">
        <f>T714</f>
        <v>110</v>
      </c>
      <c r="U716" s="1493"/>
      <c r="V716" s="1493"/>
      <c r="W716" s="1494"/>
      <c r="X716" s="1495">
        <f t="shared" si="50"/>
        <v>1615</v>
      </c>
      <c r="Y716" s="1496"/>
      <c r="Z716" s="1496"/>
      <c r="AA716" s="1496"/>
      <c r="AB716" s="1497"/>
      <c r="AC716" s="1582">
        <v>0.5</v>
      </c>
      <c r="AD716" s="1583"/>
      <c r="AE716" s="1583"/>
      <c r="AF716" s="1583"/>
      <c r="AG716" s="1584"/>
      <c r="AH716" s="1578">
        <f t="shared" si="51"/>
        <v>0.5</v>
      </c>
      <c r="AI716" s="1579"/>
      <c r="AJ716" s="1580"/>
      <c r="AK716" s="1379" t="s">
        <v>600</v>
      </c>
      <c r="AL716" s="1380"/>
      <c r="AM716" s="1380"/>
      <c r="AN716" s="1380"/>
      <c r="AO716" s="1381"/>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79" t="s">
        <v>164</v>
      </c>
      <c r="C717" s="1380"/>
      <c r="D717" s="1380"/>
      <c r="E717" s="1380"/>
      <c r="F717" s="1381"/>
      <c r="G717" s="1480">
        <v>10</v>
      </c>
      <c r="H717" s="1481"/>
      <c r="I717" s="1481"/>
      <c r="J717" s="1482"/>
      <c r="K717" s="1477">
        <v>941</v>
      </c>
      <c r="L717" s="1478"/>
      <c r="M717" s="1478"/>
      <c r="N717" s="1479"/>
      <c r="O717" s="1492">
        <f>1938-T717</f>
        <v>1828</v>
      </c>
      <c r="P717" s="1493"/>
      <c r="Q717" s="1493"/>
      <c r="R717" s="1493"/>
      <c r="S717" s="1494"/>
      <c r="T717" s="1492">
        <f>T714</f>
        <v>110</v>
      </c>
      <c r="U717" s="1493"/>
      <c r="V717" s="1493"/>
      <c r="W717" s="1494"/>
      <c r="X717" s="1495">
        <f t="shared" si="50"/>
        <v>1938</v>
      </c>
      <c r="Y717" s="1496"/>
      <c r="Z717" s="1496"/>
      <c r="AA717" s="1496"/>
      <c r="AB717" s="1497"/>
      <c r="AC717" s="1582">
        <v>0.6</v>
      </c>
      <c r="AD717" s="1583"/>
      <c r="AE717" s="1583"/>
      <c r="AF717" s="1583"/>
      <c r="AG717" s="1584"/>
      <c r="AH717" s="1578">
        <f t="shared" si="51"/>
        <v>0.6</v>
      </c>
      <c r="AI717" s="1579"/>
      <c r="AJ717" s="1580"/>
      <c r="AK717" s="1379" t="s">
        <v>600</v>
      </c>
      <c r="AL717" s="1380"/>
      <c r="AM717" s="1380"/>
      <c r="AN717" s="1380"/>
      <c r="AO717" s="1381"/>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79" t="s">
        <v>165</v>
      </c>
      <c r="C718" s="1380"/>
      <c r="D718" s="1380"/>
      <c r="E718" s="1380"/>
      <c r="F718" s="1381"/>
      <c r="G718" s="1480">
        <v>3</v>
      </c>
      <c r="H718" s="1481"/>
      <c r="I718" s="1481"/>
      <c r="J718" s="1482"/>
      <c r="K718" s="1477">
        <v>1283</v>
      </c>
      <c r="L718" s="1478"/>
      <c r="M718" s="1478"/>
      <c r="N718" s="1479"/>
      <c r="O718" s="1492">
        <f>1119-T718</f>
        <v>980</v>
      </c>
      <c r="P718" s="1493"/>
      <c r="Q718" s="1493"/>
      <c r="R718" s="1493"/>
      <c r="S718" s="1494"/>
      <c r="T718" s="1492">
        <v>139</v>
      </c>
      <c r="U718" s="1493"/>
      <c r="V718" s="1493"/>
      <c r="W718" s="1494"/>
      <c r="X718" s="1495">
        <f t="shared" si="50"/>
        <v>1119</v>
      </c>
      <c r="Y718" s="1496"/>
      <c r="Z718" s="1496"/>
      <c r="AA718" s="1496"/>
      <c r="AB718" s="1497"/>
      <c r="AC718" s="1582">
        <v>0.3</v>
      </c>
      <c r="AD718" s="1583"/>
      <c r="AE718" s="1583"/>
      <c r="AF718" s="1583"/>
      <c r="AG718" s="1584"/>
      <c r="AH718" s="1578">
        <f t="shared" si="51"/>
        <v>0.3</v>
      </c>
      <c r="AI718" s="1579"/>
      <c r="AJ718" s="1580"/>
      <c r="AK718" s="1379" t="s">
        <v>600</v>
      </c>
      <c r="AL718" s="1380"/>
      <c r="AM718" s="1380"/>
      <c r="AN718" s="1380"/>
      <c r="AO718" s="1381"/>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79" t="s">
        <v>165</v>
      </c>
      <c r="C719" s="1380"/>
      <c r="D719" s="1380"/>
      <c r="E719" s="1380"/>
      <c r="F719" s="1381"/>
      <c r="G719" s="1480">
        <v>12</v>
      </c>
      <c r="H719" s="1481"/>
      <c r="I719" s="1481"/>
      <c r="J719" s="1482"/>
      <c r="K719" s="1477">
        <v>1283</v>
      </c>
      <c r="L719" s="1478"/>
      <c r="M719" s="1478"/>
      <c r="N719" s="1479"/>
      <c r="O719" s="1492">
        <f>1679-T719</f>
        <v>1540</v>
      </c>
      <c r="P719" s="1493"/>
      <c r="Q719" s="1493"/>
      <c r="R719" s="1493"/>
      <c r="S719" s="1494"/>
      <c r="T719" s="1492">
        <f>T718</f>
        <v>139</v>
      </c>
      <c r="U719" s="1493"/>
      <c r="V719" s="1493"/>
      <c r="W719" s="1494"/>
      <c r="X719" s="1495">
        <f t="shared" si="50"/>
        <v>1679</v>
      </c>
      <c r="Y719" s="1496"/>
      <c r="Z719" s="1496"/>
      <c r="AA719" s="1496"/>
      <c r="AB719" s="1497"/>
      <c r="AC719" s="1582">
        <v>0.45</v>
      </c>
      <c r="AD719" s="1583"/>
      <c r="AE719" s="1583"/>
      <c r="AF719" s="1583"/>
      <c r="AG719" s="1584"/>
      <c r="AH719" s="1578">
        <f t="shared" si="51"/>
        <v>0.45013404825737263</v>
      </c>
      <c r="AI719" s="1579"/>
      <c r="AJ719" s="1580"/>
      <c r="AK719" s="1379" t="s">
        <v>600</v>
      </c>
      <c r="AL719" s="1380"/>
      <c r="AM719" s="1380"/>
      <c r="AN719" s="1380"/>
      <c r="AO719" s="1381"/>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79" t="s">
        <v>165</v>
      </c>
      <c r="C720" s="1380"/>
      <c r="D720" s="1380"/>
      <c r="E720" s="1380"/>
      <c r="F720" s="1381"/>
      <c r="G720" s="1480">
        <v>5</v>
      </c>
      <c r="H720" s="1481"/>
      <c r="I720" s="1481"/>
      <c r="J720" s="1482"/>
      <c r="K720" s="1477">
        <v>1283</v>
      </c>
      <c r="L720" s="1478"/>
      <c r="M720" s="1478"/>
      <c r="N720" s="1479"/>
      <c r="O720" s="1492">
        <f>1865-T720</f>
        <v>1726</v>
      </c>
      <c r="P720" s="1493"/>
      <c r="Q720" s="1493"/>
      <c r="R720" s="1493"/>
      <c r="S720" s="1494"/>
      <c r="T720" s="1492">
        <f>T718</f>
        <v>139</v>
      </c>
      <c r="U720" s="1493"/>
      <c r="V720" s="1493"/>
      <c r="W720" s="1494"/>
      <c r="X720" s="1495">
        <f t="shared" si="50"/>
        <v>1865</v>
      </c>
      <c r="Y720" s="1496"/>
      <c r="Z720" s="1496"/>
      <c r="AA720" s="1496"/>
      <c r="AB720" s="1497"/>
      <c r="AC720" s="1582">
        <v>0.5</v>
      </c>
      <c r="AD720" s="1583"/>
      <c r="AE720" s="1583"/>
      <c r="AF720" s="1583"/>
      <c r="AG720" s="1584"/>
      <c r="AH720" s="1578">
        <f t="shared" si="51"/>
        <v>0.5</v>
      </c>
      <c r="AI720" s="1579"/>
      <c r="AJ720" s="1580"/>
      <c r="AK720" s="1379" t="s">
        <v>600</v>
      </c>
      <c r="AL720" s="1380"/>
      <c r="AM720" s="1380"/>
      <c r="AN720" s="1380"/>
      <c r="AO720" s="1381"/>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79" t="s">
        <v>165</v>
      </c>
      <c r="C721" s="1380"/>
      <c r="D721" s="1380"/>
      <c r="E721" s="1380"/>
      <c r="F721" s="1381"/>
      <c r="G721" s="1480">
        <v>3</v>
      </c>
      <c r="H721" s="1481"/>
      <c r="I721" s="1481"/>
      <c r="J721" s="1482"/>
      <c r="K721" s="1477">
        <v>1283</v>
      </c>
      <c r="L721" s="1478"/>
      <c r="M721" s="1478"/>
      <c r="N721" s="1479"/>
      <c r="O721" s="1492">
        <f>2238-T721</f>
        <v>2099</v>
      </c>
      <c r="P721" s="1493"/>
      <c r="Q721" s="1493"/>
      <c r="R721" s="1493"/>
      <c r="S721" s="1494"/>
      <c r="T721" s="1492">
        <f>T718</f>
        <v>139</v>
      </c>
      <c r="U721" s="1493"/>
      <c r="V721" s="1493"/>
      <c r="W721" s="1494"/>
      <c r="X721" s="1495">
        <f t="shared" si="50"/>
        <v>2238</v>
      </c>
      <c r="Y721" s="1496"/>
      <c r="Z721" s="1496"/>
      <c r="AA721" s="1496"/>
      <c r="AB721" s="1497"/>
      <c r="AC721" s="1582">
        <v>0.6</v>
      </c>
      <c r="AD721" s="1583"/>
      <c r="AE721" s="1583"/>
      <c r="AF721" s="1583"/>
      <c r="AG721" s="1584"/>
      <c r="AH721" s="1578">
        <f t="shared" si="51"/>
        <v>0.6</v>
      </c>
      <c r="AI721" s="1579"/>
      <c r="AJ721" s="1580"/>
      <c r="AK721" s="1379" t="s">
        <v>600</v>
      </c>
      <c r="AL721" s="1380"/>
      <c r="AM721" s="1380"/>
      <c r="AN721" s="1380"/>
      <c r="AO721" s="1381"/>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79"/>
      <c r="C722" s="1380"/>
      <c r="D722" s="1380"/>
      <c r="E722" s="1380"/>
      <c r="F722" s="1381"/>
      <c r="G722" s="1480"/>
      <c r="H722" s="1481"/>
      <c r="I722" s="1481"/>
      <c r="J722" s="1482"/>
      <c r="K722" s="1477"/>
      <c r="L722" s="1478"/>
      <c r="M722" s="1478"/>
      <c r="N722" s="1479"/>
      <c r="O722" s="1492"/>
      <c r="P722" s="1493"/>
      <c r="Q722" s="1493"/>
      <c r="R722" s="1493"/>
      <c r="S722" s="1494"/>
      <c r="T722" s="1492"/>
      <c r="U722" s="1493"/>
      <c r="V722" s="1493"/>
      <c r="W722" s="1494"/>
      <c r="X722" s="1495">
        <f t="shared" si="50"/>
        <v>0</v>
      </c>
      <c r="Y722" s="1496"/>
      <c r="Z722" s="1496"/>
      <c r="AA722" s="1496"/>
      <c r="AB722" s="1497"/>
      <c r="AC722" s="1582"/>
      <c r="AD722" s="1583"/>
      <c r="AE722" s="1583"/>
      <c r="AF722" s="1583"/>
      <c r="AG722" s="1584"/>
      <c r="AH722" s="1578" t="str">
        <f t="shared" si="51"/>
        <v xml:space="preserve"> </v>
      </c>
      <c r="AI722" s="1579"/>
      <c r="AJ722" s="1580"/>
      <c r="AK722" s="1379"/>
      <c r="AL722" s="1380"/>
      <c r="AM722" s="1380"/>
      <c r="AN722" s="1380"/>
      <c r="AO722" s="1381"/>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79"/>
      <c r="C723" s="1380"/>
      <c r="D723" s="1380"/>
      <c r="E723" s="1380"/>
      <c r="F723" s="1381"/>
      <c r="G723" s="1480"/>
      <c r="H723" s="1481"/>
      <c r="I723" s="1481"/>
      <c r="J723" s="1482"/>
      <c r="K723" s="1477"/>
      <c r="L723" s="1478"/>
      <c r="M723" s="1478"/>
      <c r="N723" s="1479"/>
      <c r="O723" s="1492"/>
      <c r="P723" s="1493"/>
      <c r="Q723" s="1493"/>
      <c r="R723" s="1493"/>
      <c r="S723" s="1494"/>
      <c r="T723" s="1492"/>
      <c r="U723" s="1493"/>
      <c r="V723" s="1493"/>
      <c r="W723" s="1494"/>
      <c r="X723" s="1495">
        <f t="shared" si="50"/>
        <v>0</v>
      </c>
      <c r="Y723" s="1496"/>
      <c r="Z723" s="1496"/>
      <c r="AA723" s="1496"/>
      <c r="AB723" s="1497"/>
      <c r="AC723" s="1582"/>
      <c r="AD723" s="1583"/>
      <c r="AE723" s="1583"/>
      <c r="AF723" s="1583"/>
      <c r="AG723" s="1584"/>
      <c r="AH723" s="1578" t="str">
        <f t="shared" si="51"/>
        <v xml:space="preserve"> </v>
      </c>
      <c r="AI723" s="1579"/>
      <c r="AJ723" s="1580"/>
      <c r="AK723" s="1379"/>
      <c r="AL723" s="1380"/>
      <c r="AM723" s="1380"/>
      <c r="AN723" s="1380"/>
      <c r="AO723" s="1381"/>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79"/>
      <c r="C724" s="1380"/>
      <c r="D724" s="1380"/>
      <c r="E724" s="1380"/>
      <c r="F724" s="1381"/>
      <c r="G724" s="1480"/>
      <c r="H724" s="1481"/>
      <c r="I724" s="1481"/>
      <c r="J724" s="1482"/>
      <c r="K724" s="1477"/>
      <c r="L724" s="1478"/>
      <c r="M724" s="1478"/>
      <c r="N724" s="1479"/>
      <c r="O724" s="1492"/>
      <c r="P724" s="1493"/>
      <c r="Q724" s="1493"/>
      <c r="R724" s="1493"/>
      <c r="S724" s="1494"/>
      <c r="T724" s="1492"/>
      <c r="U724" s="1493"/>
      <c r="V724" s="1493"/>
      <c r="W724" s="1494"/>
      <c r="X724" s="1495">
        <f t="shared" si="50"/>
        <v>0</v>
      </c>
      <c r="Y724" s="1496"/>
      <c r="Z724" s="1496"/>
      <c r="AA724" s="1496"/>
      <c r="AB724" s="1497"/>
      <c r="AC724" s="1582"/>
      <c r="AD724" s="1583"/>
      <c r="AE724" s="1583"/>
      <c r="AF724" s="1583"/>
      <c r="AG724" s="1584"/>
      <c r="AH724" s="1578" t="str">
        <f t="shared" si="51"/>
        <v xml:space="preserve"> </v>
      </c>
      <c r="AI724" s="1579"/>
      <c r="AJ724" s="1580"/>
      <c r="AK724" s="1379"/>
      <c r="AL724" s="1380"/>
      <c r="AM724" s="1380"/>
      <c r="AN724" s="1380"/>
      <c r="AO724" s="1381"/>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79"/>
      <c r="C725" s="1380"/>
      <c r="D725" s="1380"/>
      <c r="E725" s="1380"/>
      <c r="F725" s="1381"/>
      <c r="G725" s="1480"/>
      <c r="H725" s="1481"/>
      <c r="I725" s="1481"/>
      <c r="J725" s="1482"/>
      <c r="K725" s="1477"/>
      <c r="L725" s="1478"/>
      <c r="M725" s="1478"/>
      <c r="N725" s="1479"/>
      <c r="O725" s="1492"/>
      <c r="P725" s="1493"/>
      <c r="Q725" s="1493"/>
      <c r="R725" s="1493"/>
      <c r="S725" s="1494"/>
      <c r="T725" s="1492"/>
      <c r="U725" s="1493"/>
      <c r="V725" s="1493"/>
      <c r="W725" s="1494"/>
      <c r="X725" s="1495">
        <f t="shared" si="50"/>
        <v>0</v>
      </c>
      <c r="Y725" s="1496"/>
      <c r="Z725" s="1496"/>
      <c r="AA725" s="1496"/>
      <c r="AB725" s="1497"/>
      <c r="AC725" s="1582"/>
      <c r="AD725" s="1583"/>
      <c r="AE725" s="1583"/>
      <c r="AF725" s="1583"/>
      <c r="AG725" s="1584"/>
      <c r="AH725" s="1578" t="str">
        <f t="shared" si="51"/>
        <v xml:space="preserve"> </v>
      </c>
      <c r="AI725" s="1579"/>
      <c r="AJ725" s="1580"/>
      <c r="AK725" s="1379"/>
      <c r="AL725" s="1380"/>
      <c r="AM725" s="1380"/>
      <c r="AN725" s="1380"/>
      <c r="AO725" s="1381"/>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79"/>
      <c r="C726" s="1380"/>
      <c r="D726" s="1380"/>
      <c r="E726" s="1380"/>
      <c r="F726" s="1381"/>
      <c r="G726" s="1480"/>
      <c r="H726" s="1481"/>
      <c r="I726" s="1481"/>
      <c r="J726" s="1482"/>
      <c r="K726" s="1477"/>
      <c r="L726" s="1478"/>
      <c r="M726" s="1478"/>
      <c r="N726" s="1479"/>
      <c r="O726" s="1492"/>
      <c r="P726" s="1493"/>
      <c r="Q726" s="1493"/>
      <c r="R726" s="1493"/>
      <c r="S726" s="1494"/>
      <c r="T726" s="1492"/>
      <c r="U726" s="1493"/>
      <c r="V726" s="1493"/>
      <c r="W726" s="1494"/>
      <c r="X726" s="1495">
        <f t="shared" si="50"/>
        <v>0</v>
      </c>
      <c r="Y726" s="1496"/>
      <c r="Z726" s="1496"/>
      <c r="AA726" s="1496"/>
      <c r="AB726" s="1497"/>
      <c r="AC726" s="1582"/>
      <c r="AD726" s="1583"/>
      <c r="AE726" s="1583"/>
      <c r="AF726" s="1583"/>
      <c r="AG726" s="1584"/>
      <c r="AH726" s="1578" t="str">
        <f t="shared" si="51"/>
        <v xml:space="preserve"> </v>
      </c>
      <c r="AI726" s="1579"/>
      <c r="AJ726" s="1580"/>
      <c r="AK726" s="1379"/>
      <c r="AL726" s="1380"/>
      <c r="AM726" s="1380"/>
      <c r="AN726" s="1380"/>
      <c r="AO726" s="1381"/>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79"/>
      <c r="C727" s="1380"/>
      <c r="D727" s="1380"/>
      <c r="E727" s="1380"/>
      <c r="F727" s="1381"/>
      <c r="G727" s="1480"/>
      <c r="H727" s="1481"/>
      <c r="I727" s="1481"/>
      <c r="J727" s="1482"/>
      <c r="K727" s="1477"/>
      <c r="L727" s="1478"/>
      <c r="M727" s="1478"/>
      <c r="N727" s="1479"/>
      <c r="O727" s="1492"/>
      <c r="P727" s="1493"/>
      <c r="Q727" s="1493"/>
      <c r="R727" s="1493"/>
      <c r="S727" s="1494"/>
      <c r="T727" s="1492"/>
      <c r="U727" s="1493"/>
      <c r="V727" s="1493"/>
      <c r="W727" s="1494"/>
      <c r="X727" s="1495">
        <f t="shared" si="50"/>
        <v>0</v>
      </c>
      <c r="Y727" s="1496"/>
      <c r="Z727" s="1496"/>
      <c r="AA727" s="1496"/>
      <c r="AB727" s="1497"/>
      <c r="AC727" s="1582">
        <v>0</v>
      </c>
      <c r="AD727" s="1583"/>
      <c r="AE727" s="1583"/>
      <c r="AF727" s="1583"/>
      <c r="AG727" s="1584"/>
      <c r="AH727" s="1578" t="str">
        <f t="shared" si="51"/>
        <v xml:space="preserve"> </v>
      </c>
      <c r="AI727" s="1579"/>
      <c r="AJ727" s="1580"/>
      <c r="AK727" s="1379"/>
      <c r="AL727" s="1380"/>
      <c r="AM727" s="1380"/>
      <c r="AN727" s="1380"/>
      <c r="AO727" s="1381"/>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79"/>
      <c r="C728" s="1380"/>
      <c r="D728" s="1380"/>
      <c r="E728" s="1380"/>
      <c r="F728" s="1381"/>
      <c r="G728" s="1480"/>
      <c r="H728" s="1481"/>
      <c r="I728" s="1481"/>
      <c r="J728" s="1482"/>
      <c r="K728" s="1477"/>
      <c r="L728" s="1478"/>
      <c r="M728" s="1478"/>
      <c r="N728" s="1479"/>
      <c r="O728" s="1492"/>
      <c r="P728" s="1493"/>
      <c r="Q728" s="1493"/>
      <c r="R728" s="1493"/>
      <c r="S728" s="1494"/>
      <c r="T728" s="1492"/>
      <c r="U728" s="1493"/>
      <c r="V728" s="1493"/>
      <c r="W728" s="1494"/>
      <c r="X728" s="1495">
        <f t="shared" si="50"/>
        <v>0</v>
      </c>
      <c r="Y728" s="1496"/>
      <c r="Z728" s="1496"/>
      <c r="AA728" s="1496"/>
      <c r="AB728" s="1497"/>
      <c r="AC728" s="1582">
        <v>0</v>
      </c>
      <c r="AD728" s="1583"/>
      <c r="AE728" s="1583"/>
      <c r="AF728" s="1583"/>
      <c r="AG728" s="1584"/>
      <c r="AH728" s="1578" t="str">
        <f t="shared" si="51"/>
        <v xml:space="preserve"> </v>
      </c>
      <c r="AI728" s="1579"/>
      <c r="AJ728" s="1580"/>
      <c r="AK728" s="1379"/>
      <c r="AL728" s="1380"/>
      <c r="AM728" s="1380"/>
      <c r="AN728" s="1380"/>
      <c r="AO728" s="1381"/>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79"/>
      <c r="C729" s="1380"/>
      <c r="D729" s="1380"/>
      <c r="E729" s="1380"/>
      <c r="F729" s="1381"/>
      <c r="G729" s="1480"/>
      <c r="H729" s="1481"/>
      <c r="I729" s="1481"/>
      <c r="J729" s="1482"/>
      <c r="K729" s="1477"/>
      <c r="L729" s="1478"/>
      <c r="M729" s="1478"/>
      <c r="N729" s="1479"/>
      <c r="O729" s="1492"/>
      <c r="P729" s="1493"/>
      <c r="Q729" s="1493"/>
      <c r="R729" s="1493"/>
      <c r="S729" s="1494"/>
      <c r="T729" s="1492"/>
      <c r="U729" s="1493"/>
      <c r="V729" s="1493"/>
      <c r="W729" s="1494"/>
      <c r="X729" s="1495">
        <f t="shared" si="50"/>
        <v>0</v>
      </c>
      <c r="Y729" s="1496"/>
      <c r="Z729" s="1496"/>
      <c r="AA729" s="1496"/>
      <c r="AB729" s="1497"/>
      <c r="AC729" s="1582">
        <v>0</v>
      </c>
      <c r="AD729" s="1583"/>
      <c r="AE729" s="1583"/>
      <c r="AF729" s="1583"/>
      <c r="AG729" s="1584"/>
      <c r="AH729" s="1578" t="str">
        <f t="shared" si="51"/>
        <v xml:space="preserve"> </v>
      </c>
      <c r="AI729" s="1579"/>
      <c r="AJ729" s="1580"/>
      <c r="AK729" s="1379"/>
      <c r="AL729" s="1380"/>
      <c r="AM729" s="1380"/>
      <c r="AN729" s="1380"/>
      <c r="AO729" s="1381"/>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79"/>
      <c r="C730" s="1380"/>
      <c r="D730" s="1380"/>
      <c r="E730" s="1380"/>
      <c r="F730" s="1381"/>
      <c r="G730" s="1480"/>
      <c r="H730" s="1481"/>
      <c r="I730" s="1481"/>
      <c r="J730" s="1482"/>
      <c r="K730" s="1477"/>
      <c r="L730" s="1478"/>
      <c r="M730" s="1478"/>
      <c r="N730" s="1479"/>
      <c r="O730" s="1492"/>
      <c r="P730" s="1493"/>
      <c r="Q730" s="1493"/>
      <c r="R730" s="1493"/>
      <c r="S730" s="1494"/>
      <c r="T730" s="1492"/>
      <c r="U730" s="1493"/>
      <c r="V730" s="1493"/>
      <c r="W730" s="1494"/>
      <c r="X730" s="1495">
        <f t="shared" si="50"/>
        <v>0</v>
      </c>
      <c r="Y730" s="1496"/>
      <c r="Z730" s="1496"/>
      <c r="AA730" s="1496"/>
      <c r="AB730" s="1497"/>
      <c r="AC730" s="1582">
        <v>0</v>
      </c>
      <c r="AD730" s="1583"/>
      <c r="AE730" s="1583"/>
      <c r="AF730" s="1583"/>
      <c r="AG730" s="1584"/>
      <c r="AH730" s="1578" t="str">
        <f t="shared" si="51"/>
        <v xml:space="preserve"> </v>
      </c>
      <c r="AI730" s="1579"/>
      <c r="AJ730" s="1580"/>
      <c r="AK730" s="1379"/>
      <c r="AL730" s="1380"/>
      <c r="AM730" s="1380"/>
      <c r="AN730" s="1380"/>
      <c r="AO730" s="1381"/>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79"/>
      <c r="C731" s="1380"/>
      <c r="D731" s="1380"/>
      <c r="E731" s="1380"/>
      <c r="F731" s="1381"/>
      <c r="G731" s="1480"/>
      <c r="H731" s="1481"/>
      <c r="I731" s="1481"/>
      <c r="J731" s="1482"/>
      <c r="K731" s="1477"/>
      <c r="L731" s="1478"/>
      <c r="M731" s="1478"/>
      <c r="N731" s="1479"/>
      <c r="O731" s="1492"/>
      <c r="P731" s="1493"/>
      <c r="Q731" s="1493"/>
      <c r="R731" s="1493"/>
      <c r="S731" s="1494"/>
      <c r="T731" s="1492"/>
      <c r="U731" s="1493"/>
      <c r="V731" s="1493"/>
      <c r="W731" s="1494"/>
      <c r="X731" s="1495">
        <f t="shared" si="50"/>
        <v>0</v>
      </c>
      <c r="Y731" s="1496"/>
      <c r="Z731" s="1496"/>
      <c r="AA731" s="1496"/>
      <c r="AB731" s="1497"/>
      <c r="AC731" s="1582">
        <v>0</v>
      </c>
      <c r="AD731" s="1583"/>
      <c r="AE731" s="1583"/>
      <c r="AF731" s="1583"/>
      <c r="AG731" s="1584"/>
      <c r="AH731" s="1578" t="str">
        <f t="shared" si="51"/>
        <v xml:space="preserve"> </v>
      </c>
      <c r="AI731" s="1579"/>
      <c r="AJ731" s="1580"/>
      <c r="AK731" s="1379"/>
      <c r="AL731" s="1380"/>
      <c r="AM731" s="1380"/>
      <c r="AN731" s="1380"/>
      <c r="AO731" s="1381"/>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79"/>
      <c r="C732" s="1380"/>
      <c r="D732" s="1380"/>
      <c r="E732" s="1380"/>
      <c r="F732" s="1381"/>
      <c r="G732" s="1480"/>
      <c r="H732" s="1481"/>
      <c r="I732" s="1481"/>
      <c r="J732" s="1482"/>
      <c r="K732" s="1477"/>
      <c r="L732" s="1478"/>
      <c r="M732" s="1478"/>
      <c r="N732" s="1479"/>
      <c r="O732" s="1492"/>
      <c r="P732" s="1493"/>
      <c r="Q732" s="1493"/>
      <c r="R732" s="1493"/>
      <c r="S732" s="1494"/>
      <c r="T732" s="1492"/>
      <c r="U732" s="1493"/>
      <c r="V732" s="1493"/>
      <c r="W732" s="1494"/>
      <c r="X732" s="1495">
        <f t="shared" si="50"/>
        <v>0</v>
      </c>
      <c r="Y732" s="1496"/>
      <c r="Z732" s="1496"/>
      <c r="AA732" s="1496"/>
      <c r="AB732" s="1497"/>
      <c r="AC732" s="1582">
        <v>0</v>
      </c>
      <c r="AD732" s="1583"/>
      <c r="AE732" s="1583"/>
      <c r="AF732" s="1583"/>
      <c r="AG732" s="1584"/>
      <c r="AH732" s="1578" t="str">
        <f t="shared" si="51"/>
        <v xml:space="preserve"> </v>
      </c>
      <c r="AI732" s="1579"/>
      <c r="AJ732" s="1580"/>
      <c r="AK732" s="1379"/>
      <c r="AL732" s="1380"/>
      <c r="AM732" s="1380"/>
      <c r="AN732" s="1380"/>
      <c r="AO732" s="1381"/>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79"/>
      <c r="C733" s="1380"/>
      <c r="D733" s="1380"/>
      <c r="E733" s="1380"/>
      <c r="F733" s="1381"/>
      <c r="G733" s="1480"/>
      <c r="H733" s="1481"/>
      <c r="I733" s="1481"/>
      <c r="J733" s="1482"/>
      <c r="K733" s="1477"/>
      <c r="L733" s="1478"/>
      <c r="M733" s="1478"/>
      <c r="N733" s="1479"/>
      <c r="O733" s="1492"/>
      <c r="P733" s="1493"/>
      <c r="Q733" s="1493"/>
      <c r="R733" s="1493"/>
      <c r="S733" s="1494"/>
      <c r="T733" s="1492"/>
      <c r="U733" s="1493"/>
      <c r="V733" s="1493"/>
      <c r="W733" s="1494"/>
      <c r="X733" s="1495">
        <f t="shared" si="50"/>
        <v>0</v>
      </c>
      <c r="Y733" s="1496"/>
      <c r="Z733" s="1496"/>
      <c r="AA733" s="1496"/>
      <c r="AB733" s="1497"/>
      <c r="AC733" s="1582">
        <v>0</v>
      </c>
      <c r="AD733" s="1583"/>
      <c r="AE733" s="1583"/>
      <c r="AF733" s="1583"/>
      <c r="AG733" s="1584"/>
      <c r="AH733" s="1578" t="str">
        <f t="shared" si="51"/>
        <v xml:space="preserve"> </v>
      </c>
      <c r="AI733" s="1579"/>
      <c r="AJ733" s="1580"/>
      <c r="AK733" s="1379"/>
      <c r="AL733" s="1380"/>
      <c r="AM733" s="1380"/>
      <c r="AN733" s="1380"/>
      <c r="AO733" s="1381"/>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79"/>
      <c r="C734" s="1380"/>
      <c r="D734" s="1380"/>
      <c r="E734" s="1380"/>
      <c r="F734" s="1381"/>
      <c r="G734" s="1480"/>
      <c r="H734" s="1481"/>
      <c r="I734" s="1481"/>
      <c r="J734" s="1482"/>
      <c r="K734" s="1477"/>
      <c r="L734" s="1478"/>
      <c r="M734" s="1478"/>
      <c r="N734" s="1479"/>
      <c r="O734" s="1492"/>
      <c r="P734" s="1493"/>
      <c r="Q734" s="1493"/>
      <c r="R734" s="1493"/>
      <c r="S734" s="1494"/>
      <c r="T734" s="1492"/>
      <c r="U734" s="1493"/>
      <c r="V734" s="1493"/>
      <c r="W734" s="1494"/>
      <c r="X734" s="1495">
        <f t="shared" si="50"/>
        <v>0</v>
      </c>
      <c r="Y734" s="1496"/>
      <c r="Z734" s="1496"/>
      <c r="AA734" s="1496"/>
      <c r="AB734" s="1497"/>
      <c r="AC734" s="1582">
        <v>0</v>
      </c>
      <c r="AD734" s="1583"/>
      <c r="AE734" s="1583"/>
      <c r="AF734" s="1583"/>
      <c r="AG734" s="1584"/>
      <c r="AH734" s="1578" t="str">
        <f t="shared" si="51"/>
        <v xml:space="preserve"> </v>
      </c>
      <c r="AI734" s="1579"/>
      <c r="AJ734" s="1580"/>
      <c r="AK734" s="1379"/>
      <c r="AL734" s="1380"/>
      <c r="AM734" s="1380"/>
      <c r="AN734" s="1380"/>
      <c r="AO734" s="1381"/>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79"/>
      <c r="C735" s="1380"/>
      <c r="D735" s="1380"/>
      <c r="E735" s="1380"/>
      <c r="F735" s="1381"/>
      <c r="G735" s="1480"/>
      <c r="H735" s="1481"/>
      <c r="I735" s="1481"/>
      <c r="J735" s="1482"/>
      <c r="K735" s="1477"/>
      <c r="L735" s="1478"/>
      <c r="M735" s="1478"/>
      <c r="N735" s="1479"/>
      <c r="O735" s="1492"/>
      <c r="P735" s="1493"/>
      <c r="Q735" s="1493"/>
      <c r="R735" s="1493"/>
      <c r="S735" s="1494"/>
      <c r="T735" s="1492"/>
      <c r="U735" s="1493"/>
      <c r="V735" s="1493"/>
      <c r="W735" s="1494"/>
      <c r="X735" s="1495">
        <f t="shared" si="50"/>
        <v>0</v>
      </c>
      <c r="Y735" s="1496"/>
      <c r="Z735" s="1496"/>
      <c r="AA735" s="1496"/>
      <c r="AB735" s="1497"/>
      <c r="AC735" s="1582">
        <v>0</v>
      </c>
      <c r="AD735" s="1583"/>
      <c r="AE735" s="1583"/>
      <c r="AF735" s="1583"/>
      <c r="AG735" s="1584"/>
      <c r="AH735" s="1578" t="str">
        <f t="shared" si="51"/>
        <v xml:space="preserve"> </v>
      </c>
      <c r="AI735" s="1579"/>
      <c r="AJ735" s="1580"/>
      <c r="AK735" s="1379"/>
      <c r="AL735" s="1380"/>
      <c r="AM735" s="1380"/>
      <c r="AN735" s="1380"/>
      <c r="AO735" s="1381"/>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79"/>
      <c r="C736" s="1380"/>
      <c r="D736" s="1380"/>
      <c r="E736" s="1380"/>
      <c r="F736" s="1381"/>
      <c r="G736" s="1480"/>
      <c r="H736" s="1481"/>
      <c r="I736" s="1481"/>
      <c r="J736" s="1482"/>
      <c r="K736" s="1477"/>
      <c r="L736" s="1478"/>
      <c r="M736" s="1478"/>
      <c r="N736" s="1479"/>
      <c r="O736" s="1492"/>
      <c r="P736" s="1493"/>
      <c r="Q736" s="1493"/>
      <c r="R736" s="1493"/>
      <c r="S736" s="1494"/>
      <c r="T736" s="1492"/>
      <c r="U736" s="1493"/>
      <c r="V736" s="1493"/>
      <c r="W736" s="1494"/>
      <c r="X736" s="1495">
        <f t="shared" si="50"/>
        <v>0</v>
      </c>
      <c r="Y736" s="1496"/>
      <c r="Z736" s="1496"/>
      <c r="AA736" s="1496"/>
      <c r="AB736" s="1497"/>
      <c r="AC736" s="1582">
        <v>0</v>
      </c>
      <c r="AD736" s="1583"/>
      <c r="AE736" s="1583"/>
      <c r="AF736" s="1583"/>
      <c r="AG736" s="1584"/>
      <c r="AH736" s="1578" t="str">
        <f t="shared" si="51"/>
        <v xml:space="preserve"> </v>
      </c>
      <c r="AI736" s="1579"/>
      <c r="AJ736" s="1580"/>
      <c r="AK736" s="1379"/>
      <c r="AL736" s="1380"/>
      <c r="AM736" s="1380"/>
      <c r="AN736" s="1380"/>
      <c r="AO736" s="1381"/>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79"/>
      <c r="C737" s="1380"/>
      <c r="D737" s="1380"/>
      <c r="E737" s="1380"/>
      <c r="F737" s="1381"/>
      <c r="G737" s="1480"/>
      <c r="H737" s="1481"/>
      <c r="I737" s="1481"/>
      <c r="J737" s="1482"/>
      <c r="K737" s="1477"/>
      <c r="L737" s="1478"/>
      <c r="M737" s="1478"/>
      <c r="N737" s="1479"/>
      <c r="O737" s="1492"/>
      <c r="P737" s="1493"/>
      <c r="Q737" s="1493"/>
      <c r="R737" s="1493"/>
      <c r="S737" s="1494"/>
      <c r="T737" s="1492"/>
      <c r="U737" s="1493"/>
      <c r="V737" s="1493"/>
      <c r="W737" s="1494"/>
      <c r="X737" s="1495">
        <f t="shared" si="50"/>
        <v>0</v>
      </c>
      <c r="Y737" s="1496"/>
      <c r="Z737" s="1496"/>
      <c r="AA737" s="1496"/>
      <c r="AB737" s="1497"/>
      <c r="AC737" s="1582">
        <v>0</v>
      </c>
      <c r="AD737" s="1583"/>
      <c r="AE737" s="1583"/>
      <c r="AF737" s="1583"/>
      <c r="AG737" s="1584"/>
      <c r="AH737" s="1578" t="str">
        <f t="shared" si="51"/>
        <v xml:space="preserve"> </v>
      </c>
      <c r="AI737" s="1579"/>
      <c r="AJ737" s="1580"/>
      <c r="AK737" s="1379"/>
      <c r="AL737" s="1380"/>
      <c r="AM737" s="1380"/>
      <c r="AN737" s="1380"/>
      <c r="AO737" s="1381"/>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79"/>
      <c r="C738" s="1380"/>
      <c r="D738" s="1380"/>
      <c r="E738" s="1380"/>
      <c r="F738" s="1381"/>
      <c r="G738" s="1480"/>
      <c r="H738" s="1481"/>
      <c r="I738" s="1481"/>
      <c r="J738" s="1482"/>
      <c r="K738" s="1477"/>
      <c r="L738" s="1478"/>
      <c r="M738" s="1478"/>
      <c r="N738" s="1479"/>
      <c r="O738" s="1492"/>
      <c r="P738" s="1493"/>
      <c r="Q738" s="1493"/>
      <c r="R738" s="1493"/>
      <c r="S738" s="1494"/>
      <c r="T738" s="1492"/>
      <c r="U738" s="1493"/>
      <c r="V738" s="1493"/>
      <c r="W738" s="1494"/>
      <c r="X738" s="1495">
        <f t="shared" si="50"/>
        <v>0</v>
      </c>
      <c r="Y738" s="1496"/>
      <c r="Z738" s="1496"/>
      <c r="AA738" s="1496"/>
      <c r="AB738" s="1497"/>
      <c r="AC738" s="1582">
        <v>0</v>
      </c>
      <c r="AD738" s="1583"/>
      <c r="AE738" s="1583"/>
      <c r="AF738" s="1583"/>
      <c r="AG738" s="1584"/>
      <c r="AH738" s="1578" t="str">
        <f t="shared" si="51"/>
        <v xml:space="preserve"> </v>
      </c>
      <c r="AI738" s="1579"/>
      <c r="AJ738" s="1580"/>
      <c r="AK738" s="1379"/>
      <c r="AL738" s="1380"/>
      <c r="AM738" s="1380"/>
      <c r="AN738" s="1380"/>
      <c r="AO738" s="1381"/>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25" t="s">
        <v>126</v>
      </c>
      <c r="C739" s="1526"/>
      <c r="D739" s="1526"/>
      <c r="E739" s="1526"/>
      <c r="F739" s="1528"/>
      <c r="G739" s="1760">
        <f>SUM(G714:J738)</f>
        <v>75</v>
      </c>
      <c r="H739" s="1761"/>
      <c r="I739" s="1761"/>
      <c r="J739" s="1762"/>
      <c r="K739" s="939" t="s">
        <v>125</v>
      </c>
      <c r="L739" s="5"/>
      <c r="M739" s="5"/>
      <c r="N739" s="46"/>
      <c r="O739" s="1495">
        <f>SUMPRODUCT(G714:G738,O714:O738)</f>
        <v>111529</v>
      </c>
      <c r="P739" s="1496"/>
      <c r="Q739" s="1496"/>
      <c r="R739" s="1496"/>
      <c r="S739" s="1497"/>
      <c r="X739" s="941" t="s">
        <v>933</v>
      </c>
      <c r="Y739" s="940"/>
      <c r="Z739" s="940"/>
      <c r="AA739" s="940"/>
      <c r="AB739" s="942"/>
      <c r="AC739" s="1703">
        <f>BI682</f>
        <v>0.47533333333333339</v>
      </c>
      <c r="AD739" s="1704"/>
      <c r="AE739" s="1704"/>
      <c r="AF739" s="1704"/>
      <c r="AG739" s="1705"/>
      <c r="AH739" s="1703">
        <f>BI714</f>
        <v>0.47531556536823849</v>
      </c>
      <c r="AI739" s="1704"/>
      <c r="AJ739" s="1705"/>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498" t="s">
        <v>2257</v>
      </c>
      <c r="C740" s="1498"/>
      <c r="D740" s="1498"/>
      <c r="E740" s="1498"/>
      <c r="F740" s="1498"/>
      <c r="G740" s="1498"/>
      <c r="H740" s="1498"/>
      <c r="I740" s="1498"/>
      <c r="J740" s="1498"/>
      <c r="K740" s="1498"/>
      <c r="L740" s="1498"/>
      <c r="M740" s="1498"/>
      <c r="N740" s="1498"/>
      <c r="O740" s="1498"/>
      <c r="P740" s="1498"/>
      <c r="Q740" s="1498"/>
      <c r="R740" s="1498"/>
      <c r="S740" s="1498"/>
      <c r="T740" s="1498"/>
      <c r="U740" s="1498"/>
      <c r="V740" s="1498"/>
      <c r="W740" s="1498"/>
      <c r="X740" s="1498"/>
      <c r="Y740" s="1498"/>
      <c r="Z740" s="1498"/>
      <c r="AA740" s="1498"/>
      <c r="AB740" s="1498"/>
      <c r="AC740" s="1498"/>
      <c r="AD740" s="1498"/>
      <c r="AE740" s="1498"/>
      <c r="AF740" s="1498"/>
      <c r="AG740" s="1498"/>
      <c r="AH740" s="1498"/>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498"/>
      <c r="C741" s="1498"/>
      <c r="D741" s="1498"/>
      <c r="E741" s="1498"/>
      <c r="F741" s="1498"/>
      <c r="G741" s="1498"/>
      <c r="H741" s="1498"/>
      <c r="I741" s="1498"/>
      <c r="J741" s="1498"/>
      <c r="K741" s="1498"/>
      <c r="L741" s="1498"/>
      <c r="M741" s="1498"/>
      <c r="N741" s="1498"/>
      <c r="O741" s="1498"/>
      <c r="P741" s="1498"/>
      <c r="Q741" s="1498"/>
      <c r="R741" s="1498"/>
      <c r="S741" s="1498"/>
      <c r="T741" s="1498"/>
      <c r="U741" s="1498"/>
      <c r="V741" s="1498"/>
      <c r="W741" s="1498"/>
      <c r="X741" s="1498"/>
      <c r="Y741" s="1498"/>
      <c r="Z741" s="1498"/>
      <c r="AA741" s="1498"/>
      <c r="AB741" s="1498"/>
      <c r="AC741" s="1498"/>
      <c r="AD741" s="1498"/>
      <c r="AE741" s="1498"/>
      <c r="AF741" s="1498"/>
      <c r="AG741" s="1498"/>
      <c r="AH741" s="1498"/>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2255</v>
      </c>
      <c r="D742" s="1076"/>
      <c r="E742" s="1076"/>
      <c r="F742" s="1076"/>
      <c r="G742" s="1077"/>
      <c r="H742" s="1077"/>
      <c r="I742" s="1077"/>
      <c r="J742" s="1077"/>
      <c r="K742" s="1076"/>
      <c r="L742" s="1076"/>
      <c r="M742" s="1076"/>
      <c r="N742" s="1076"/>
      <c r="O742" s="1695">
        <f>CS623</f>
        <v>173</v>
      </c>
      <c r="P742" s="1695"/>
      <c r="Q742" s="1695"/>
      <c r="R742" s="1695"/>
      <c r="S742" s="1006"/>
      <c r="T742" s="1006"/>
      <c r="U742" s="118" t="s">
        <v>2256</v>
      </c>
      <c r="V742" s="1076"/>
      <c r="W742" s="1076"/>
      <c r="X742" s="1076"/>
      <c r="Y742" s="1077"/>
      <c r="Z742" s="1077"/>
      <c r="AA742" s="1077"/>
      <c r="AB742" s="1077"/>
      <c r="AC742" s="1076"/>
      <c r="AD742" s="1076"/>
      <c r="AE742" s="1076"/>
      <c r="AF742" s="1076"/>
      <c r="AG742" s="1696"/>
      <c r="AH742" s="1696"/>
      <c r="AI742" s="1696"/>
      <c r="AJ742" s="1696"/>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2254</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77" t="s">
        <v>600</v>
      </c>
      <c r="AE744" s="1577"/>
      <c r="AF744" s="1577"/>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2506</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585</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6" t="s">
        <v>2507</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2.95"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2.95"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2.95" customHeight="1">
      <c r="B751" s="1076"/>
      <c r="C751" s="1266" t="s">
        <v>2508</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2.95"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2.95"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2.95" customHeight="1">
      <c r="J754" s="1483" t="s">
        <v>391</v>
      </c>
      <c r="K754" s="1484"/>
      <c r="L754" s="1484"/>
      <c r="M754" s="1484"/>
      <c r="N754" s="1485"/>
      <c r="O754" s="1694" t="s">
        <v>287</v>
      </c>
      <c r="P754" s="1694"/>
      <c r="Q754" s="1694"/>
      <c r="R754" s="1694"/>
      <c r="S754" s="1694"/>
      <c r="T754" s="1499" t="s">
        <v>1938</v>
      </c>
      <c r="U754" s="1500"/>
      <c r="V754" s="1500"/>
      <c r="W754" s="1501"/>
      <c r="X754" s="1483" t="s">
        <v>456</v>
      </c>
      <c r="Y754" s="1484"/>
      <c r="Z754" s="1484"/>
      <c r="AA754" s="1484"/>
      <c r="AB754" s="1485"/>
      <c r="AC754" s="1483" t="s">
        <v>288</v>
      </c>
      <c r="AD754" s="1484"/>
      <c r="AE754" s="1484"/>
      <c r="AF754" s="1484"/>
      <c r="AG754" s="1485"/>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86"/>
      <c r="K755" s="1487"/>
      <c r="L755" s="1487"/>
      <c r="M755" s="1487"/>
      <c r="N755" s="1488"/>
      <c r="O755" s="1694"/>
      <c r="P755" s="1694"/>
      <c r="Q755" s="1694"/>
      <c r="R755" s="1694"/>
      <c r="S755" s="1694"/>
      <c r="T755" s="1502"/>
      <c r="U755" s="1503"/>
      <c r="V755" s="1503"/>
      <c r="W755" s="1504"/>
      <c r="X755" s="1486"/>
      <c r="Y755" s="1487"/>
      <c r="Z755" s="1487"/>
      <c r="AA755" s="1487"/>
      <c r="AB755" s="1488"/>
      <c r="AC755" s="1486"/>
      <c r="AD755" s="1487"/>
      <c r="AE755" s="1487"/>
      <c r="AF755" s="1487"/>
      <c r="AG755" s="1488"/>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86"/>
      <c r="K756" s="1487"/>
      <c r="L756" s="1487"/>
      <c r="M756" s="1487"/>
      <c r="N756" s="1488"/>
      <c r="O756" s="1694"/>
      <c r="P756" s="1694"/>
      <c r="Q756" s="1694"/>
      <c r="R756" s="1694"/>
      <c r="S756" s="1694"/>
      <c r="T756" s="1502"/>
      <c r="U756" s="1503"/>
      <c r="V756" s="1503"/>
      <c r="W756" s="1504"/>
      <c r="X756" s="1486"/>
      <c r="Y756" s="1487"/>
      <c r="Z756" s="1487"/>
      <c r="AA756" s="1487"/>
      <c r="AB756" s="1488"/>
      <c r="AC756" s="1486"/>
      <c r="AD756" s="1487"/>
      <c r="AE756" s="1487"/>
      <c r="AF756" s="1487"/>
      <c r="AG756" s="1488"/>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89"/>
      <c r="K757" s="1490"/>
      <c r="L757" s="1490"/>
      <c r="M757" s="1490"/>
      <c r="N757" s="1491"/>
      <c r="O757" s="1694"/>
      <c r="P757" s="1694"/>
      <c r="Q757" s="1694"/>
      <c r="R757" s="1694"/>
      <c r="S757" s="1694"/>
      <c r="T757" s="1505"/>
      <c r="U757" s="1506"/>
      <c r="V757" s="1506"/>
      <c r="W757" s="1507"/>
      <c r="X757" s="1489"/>
      <c r="Y757" s="1490"/>
      <c r="Z757" s="1490"/>
      <c r="AA757" s="1490"/>
      <c r="AB757" s="1491"/>
      <c r="AC757" s="1489"/>
      <c r="AD757" s="1490"/>
      <c r="AE757" s="1490"/>
      <c r="AF757" s="1490"/>
      <c r="AG757" s="1491"/>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79" t="s">
        <v>165</v>
      </c>
      <c r="K758" s="1380"/>
      <c r="L758" s="1380"/>
      <c r="M758" s="1380"/>
      <c r="N758" s="1381"/>
      <c r="O758" s="1372">
        <v>1</v>
      </c>
      <c r="P758" s="1372"/>
      <c r="Q758" s="1372"/>
      <c r="R758" s="1372"/>
      <c r="S758" s="1372"/>
      <c r="T758" s="1477">
        <v>1283</v>
      </c>
      <c r="U758" s="1478"/>
      <c r="V758" s="1478"/>
      <c r="W758" s="1479"/>
      <c r="X758" s="1492"/>
      <c r="Y758" s="1493"/>
      <c r="Z758" s="1493"/>
      <c r="AA758" s="1493"/>
      <c r="AB758" s="1494"/>
      <c r="AC758" s="1495">
        <f>X758*O758</f>
        <v>0</v>
      </c>
      <c r="AD758" s="1496"/>
      <c r="AE758" s="1496"/>
      <c r="AF758" s="1496"/>
      <c r="AG758" s="1497"/>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79"/>
      <c r="K759" s="1380"/>
      <c r="L759" s="1380"/>
      <c r="M759" s="1380"/>
      <c r="N759" s="1381"/>
      <c r="O759" s="1372"/>
      <c r="P759" s="1372"/>
      <c r="Q759" s="1372"/>
      <c r="R759" s="1372"/>
      <c r="S759" s="1372"/>
      <c r="T759" s="1477"/>
      <c r="U759" s="1478"/>
      <c r="V759" s="1478"/>
      <c r="W759" s="1479"/>
      <c r="X759" s="1492"/>
      <c r="Y759" s="1493"/>
      <c r="Z759" s="1493"/>
      <c r="AA759" s="1493"/>
      <c r="AB759" s="1494"/>
      <c r="AC759" s="1495">
        <f>X759*O759</f>
        <v>0</v>
      </c>
      <c r="AD759" s="1496"/>
      <c r="AE759" s="1496"/>
      <c r="AF759" s="1496"/>
      <c r="AG759" s="1497"/>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79"/>
      <c r="K760" s="1380"/>
      <c r="L760" s="1380"/>
      <c r="M760" s="1380"/>
      <c r="N760" s="1381"/>
      <c r="O760" s="1372"/>
      <c r="P760" s="1372"/>
      <c r="Q760" s="1372"/>
      <c r="R760" s="1372"/>
      <c r="S760" s="1372"/>
      <c r="T760" s="1477"/>
      <c r="U760" s="1478"/>
      <c r="V760" s="1478"/>
      <c r="W760" s="1479"/>
      <c r="X760" s="1492"/>
      <c r="Y760" s="1493"/>
      <c r="Z760" s="1493"/>
      <c r="AA760" s="1493"/>
      <c r="AB760" s="1494"/>
      <c r="AC760" s="1495">
        <f>X760*O760</f>
        <v>0</v>
      </c>
      <c r="AD760" s="1496"/>
      <c r="AE760" s="1496"/>
      <c r="AF760" s="1496"/>
      <c r="AG760" s="1497"/>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79"/>
      <c r="K761" s="1380"/>
      <c r="L761" s="1380"/>
      <c r="M761" s="1380"/>
      <c r="N761" s="1381"/>
      <c r="O761" s="1372"/>
      <c r="P761" s="1372"/>
      <c r="Q761" s="1372"/>
      <c r="R761" s="1372"/>
      <c r="S761" s="1372"/>
      <c r="T761" s="1477"/>
      <c r="U761" s="1478"/>
      <c r="V761" s="1478"/>
      <c r="W761" s="1479"/>
      <c r="X761" s="1492"/>
      <c r="Y761" s="1493"/>
      <c r="Z761" s="1493"/>
      <c r="AA761" s="1493"/>
      <c r="AB761" s="1494"/>
      <c r="AC761" s="1495">
        <f>X761*O761</f>
        <v>0</v>
      </c>
      <c r="AD761" s="1496"/>
      <c r="AE761" s="1496"/>
      <c r="AF761" s="1496"/>
      <c r="AG761" s="1497"/>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25" t="s">
        <v>126</v>
      </c>
      <c r="K762" s="1526"/>
      <c r="L762" s="1526"/>
      <c r="M762" s="1526"/>
      <c r="N762" s="1528"/>
      <c r="O762" s="1511">
        <f>SUM(O758:S761)</f>
        <v>1</v>
      </c>
      <c r="P762" s="1513"/>
      <c r="Q762" s="1513"/>
      <c r="R762" s="1513"/>
      <c r="S762" s="1512"/>
      <c r="X762" s="1525" t="s">
        <v>125</v>
      </c>
      <c r="Y762" s="1526"/>
      <c r="Z762" s="1526"/>
      <c r="AA762" s="1526"/>
      <c r="AB762" s="1528"/>
      <c r="AC762" s="1495">
        <f>SUM(AC758:AG761)</f>
        <v>0</v>
      </c>
      <c r="AD762" s="1496"/>
      <c r="AE762" s="1496"/>
      <c r="AF762" s="1496"/>
      <c r="AG762" s="1497"/>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378" t="s">
        <v>678</v>
      </c>
      <c r="K764" s="1378"/>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2509</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595</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83" t="s">
        <v>391</v>
      </c>
      <c r="K768" s="1484"/>
      <c r="L768" s="1484"/>
      <c r="M768" s="1484"/>
      <c r="N768" s="1485"/>
      <c r="O768" s="1694" t="s">
        <v>287</v>
      </c>
      <c r="P768" s="1694"/>
      <c r="Q768" s="1694"/>
      <c r="R768" s="1694"/>
      <c r="S768" s="1694"/>
      <c r="T768" s="1499" t="s">
        <v>1938</v>
      </c>
      <c r="U768" s="1500"/>
      <c r="V768" s="1500"/>
      <c r="W768" s="1501"/>
      <c r="X768" s="1483" t="s">
        <v>456</v>
      </c>
      <c r="Y768" s="1484"/>
      <c r="Z768" s="1484"/>
      <c r="AA768" s="1484"/>
      <c r="AB768" s="1485"/>
      <c r="AC768" s="1483" t="s">
        <v>288</v>
      </c>
      <c r="AD768" s="1484"/>
      <c r="AE768" s="1484"/>
      <c r="AF768" s="1484"/>
      <c r="AG768" s="1485"/>
      <c r="AH768" s="1614" t="s">
        <v>2131</v>
      </c>
      <c r="AI768" s="1615"/>
      <c r="AJ768" s="1615"/>
      <c r="AK768" s="1615"/>
      <c r="AL768" s="1615"/>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86"/>
      <c r="K769" s="1487"/>
      <c r="L769" s="1487"/>
      <c r="M769" s="1487"/>
      <c r="N769" s="1488"/>
      <c r="O769" s="1694"/>
      <c r="P769" s="1694"/>
      <c r="Q769" s="1694"/>
      <c r="R769" s="1694"/>
      <c r="S769" s="1694"/>
      <c r="T769" s="1502"/>
      <c r="U769" s="1503"/>
      <c r="V769" s="1503"/>
      <c r="W769" s="1504"/>
      <c r="X769" s="1486"/>
      <c r="Y769" s="1487"/>
      <c r="Z769" s="1487"/>
      <c r="AA769" s="1487"/>
      <c r="AB769" s="1488"/>
      <c r="AC769" s="1486"/>
      <c r="AD769" s="1487"/>
      <c r="AE769" s="1487"/>
      <c r="AF769" s="1487"/>
      <c r="AG769" s="1488"/>
      <c r="AH769" s="1614"/>
      <c r="AI769" s="1615"/>
      <c r="AJ769" s="1615"/>
      <c r="AK769" s="1615"/>
      <c r="AL769" s="161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86"/>
      <c r="K770" s="1487"/>
      <c r="L770" s="1487"/>
      <c r="M770" s="1487"/>
      <c r="N770" s="1488"/>
      <c r="O770" s="1694"/>
      <c r="P770" s="1694"/>
      <c r="Q770" s="1694"/>
      <c r="R770" s="1694"/>
      <c r="S770" s="1694"/>
      <c r="T770" s="1502"/>
      <c r="U770" s="1503"/>
      <c r="V770" s="1503"/>
      <c r="W770" s="1504"/>
      <c r="X770" s="1486"/>
      <c r="Y770" s="1487"/>
      <c r="Z770" s="1487"/>
      <c r="AA770" s="1487"/>
      <c r="AB770" s="1488"/>
      <c r="AC770" s="1486"/>
      <c r="AD770" s="1487"/>
      <c r="AE770" s="1487"/>
      <c r="AF770" s="1487"/>
      <c r="AG770" s="1488"/>
      <c r="AH770" s="1614"/>
      <c r="AI770" s="1615"/>
      <c r="AJ770" s="1615"/>
      <c r="AK770" s="1615"/>
      <c r="AL770" s="161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89"/>
      <c r="K771" s="1490"/>
      <c r="L771" s="1490"/>
      <c r="M771" s="1490"/>
      <c r="N771" s="1491"/>
      <c r="O771" s="1694"/>
      <c r="P771" s="1694"/>
      <c r="Q771" s="1694"/>
      <c r="R771" s="1694"/>
      <c r="S771" s="1694"/>
      <c r="T771" s="1505"/>
      <c r="U771" s="1506"/>
      <c r="V771" s="1506"/>
      <c r="W771" s="1507"/>
      <c r="X771" s="1489"/>
      <c r="Y771" s="1490"/>
      <c r="Z771" s="1490"/>
      <c r="AA771" s="1490"/>
      <c r="AB771" s="1491"/>
      <c r="AC771" s="1489"/>
      <c r="AD771" s="1490"/>
      <c r="AE771" s="1490"/>
      <c r="AF771" s="1490"/>
      <c r="AG771" s="1491"/>
      <c r="AH771" s="1614"/>
      <c r="AI771" s="1615"/>
      <c r="AJ771" s="1615"/>
      <c r="AK771" s="1615"/>
      <c r="AL771" s="161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79"/>
      <c r="K772" s="1380"/>
      <c r="L772" s="1380"/>
      <c r="M772" s="1380"/>
      <c r="N772" s="1381"/>
      <c r="O772" s="1372"/>
      <c r="P772" s="1372"/>
      <c r="Q772" s="1372"/>
      <c r="R772" s="1372"/>
      <c r="S772" s="1372"/>
      <c r="T772" s="1477"/>
      <c r="U772" s="1478"/>
      <c r="V772" s="1478"/>
      <c r="W772" s="1479"/>
      <c r="X772" s="1492"/>
      <c r="Y772" s="1493"/>
      <c r="Z772" s="1493"/>
      <c r="AA772" s="1493"/>
      <c r="AB772" s="1494"/>
      <c r="AC772" s="1495">
        <f t="shared" ref="AC772:AC781" si="52">X772*O772</f>
        <v>0</v>
      </c>
      <c r="AD772" s="1496"/>
      <c r="AE772" s="1496"/>
      <c r="AF772" s="1496"/>
      <c r="AG772" s="1497"/>
      <c r="AH772" s="1616"/>
      <c r="AI772" s="1617"/>
      <c r="AJ772" s="1617"/>
      <c r="AK772" s="1617"/>
      <c r="AL772" s="1617"/>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79"/>
      <c r="K773" s="1380"/>
      <c r="L773" s="1380"/>
      <c r="M773" s="1380"/>
      <c r="N773" s="1381"/>
      <c r="O773" s="1372"/>
      <c r="P773" s="1372"/>
      <c r="Q773" s="1372"/>
      <c r="R773" s="1372"/>
      <c r="S773" s="1372"/>
      <c r="T773" s="1477"/>
      <c r="U773" s="1478"/>
      <c r="V773" s="1478"/>
      <c r="W773" s="1479"/>
      <c r="X773" s="1492"/>
      <c r="Y773" s="1493"/>
      <c r="Z773" s="1493"/>
      <c r="AA773" s="1493"/>
      <c r="AB773" s="1494"/>
      <c r="AC773" s="1495">
        <f t="shared" si="52"/>
        <v>0</v>
      </c>
      <c r="AD773" s="1496"/>
      <c r="AE773" s="1496"/>
      <c r="AF773" s="1496"/>
      <c r="AG773" s="1497"/>
      <c r="AH773" s="1616"/>
      <c r="AI773" s="1617"/>
      <c r="AJ773" s="1617"/>
      <c r="AK773" s="1617"/>
      <c r="AL773" s="1617"/>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79"/>
      <c r="K774" s="1380"/>
      <c r="L774" s="1380"/>
      <c r="M774" s="1380"/>
      <c r="N774" s="1381"/>
      <c r="O774" s="1372"/>
      <c r="P774" s="1372"/>
      <c r="Q774" s="1372"/>
      <c r="R774" s="1372"/>
      <c r="S774" s="1372"/>
      <c r="T774" s="1477"/>
      <c r="U774" s="1478"/>
      <c r="V774" s="1478"/>
      <c r="W774" s="1479"/>
      <c r="X774" s="1492"/>
      <c r="Y774" s="1493"/>
      <c r="Z774" s="1493"/>
      <c r="AA774" s="1493"/>
      <c r="AB774" s="1494"/>
      <c r="AC774" s="1495">
        <f t="shared" si="52"/>
        <v>0</v>
      </c>
      <c r="AD774" s="1496"/>
      <c r="AE774" s="1496"/>
      <c r="AF774" s="1496"/>
      <c r="AG774" s="1497"/>
      <c r="AH774" s="1616"/>
      <c r="AI774" s="1617"/>
      <c r="AJ774" s="1617"/>
      <c r="AK774" s="1617"/>
      <c r="AL774" s="1617"/>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79"/>
      <c r="K775" s="1380"/>
      <c r="L775" s="1380"/>
      <c r="M775" s="1380"/>
      <c r="N775" s="1381"/>
      <c r="O775" s="1372"/>
      <c r="P775" s="1372"/>
      <c r="Q775" s="1372"/>
      <c r="R775" s="1372"/>
      <c r="S775" s="1372"/>
      <c r="T775" s="1477"/>
      <c r="U775" s="1478"/>
      <c r="V775" s="1478"/>
      <c r="W775" s="1479"/>
      <c r="X775" s="1492"/>
      <c r="Y775" s="1493"/>
      <c r="Z775" s="1493"/>
      <c r="AA775" s="1493"/>
      <c r="AB775" s="1494"/>
      <c r="AC775" s="1495">
        <f t="shared" si="52"/>
        <v>0</v>
      </c>
      <c r="AD775" s="1496"/>
      <c r="AE775" s="1496"/>
      <c r="AF775" s="1496"/>
      <c r="AG775" s="1497"/>
      <c r="AH775" s="1616"/>
      <c r="AI775" s="1617"/>
      <c r="AJ775" s="1617"/>
      <c r="AK775" s="1617"/>
      <c r="AL775" s="1617"/>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79"/>
      <c r="K776" s="1380"/>
      <c r="L776" s="1380"/>
      <c r="M776" s="1380"/>
      <c r="N776" s="1381"/>
      <c r="O776" s="1372"/>
      <c r="P776" s="1372"/>
      <c r="Q776" s="1372"/>
      <c r="R776" s="1372"/>
      <c r="S776" s="1372"/>
      <c r="T776" s="1477"/>
      <c r="U776" s="1478"/>
      <c r="V776" s="1478"/>
      <c r="W776" s="1479"/>
      <c r="X776" s="1492"/>
      <c r="Y776" s="1493"/>
      <c r="Z776" s="1493"/>
      <c r="AA776" s="1493"/>
      <c r="AB776" s="1494"/>
      <c r="AC776" s="1495">
        <f t="shared" si="52"/>
        <v>0</v>
      </c>
      <c r="AD776" s="1496"/>
      <c r="AE776" s="1496"/>
      <c r="AF776" s="1496"/>
      <c r="AG776" s="1497"/>
      <c r="AH776" s="1616"/>
      <c r="AI776" s="1617"/>
      <c r="AJ776" s="1617"/>
      <c r="AK776" s="1617"/>
      <c r="AL776" s="1617"/>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79"/>
      <c r="K777" s="1380"/>
      <c r="L777" s="1380"/>
      <c r="M777" s="1380"/>
      <c r="N777" s="1381"/>
      <c r="O777" s="1372"/>
      <c r="P777" s="1372"/>
      <c r="Q777" s="1372"/>
      <c r="R777" s="1372"/>
      <c r="S777" s="1372"/>
      <c r="T777" s="1477"/>
      <c r="U777" s="1478"/>
      <c r="V777" s="1478"/>
      <c r="W777" s="1479"/>
      <c r="X777" s="1492"/>
      <c r="Y777" s="1493"/>
      <c r="Z777" s="1493"/>
      <c r="AA777" s="1493"/>
      <c r="AB777" s="1494"/>
      <c r="AC777" s="1495">
        <f t="shared" si="52"/>
        <v>0</v>
      </c>
      <c r="AD777" s="1496"/>
      <c r="AE777" s="1496"/>
      <c r="AF777" s="1496"/>
      <c r="AG777" s="1497"/>
      <c r="AH777" s="1616"/>
      <c r="AI777" s="1617"/>
      <c r="AJ777" s="1617"/>
      <c r="AK777" s="1617"/>
      <c r="AL777" s="1617"/>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79"/>
      <c r="K778" s="1380"/>
      <c r="L778" s="1380"/>
      <c r="M778" s="1380"/>
      <c r="N778" s="1381"/>
      <c r="O778" s="1372"/>
      <c r="P778" s="1372"/>
      <c r="Q778" s="1372"/>
      <c r="R778" s="1372"/>
      <c r="S778" s="1372"/>
      <c r="T778" s="1477"/>
      <c r="U778" s="1478"/>
      <c r="V778" s="1478"/>
      <c r="W778" s="1479"/>
      <c r="X778" s="1492"/>
      <c r="Y778" s="1493"/>
      <c r="Z778" s="1493"/>
      <c r="AA778" s="1493"/>
      <c r="AB778" s="1494"/>
      <c r="AC778" s="1495">
        <f t="shared" si="52"/>
        <v>0</v>
      </c>
      <c r="AD778" s="1496"/>
      <c r="AE778" s="1496"/>
      <c r="AF778" s="1496"/>
      <c r="AG778" s="1497"/>
      <c r="AH778" s="1616"/>
      <c r="AI778" s="1617"/>
      <c r="AJ778" s="1617"/>
      <c r="AK778" s="1617"/>
      <c r="AL778" s="1617"/>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79"/>
      <c r="K779" s="1380"/>
      <c r="L779" s="1380"/>
      <c r="M779" s="1380"/>
      <c r="N779" s="1381"/>
      <c r="O779" s="1372"/>
      <c r="P779" s="1372"/>
      <c r="Q779" s="1372"/>
      <c r="R779" s="1372"/>
      <c r="S779" s="1372"/>
      <c r="T779" s="1477"/>
      <c r="U779" s="1478"/>
      <c r="V779" s="1478"/>
      <c r="W779" s="1479"/>
      <c r="X779" s="1492"/>
      <c r="Y779" s="1493"/>
      <c r="Z779" s="1493"/>
      <c r="AA779" s="1493"/>
      <c r="AB779" s="1494"/>
      <c r="AC779" s="1495">
        <f t="shared" si="52"/>
        <v>0</v>
      </c>
      <c r="AD779" s="1496"/>
      <c r="AE779" s="1496"/>
      <c r="AF779" s="1496"/>
      <c r="AG779" s="1497"/>
      <c r="AH779" s="1616"/>
      <c r="AI779" s="1617"/>
      <c r="AJ779" s="1617"/>
      <c r="AK779" s="1617"/>
      <c r="AL779" s="161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79"/>
      <c r="K780" s="1380"/>
      <c r="L780" s="1380"/>
      <c r="M780" s="1380"/>
      <c r="N780" s="1381"/>
      <c r="O780" s="1372"/>
      <c r="P780" s="1372"/>
      <c r="Q780" s="1372"/>
      <c r="R780" s="1372"/>
      <c r="S780" s="1372"/>
      <c r="T780" s="1477"/>
      <c r="U780" s="1478"/>
      <c r="V780" s="1478"/>
      <c r="W780" s="1479"/>
      <c r="X780" s="1492"/>
      <c r="Y780" s="1493"/>
      <c r="Z780" s="1493"/>
      <c r="AA780" s="1493"/>
      <c r="AB780" s="1494"/>
      <c r="AC780" s="1495">
        <f t="shared" si="52"/>
        <v>0</v>
      </c>
      <c r="AD780" s="1496"/>
      <c r="AE780" s="1496"/>
      <c r="AF780" s="1496"/>
      <c r="AG780" s="1497"/>
      <c r="AH780" s="1616"/>
      <c r="AI780" s="1617"/>
      <c r="AJ780" s="1617"/>
      <c r="AK780" s="1617"/>
      <c r="AL780" s="161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79"/>
      <c r="K781" s="1380"/>
      <c r="L781" s="1380"/>
      <c r="M781" s="1380"/>
      <c r="N781" s="1381"/>
      <c r="O781" s="1372"/>
      <c r="P781" s="1372"/>
      <c r="Q781" s="1372"/>
      <c r="R781" s="1372"/>
      <c r="S781" s="1372"/>
      <c r="T781" s="1477"/>
      <c r="U781" s="1478"/>
      <c r="V781" s="1478"/>
      <c r="W781" s="1479"/>
      <c r="X781" s="1492"/>
      <c r="Y781" s="1493"/>
      <c r="Z781" s="1493"/>
      <c r="AA781" s="1493"/>
      <c r="AB781" s="1494"/>
      <c r="AC781" s="1495">
        <f t="shared" si="52"/>
        <v>0</v>
      </c>
      <c r="AD781" s="1496"/>
      <c r="AE781" s="1496"/>
      <c r="AF781" s="1496"/>
      <c r="AG781" s="1497"/>
      <c r="AH781" s="1616"/>
      <c r="AI781" s="1617"/>
      <c r="AJ781" s="1617"/>
      <c r="AK781" s="1617"/>
      <c r="AL781" s="161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25" t="s">
        <v>126</v>
      </c>
      <c r="K782" s="1526"/>
      <c r="L782" s="1526"/>
      <c r="M782" s="1526"/>
      <c r="N782" s="1528"/>
      <c r="O782" s="1706">
        <f>SUM(O772:S781)</f>
        <v>0</v>
      </c>
      <c r="P782" s="1706"/>
      <c r="Q782" s="1706"/>
      <c r="R782" s="1706"/>
      <c r="S782" s="1706"/>
      <c r="X782" s="939" t="s">
        <v>125</v>
      </c>
      <c r="Y782" s="11"/>
      <c r="Z782" s="11"/>
      <c r="AA782" s="11"/>
      <c r="AB782" s="946"/>
      <c r="AC782" s="1495">
        <f>SUM(AC772:AG781)</f>
        <v>0</v>
      </c>
      <c r="AD782" s="1496"/>
      <c r="AE782" s="1496"/>
      <c r="AF782" s="1496"/>
      <c r="AG782" s="149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44">
        <f>O739+AC762+AC782</f>
        <v>111529</v>
      </c>
      <c r="Z784" s="1644"/>
      <c r="AA784" s="1644"/>
      <c r="AB784" s="1644"/>
      <c r="AC784" s="164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44">
        <f>(O739+AC762+AC782)*12</f>
        <v>1338348</v>
      </c>
      <c r="Z785" s="1644"/>
      <c r="AA785" s="1644"/>
      <c r="AB785" s="1644"/>
      <c r="AC785" s="1644"/>
      <c r="AZ785" s="3"/>
      <c r="BA785" s="14" t="s">
        <v>641</v>
      </c>
      <c r="BB785" s="14"/>
      <c r="BC785" s="14"/>
      <c r="BD785" s="14"/>
      <c r="BE785" s="14"/>
      <c r="BF785" s="14"/>
      <c r="BG785" s="14"/>
      <c r="BH785" s="14"/>
      <c r="BI785" s="14"/>
      <c r="BJ785" s="14"/>
      <c r="BK785" s="14"/>
      <c r="BL785" s="14"/>
      <c r="BM785" s="14"/>
      <c r="BN785" s="1701" t="s">
        <v>478</v>
      </c>
      <c r="BO785" s="1702"/>
      <c r="BP785" s="3"/>
      <c r="BQ785" s="3"/>
      <c r="BR785" s="3"/>
      <c r="BS785" s="14" t="s">
        <v>643</v>
      </c>
      <c r="BT785" s="14"/>
      <c r="BU785" s="14"/>
      <c r="BV785" s="14"/>
      <c r="BW785" s="14"/>
      <c r="BX785" s="14"/>
      <c r="BY785" s="14"/>
      <c r="BZ785" s="14"/>
      <c r="CA785" s="14"/>
      <c r="CB785" s="1698" t="str">
        <f>T189</f>
        <v>Orange</v>
      </c>
      <c r="CC785" s="1699"/>
      <c r="CD785" s="1699"/>
      <c r="CE785" s="1699"/>
      <c r="CF785" s="1699"/>
      <c r="CG785" s="1699"/>
      <c r="CH785" s="1700"/>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2.95"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2612</v>
      </c>
      <c r="BP788" s="32"/>
      <c r="BQ788" s="32"/>
      <c r="BR788" s="32"/>
      <c r="BS788" s="32"/>
      <c r="BT788" s="32"/>
      <c r="BV788" s="31" t="s">
        <v>2613</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74"/>
      <c r="AA790" s="1638"/>
      <c r="AB790" s="1638"/>
      <c r="AC790" s="1638"/>
      <c r="AD790" s="1638"/>
      <c r="AE790" s="1639"/>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37"/>
      <c r="AA791" s="1638"/>
      <c r="AB791" s="1638"/>
      <c r="AC791" s="1638"/>
      <c r="AD791" s="1638"/>
      <c r="AE791" s="1639"/>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19">
        <v>0</v>
      </c>
      <c r="AA792" s="1597"/>
      <c r="AB792" s="1597"/>
      <c r="AC792" s="1597"/>
      <c r="AD792" s="1597"/>
      <c r="AE792" s="1620"/>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22">
        <f>'Subsidy Contract Calculation'!J30</f>
        <v>0</v>
      </c>
      <c r="AA793" s="1523"/>
      <c r="AB793" s="1523"/>
      <c r="AC793" s="1523"/>
      <c r="AD793" s="1523"/>
      <c r="AE793" s="1524"/>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327</v>
      </c>
      <c r="BR794" s="72" t="s">
        <v>164</v>
      </c>
      <c r="BS794" s="72" t="s">
        <v>165</v>
      </c>
      <c r="BT794" s="72" t="s">
        <v>469</v>
      </c>
      <c r="BW794" s="71" t="s">
        <v>642</v>
      </c>
      <c r="BX794" s="72" t="s">
        <v>327</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599</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608">
        <v>11250</v>
      </c>
      <c r="AA797" s="1609"/>
      <c r="AB797" s="1609"/>
      <c r="AC797" s="1609"/>
      <c r="AD797" s="1609"/>
      <c r="AE797" s="1610"/>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608"/>
      <c r="AA798" s="1609"/>
      <c r="AB798" s="1609"/>
      <c r="AC798" s="1609"/>
      <c r="AD798" s="1609"/>
      <c r="AE798" s="1610"/>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608"/>
      <c r="AA799" s="1609"/>
      <c r="AB799" s="1609"/>
      <c r="AC799" s="1609"/>
      <c r="AD799" s="1609"/>
      <c r="AE799" s="1610"/>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611" t="s">
        <v>336</v>
      </c>
      <c r="Q800" s="1612"/>
      <c r="R800" s="1612"/>
      <c r="S800" s="1612"/>
      <c r="T800" s="1612"/>
      <c r="U800" s="1612"/>
      <c r="V800" s="1612"/>
      <c r="W800" s="1612"/>
      <c r="X800" s="1612"/>
      <c r="Y800" s="1613"/>
      <c r="Z800" s="1608"/>
      <c r="AA800" s="1609"/>
      <c r="AB800" s="1609"/>
      <c r="AC800" s="1609"/>
      <c r="AD800" s="1609"/>
      <c r="AE800" s="1610"/>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22">
        <f>SUM(Z797:AE800)</f>
        <v>11250</v>
      </c>
      <c r="AA801" s="1523"/>
      <c r="AB801" s="1523"/>
      <c r="AC801" s="1523"/>
      <c r="AD801" s="1523"/>
      <c r="AE801" s="1524"/>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22">
        <f>Z801+Y785+Z793</f>
        <v>1349598</v>
      </c>
      <c r="AA802" s="1523"/>
      <c r="AB802" s="1523"/>
      <c r="AC802" s="1523"/>
      <c r="AD802" s="1523"/>
      <c r="AE802" s="1524"/>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601</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91" t="s">
        <v>127</v>
      </c>
      <c r="N807" s="1591"/>
      <c r="O807" s="1591"/>
      <c r="P807" s="1592"/>
      <c r="Q807" s="1618" t="s">
        <v>292</v>
      </c>
      <c r="R807" s="1618"/>
      <c r="S807" s="1618"/>
      <c r="T807" s="1618"/>
      <c r="U807" s="1618" t="s">
        <v>293</v>
      </c>
      <c r="V807" s="1618"/>
      <c r="W807" s="1618"/>
      <c r="X807" s="1618"/>
      <c r="Y807" s="1618" t="s">
        <v>294</v>
      </c>
      <c r="Z807" s="1618"/>
      <c r="AA807" s="1618"/>
      <c r="AB807" s="1618"/>
      <c r="AC807" s="1618" t="s">
        <v>363</v>
      </c>
      <c r="AD807" s="1618"/>
      <c r="AE807" s="1618"/>
      <c r="AF807" s="1618"/>
      <c r="AG807" s="1632" t="s">
        <v>337</v>
      </c>
      <c r="AH807" s="1632"/>
      <c r="AI807" s="1632"/>
      <c r="AJ807" s="1632"/>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93"/>
      <c r="N808" s="1593"/>
      <c r="O808" s="1593"/>
      <c r="P808" s="1594"/>
      <c r="Q808" s="1618"/>
      <c r="R808" s="1618"/>
      <c r="S808" s="1618"/>
      <c r="T808" s="1618"/>
      <c r="U808" s="1618"/>
      <c r="V808" s="1618"/>
      <c r="W808" s="1618"/>
      <c r="X808" s="1618"/>
      <c r="Y808" s="1618"/>
      <c r="Z808" s="1618"/>
      <c r="AA808" s="1618"/>
      <c r="AB808" s="1618"/>
      <c r="AC808" s="1618"/>
      <c r="AD808" s="1618"/>
      <c r="AE808" s="1618"/>
      <c r="AF808" s="1618"/>
      <c r="AG808" s="1632"/>
      <c r="AH808" s="1632"/>
      <c r="AI808" s="1632"/>
      <c r="AJ808" s="1632"/>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595" t="s">
        <v>40</v>
      </c>
      <c r="D809" s="1516"/>
      <c r="E809" s="1516"/>
      <c r="F809" s="1516"/>
      <c r="G809" s="1516"/>
      <c r="H809" s="1516"/>
      <c r="I809" s="48"/>
      <c r="J809" s="48"/>
      <c r="K809" s="48"/>
      <c r="L809" s="49"/>
      <c r="M809" s="1590"/>
      <c r="N809" s="1590"/>
      <c r="O809" s="1590"/>
      <c r="P809" s="1590"/>
      <c r="Q809" s="1590"/>
      <c r="R809" s="1590"/>
      <c r="S809" s="1590"/>
      <c r="T809" s="1590"/>
      <c r="U809" s="1590">
        <v>21</v>
      </c>
      <c r="V809" s="1590"/>
      <c r="W809" s="1590"/>
      <c r="X809" s="1590"/>
      <c r="Y809" s="1590">
        <v>22</v>
      </c>
      <c r="Z809" s="1590"/>
      <c r="AA809" s="1590"/>
      <c r="AB809" s="1590"/>
      <c r="AC809" s="1587"/>
      <c r="AD809" s="1588"/>
      <c r="AE809" s="1588"/>
      <c r="AF809" s="1589"/>
      <c r="AG809" s="1587"/>
      <c r="AH809" s="1588"/>
      <c r="AI809" s="1588"/>
      <c r="AJ809" s="1589"/>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424" t="s">
        <v>41</v>
      </c>
      <c r="D810" s="1425"/>
      <c r="E810" s="1425"/>
      <c r="F810" s="1425"/>
      <c r="G810" s="1425"/>
      <c r="H810" s="1425"/>
      <c r="I810" s="5"/>
      <c r="J810" s="5"/>
      <c r="K810" s="5"/>
      <c r="L810" s="46"/>
      <c r="M810" s="1590"/>
      <c r="N810" s="1590"/>
      <c r="O810" s="1590"/>
      <c r="P810" s="1590"/>
      <c r="Q810" s="1590"/>
      <c r="R810" s="1590"/>
      <c r="S810" s="1590"/>
      <c r="T810" s="1590"/>
      <c r="U810" s="1590">
        <v>14</v>
      </c>
      <c r="V810" s="1590"/>
      <c r="W810" s="1590"/>
      <c r="X810" s="1590"/>
      <c r="Y810" s="1590">
        <v>20</v>
      </c>
      <c r="Z810" s="1590"/>
      <c r="AA810" s="1590"/>
      <c r="AB810" s="1590"/>
      <c r="AC810" s="1587"/>
      <c r="AD810" s="1588"/>
      <c r="AE810" s="1588"/>
      <c r="AF810" s="1589"/>
      <c r="AG810" s="1587"/>
      <c r="AH810" s="1588"/>
      <c r="AI810" s="1588"/>
      <c r="AJ810" s="1589"/>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424" t="s">
        <v>42</v>
      </c>
      <c r="D811" s="1425"/>
      <c r="E811" s="1425"/>
      <c r="F811" s="1425"/>
      <c r="G811" s="1425"/>
      <c r="H811" s="1425"/>
      <c r="I811" s="60"/>
      <c r="J811" s="60"/>
      <c r="K811" s="60"/>
      <c r="L811" s="61"/>
      <c r="M811" s="1590"/>
      <c r="N811" s="1590"/>
      <c r="O811" s="1590"/>
      <c r="P811" s="1590"/>
      <c r="Q811" s="1590"/>
      <c r="R811" s="1590"/>
      <c r="S811" s="1590"/>
      <c r="T811" s="1590"/>
      <c r="U811" s="1590">
        <v>7</v>
      </c>
      <c r="V811" s="1590"/>
      <c r="W811" s="1590"/>
      <c r="X811" s="1590"/>
      <c r="Y811" s="1590">
        <v>9</v>
      </c>
      <c r="Z811" s="1590"/>
      <c r="AA811" s="1590"/>
      <c r="AB811" s="1590"/>
      <c r="AC811" s="1587"/>
      <c r="AD811" s="1588"/>
      <c r="AE811" s="1588"/>
      <c r="AF811" s="1589"/>
      <c r="AG811" s="1587"/>
      <c r="AH811" s="1588"/>
      <c r="AI811" s="1588"/>
      <c r="AJ811" s="1589"/>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424" t="s">
        <v>786</v>
      </c>
      <c r="D812" s="1425"/>
      <c r="E812" s="1425"/>
      <c r="F812" s="1425"/>
      <c r="G812" s="1425"/>
      <c r="H812" s="1425"/>
      <c r="I812" s="60"/>
      <c r="J812" s="60"/>
      <c r="K812" s="60"/>
      <c r="L812" s="61"/>
      <c r="M812" s="1590"/>
      <c r="N812" s="1590"/>
      <c r="O812" s="1590"/>
      <c r="P812" s="1590"/>
      <c r="Q812" s="1590"/>
      <c r="R812" s="1590"/>
      <c r="S812" s="1590"/>
      <c r="T812" s="1590"/>
      <c r="U812" s="1590"/>
      <c r="V812" s="1590"/>
      <c r="W812" s="1590"/>
      <c r="X812" s="1590"/>
      <c r="Y812" s="1590"/>
      <c r="Z812" s="1590"/>
      <c r="AA812" s="1590"/>
      <c r="AB812" s="1590"/>
      <c r="AC812" s="1587"/>
      <c r="AD812" s="1588"/>
      <c r="AE812" s="1588"/>
      <c r="AF812" s="1589"/>
      <c r="AG812" s="1587"/>
      <c r="AH812" s="1588"/>
      <c r="AI812" s="1588"/>
      <c r="AJ812" s="1589"/>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424" t="s">
        <v>468</v>
      </c>
      <c r="D813" s="1425"/>
      <c r="E813" s="1425"/>
      <c r="F813" s="1425"/>
      <c r="G813" s="1425"/>
      <c r="H813" s="1425"/>
      <c r="I813" s="60"/>
      <c r="J813" s="60"/>
      <c r="K813" s="60"/>
      <c r="L813" s="61"/>
      <c r="M813" s="1590"/>
      <c r="N813" s="1590"/>
      <c r="O813" s="1590"/>
      <c r="P813" s="1590"/>
      <c r="Q813" s="1590"/>
      <c r="R813" s="1590"/>
      <c r="S813" s="1590"/>
      <c r="T813" s="1590"/>
      <c r="U813" s="1590">
        <v>49</v>
      </c>
      <c r="V813" s="1590"/>
      <c r="W813" s="1590"/>
      <c r="X813" s="1590"/>
      <c r="Y813" s="1590">
        <v>65</v>
      </c>
      <c r="Z813" s="1590"/>
      <c r="AA813" s="1590"/>
      <c r="AB813" s="1590"/>
      <c r="AC813" s="1587"/>
      <c r="AD813" s="1588"/>
      <c r="AE813" s="1588"/>
      <c r="AF813" s="1589"/>
      <c r="AG813" s="1587"/>
      <c r="AH813" s="1588"/>
      <c r="AI813" s="1588"/>
      <c r="AJ813" s="1589"/>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636" t="s">
        <v>807</v>
      </c>
      <c r="D814" s="1425"/>
      <c r="E814" s="1425"/>
      <c r="F814" s="1425"/>
      <c r="G814" s="1425"/>
      <c r="H814" s="1425"/>
      <c r="I814" s="60"/>
      <c r="J814" s="60"/>
      <c r="K814" s="60"/>
      <c r="L814" s="61"/>
      <c r="M814" s="1590"/>
      <c r="N814" s="1590"/>
      <c r="O814" s="1590"/>
      <c r="P814" s="1590"/>
      <c r="Q814" s="1590"/>
      <c r="R814" s="1590"/>
      <c r="S814" s="1590"/>
      <c r="T814" s="1590"/>
      <c r="U814" s="1590"/>
      <c r="V814" s="1590"/>
      <c r="W814" s="1590"/>
      <c r="X814" s="1590"/>
      <c r="Y814" s="1590"/>
      <c r="Z814" s="1590"/>
      <c r="AA814" s="1590"/>
      <c r="AB814" s="1590"/>
      <c r="AC814" s="1587"/>
      <c r="AD814" s="1588"/>
      <c r="AE814" s="1588"/>
      <c r="AF814" s="1589"/>
      <c r="AG814" s="1587"/>
      <c r="AH814" s="1588"/>
      <c r="AI814" s="1588"/>
      <c r="AJ814" s="1589"/>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611" t="s">
        <v>2729</v>
      </c>
      <c r="G815" s="1612"/>
      <c r="H815" s="1612"/>
      <c r="I815" s="1612"/>
      <c r="J815" s="1612"/>
      <c r="K815" s="1612"/>
      <c r="L815" s="1612"/>
      <c r="M815" s="1590"/>
      <c r="N815" s="1590"/>
      <c r="O815" s="1590"/>
      <c r="P815" s="1590"/>
      <c r="Q815" s="1590"/>
      <c r="R815" s="1590"/>
      <c r="S815" s="1590"/>
      <c r="T815" s="1590"/>
      <c r="U815" s="1590">
        <v>19</v>
      </c>
      <c r="V815" s="1590"/>
      <c r="W815" s="1590"/>
      <c r="X815" s="1590"/>
      <c r="Y815" s="1590">
        <v>23</v>
      </c>
      <c r="Z815" s="1590"/>
      <c r="AA815" s="1590"/>
      <c r="AB815" s="1590"/>
      <c r="AC815" s="1587"/>
      <c r="AD815" s="1588"/>
      <c r="AE815" s="1588"/>
      <c r="AF815" s="1589"/>
      <c r="AG815" s="1587"/>
      <c r="AH815" s="1588"/>
      <c r="AI815" s="1588"/>
      <c r="AJ815" s="1589"/>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25" t="s">
        <v>125</v>
      </c>
      <c r="D816" s="1526"/>
      <c r="E816" s="1526"/>
      <c r="F816" s="1526"/>
      <c r="G816" s="1526"/>
      <c r="H816" s="1526"/>
      <c r="I816" s="1526"/>
      <c r="J816" s="1526"/>
      <c r="K816" s="1526"/>
      <c r="L816" s="1528"/>
      <c r="M816" s="1624">
        <f>SUM(M809:P815)</f>
        <v>0</v>
      </c>
      <c r="N816" s="1624"/>
      <c r="O816" s="1624"/>
      <c r="P816" s="1624"/>
      <c r="Q816" s="1624">
        <f>SUM(Q809:T815)</f>
        <v>0</v>
      </c>
      <c r="R816" s="1624"/>
      <c r="S816" s="1624"/>
      <c r="T816" s="1624"/>
      <c r="U816" s="1624">
        <f>SUM(U809:X815)</f>
        <v>110</v>
      </c>
      <c r="V816" s="1624"/>
      <c r="W816" s="1624"/>
      <c r="X816" s="1624"/>
      <c r="Y816" s="1624">
        <f>SUM(Y809:AB815)</f>
        <v>139</v>
      </c>
      <c r="Z816" s="1624"/>
      <c r="AA816" s="1624"/>
      <c r="AB816" s="1624"/>
      <c r="AC816" s="1624">
        <f>SUM(AC809:AF815)</f>
        <v>0</v>
      </c>
      <c r="AD816" s="1624"/>
      <c r="AE816" s="1624"/>
      <c r="AF816" s="1624"/>
      <c r="AG816" s="1624">
        <f>SUM(AG809:AJ815)</f>
        <v>0</v>
      </c>
      <c r="AH816" s="1624"/>
      <c r="AI816" s="1624"/>
      <c r="AJ816" s="1624"/>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81" t="s">
        <v>2639</v>
      </c>
      <c r="D821" s="1682"/>
      <c r="E821" s="1682"/>
      <c r="F821" s="1682"/>
      <c r="G821" s="1682"/>
      <c r="H821" s="1682"/>
      <c r="I821" s="1682"/>
      <c r="J821" s="1682"/>
      <c r="K821" s="1682"/>
      <c r="L821" s="1682"/>
      <c r="M821" s="1682"/>
      <c r="N821" s="1682"/>
      <c r="O821" s="1682"/>
      <c r="P821" s="1682"/>
      <c r="Q821" s="1682"/>
      <c r="R821" s="1682"/>
      <c r="S821" s="1682"/>
      <c r="T821" s="1682"/>
      <c r="U821" s="1682"/>
      <c r="V821" s="1682"/>
      <c r="W821" s="1682"/>
      <c r="X821" s="1682"/>
      <c r="Y821" s="1682"/>
      <c r="Z821" s="1682"/>
      <c r="AA821" s="1682"/>
      <c r="AB821" s="1682"/>
      <c r="AC821" s="1682"/>
      <c r="AD821" s="1682"/>
      <c r="AE821" s="1682"/>
      <c r="AF821" s="1682"/>
      <c r="AG821" s="1682"/>
      <c r="AH821" s="1682"/>
      <c r="AI821" s="1682"/>
      <c r="AJ821" s="1683"/>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628">
        <v>2633</v>
      </c>
      <c r="X826" s="1628"/>
      <c r="Y826" s="1628"/>
      <c r="Z826" s="1628"/>
      <c r="AA826" s="1628"/>
      <c r="AB826" s="1628"/>
      <c r="AC826" s="1628"/>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628">
        <v>4978</v>
      </c>
      <c r="X827" s="1628"/>
      <c r="Y827" s="1628"/>
      <c r="Z827" s="1628"/>
      <c r="AA827" s="1628"/>
      <c r="AB827" s="1628"/>
      <c r="AC827" s="1628"/>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628">
        <v>20191</v>
      </c>
      <c r="X828" s="1628"/>
      <c r="Y828" s="1628"/>
      <c r="Z828" s="1628"/>
      <c r="AA828" s="1628"/>
      <c r="AB828" s="1628"/>
      <c r="AC828" s="1628"/>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628"/>
      <c r="X829" s="1628"/>
      <c r="Y829" s="1628"/>
      <c r="Z829" s="1628"/>
      <c r="AA829" s="1628"/>
      <c r="AB829" s="1628"/>
      <c r="AC829" s="1628"/>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611" t="s">
        <v>2718</v>
      </c>
      <c r="N830" s="1612"/>
      <c r="O830" s="1612"/>
      <c r="P830" s="1612"/>
      <c r="Q830" s="1612"/>
      <c r="R830" s="1612"/>
      <c r="S830" s="1612"/>
      <c r="T830" s="1612"/>
      <c r="U830" s="1612"/>
      <c r="V830" s="1613"/>
      <c r="W830" s="1628">
        <v>48575</v>
      </c>
      <c r="X830" s="1628"/>
      <c r="Y830" s="1628"/>
      <c r="Z830" s="1628"/>
      <c r="AA830" s="1628"/>
      <c r="AB830" s="1628"/>
      <c r="AC830" s="1628"/>
      <c r="AD830"/>
      <c r="AE830"/>
      <c r="AF830"/>
      <c r="AG830"/>
      <c r="AH830"/>
      <c r="AI830"/>
      <c r="AJ830"/>
      <c r="AK830"/>
      <c r="AL830"/>
      <c r="AM830"/>
      <c r="AN830"/>
      <c r="AO830"/>
      <c r="AP830"/>
      <c r="AQ830"/>
      <c r="AR830"/>
      <c r="AS830"/>
      <c r="AT830"/>
      <c r="AU830"/>
      <c r="AV830"/>
      <c r="AW830"/>
      <c r="AX830"/>
      <c r="AY830"/>
      <c r="BI830" s="1643">
        <f>ROUNDDOWN(BC918*2,2)</f>
        <v>0</v>
      </c>
      <c r="BJ830" s="1643"/>
      <c r="BK830" s="1643"/>
      <c r="BL830" s="1643"/>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522">
        <f>SUM(W826:AC830)</f>
        <v>76377</v>
      </c>
      <c r="X831" s="1523"/>
      <c r="Y831" s="1523"/>
      <c r="Z831" s="1523"/>
      <c r="AA831" s="1523"/>
      <c r="AB831" s="1523"/>
      <c r="AC831" s="1524"/>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25" t="s">
        <v>347</v>
      </c>
      <c r="K833" s="1526"/>
      <c r="L833" s="1526"/>
      <c r="M833" s="1526"/>
      <c r="N833" s="1526"/>
      <c r="O833" s="1526"/>
      <c r="P833" s="1526"/>
      <c r="Q833" s="1526"/>
      <c r="R833" s="1526"/>
      <c r="S833" s="1526"/>
      <c r="T833" s="1526"/>
      <c r="U833" s="1526"/>
      <c r="V833" s="1528"/>
      <c r="W833" s="1608">
        <v>59894</v>
      </c>
      <c r="X833" s="1609"/>
      <c r="Y833" s="1609"/>
      <c r="Z833" s="1609"/>
      <c r="AA833" s="1609"/>
      <c r="AB833" s="1609"/>
      <c r="AC833" s="1610"/>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570</v>
      </c>
      <c r="D835"/>
      <c r="E835"/>
      <c r="F835"/>
      <c r="G835"/>
      <c r="H835"/>
      <c r="I835"/>
      <c r="J835" s="45" t="s">
        <v>354</v>
      </c>
      <c r="K835" s="5"/>
      <c r="L835" s="5"/>
      <c r="M835" s="5"/>
      <c r="N835" s="5"/>
      <c r="O835" s="5"/>
      <c r="P835" s="5"/>
      <c r="Q835" s="5"/>
      <c r="R835" s="5"/>
      <c r="S835" s="5"/>
      <c r="T835" s="5"/>
      <c r="U835" s="5"/>
      <c r="V835" s="46"/>
      <c r="W835" s="1625"/>
      <c r="X835" s="1625"/>
      <c r="Y835" s="1625"/>
      <c r="Z835" s="1625"/>
      <c r="AA835" s="1625"/>
      <c r="AB835" s="1625"/>
      <c r="AC835" s="1625"/>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625">
        <f>3582+476</f>
        <v>4058</v>
      </c>
      <c r="X836" s="1625"/>
      <c r="Y836" s="1625"/>
      <c r="Z836" s="1625"/>
      <c r="AA836" s="1625"/>
      <c r="AB836" s="1625"/>
      <c r="AC836" s="1625"/>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468</v>
      </c>
      <c r="K837" s="5"/>
      <c r="L837" s="5"/>
      <c r="M837" s="5"/>
      <c r="N837" s="5"/>
      <c r="O837" s="5"/>
      <c r="P837" s="5"/>
      <c r="Q837" s="5"/>
      <c r="R837" s="5"/>
      <c r="S837" s="5"/>
      <c r="T837" s="5"/>
      <c r="U837" s="5"/>
      <c r="V837" s="46"/>
      <c r="W837" s="1625">
        <v>24575</v>
      </c>
      <c r="X837" s="1625"/>
      <c r="Y837" s="1625"/>
      <c r="Z837" s="1625"/>
      <c r="AA837" s="1625"/>
      <c r="AB837" s="1625"/>
      <c r="AC837" s="1625"/>
      <c r="AD837"/>
      <c r="AE837"/>
      <c r="AF837"/>
      <c r="AG837"/>
      <c r="AH837"/>
      <c r="AI837"/>
      <c r="AJ837"/>
      <c r="AK837"/>
      <c r="AL837"/>
      <c r="AM837"/>
      <c r="AN837"/>
      <c r="AO837"/>
      <c r="AP837"/>
      <c r="AQ837"/>
      <c r="AR837"/>
      <c r="AS837"/>
      <c r="AT837"/>
      <c r="AU837"/>
      <c r="AV837"/>
      <c r="AW837"/>
      <c r="AX837"/>
      <c r="AY837"/>
      <c r="AZ837" s="30"/>
      <c r="BA837" s="30"/>
      <c r="BG837" s="1623"/>
      <c r="BH837" s="1623"/>
      <c r="BI837" s="1623"/>
      <c r="BJ837" s="1623"/>
      <c r="BK837" s="1623"/>
      <c r="BL837" s="1623"/>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629</v>
      </c>
      <c r="K838" s="5"/>
      <c r="L838" s="5"/>
      <c r="M838" s="5"/>
      <c r="N838" s="5"/>
      <c r="O838" s="5"/>
      <c r="P838" s="5"/>
      <c r="Q838" s="5"/>
      <c r="R838" s="5"/>
      <c r="S838" s="5"/>
      <c r="T838" s="5"/>
      <c r="U838" s="5"/>
      <c r="V838" s="46"/>
      <c r="W838" s="1625">
        <v>39183</v>
      </c>
      <c r="X838" s="1625"/>
      <c r="Y838" s="1625"/>
      <c r="Z838" s="1625"/>
      <c r="AA838" s="1625"/>
      <c r="AB838" s="1625"/>
      <c r="AC838" s="1625"/>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649">
        <f>SUM(W835:AC838)</f>
        <v>67816</v>
      </c>
      <c r="X839" s="1649"/>
      <c r="Y839" s="1649"/>
      <c r="Z839" s="1649"/>
      <c r="AA839" s="1649"/>
      <c r="AB839" s="1649"/>
      <c r="AC839" s="1649"/>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45">
        <f>SUM(AZ807:AZ835)</f>
        <v>0</v>
      </c>
      <c r="BA840" s="1645"/>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628</v>
      </c>
      <c r="K841" s="5"/>
      <c r="L841" s="5"/>
      <c r="M841" s="5"/>
      <c r="N841" s="5"/>
      <c r="O841" s="5"/>
      <c r="P841" s="5"/>
      <c r="Q841" s="5"/>
      <c r="R841" s="5"/>
      <c r="S841" s="5"/>
      <c r="T841" s="5"/>
      <c r="U841" s="5"/>
      <c r="V841" s="46"/>
      <c r="W841" s="1633">
        <v>46747</v>
      </c>
      <c r="X841" s="1634"/>
      <c r="Y841" s="1634"/>
      <c r="Z841" s="1634"/>
      <c r="AA841" s="1634"/>
      <c r="AB841" s="1634"/>
      <c r="AC841" s="1635"/>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1835</v>
      </c>
      <c r="K842" s="5"/>
      <c r="L842" s="5"/>
      <c r="M842" s="5"/>
      <c r="N842" s="5"/>
      <c r="O842" s="5"/>
      <c r="P842" s="5"/>
      <c r="Q842" s="5"/>
      <c r="R842" s="5"/>
      <c r="S842" s="5"/>
      <c r="T842" s="1688"/>
      <c r="U842" s="1536"/>
      <c r="V842" s="1689"/>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627</v>
      </c>
      <c r="K843" s="5"/>
      <c r="L843" s="5"/>
      <c r="M843" s="5"/>
      <c r="N843" s="5"/>
      <c r="O843" s="5"/>
      <c r="P843" s="5"/>
      <c r="Q843" s="5"/>
      <c r="R843" s="5"/>
      <c r="S843" s="5"/>
      <c r="T843" s="5"/>
      <c r="U843" s="5"/>
      <c r="V843" s="46"/>
      <c r="W843" s="1633">
        <v>48394</v>
      </c>
      <c r="X843" s="1634"/>
      <c r="Y843" s="1634"/>
      <c r="Z843" s="1634"/>
      <c r="AA843" s="1634"/>
      <c r="AB843" s="1634"/>
      <c r="AC843" s="1635"/>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1836</v>
      </c>
      <c r="K844" s="5"/>
      <c r="L844" s="5"/>
      <c r="M844" s="5"/>
      <c r="N844" s="5"/>
      <c r="O844" s="5"/>
      <c r="P844" s="5"/>
      <c r="Q844" s="5"/>
      <c r="R844" s="5"/>
      <c r="S844" s="5"/>
      <c r="T844" s="1688"/>
      <c r="U844" s="1536"/>
      <c r="V844" s="1689"/>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611" t="s">
        <v>2720</v>
      </c>
      <c r="N845" s="1612"/>
      <c r="O845" s="1612"/>
      <c r="P845" s="1612"/>
      <c r="Q845" s="1612"/>
      <c r="R845" s="1612"/>
      <c r="S845" s="1612"/>
      <c r="T845" s="1612"/>
      <c r="U845" s="1612"/>
      <c r="V845" s="1613"/>
      <c r="W845" s="1633">
        <f>139178-SUM(W841,W843)</f>
        <v>44037</v>
      </c>
      <c r="X845" s="1634"/>
      <c r="Y845" s="1634"/>
      <c r="Z845" s="1634"/>
      <c r="AA845" s="1634"/>
      <c r="AB845" s="1634"/>
      <c r="AC845" s="1635"/>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646">
        <f>SUM(W841:AC845)</f>
        <v>139178</v>
      </c>
      <c r="X846" s="1647"/>
      <c r="Y846" s="1647"/>
      <c r="Z846" s="1647"/>
      <c r="AA846" s="1647"/>
      <c r="AB846" s="1647"/>
      <c r="AC846" s="1648"/>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33">
        <v>32177</v>
      </c>
      <c r="X847" s="1634"/>
      <c r="Y847" s="1634"/>
      <c r="Z847" s="1634"/>
      <c r="AA847" s="1634"/>
      <c r="AB847" s="1634"/>
      <c r="AC847" s="1635"/>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626</v>
      </c>
      <c r="K849" s="5"/>
      <c r="L849" s="5"/>
      <c r="M849" s="5"/>
      <c r="N849" s="5"/>
      <c r="O849" s="5"/>
      <c r="P849" s="5"/>
      <c r="Q849" s="5"/>
      <c r="R849" s="5"/>
      <c r="S849" s="5"/>
      <c r="T849" s="5"/>
      <c r="U849" s="5"/>
      <c r="V849" s="46"/>
      <c r="W849" s="1628">
        <v>9469</v>
      </c>
      <c r="X849" s="1628"/>
      <c r="Y849" s="1628"/>
      <c r="Z849" s="1628"/>
      <c r="AA849" s="1628"/>
      <c r="AB849" s="1628"/>
      <c r="AC849" s="1628"/>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531</v>
      </c>
      <c r="K850" s="5"/>
      <c r="L850" s="5"/>
      <c r="M850" s="5"/>
      <c r="N850" s="5"/>
      <c r="O850" s="5"/>
      <c r="P850" s="5"/>
      <c r="Q850" s="5"/>
      <c r="R850" s="5"/>
      <c r="S850" s="5"/>
      <c r="T850" s="5"/>
      <c r="U850" s="5"/>
      <c r="V850" s="46"/>
      <c r="W850" s="1628">
        <v>65707</v>
      </c>
      <c r="X850" s="1628"/>
      <c r="Y850" s="1628"/>
      <c r="Z850" s="1628"/>
      <c r="AA850" s="1628"/>
      <c r="AB850" s="1628"/>
      <c r="AC850" s="1628"/>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530</v>
      </c>
      <c r="K851" s="5"/>
      <c r="L851" s="5"/>
      <c r="M851" s="5"/>
      <c r="N851" s="5"/>
      <c r="O851" s="5"/>
      <c r="P851" s="5"/>
      <c r="Q851" s="5"/>
      <c r="R851" s="5"/>
      <c r="S851" s="5"/>
      <c r="T851" s="5"/>
      <c r="U851" s="5"/>
      <c r="V851" s="46"/>
      <c r="W851" s="1628">
        <v>39235</v>
      </c>
      <c r="X851" s="1628"/>
      <c r="Y851" s="1628"/>
      <c r="Z851" s="1628"/>
      <c r="AA851" s="1628"/>
      <c r="AB851" s="1628"/>
      <c r="AC851" s="1628"/>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529</v>
      </c>
      <c r="K852" s="5"/>
      <c r="L852" s="5"/>
      <c r="M852" s="5"/>
      <c r="N852" s="5"/>
      <c r="O852" s="5"/>
      <c r="P852" s="5"/>
      <c r="Q852" s="5"/>
      <c r="R852" s="5"/>
      <c r="S852" s="5"/>
      <c r="T852" s="5"/>
      <c r="U852" s="5"/>
      <c r="V852" s="46"/>
      <c r="W852" s="1628"/>
      <c r="X852" s="1628"/>
      <c r="Y852" s="1628"/>
      <c r="Z852" s="1628"/>
      <c r="AA852" s="1628"/>
      <c r="AB852" s="1628"/>
      <c r="AC852" s="1628"/>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528</v>
      </c>
      <c r="K853" s="5"/>
      <c r="L853" s="5"/>
      <c r="M853" s="5"/>
      <c r="N853" s="5"/>
      <c r="O853" s="5"/>
      <c r="P853" s="5"/>
      <c r="Q853" s="5"/>
      <c r="R853" s="5"/>
      <c r="S853" s="5"/>
      <c r="T853" s="5"/>
      <c r="U853" s="5"/>
      <c r="V853" s="46"/>
      <c r="W853" s="1628">
        <v>60577</v>
      </c>
      <c r="X853" s="1628"/>
      <c r="Y853" s="1628"/>
      <c r="Z853" s="1628"/>
      <c r="AA853" s="1628"/>
      <c r="AB853" s="1628"/>
      <c r="AC853" s="1628"/>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527</v>
      </c>
      <c r="K854" s="5"/>
      <c r="L854" s="5"/>
      <c r="M854" s="5"/>
      <c r="N854" s="5"/>
      <c r="O854" s="5"/>
      <c r="P854" s="5"/>
      <c r="Q854" s="5"/>
      <c r="R854" s="5"/>
      <c r="S854" s="5"/>
      <c r="T854" s="5"/>
      <c r="U854" s="5"/>
      <c r="V854" s="46"/>
      <c r="W854" s="1628"/>
      <c r="X854" s="1628"/>
      <c r="Y854" s="1628"/>
      <c r="Z854" s="1628"/>
      <c r="AA854" s="1628"/>
      <c r="AB854" s="1628"/>
      <c r="AC854" s="1628"/>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611" t="s">
        <v>2719</v>
      </c>
      <c r="N855" s="1612"/>
      <c r="O855" s="1612"/>
      <c r="P855" s="1612"/>
      <c r="Q855" s="1612"/>
      <c r="R855" s="1612"/>
      <c r="S855" s="1612"/>
      <c r="T855" s="1612"/>
      <c r="U855" s="1612"/>
      <c r="V855" s="1613"/>
      <c r="W855" s="1628">
        <f>10502</f>
        <v>10502</v>
      </c>
      <c r="X855" s="1628"/>
      <c r="Y855" s="1628"/>
      <c r="Z855" s="1628"/>
      <c r="AA855" s="1628"/>
      <c r="AB855" s="1628"/>
      <c r="AC855" s="1628"/>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44">
        <f>SUM(W849:AC855)</f>
        <v>185490</v>
      </c>
      <c r="X856" s="1644"/>
      <c r="Y856" s="1644"/>
      <c r="Z856" s="1644"/>
      <c r="AA856" s="1644"/>
      <c r="AB856" s="1644"/>
      <c r="AC856" s="1644"/>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1391</v>
      </c>
      <c r="J858" s="45" t="s">
        <v>171</v>
      </c>
      <c r="K858" s="5"/>
      <c r="L858" s="5"/>
      <c r="M858" s="1611" t="s">
        <v>2727</v>
      </c>
      <c r="N858" s="1612"/>
      <c r="O858" s="1612"/>
      <c r="P858" s="1612"/>
      <c r="Q858" s="1612"/>
      <c r="R858" s="1612"/>
      <c r="S858" s="1612"/>
      <c r="T858" s="1612"/>
      <c r="U858" s="1612"/>
      <c r="V858" s="1613"/>
      <c r="W858" s="1608">
        <v>824</v>
      </c>
      <c r="X858" s="1609"/>
      <c r="Y858" s="1609"/>
      <c r="Z858" s="1609"/>
      <c r="AA858" s="1609"/>
      <c r="AB858" s="1609"/>
      <c r="AC858" s="1610"/>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1392</v>
      </c>
      <c r="J859" s="45" t="s">
        <v>171</v>
      </c>
      <c r="K859" s="5"/>
      <c r="L859" s="5"/>
      <c r="M859" s="1611" t="s">
        <v>336</v>
      </c>
      <c r="N859" s="1612"/>
      <c r="O859" s="1612"/>
      <c r="P859" s="1612"/>
      <c r="Q859" s="1612"/>
      <c r="R859" s="1612"/>
      <c r="S859" s="1612"/>
      <c r="T859" s="1612"/>
      <c r="U859" s="1612"/>
      <c r="V859" s="1613"/>
      <c r="W859" s="1608"/>
      <c r="X859" s="1609"/>
      <c r="Y859" s="1609"/>
      <c r="Z859" s="1609"/>
      <c r="AA859" s="1609"/>
      <c r="AB859" s="1609"/>
      <c r="AC859" s="1610"/>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611" t="s">
        <v>336</v>
      </c>
      <c r="N860" s="1612"/>
      <c r="O860" s="1612"/>
      <c r="P860" s="1612"/>
      <c r="Q860" s="1612"/>
      <c r="R860" s="1612"/>
      <c r="S860" s="1612"/>
      <c r="T860" s="1612"/>
      <c r="U860" s="1612"/>
      <c r="V860" s="1613"/>
      <c r="W860" s="1608"/>
      <c r="X860" s="1609"/>
      <c r="Y860" s="1609"/>
      <c r="Z860" s="1609"/>
      <c r="AA860" s="1609"/>
      <c r="AB860" s="1609"/>
      <c r="AC860" s="1610"/>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611" t="s">
        <v>336</v>
      </c>
      <c r="N861" s="1612"/>
      <c r="O861" s="1612"/>
      <c r="P861" s="1612"/>
      <c r="Q861" s="1612"/>
      <c r="R861" s="1612"/>
      <c r="S861" s="1612"/>
      <c r="T861" s="1612"/>
      <c r="U861" s="1612"/>
      <c r="V861" s="1613"/>
      <c r="W861" s="1608"/>
      <c r="X861" s="1609"/>
      <c r="Y861" s="1609"/>
      <c r="Z861" s="1609"/>
      <c r="AA861" s="1609"/>
      <c r="AB861" s="1609"/>
      <c r="AC861" s="1610"/>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611" t="s">
        <v>336</v>
      </c>
      <c r="N862" s="1612"/>
      <c r="O862" s="1612"/>
      <c r="P862" s="1612"/>
      <c r="Q862" s="1612"/>
      <c r="R862" s="1612"/>
      <c r="S862" s="1612"/>
      <c r="T862" s="1612"/>
      <c r="U862" s="1612"/>
      <c r="V862" s="1613"/>
      <c r="W862" s="1608"/>
      <c r="X862" s="1609"/>
      <c r="Y862" s="1609"/>
      <c r="Z862" s="1609"/>
      <c r="AA862" s="1609"/>
      <c r="AB862" s="1609"/>
      <c r="AC862" s="1610"/>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522">
        <f>SUM(W858:AC862)</f>
        <v>824</v>
      </c>
      <c r="X863" s="1523"/>
      <c r="Y863" s="1523"/>
      <c r="Z863" s="1523"/>
      <c r="AA863" s="1523"/>
      <c r="AB863" s="1523"/>
      <c r="AC863" s="1524"/>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23">
        <f>W831+W839+W846+W847+W856+W863+W833</f>
        <v>561756</v>
      </c>
      <c r="AD867" s="1523"/>
      <c r="AE867" s="1523"/>
      <c r="AF867" s="1523"/>
      <c r="AG867" s="1523"/>
      <c r="AH867" s="1524"/>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686">
        <f>O782+O762+G739</f>
        <v>76</v>
      </c>
      <c r="AD868" s="1686"/>
      <c r="AE868" s="1686"/>
      <c r="AF868" s="1686"/>
      <c r="AG868" s="1686"/>
      <c r="AH868" s="1687"/>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84" t="s">
        <v>32</v>
      </c>
      <c r="F869" s="1684"/>
      <c r="G869" s="1684"/>
      <c r="H869" s="1684"/>
      <c r="I869" s="1684"/>
      <c r="J869" s="1684"/>
      <c r="K869" s="1684"/>
      <c r="L869" s="1684"/>
      <c r="M869" s="1684"/>
      <c r="N869" s="1684"/>
      <c r="O869" s="1684"/>
      <c r="P869" s="1684"/>
      <c r="Q869" s="1684"/>
      <c r="R869" s="1684"/>
      <c r="S869" s="1684"/>
      <c r="T869" s="1684"/>
      <c r="U869" s="1684"/>
      <c r="V869" s="1684"/>
      <c r="W869" s="1684"/>
      <c r="X869" s="1684"/>
      <c r="Y869" s="1684"/>
      <c r="Z869" s="1684"/>
      <c r="AA869" s="1684"/>
      <c r="AB869" s="1685"/>
      <c r="AC869" s="1644">
        <f>IF(ISERROR((ROUNDDOWN(AC867/AC868,0))),0,(ROUNDDOWN(AC867/AC868,0)))</f>
        <v>7391</v>
      </c>
      <c r="AD869" s="1644"/>
      <c r="AE869" s="1644"/>
      <c r="AF869" s="1644"/>
      <c r="AG869" s="1644"/>
      <c r="AH869" s="1644"/>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626">
        <f>SUM('15 Year Pro Forma'!E35+'15 Year Pro Forma'!E43)/12*3</f>
        <v>293749.23339101876</v>
      </c>
      <c r="AD870" s="1627"/>
      <c r="AE870" s="1627"/>
      <c r="AF870" s="1627"/>
      <c r="AG870" s="1627"/>
      <c r="AH870" s="1627"/>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610"/>
      <c r="AD871" s="1628"/>
      <c r="AE871" s="1628"/>
      <c r="AF871" s="1628"/>
      <c r="AG871" s="1628"/>
      <c r="AH871" s="1628"/>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609">
        <v>25297</v>
      </c>
      <c r="AD872" s="1609"/>
      <c r="AE872" s="1609"/>
      <c r="AF872" s="1609"/>
      <c r="AG872" s="1609"/>
      <c r="AH872" s="1610"/>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09">
        <f>AC868*300</f>
        <v>22800</v>
      </c>
      <c r="AD873" s="1609"/>
      <c r="AE873" s="1609"/>
      <c r="AF873" s="1609"/>
      <c r="AG873" s="1609"/>
      <c r="AH873" s="1610"/>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1937</v>
      </c>
      <c r="AC874" s="1587"/>
      <c r="AD874" s="1588"/>
      <c r="AE874" s="1588"/>
      <c r="AF874" s="1588"/>
      <c r="AG874" s="1588"/>
      <c r="AH874" s="1589"/>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09">
        <v>29532</v>
      </c>
      <c r="AD875" s="1609"/>
      <c r="AE875" s="1609"/>
      <c r="AF875" s="1609"/>
      <c r="AG875" s="1609"/>
      <c r="AH875" s="1610"/>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1837</v>
      </c>
      <c r="AC876" s="1609"/>
      <c r="AD876" s="1609"/>
      <c r="AE876" s="1609"/>
      <c r="AF876" s="1609"/>
      <c r="AG876" s="1609"/>
      <c r="AH876" s="1610"/>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629" t="s">
        <v>996</v>
      </c>
      <c r="D877" s="1630"/>
      <c r="E877" s="1630"/>
      <c r="F877" s="1630"/>
      <c r="G877" s="1630"/>
      <c r="H877" s="1630"/>
      <c r="I877" s="1630"/>
      <c r="J877" s="1630"/>
      <c r="K877" s="1630"/>
      <c r="L877" s="1630"/>
      <c r="M877" s="1630"/>
      <c r="N877" s="1630"/>
      <c r="O877" s="1630"/>
      <c r="P877" s="1630"/>
      <c r="Q877" s="1630"/>
      <c r="R877" s="1630"/>
      <c r="S877" s="1630"/>
      <c r="T877" s="1630"/>
      <c r="U877" s="1630"/>
      <c r="V877" s="1630"/>
      <c r="W877" s="1630"/>
      <c r="X877" s="1630"/>
      <c r="Y877" s="1630"/>
      <c r="Z877" s="1630"/>
      <c r="AA877" s="1630"/>
      <c r="AB877" s="1631"/>
      <c r="AC877" s="1628"/>
      <c r="AD877" s="1628"/>
      <c r="AE877" s="1628"/>
      <c r="AF877" s="1628"/>
      <c r="AG877" s="1628"/>
      <c r="AH877" s="1628"/>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629" t="s">
        <v>996</v>
      </c>
      <c r="D878" s="1630"/>
      <c r="E878" s="1630"/>
      <c r="F878" s="1630"/>
      <c r="G878" s="1630"/>
      <c r="H878" s="1630"/>
      <c r="I878" s="1630"/>
      <c r="J878" s="1630"/>
      <c r="K878" s="1630"/>
      <c r="L878" s="1630"/>
      <c r="M878" s="1630"/>
      <c r="N878" s="1630"/>
      <c r="O878" s="1630"/>
      <c r="P878" s="1630"/>
      <c r="Q878" s="1630"/>
      <c r="R878" s="1630"/>
      <c r="S878" s="1630"/>
      <c r="T878" s="1630"/>
      <c r="U878" s="1630"/>
      <c r="V878" s="1630"/>
      <c r="W878" s="1630"/>
      <c r="X878" s="1630"/>
      <c r="Y878" s="1630"/>
      <c r="Z878" s="1630"/>
      <c r="AA878" s="1630"/>
      <c r="AB878" s="1631"/>
      <c r="AC878" s="1628"/>
      <c r="AD878" s="1628"/>
      <c r="AE878" s="1628"/>
      <c r="AF878" s="1628"/>
      <c r="AG878" s="1628"/>
      <c r="AH878" s="1628"/>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622</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608"/>
      <c r="AA882" s="1609"/>
      <c r="AB882" s="1609"/>
      <c r="AC882" s="1609"/>
      <c r="AD882" s="1609"/>
      <c r="AE882" s="1610"/>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608"/>
      <c r="AA883" s="1609"/>
      <c r="AB883" s="1609"/>
      <c r="AC883" s="1609"/>
      <c r="AD883" s="1609"/>
      <c r="AE883" s="1610"/>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608"/>
      <c r="AA884" s="1609"/>
      <c r="AB884" s="1609"/>
      <c r="AC884" s="1609"/>
      <c r="AD884" s="1609"/>
      <c r="AE884" s="1610"/>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522">
        <f>Z882-(Z883+Z884)</f>
        <v>0</v>
      </c>
      <c r="AA885" s="1523"/>
      <c r="AB885" s="1523"/>
      <c r="AC885" s="1523"/>
      <c r="AD885" s="1523"/>
      <c r="AE885" s="1524"/>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22"/>
      <c r="BE887" s="1622"/>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22"/>
      <c r="BE888" s="1622"/>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23"/>
      <c r="BE889" s="1623"/>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23"/>
      <c r="BE890" s="1623"/>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23"/>
      <c r="BE891" s="1623"/>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622"/>
      <c r="BE892" s="1623"/>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442" t="s">
        <v>97</v>
      </c>
      <c r="B893" s="1442"/>
      <c r="C893" s="1442"/>
      <c r="D893" s="1442"/>
      <c r="E893" s="1442"/>
      <c r="F893" s="1442"/>
      <c r="G893" s="1442"/>
      <c r="H893" s="1442"/>
      <c r="I893" s="1442"/>
      <c r="J893" s="1442"/>
      <c r="K893" s="1442"/>
      <c r="L893" s="1442"/>
      <c r="M893" s="1442"/>
      <c r="N893" s="1442"/>
      <c r="O893" s="1442"/>
      <c r="P893" s="1442"/>
      <c r="Q893" s="1442"/>
      <c r="R893" s="1442"/>
      <c r="S893" s="1442"/>
      <c r="T893" s="1442"/>
      <c r="U893" s="1442"/>
      <c r="V893" s="1442"/>
      <c r="W893" s="1442"/>
      <c r="X893" s="1442"/>
      <c r="Y893" s="1442"/>
      <c r="Z893" s="1442"/>
      <c r="AA893" s="1442"/>
      <c r="AB893" s="1442"/>
      <c r="AC893" s="1442"/>
      <c r="AD893" s="1442"/>
      <c r="AE893" s="1442"/>
      <c r="AF893" s="1442"/>
      <c r="AG893" s="1442"/>
      <c r="AH893" s="1442"/>
      <c r="AI893" s="1442"/>
      <c r="AJ893" s="1442"/>
      <c r="AK893" s="1442"/>
      <c r="AL893" s="1442"/>
      <c r="AM893" s="95"/>
      <c r="AN893" s="95"/>
      <c r="AO893" s="95"/>
      <c r="AP893" s="95"/>
      <c r="AQ893" s="95"/>
      <c r="AR893" s="95"/>
      <c r="AS893" s="95"/>
      <c r="AT893" s="95"/>
      <c r="AU893" s="95"/>
      <c r="AV893" s="95"/>
      <c r="AW893" s="95"/>
      <c r="AX893" s="95"/>
      <c r="AY893" s="95"/>
      <c r="AZ893" s="34"/>
      <c r="BB893" s="30"/>
      <c r="BC893" s="852"/>
      <c r="BD893" s="1621"/>
      <c r="BE893" s="1621"/>
      <c r="BF893" s="1621"/>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443"/>
      <c r="B894" s="1443"/>
      <c r="C894" s="1443"/>
      <c r="D894" s="1443"/>
      <c r="E894" s="1443"/>
      <c r="F894" s="1443"/>
      <c r="G894" s="1443"/>
      <c r="H894" s="1443"/>
      <c r="I894" s="1443"/>
      <c r="J894" s="1443"/>
      <c r="K894" s="1443"/>
      <c r="L894" s="1443"/>
      <c r="M894" s="1443"/>
      <c r="N894" s="1443"/>
      <c r="O894" s="1443"/>
      <c r="P894" s="1443"/>
      <c r="Q894" s="1443"/>
      <c r="R894" s="1443"/>
      <c r="S894" s="1443"/>
      <c r="T894" s="1443"/>
      <c r="U894" s="1443"/>
      <c r="V894" s="1443"/>
      <c r="W894" s="1443"/>
      <c r="X894" s="1443"/>
      <c r="Y894" s="1443"/>
      <c r="Z894" s="1443"/>
      <c r="AA894" s="1443"/>
      <c r="AB894" s="1443"/>
      <c r="AC894" s="1443"/>
      <c r="AD894" s="1443"/>
      <c r="AE894" s="1443"/>
      <c r="AF894" s="1443"/>
      <c r="AG894" s="1443"/>
      <c r="AH894" s="1443"/>
      <c r="AI894" s="1443"/>
      <c r="AJ894" s="1443"/>
      <c r="AK894" s="1443"/>
      <c r="AL894" s="1443"/>
      <c r="AM894" s="95"/>
      <c r="AN894" s="95"/>
      <c r="AO894" s="95"/>
      <c r="AP894" s="95"/>
      <c r="AQ894" s="95"/>
      <c r="AR894" s="95"/>
      <c r="AS894" s="95"/>
      <c r="AT894" s="95"/>
      <c r="AU894" s="95"/>
      <c r="AV894" s="95"/>
      <c r="AW894" s="95"/>
      <c r="AX894" s="95"/>
      <c r="AY894" s="95"/>
      <c r="AZ894" s="34"/>
      <c r="BB894" s="30"/>
      <c r="BC894" s="852"/>
      <c r="BD894" s="1643"/>
      <c r="BE894" s="1643"/>
      <c r="BF894" s="1643"/>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23"/>
      <c r="BE895" s="1623"/>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22"/>
      <c r="BE896" s="1623"/>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817" t="s">
        <v>816</v>
      </c>
      <c r="G898" s="1818"/>
      <c r="H898" s="1818"/>
      <c r="I898" s="1818"/>
      <c r="J898" s="1818"/>
      <c r="K898" s="1818"/>
      <c r="L898" s="1818"/>
      <c r="M898" s="1818"/>
      <c r="N898" s="1818"/>
      <c r="O898" s="1818"/>
      <c r="P898" s="1818"/>
      <c r="Q898" s="1818"/>
      <c r="R898" s="1818"/>
      <c r="S898" s="1818"/>
      <c r="T898" s="1819"/>
      <c r="U898" s="1813" t="s">
        <v>31</v>
      </c>
      <c r="V898" s="1591"/>
      <c r="W898" s="1591"/>
      <c r="X898" s="1591"/>
      <c r="Y898" s="1591"/>
      <c r="Z898" s="1591"/>
      <c r="AA898" s="43"/>
      <c r="AB898" s="105"/>
      <c r="AC898" s="105"/>
      <c r="AD898" s="105"/>
      <c r="AE898" s="105"/>
      <c r="AF898" s="106"/>
      <c r="AZ898" s="34"/>
      <c r="BA898" s="34"/>
      <c r="BB898" s="30"/>
      <c r="BC898" s="30"/>
      <c r="BD898" s="1622"/>
      <c r="BE898" s="1623"/>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664" t="s">
        <v>844</v>
      </c>
      <c r="G899" s="1665"/>
      <c r="H899" s="1665"/>
      <c r="I899" s="1665"/>
      <c r="J899" s="1665"/>
      <c r="K899" s="1665"/>
      <c r="L899" s="1665"/>
      <c r="M899" s="1665"/>
      <c r="N899" s="1665"/>
      <c r="O899" s="1665"/>
      <c r="P899" s="1665"/>
      <c r="Q899" s="1665"/>
      <c r="R899" s="1665"/>
      <c r="S899" s="1665"/>
      <c r="T899" s="1666"/>
      <c r="U899" s="1664"/>
      <c r="V899" s="1665"/>
      <c r="W899" s="1665"/>
      <c r="X899" s="1665"/>
      <c r="Y899" s="1665"/>
      <c r="Z899" s="1665"/>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667"/>
      <c r="G900" s="1593"/>
      <c r="H900" s="1593"/>
      <c r="I900" s="1593"/>
      <c r="J900" s="1593"/>
      <c r="K900" s="1593"/>
      <c r="L900" s="1593"/>
      <c r="M900" s="1593"/>
      <c r="N900" s="1593"/>
      <c r="O900" s="1593"/>
      <c r="P900" s="1593"/>
      <c r="Q900" s="1593"/>
      <c r="R900" s="1593"/>
      <c r="S900" s="1593"/>
      <c r="T900" s="1594"/>
      <c r="U900" s="1667"/>
      <c r="V900" s="1593"/>
      <c r="W900" s="1593"/>
      <c r="X900" s="1593"/>
      <c r="Y900" s="1593"/>
      <c r="Z900" s="1593"/>
      <c r="AA900" s="108"/>
      <c r="AB900" s="1453" t="s">
        <v>393</v>
      </c>
      <c r="AC900" s="1453"/>
      <c r="AD900" s="1453"/>
      <c r="AE900" s="1453"/>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782</v>
      </c>
      <c r="G901" s="48"/>
      <c r="H901" s="48"/>
      <c r="I901" s="48"/>
      <c r="J901" s="48"/>
      <c r="K901" s="48"/>
      <c r="L901" s="48"/>
      <c r="M901" s="48"/>
      <c r="N901" s="48"/>
      <c r="O901" s="48"/>
      <c r="P901" s="48"/>
      <c r="Q901" s="48"/>
      <c r="R901" s="48"/>
      <c r="S901" s="48"/>
      <c r="T901" s="49"/>
      <c r="U901" s="1653" t="s">
        <v>600</v>
      </c>
      <c r="V901" s="1355"/>
      <c r="W901" s="1355"/>
      <c r="X901" s="1355"/>
      <c r="Y901" s="1355"/>
      <c r="Z901" s="1356"/>
      <c r="AA901" s="1650">
        <f>Application!AM550</f>
        <v>20609881</v>
      </c>
      <c r="AB901" s="1441"/>
      <c r="AC901" s="1441"/>
      <c r="AD901" s="1441"/>
      <c r="AE901" s="1441"/>
      <c r="AF901" s="1651"/>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684</v>
      </c>
      <c r="G902" s="48"/>
      <c r="H902" s="48"/>
      <c r="I902" s="48"/>
      <c r="J902" s="48"/>
      <c r="K902" s="48"/>
      <c r="L902" s="48"/>
      <c r="M902" s="48"/>
      <c r="N902" s="48"/>
      <c r="O902" s="48"/>
      <c r="P902" s="48"/>
      <c r="Q902" s="48"/>
      <c r="R902" s="48"/>
      <c r="S902" s="48"/>
      <c r="T902" s="49"/>
      <c r="U902" s="1653" t="s">
        <v>600</v>
      </c>
      <c r="V902" s="1355"/>
      <c r="W902" s="1355"/>
      <c r="X902" s="1355"/>
      <c r="Y902" s="1355"/>
      <c r="Z902" s="1356"/>
      <c r="AA902" s="1650"/>
      <c r="AB902" s="1441"/>
      <c r="AC902" s="1441"/>
      <c r="AD902" s="1441"/>
      <c r="AE902" s="1441"/>
      <c r="AF902" s="1651"/>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825</v>
      </c>
      <c r="G903" s="5"/>
      <c r="H903" s="5"/>
      <c r="I903" s="5"/>
      <c r="J903" s="5"/>
      <c r="K903" s="5"/>
      <c r="L903" s="5"/>
      <c r="M903" s="5"/>
      <c r="N903" s="5"/>
      <c r="O903" s="5"/>
      <c r="P903" s="5"/>
      <c r="Q903" s="5"/>
      <c r="R903" s="5"/>
      <c r="S903" s="5"/>
      <c r="T903" s="46"/>
      <c r="U903" s="1653" t="s">
        <v>600</v>
      </c>
      <c r="V903" s="1355"/>
      <c r="W903" s="1355"/>
      <c r="X903" s="1355"/>
      <c r="Y903" s="1355"/>
      <c r="Z903" s="1356"/>
      <c r="AA903" s="1650"/>
      <c r="AB903" s="1441"/>
      <c r="AC903" s="1441"/>
      <c r="AD903" s="1441"/>
      <c r="AE903" s="1441"/>
      <c r="AF903" s="1651"/>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687</v>
      </c>
      <c r="G904" s="5"/>
      <c r="H904" s="5"/>
      <c r="I904" s="5"/>
      <c r="J904" s="5"/>
      <c r="K904" s="5"/>
      <c r="L904" s="5"/>
      <c r="M904" s="5"/>
      <c r="N904" s="5"/>
      <c r="O904" s="5"/>
      <c r="P904" s="5"/>
      <c r="Q904" s="5"/>
      <c r="R904" s="5"/>
      <c r="S904" s="5"/>
      <c r="T904" s="46"/>
      <c r="U904" s="1653" t="s">
        <v>600</v>
      </c>
      <c r="V904" s="1355"/>
      <c r="W904" s="1355"/>
      <c r="X904" s="1355"/>
      <c r="Y904" s="1355"/>
      <c r="Z904" s="1356"/>
      <c r="AA904" s="1650"/>
      <c r="AB904" s="1441"/>
      <c r="AC904" s="1441"/>
      <c r="AD904" s="1441"/>
      <c r="AE904" s="1441"/>
      <c r="AF904" s="1651"/>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810</v>
      </c>
      <c r="G905" s="5"/>
      <c r="H905" s="5"/>
      <c r="I905" s="5"/>
      <c r="J905" s="5"/>
      <c r="K905" s="5"/>
      <c r="L905" s="5"/>
      <c r="M905" s="5"/>
      <c r="N905" s="5"/>
      <c r="O905" s="5"/>
      <c r="P905" s="5"/>
      <c r="Q905" s="5"/>
      <c r="R905" s="5"/>
      <c r="S905" s="5"/>
      <c r="T905" s="46"/>
      <c r="U905" s="1653" t="s">
        <v>600</v>
      </c>
      <c r="V905" s="1355"/>
      <c r="W905" s="1355"/>
      <c r="X905" s="1355"/>
      <c r="Y905" s="1355"/>
      <c r="Z905" s="1356"/>
      <c r="AA905" s="1650"/>
      <c r="AB905" s="1441"/>
      <c r="AC905" s="1441"/>
      <c r="AD905" s="1441"/>
      <c r="AE905" s="1441"/>
      <c r="AF905" s="1651"/>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811</v>
      </c>
      <c r="G906" s="5"/>
      <c r="H906" s="5"/>
      <c r="I906" s="5"/>
      <c r="J906" s="5"/>
      <c r="K906" s="5"/>
      <c r="L906" s="5"/>
      <c r="M906" s="5"/>
      <c r="N906" s="5"/>
      <c r="O906" s="5"/>
      <c r="P906" s="5"/>
      <c r="Q906" s="5"/>
      <c r="R906" s="5"/>
      <c r="S906" s="5"/>
      <c r="T906" s="46"/>
      <c r="U906" s="1653" t="s">
        <v>600</v>
      </c>
      <c r="V906" s="1355"/>
      <c r="W906" s="1355"/>
      <c r="X906" s="1355"/>
      <c r="Y906" s="1355"/>
      <c r="Z906" s="1356"/>
      <c r="AA906" s="1650"/>
      <c r="AB906" s="1441"/>
      <c r="AC906" s="1441"/>
      <c r="AD906" s="1441"/>
      <c r="AE906" s="1441"/>
      <c r="AF906" s="1651"/>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812</v>
      </c>
      <c r="G907" s="5"/>
      <c r="H907" s="5"/>
      <c r="I907" s="5"/>
      <c r="J907" s="5"/>
      <c r="K907" s="5"/>
      <c r="L907" s="5"/>
      <c r="M907" s="5"/>
      <c r="N907" s="5"/>
      <c r="O907" s="5"/>
      <c r="P907" s="5"/>
      <c r="Q907" s="5"/>
      <c r="R907" s="5"/>
      <c r="S907" s="5"/>
      <c r="T907" s="46"/>
      <c r="U907" s="1653" t="s">
        <v>600</v>
      </c>
      <c r="V907" s="1355"/>
      <c r="W907" s="1355"/>
      <c r="X907" s="1355"/>
      <c r="Y907" s="1355"/>
      <c r="Z907" s="1356"/>
      <c r="AA907" s="1650"/>
      <c r="AB907" s="1441"/>
      <c r="AC907" s="1441"/>
      <c r="AD907" s="1441"/>
      <c r="AE907" s="1441"/>
      <c r="AF907" s="1651"/>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686</v>
      </c>
      <c r="G908" s="5"/>
      <c r="H908" s="5"/>
      <c r="I908" s="5"/>
      <c r="J908" s="5"/>
      <c r="K908" s="5"/>
      <c r="L908" s="5"/>
      <c r="M908" s="5"/>
      <c r="N908" s="5"/>
      <c r="O908" s="5"/>
      <c r="P908" s="5"/>
      <c r="Q908" s="5"/>
      <c r="R908" s="5"/>
      <c r="S908" s="5"/>
      <c r="T908" s="46"/>
      <c r="U908" s="1653" t="s">
        <v>600</v>
      </c>
      <c r="V908" s="1355"/>
      <c r="W908" s="1355"/>
      <c r="X908" s="1355"/>
      <c r="Y908" s="1355"/>
      <c r="Z908" s="1356"/>
      <c r="AA908" s="1650"/>
      <c r="AB908" s="1441"/>
      <c r="AC908" s="1441"/>
      <c r="AD908" s="1441"/>
      <c r="AE908" s="1441"/>
      <c r="AF908" s="1651"/>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688</v>
      </c>
      <c r="G909" s="5"/>
      <c r="H909" s="5"/>
      <c r="I909" s="5"/>
      <c r="J909" s="5"/>
      <c r="K909" s="5"/>
      <c r="L909" s="5"/>
      <c r="M909" s="5"/>
      <c r="N909" s="5"/>
      <c r="O909" s="5"/>
      <c r="P909" s="5"/>
      <c r="Q909" s="5"/>
      <c r="R909" s="5"/>
      <c r="S909" s="5"/>
      <c r="T909" s="46"/>
      <c r="U909" s="1653" t="s">
        <v>600</v>
      </c>
      <c r="V909" s="1355"/>
      <c r="W909" s="1355"/>
      <c r="X909" s="1355"/>
      <c r="Y909" s="1355"/>
      <c r="Z909" s="1356"/>
      <c r="AA909" s="1650"/>
      <c r="AB909" s="1441"/>
      <c r="AC909" s="1441"/>
      <c r="AD909" s="1441"/>
      <c r="AE909" s="1441"/>
      <c r="AF909" s="1651"/>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685</v>
      </c>
      <c r="G910" s="5"/>
      <c r="H910" s="5"/>
      <c r="I910" s="5"/>
      <c r="J910" s="5"/>
      <c r="K910" s="5"/>
      <c r="L910" s="5"/>
      <c r="M910" s="5"/>
      <c r="N910" s="5"/>
      <c r="O910" s="5"/>
      <c r="P910" s="5"/>
      <c r="Q910" s="5"/>
      <c r="R910" s="5"/>
      <c r="S910" s="5"/>
      <c r="T910" s="46"/>
      <c r="U910" s="1653" t="s">
        <v>600</v>
      </c>
      <c r="V910" s="1355"/>
      <c r="W910" s="1355"/>
      <c r="X910" s="1355"/>
      <c r="Y910" s="1355"/>
      <c r="Z910" s="1356"/>
      <c r="AA910" s="1650"/>
      <c r="AB910" s="1441"/>
      <c r="AC910" s="1441"/>
      <c r="AD910" s="1441"/>
      <c r="AE910" s="1441"/>
      <c r="AF910" s="165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1435</v>
      </c>
      <c r="G911" s="5"/>
      <c r="H911" s="5"/>
      <c r="I911" s="5"/>
      <c r="J911" s="5"/>
      <c r="K911" s="5"/>
      <c r="L911" s="5"/>
      <c r="M911" s="5"/>
      <c r="N911" s="5"/>
      <c r="O911" s="5"/>
      <c r="P911" s="5"/>
      <c r="Q911" s="5"/>
      <c r="R911" s="5"/>
      <c r="S911" s="5"/>
      <c r="T911" s="46"/>
      <c r="U911" s="1653" t="s">
        <v>600</v>
      </c>
      <c r="V911" s="1355"/>
      <c r="W911" s="1355"/>
      <c r="X911" s="1355"/>
      <c r="Y911" s="1355"/>
      <c r="Z911" s="1356"/>
      <c r="AA911" s="1650"/>
      <c r="AB911" s="1441"/>
      <c r="AC911" s="1441"/>
      <c r="AD911" s="1441"/>
      <c r="AE911" s="1441"/>
      <c r="AF911" s="1651"/>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826</v>
      </c>
      <c r="G912" s="5"/>
      <c r="H912" s="5"/>
      <c r="I912" s="5"/>
      <c r="J912" s="5"/>
      <c r="K912" s="5"/>
      <c r="L912" s="5"/>
      <c r="M912" s="5"/>
      <c r="N912" s="5"/>
      <c r="O912" s="5"/>
      <c r="P912" s="5"/>
      <c r="Q912" s="5"/>
      <c r="R912" s="5"/>
      <c r="S912" s="5"/>
      <c r="T912" s="46"/>
      <c r="U912" s="1653" t="s">
        <v>600</v>
      </c>
      <c r="V912" s="1355"/>
      <c r="W912" s="1355"/>
      <c r="X912" s="1355"/>
      <c r="Y912" s="1355"/>
      <c r="Z912" s="1356"/>
      <c r="AA912" s="1650"/>
      <c r="AB912" s="1441"/>
      <c r="AC912" s="1441"/>
      <c r="AD912" s="1441"/>
      <c r="AE912" s="1441"/>
      <c r="AF912" s="1651"/>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827</v>
      </c>
      <c r="G913" s="5"/>
      <c r="H913" s="5"/>
      <c r="I913" s="5"/>
      <c r="J913" s="5"/>
      <c r="K913" s="5"/>
      <c r="L913" s="5"/>
      <c r="M913" s="5"/>
      <c r="N913" s="5"/>
      <c r="O913" s="5"/>
      <c r="P913" s="5"/>
      <c r="Q913" s="5"/>
      <c r="R913" s="5"/>
      <c r="S913" s="5"/>
      <c r="T913" s="46"/>
      <c r="U913" s="1653" t="s">
        <v>600</v>
      </c>
      <c r="V913" s="1355"/>
      <c r="W913" s="1355"/>
      <c r="X913" s="1355"/>
      <c r="Y913" s="1355"/>
      <c r="Z913" s="1356"/>
      <c r="AA913" s="1650"/>
      <c r="AB913" s="1441"/>
      <c r="AC913" s="1441"/>
      <c r="AD913" s="1441"/>
      <c r="AE913" s="1441"/>
      <c r="AF913" s="165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1419</v>
      </c>
      <c r="G914" s="5"/>
      <c r="H914" s="5"/>
      <c r="I914" s="5"/>
      <c r="J914" s="5"/>
      <c r="K914" s="5"/>
      <c r="L914" s="5"/>
      <c r="M914" s="5"/>
      <c r="N914" s="5"/>
      <c r="O914" s="5"/>
      <c r="P914" s="5"/>
      <c r="Q914" s="5"/>
      <c r="R914" s="5"/>
      <c r="S914" s="5"/>
      <c r="T914" s="46"/>
      <c r="U914" s="1653" t="s">
        <v>600</v>
      </c>
      <c r="V914" s="1355"/>
      <c r="W914" s="1355"/>
      <c r="X914" s="1355"/>
      <c r="Y914" s="1355"/>
      <c r="Z914" s="1356"/>
      <c r="AA914" s="1650"/>
      <c r="AB914" s="1441"/>
      <c r="AC914" s="1441"/>
      <c r="AD914" s="1441"/>
      <c r="AE914" s="1441"/>
      <c r="AF914" s="1651"/>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1420</v>
      </c>
      <c r="G915" s="5"/>
      <c r="H915" s="5"/>
      <c r="I915" s="5"/>
      <c r="J915" s="5"/>
      <c r="K915" s="5"/>
      <c r="L915" s="5"/>
      <c r="M915" s="5"/>
      <c r="N915" s="5"/>
      <c r="O915" s="5"/>
      <c r="P915" s="5"/>
      <c r="Q915" s="5"/>
      <c r="R915" s="5"/>
      <c r="S915" s="5"/>
      <c r="T915" s="46"/>
      <c r="U915" s="1653" t="s">
        <v>600</v>
      </c>
      <c r="V915" s="1355"/>
      <c r="W915" s="1355"/>
      <c r="X915" s="1355"/>
      <c r="Y915" s="1355"/>
      <c r="Z915" s="1356"/>
      <c r="AA915" s="1650"/>
      <c r="AB915" s="1441"/>
      <c r="AC915" s="1441"/>
      <c r="AD915" s="1441"/>
      <c r="AE915" s="1441"/>
      <c r="AF915" s="1651"/>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831</v>
      </c>
      <c r="G916" s="5"/>
      <c r="H916" s="5"/>
      <c r="I916" s="5"/>
      <c r="J916" s="5"/>
      <c r="K916" s="5"/>
      <c r="L916" s="5"/>
      <c r="M916" s="5"/>
      <c r="N916" s="5"/>
      <c r="O916" s="5"/>
      <c r="P916" s="1653" t="s">
        <v>678</v>
      </c>
      <c r="Q916" s="1355"/>
      <c r="R916" s="1355"/>
      <c r="S916" s="1355"/>
      <c r="T916" s="1356"/>
      <c r="U916" s="1653" t="s">
        <v>600</v>
      </c>
      <c r="V916" s="1355"/>
      <c r="W916" s="1355"/>
      <c r="X916" s="1355"/>
      <c r="Y916" s="1355"/>
      <c r="Z916" s="1356"/>
      <c r="AA916" s="1650"/>
      <c r="AB916" s="1441"/>
      <c r="AC916" s="1441"/>
      <c r="AD916" s="1441"/>
      <c r="AE916" s="1441"/>
      <c r="AF916" s="1651"/>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611" t="s">
        <v>336</v>
      </c>
      <c r="J917" s="1612"/>
      <c r="K917" s="1612"/>
      <c r="L917" s="1612"/>
      <c r="M917" s="1612"/>
      <c r="N917" s="1612"/>
      <c r="O917" s="1612"/>
      <c r="P917" s="1612"/>
      <c r="Q917" s="1612"/>
      <c r="R917" s="1612"/>
      <c r="S917" s="1612"/>
      <c r="T917" s="1613"/>
      <c r="U917" s="1653" t="s">
        <v>600</v>
      </c>
      <c r="V917" s="1355"/>
      <c r="W917" s="1355"/>
      <c r="X917" s="1355"/>
      <c r="Y917" s="1355"/>
      <c r="Z917" s="1356"/>
      <c r="AA917" s="1650"/>
      <c r="AB917" s="1441"/>
      <c r="AC917" s="1441"/>
      <c r="AD917" s="1441"/>
      <c r="AE917" s="1441"/>
      <c r="AF917" s="1651"/>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661" t="str">
        <f>C624</f>
        <v>City of Yorba Linda</v>
      </c>
      <c r="J918" s="1662"/>
      <c r="K918" s="1662"/>
      <c r="L918" s="1662"/>
      <c r="M918" s="1662"/>
      <c r="N918" s="1662"/>
      <c r="O918" s="1662"/>
      <c r="P918" s="1662"/>
      <c r="Q918" s="1662"/>
      <c r="R918" s="1662"/>
      <c r="S918" s="1662"/>
      <c r="T918" s="1663"/>
      <c r="U918" s="1653" t="s">
        <v>554</v>
      </c>
      <c r="V918" s="1355"/>
      <c r="W918" s="1355"/>
      <c r="X918" s="1355"/>
      <c r="Y918" s="1355"/>
      <c r="Z918" s="1356"/>
      <c r="AA918" s="1650">
        <v>12976406</v>
      </c>
      <c r="AB918" s="1441"/>
      <c r="AC918" s="1441"/>
      <c r="AD918" s="1441"/>
      <c r="AE918" s="1441"/>
      <c r="AF918" s="1651"/>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661" t="str">
        <f>C625</f>
        <v>AHP</v>
      </c>
      <c r="J919" s="1662"/>
      <c r="K919" s="1662"/>
      <c r="L919" s="1662"/>
      <c r="M919" s="1662"/>
      <c r="N919" s="1662"/>
      <c r="O919" s="1662"/>
      <c r="P919" s="1662"/>
      <c r="Q919" s="1662"/>
      <c r="R919" s="1662"/>
      <c r="S919" s="1662"/>
      <c r="T919" s="1663"/>
      <c r="U919" s="1653" t="s">
        <v>554</v>
      </c>
      <c r="V919" s="1355"/>
      <c r="W919" s="1355"/>
      <c r="X919" s="1355"/>
      <c r="Y919" s="1355"/>
      <c r="Z919" s="1356"/>
      <c r="AA919" s="1650">
        <f>AO625</f>
        <v>750000</v>
      </c>
      <c r="AB919" s="1441"/>
      <c r="AC919" s="1441"/>
      <c r="AD919" s="1441"/>
      <c r="AE919" s="1441"/>
      <c r="AF919" s="1651"/>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661" t="s">
        <v>336</v>
      </c>
      <c r="J920" s="1662"/>
      <c r="K920" s="1662"/>
      <c r="L920" s="1662"/>
      <c r="M920" s="1662"/>
      <c r="N920" s="1662"/>
      <c r="O920" s="1662"/>
      <c r="P920" s="1662"/>
      <c r="Q920" s="1662"/>
      <c r="R920" s="1662"/>
      <c r="S920" s="1662"/>
      <c r="T920" s="1663"/>
      <c r="U920" s="1653" t="s">
        <v>600</v>
      </c>
      <c r="V920" s="1355"/>
      <c r="W920" s="1355"/>
      <c r="X920" s="1355"/>
      <c r="Y920" s="1355"/>
      <c r="Z920" s="1356"/>
      <c r="AA920" s="1650"/>
      <c r="AB920" s="1441"/>
      <c r="AC920" s="1441"/>
      <c r="AD920" s="1441"/>
      <c r="AE920" s="1441"/>
      <c r="AF920" s="1651"/>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60"/>
      <c r="N925" s="1597"/>
      <c r="O925" s="1597"/>
      <c r="P925" s="1597"/>
      <c r="Q925" s="1597"/>
      <c r="R925" s="1597"/>
      <c r="S925" s="1620"/>
      <c r="U925" s="66" t="s">
        <v>11</v>
      </c>
      <c r="V925" s="5"/>
      <c r="W925" s="5"/>
      <c r="X925" s="5"/>
      <c r="Y925" s="5"/>
      <c r="Z925" s="5"/>
      <c r="AA925" s="5"/>
      <c r="AB925" s="5"/>
      <c r="AC925" s="5"/>
      <c r="AD925" s="46"/>
      <c r="AE925" s="1660"/>
      <c r="AF925" s="1597"/>
      <c r="AG925" s="1597"/>
      <c r="AH925" s="1597"/>
      <c r="AI925" s="1597"/>
      <c r="AJ925" s="1597"/>
      <c r="AK925" s="1620"/>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407"/>
      <c r="N926" s="1394"/>
      <c r="O926" s="1394"/>
      <c r="P926" s="1394"/>
      <c r="Q926" s="1394"/>
      <c r="R926" s="1394"/>
      <c r="S926" s="1652"/>
      <c r="U926" s="66" t="s">
        <v>12</v>
      </c>
      <c r="V926" s="5"/>
      <c r="W926" s="5"/>
      <c r="X926" s="5"/>
      <c r="Y926" s="5"/>
      <c r="Z926" s="5"/>
      <c r="AA926" s="5"/>
      <c r="AB926" s="5"/>
      <c r="AC926" s="5"/>
      <c r="AD926" s="46"/>
      <c r="AE926" s="1407"/>
      <c r="AF926" s="1394"/>
      <c r="AG926" s="1394"/>
      <c r="AH926" s="1394"/>
      <c r="AI926" s="1394"/>
      <c r="AJ926" s="1394"/>
      <c r="AK926" s="165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909</v>
      </c>
      <c r="D927" s="5"/>
      <c r="E927" s="5"/>
      <c r="J927" s="1654" t="s">
        <v>309</v>
      </c>
      <c r="K927" s="1655"/>
      <c r="L927" s="1655"/>
      <c r="M927" s="1655"/>
      <c r="N927" s="1655"/>
      <c r="O927" s="1655"/>
      <c r="P927" s="1655"/>
      <c r="Q927" s="1655"/>
      <c r="R927" s="1655"/>
      <c r="S927" s="1656"/>
      <c r="U927" s="66" t="s">
        <v>909</v>
      </c>
      <c r="V927" s="5"/>
      <c r="W927" s="5"/>
      <c r="AB927" s="1654" t="s">
        <v>309</v>
      </c>
      <c r="AC927" s="1655"/>
      <c r="AD927" s="1655"/>
      <c r="AE927" s="1655"/>
      <c r="AF927" s="1655"/>
      <c r="AG927" s="1655"/>
      <c r="AH927" s="1655"/>
      <c r="AI927" s="1655"/>
      <c r="AJ927" s="1655"/>
      <c r="AK927" s="1656"/>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821"/>
      <c r="N928" s="1672"/>
      <c r="O928" s="1672"/>
      <c r="P928" s="1672"/>
      <c r="Q928" s="1672"/>
      <c r="R928" s="1672"/>
      <c r="S928" s="1673"/>
      <c r="U928" s="66" t="s">
        <v>13</v>
      </c>
      <c r="V928" s="5"/>
      <c r="W928" s="5"/>
      <c r="X928" s="5"/>
      <c r="Y928" s="5"/>
      <c r="Z928" s="5"/>
      <c r="AA928" s="5"/>
      <c r="AB928" s="5"/>
      <c r="AC928" s="5"/>
      <c r="AD928" s="46"/>
      <c r="AE928" s="1671"/>
      <c r="AF928" s="1672"/>
      <c r="AG928" s="1672"/>
      <c r="AH928" s="1672"/>
      <c r="AI928" s="1672"/>
      <c r="AJ928" s="1672"/>
      <c r="AK928" s="1673"/>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674"/>
      <c r="N929" s="1638"/>
      <c r="O929" s="1638"/>
      <c r="P929" s="1638"/>
      <c r="Q929" s="1638"/>
      <c r="R929" s="1638"/>
      <c r="S929" s="1639"/>
      <c r="U929" s="66" t="s">
        <v>14</v>
      </c>
      <c r="V929" s="5"/>
      <c r="W929" s="5"/>
      <c r="X929" s="5"/>
      <c r="Y929" s="5"/>
      <c r="Z929" s="5"/>
      <c r="AA929" s="5"/>
      <c r="AB929" s="5"/>
      <c r="AC929" s="5"/>
      <c r="AD929" s="46"/>
      <c r="AE929" s="1674"/>
      <c r="AF929" s="1638"/>
      <c r="AG929" s="1638"/>
      <c r="AH929" s="1638"/>
      <c r="AI929" s="1638"/>
      <c r="AJ929" s="1638"/>
      <c r="AK929" s="1639"/>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650"/>
      <c r="N930" s="1441"/>
      <c r="O930" s="1441"/>
      <c r="P930" s="1441"/>
      <c r="Q930" s="1441"/>
      <c r="R930" s="1441"/>
      <c r="S930" s="1651"/>
      <c r="U930" s="66" t="s">
        <v>15</v>
      </c>
      <c r="V930" s="5"/>
      <c r="W930" s="5"/>
      <c r="X930" s="5"/>
      <c r="Y930" s="5"/>
      <c r="Z930" s="5"/>
      <c r="AA930" s="5"/>
      <c r="AB930" s="5"/>
      <c r="AC930" s="5"/>
      <c r="AD930" s="46"/>
      <c r="AE930" s="1650"/>
      <c r="AF930" s="1441"/>
      <c r="AG930" s="1441"/>
      <c r="AH930" s="1441"/>
      <c r="AI930" s="1441"/>
      <c r="AJ930" s="1441"/>
      <c r="AK930" s="1651"/>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650"/>
      <c r="N931" s="1441"/>
      <c r="O931" s="1441"/>
      <c r="P931" s="1441"/>
      <c r="Q931" s="1441"/>
      <c r="R931" s="1441"/>
      <c r="S931" s="1651"/>
      <c r="U931" s="66" t="s">
        <v>16</v>
      </c>
      <c r="V931" s="5"/>
      <c r="W931" s="5"/>
      <c r="X931" s="5"/>
      <c r="Y931" s="5"/>
      <c r="Z931" s="5"/>
      <c r="AA931" s="5"/>
      <c r="AB931" s="5"/>
      <c r="AC931" s="5"/>
      <c r="AD931" s="46"/>
      <c r="AE931" s="1650"/>
      <c r="AF931" s="1441"/>
      <c r="AG931" s="1441"/>
      <c r="AH931" s="1441"/>
      <c r="AI931" s="1441"/>
      <c r="AJ931" s="1441"/>
      <c r="AK931" s="1651"/>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1842</v>
      </c>
      <c r="D932" s="5"/>
      <c r="E932" s="5"/>
      <c r="F932" s="5"/>
      <c r="G932" s="5"/>
      <c r="H932" s="5"/>
      <c r="I932" s="5"/>
      <c r="J932" s="5"/>
      <c r="K932" s="5"/>
      <c r="L932" s="46"/>
      <c r="M932" s="1668"/>
      <c r="N932" s="1669"/>
      <c r="O932" s="1669"/>
      <c r="P932" s="1669"/>
      <c r="Q932" s="1669"/>
      <c r="R932" s="1669"/>
      <c r="S932" s="1670"/>
      <c r="U932" s="121" t="s">
        <v>1842</v>
      </c>
      <c r="V932" s="5"/>
      <c r="W932" s="5"/>
      <c r="X932" s="5"/>
      <c r="Y932" s="5"/>
      <c r="Z932" s="5"/>
      <c r="AA932" s="5"/>
      <c r="AB932" s="5"/>
      <c r="AC932" s="5"/>
      <c r="AD932" s="46"/>
      <c r="AE932" s="1668"/>
      <c r="AF932" s="1669"/>
      <c r="AG932" s="1669"/>
      <c r="AH932" s="1669"/>
      <c r="AI932" s="1669"/>
      <c r="AJ932" s="1669"/>
      <c r="AK932" s="1670"/>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580</v>
      </c>
      <c r="G937" s="5"/>
      <c r="H937" s="5"/>
      <c r="I937" s="5"/>
      <c r="J937" s="5"/>
      <c r="K937" s="5"/>
      <c r="L937" s="46"/>
      <c r="M937" s="1640"/>
      <c r="N937" s="1641"/>
      <c r="O937" s="1641"/>
      <c r="P937" s="1641"/>
      <c r="Q937" s="1641"/>
      <c r="R937" s="1641"/>
      <c r="S937" s="1642"/>
      <c r="T937" s="66" t="s">
        <v>814</v>
      </c>
      <c r="U937" s="5"/>
      <c r="V937" s="5"/>
      <c r="W937" s="5"/>
      <c r="X937" s="5"/>
      <c r="Y937" s="5"/>
      <c r="Z937" s="46"/>
      <c r="AA937" s="1640"/>
      <c r="AB937" s="1641"/>
      <c r="AC937" s="1641"/>
      <c r="AD937" s="1641"/>
      <c r="AE937" s="1641"/>
      <c r="AF937" s="1641"/>
      <c r="AG937" s="1642"/>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581</v>
      </c>
      <c r="G938" s="5"/>
      <c r="H938" s="5"/>
      <c r="I938" s="5"/>
      <c r="J938" s="5"/>
      <c r="K938" s="5"/>
      <c r="L938" s="46"/>
      <c r="M938" s="1640"/>
      <c r="N938" s="1641"/>
      <c r="O938" s="1641"/>
      <c r="P938" s="1641"/>
      <c r="Q938" s="1641"/>
      <c r="R938" s="1641"/>
      <c r="S938" s="1642"/>
      <c r="T938" s="66" t="s">
        <v>813</v>
      </c>
      <c r="U938" s="5"/>
      <c r="V938" s="5"/>
      <c r="W938" s="5"/>
      <c r="X938" s="5"/>
      <c r="Y938" s="5"/>
      <c r="Z938" s="46"/>
      <c r="AA938" s="1640"/>
      <c r="AB938" s="1641"/>
      <c r="AC938" s="1641"/>
      <c r="AD938" s="1641"/>
      <c r="AE938" s="1641"/>
      <c r="AF938" s="1641"/>
      <c r="AG938" s="1642"/>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934</v>
      </c>
      <c r="G939" s="5"/>
      <c r="H939" s="5"/>
      <c r="I939" s="5"/>
      <c r="J939" s="5"/>
      <c r="K939" s="5"/>
      <c r="L939" s="46"/>
      <c r="M939" s="1691" t="s">
        <v>600</v>
      </c>
      <c r="N939" s="1692"/>
      <c r="O939" s="1692"/>
      <c r="P939" s="1692"/>
      <c r="Q939" s="1692"/>
      <c r="R939" s="1692"/>
      <c r="S939" s="1693"/>
      <c r="T939" s="45" t="s">
        <v>339</v>
      </c>
      <c r="U939" s="5"/>
      <c r="V939" s="5"/>
      <c r="W939" s="5"/>
      <c r="X939" s="5"/>
      <c r="Y939" s="5"/>
      <c r="Z939" s="46"/>
      <c r="AA939" s="1640"/>
      <c r="AB939" s="1641"/>
      <c r="AC939" s="1641"/>
      <c r="AD939" s="1641"/>
      <c r="AE939" s="1641"/>
      <c r="AF939" s="1641"/>
      <c r="AG939" s="1642"/>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582</v>
      </c>
      <c r="G940" s="5"/>
      <c r="H940" s="5"/>
      <c r="I940" s="5"/>
      <c r="J940" s="5"/>
      <c r="K940" s="5"/>
      <c r="L940" s="46"/>
      <c r="M940" s="1640"/>
      <c r="N940" s="1641"/>
      <c r="O940" s="1641"/>
      <c r="P940" s="1641"/>
      <c r="Q940" s="1641"/>
      <c r="R940" s="1641"/>
      <c r="S940" s="1642"/>
      <c r="T940" s="45" t="s">
        <v>340</v>
      </c>
      <c r="U940" s="5"/>
      <c r="V940" s="5"/>
      <c r="W940" s="5"/>
      <c r="X940" s="5"/>
      <c r="Y940" s="5"/>
      <c r="Z940" s="46"/>
      <c r="AA940" s="1640"/>
      <c r="AB940" s="1641"/>
      <c r="AC940" s="1641"/>
      <c r="AD940" s="1641"/>
      <c r="AE940" s="1641"/>
      <c r="AF940" s="1641"/>
      <c r="AG940" s="1642"/>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473</v>
      </c>
      <c r="G941" s="5"/>
      <c r="H941" s="5"/>
      <c r="I941" s="5"/>
      <c r="J941" s="5"/>
      <c r="K941" s="5"/>
      <c r="L941" s="46"/>
      <c r="M941" s="1640"/>
      <c r="N941" s="1641"/>
      <c r="O941" s="1641"/>
      <c r="P941" s="1641"/>
      <c r="Q941" s="1641"/>
      <c r="R941" s="1641"/>
      <c r="S941" s="1642"/>
      <c r="T941" s="45" t="s">
        <v>378</v>
      </c>
      <c r="U941" s="5"/>
      <c r="V941" s="5"/>
      <c r="W941" s="5"/>
      <c r="X941" s="5"/>
      <c r="Y941" s="5"/>
      <c r="Z941" s="46"/>
      <c r="AA941" s="1640"/>
      <c r="AB941" s="1641"/>
      <c r="AC941" s="1641"/>
      <c r="AD941" s="1641"/>
      <c r="AE941" s="1641"/>
      <c r="AF941" s="1641"/>
      <c r="AG941" s="1642"/>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909</v>
      </c>
      <c r="G942" s="42"/>
      <c r="H942" s="42"/>
      <c r="I942" s="42"/>
      <c r="J942" s="42"/>
      <c r="K942" s="42"/>
      <c r="L942" s="58"/>
      <c r="M942" s="1678" t="s">
        <v>309</v>
      </c>
      <c r="N942" s="1679"/>
      <c r="O942" s="1679"/>
      <c r="P942" s="1679"/>
      <c r="Q942" s="1679"/>
      <c r="R942" s="1679"/>
      <c r="S942" s="1680"/>
      <c r="T942" s="1657"/>
      <c r="U942" s="1658"/>
      <c r="V942" s="1658"/>
      <c r="W942" s="1658"/>
      <c r="X942" s="1658"/>
      <c r="Y942" s="1658"/>
      <c r="Z942" s="1659"/>
      <c r="AA942" s="1640"/>
      <c r="AB942" s="1641"/>
      <c r="AC942" s="1641"/>
      <c r="AD942" s="1641"/>
      <c r="AE942" s="1641"/>
      <c r="AF942" s="1641"/>
      <c r="AG942" s="1642"/>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474</v>
      </c>
      <c r="G943" s="42"/>
      <c r="H943" s="42"/>
      <c r="I943" s="42"/>
      <c r="J943" s="42"/>
      <c r="K943" s="42"/>
      <c r="L943" s="58"/>
      <c r="M943" s="1640"/>
      <c r="N943" s="1641"/>
      <c r="O943" s="1641"/>
      <c r="P943" s="1641"/>
      <c r="Q943" s="1641"/>
      <c r="R943" s="1641"/>
      <c r="S943" s="1642"/>
      <c r="T943" s="1657"/>
      <c r="U943" s="1658"/>
      <c r="V943" s="1658"/>
      <c r="W943" s="1658"/>
      <c r="X943" s="1658"/>
      <c r="Y943" s="1658"/>
      <c r="Z943" s="1659"/>
      <c r="AA943" s="1640"/>
      <c r="AB943" s="1641"/>
      <c r="AC943" s="1641"/>
      <c r="AD943" s="1641"/>
      <c r="AE943" s="1641"/>
      <c r="AF943" s="1641"/>
      <c r="AG943" s="1642"/>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365" t="s">
        <v>678</v>
      </c>
      <c r="P944" s="1367"/>
      <c r="Q944" s="92"/>
      <c r="R944" s="92"/>
      <c r="S944" s="93"/>
      <c r="T944" s="41" t="s">
        <v>171</v>
      </c>
      <c r="U944" s="42"/>
      <c r="V944" s="42"/>
      <c r="W944" s="1675" t="s">
        <v>336</v>
      </c>
      <c r="X944" s="1676"/>
      <c r="Y944" s="1676"/>
      <c r="Z944" s="1676"/>
      <c r="AA944" s="1676"/>
      <c r="AB944" s="1676"/>
      <c r="AC944" s="1676"/>
      <c r="AD944" s="1676"/>
      <c r="AE944" s="1676"/>
      <c r="AF944" s="1676"/>
      <c r="AG944" s="1677"/>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95" t="s">
        <v>33</v>
      </c>
      <c r="G945" s="1516"/>
      <c r="H945" s="1516"/>
      <c r="I945" s="1516"/>
      <c r="J945" s="1516"/>
      <c r="K945" s="1516"/>
      <c r="L945" s="1516"/>
      <c r="M945" s="1640"/>
      <c r="N945" s="1641"/>
      <c r="O945" s="1641"/>
      <c r="P945" s="1641"/>
      <c r="Q945" s="1641"/>
      <c r="R945" s="1641"/>
      <c r="S945" s="1642"/>
      <c r="T945" s="47"/>
      <c r="U945" s="48"/>
      <c r="V945" s="48"/>
      <c r="W945" s="48"/>
      <c r="X945" s="48"/>
      <c r="Y945" s="48"/>
      <c r="Z945" s="124" t="s">
        <v>135</v>
      </c>
      <c r="AA945" s="1814"/>
      <c r="AB945" s="1815"/>
      <c r="AC945" s="1815"/>
      <c r="AD945" s="1815"/>
      <c r="AE945" s="1815"/>
      <c r="AF945" s="1815"/>
      <c r="AG945" s="1816"/>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820" t="s">
        <v>557</v>
      </c>
      <c r="B949" s="1820"/>
      <c r="C949" s="1820"/>
      <c r="D949" s="1820"/>
      <c r="E949" s="1820"/>
      <c r="F949" s="1820"/>
      <c r="G949" s="1820"/>
      <c r="H949" s="1820"/>
      <c r="I949" s="1820"/>
      <c r="J949" s="1820"/>
      <c r="K949" s="1820"/>
      <c r="L949" s="1820"/>
      <c r="M949" s="1820"/>
      <c r="N949" s="1820"/>
      <c r="O949" s="1820"/>
      <c r="P949" s="1820"/>
      <c r="Q949" s="1820"/>
      <c r="R949" s="1820"/>
      <c r="S949" s="1820"/>
      <c r="T949" s="1820"/>
      <c r="U949" s="1820"/>
      <c r="V949" s="1820"/>
      <c r="W949" s="1820"/>
      <c r="X949" s="1820"/>
      <c r="Y949" s="1820"/>
      <c r="Z949" s="1820"/>
      <c r="AA949" s="1820"/>
      <c r="AB949" s="1820"/>
      <c r="AC949" s="1820"/>
      <c r="AD949" s="1820"/>
      <c r="AE949" s="1820"/>
      <c r="AF949" s="1820"/>
      <c r="AG949" s="1820"/>
      <c r="AH949" s="1820"/>
      <c r="AI949" s="1820"/>
      <c r="AJ949" s="1820"/>
      <c r="AK949" s="1820"/>
      <c r="AL949" s="1820"/>
      <c r="AM949" s="1820"/>
      <c r="AN949" s="1820"/>
      <c r="AO949" s="1820"/>
      <c r="AP949" s="1820"/>
      <c r="AQ949" s="1820"/>
      <c r="AR949" s="1820"/>
      <c r="AS949" s="1820"/>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820"/>
      <c r="B950" s="1820"/>
      <c r="C950" s="1820"/>
      <c r="D950" s="1820"/>
      <c r="E950" s="1820"/>
      <c r="F950" s="1820"/>
      <c r="G950" s="1820"/>
      <c r="H950" s="1820"/>
      <c r="I950" s="1820"/>
      <c r="J950" s="1820"/>
      <c r="K950" s="1820"/>
      <c r="L950" s="1820"/>
      <c r="M950" s="1820"/>
      <c r="N950" s="1820"/>
      <c r="O950" s="1820"/>
      <c r="P950" s="1820"/>
      <c r="Q950" s="1820"/>
      <c r="R950" s="1820"/>
      <c r="S950" s="1820"/>
      <c r="T950" s="1820"/>
      <c r="U950" s="1820"/>
      <c r="V950" s="1820"/>
      <c r="W950" s="1820"/>
      <c r="X950" s="1820"/>
      <c r="Y950" s="1820"/>
      <c r="Z950" s="1820"/>
      <c r="AA950" s="1820"/>
      <c r="AB950" s="1820"/>
      <c r="AC950" s="1820"/>
      <c r="AD950" s="1820"/>
      <c r="AE950" s="1820"/>
      <c r="AF950" s="1820"/>
      <c r="AG950" s="1820"/>
      <c r="AH950" s="1820"/>
      <c r="AI950" s="1820"/>
      <c r="AJ950" s="1820"/>
      <c r="AK950" s="1820"/>
      <c r="AL950" s="1820"/>
      <c r="AM950" s="1820"/>
      <c r="AN950" s="1820"/>
      <c r="AO950" s="1820"/>
      <c r="AP950" s="1820"/>
      <c r="AQ950" s="1820"/>
      <c r="AR950" s="1820"/>
      <c r="AS950" s="1820"/>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23"/>
      <c r="BH951" s="1623"/>
      <c r="BI951" s="1623"/>
      <c r="BJ951" s="1623"/>
      <c r="BK951" s="1623"/>
      <c r="BL951" s="1623"/>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807" t="s">
        <v>647</v>
      </c>
      <c r="E954" s="1808"/>
      <c r="F954" s="1808"/>
      <c r="G954" s="1808"/>
      <c r="H954" s="1808"/>
      <c r="I954" s="1808"/>
      <c r="J954" s="1808"/>
      <c r="K954" s="1808"/>
      <c r="L954" s="1808"/>
      <c r="M954" s="1808"/>
      <c r="N954" s="1808"/>
      <c r="O954" s="1808"/>
      <c r="P954" s="1808"/>
      <c r="Q954" s="1809"/>
      <c r="R954" s="1807" t="s">
        <v>648</v>
      </c>
      <c r="S954" s="1808"/>
      <c r="T954" s="1808"/>
      <c r="U954" s="1808"/>
      <c r="V954" s="1808"/>
      <c r="W954" s="1808"/>
      <c r="X954" s="1808"/>
      <c r="Y954" s="1808"/>
      <c r="Z954" s="1808"/>
      <c r="AA954" s="1809"/>
      <c r="AB954" s="1807" t="s">
        <v>649</v>
      </c>
      <c r="AC954" s="1808"/>
      <c r="AD954" s="1808"/>
      <c r="AE954" s="1808"/>
      <c r="AF954" s="1808"/>
      <c r="AG954" s="1808"/>
      <c r="AH954" s="1808"/>
      <c r="AI954" s="1809"/>
      <c r="AJ954" s="1807" t="s">
        <v>650</v>
      </c>
      <c r="AK954" s="1808"/>
      <c r="AL954" s="1808"/>
      <c r="AM954" s="1808"/>
      <c r="AN954" s="1808"/>
      <c r="AO954" s="1808"/>
      <c r="AP954" s="1808"/>
      <c r="AQ954" s="1809"/>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720" t="s">
        <v>642</v>
      </c>
      <c r="E955" s="1721"/>
      <c r="F955" s="1721"/>
      <c r="G955" s="1721"/>
      <c r="H955" s="1721"/>
      <c r="I955" s="1721"/>
      <c r="J955" s="1721"/>
      <c r="K955" s="1721"/>
      <c r="L955" s="1721"/>
      <c r="M955" s="1721"/>
      <c r="N955" s="1721"/>
      <c r="O955" s="1721"/>
      <c r="P955" s="1721"/>
      <c r="Q955" s="1722"/>
      <c r="R955" s="1697">
        <f>IF(ISNA(IF($BN$785="4%",(INDEX($BP$795:$BT$852,MATCH($CB$785,$BO$795:$BO$852,0),MATCH(D955,$BP$794:$BT$794,0))),(INDEX($BW$795:$CA$852,MATCH($CB$785,$BV$795:$BV$852,0),MATCH(D955,$BW$794:$CA$794,0))))),0,IF($BN$785="4%",(INDEX($BP$795:$BT$852,MATCH($CB$785,$BO$795:$BO$852,0),MATCH(D955,$BP$794:$BT$794,0))),(INDEX($BW$795:$CA$852,MATCH($CB$785,$BV$795:$BV$852,0),MATCH(D955,$BW$794:$CA$794,0)))))</f>
        <v>396888</v>
      </c>
      <c r="S955" s="1697"/>
      <c r="T955" s="1697"/>
      <c r="U955" s="1697"/>
      <c r="V955" s="1697"/>
      <c r="W955" s="1697"/>
      <c r="X955" s="1697"/>
      <c r="Y955" s="1697"/>
      <c r="Z955" s="1697"/>
      <c r="AA955" s="1697"/>
      <c r="AB955" s="1810">
        <f>BN649</f>
        <v>0</v>
      </c>
      <c r="AC955" s="1811"/>
      <c r="AD955" s="1811"/>
      <c r="AE955" s="1811"/>
      <c r="AF955" s="1811"/>
      <c r="AG955" s="1811"/>
      <c r="AH955" s="1811"/>
      <c r="AI955" s="1812"/>
      <c r="AJ955" s="1725">
        <f>IF(ISERROR((R955*AB955)),0,(R955*AB955))</f>
        <v>0</v>
      </c>
      <c r="AK955" s="1726"/>
      <c r="AL955" s="1726"/>
      <c r="AM955" s="1726"/>
      <c r="AN955" s="1726"/>
      <c r="AO955" s="1726"/>
      <c r="AP955" s="1726"/>
      <c r="AQ955" s="1727"/>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720" t="s">
        <v>327</v>
      </c>
      <c r="E956" s="1721"/>
      <c r="F956" s="1721"/>
      <c r="G956" s="1721"/>
      <c r="H956" s="1721"/>
      <c r="I956" s="1721"/>
      <c r="J956" s="1721"/>
      <c r="K956" s="1721"/>
      <c r="L956" s="1721"/>
      <c r="M956" s="1721"/>
      <c r="N956" s="1721"/>
      <c r="O956" s="1721"/>
      <c r="P956" s="1721"/>
      <c r="Q956" s="1722"/>
      <c r="R956" s="1697">
        <f>IF(ISNA(IF($BN$785="4%",(INDEX($BP$795:$BT$852,MATCH($CB$785,$BO$795:$BO$852,0),MATCH(D956,$BP$794:$BT$794,0))),(INDEX($BW$795:$CA$852,MATCH($CB$785,$BV$795:$BV$852,0),MATCH(D956,$BW$794:$CA$794,0))))),0,IF($BN$785="4%",(INDEX($BP$795:$BT$852,MATCH($CB$785,$BO$795:$BO$852,0),MATCH(D956,$BP$794:$BT$794,0))),(INDEX($BW$795:$CA$852,MATCH($CB$785,$BV$795:$BV$852,0),MATCH(D956,$BW$794:$CA$794,0)))))</f>
        <v>457608</v>
      </c>
      <c r="S956" s="1697"/>
      <c r="T956" s="1697"/>
      <c r="U956" s="1697"/>
      <c r="V956" s="1697"/>
      <c r="W956" s="1697"/>
      <c r="X956" s="1697"/>
      <c r="Y956" s="1697"/>
      <c r="Z956" s="1697"/>
      <c r="AA956" s="1697"/>
      <c r="AB956" s="1810">
        <f>BS649</f>
        <v>0</v>
      </c>
      <c r="AC956" s="1811"/>
      <c r="AD956" s="1811"/>
      <c r="AE956" s="1811"/>
      <c r="AF956" s="1811"/>
      <c r="AG956" s="1811"/>
      <c r="AH956" s="1811"/>
      <c r="AI956" s="1812"/>
      <c r="AJ956" s="1725">
        <f>IF(ISERROR((R956*AB956)),0,(R956*AB956))</f>
        <v>0</v>
      </c>
      <c r="AK956" s="1726"/>
      <c r="AL956" s="1726"/>
      <c r="AM956" s="1726"/>
      <c r="AN956" s="1726"/>
      <c r="AO956" s="1726"/>
      <c r="AP956" s="1726"/>
      <c r="AQ956" s="1727"/>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720" t="s">
        <v>164</v>
      </c>
      <c r="E957" s="1721"/>
      <c r="F957" s="1721"/>
      <c r="G957" s="1721"/>
      <c r="H957" s="1721"/>
      <c r="I957" s="1721"/>
      <c r="J957" s="1721"/>
      <c r="K957" s="1721"/>
      <c r="L957" s="1721"/>
      <c r="M957" s="1721"/>
      <c r="N957" s="1721"/>
      <c r="O957" s="1721"/>
      <c r="P957" s="1721"/>
      <c r="Q957" s="1722"/>
      <c r="R957" s="1697">
        <f>IF(ISNA(IF($BN$785="4%",(INDEX($BP$795:$BT$852,MATCH($CB$785,$BO$795:$BO$852,0),MATCH(D957,$BP$794:$BT$794,0))),(INDEX($BW$795:$CA$852,MATCH($CB$785,$BV$795:$BV$852,0),MATCH(D957,$BW$794:$CA$794,0))))),0,IF($BN$785="4%",(INDEX($BP$795:$BT$852,MATCH($CB$785,$BO$795:$BO$852,0),MATCH(D957,$BP$794:$BT$794,0))),(INDEX($BW$795:$CA$852,MATCH($CB$785,$BV$795:$BV$852,0),MATCH(D957,$BW$794:$CA$794,0)))))</f>
        <v>552000</v>
      </c>
      <c r="S957" s="1697"/>
      <c r="T957" s="1697"/>
      <c r="U957" s="1697"/>
      <c r="V957" s="1697"/>
      <c r="W957" s="1697"/>
      <c r="X957" s="1697"/>
      <c r="Y957" s="1697"/>
      <c r="Z957" s="1697"/>
      <c r="AA957" s="1697"/>
      <c r="AB957" s="1810">
        <f>BX649</f>
        <v>52</v>
      </c>
      <c r="AC957" s="1811"/>
      <c r="AD957" s="1811"/>
      <c r="AE957" s="1811"/>
      <c r="AF957" s="1811"/>
      <c r="AG957" s="1811"/>
      <c r="AH957" s="1811"/>
      <c r="AI957" s="1812"/>
      <c r="AJ957" s="1725">
        <f>IF(ISERROR((R957*AB957)),0,(R957*AB957))</f>
        <v>28704000</v>
      </c>
      <c r="AK957" s="1726"/>
      <c r="AL957" s="1726"/>
      <c r="AM957" s="1726"/>
      <c r="AN957" s="1726"/>
      <c r="AO957" s="1726"/>
      <c r="AP957" s="1726"/>
      <c r="AQ957" s="1727"/>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720" t="s">
        <v>165</v>
      </c>
      <c r="E958" s="1721"/>
      <c r="F958" s="1721"/>
      <c r="G958" s="1721"/>
      <c r="H958" s="1721"/>
      <c r="I958" s="1721"/>
      <c r="J958" s="1721"/>
      <c r="K958" s="1721"/>
      <c r="L958" s="1721"/>
      <c r="M958" s="1721"/>
      <c r="N958" s="1721"/>
      <c r="O958" s="1721"/>
      <c r="P958" s="1721"/>
      <c r="Q958" s="1722"/>
      <c r="R958" s="1697">
        <f>IF(ISNA(IF($BN$785="4%",(INDEX($BP$795:$BT$852,MATCH($CB$785,$BO$795:$BO$852,0),MATCH(D958,$BP$794:$BT$794,0))),(INDEX($BW$795:$CA$852,MATCH($CB$785,$BV$795:$BV$852,0),MATCH(D958,$BW$794:$CA$794,0))))),0,IF($BN$785="4%",(INDEX($BP$795:$BT$852,MATCH($CB$785,$BO$795:$BO$852,0),MATCH(D958,$BP$794:$BT$794,0))),(INDEX($BW$795:$CA$852,MATCH($CB$785,$BV$795:$BV$852,0),MATCH(D958,$BW$794:$CA$794,0)))))</f>
        <v>706560</v>
      </c>
      <c r="S958" s="1697"/>
      <c r="T958" s="1697"/>
      <c r="U958" s="1697"/>
      <c r="V958" s="1697"/>
      <c r="W958" s="1697"/>
      <c r="X958" s="1697"/>
      <c r="Y958" s="1697"/>
      <c r="Z958" s="1697"/>
      <c r="AA958" s="1697"/>
      <c r="AB958" s="1810">
        <f>CC649</f>
        <v>24</v>
      </c>
      <c r="AC958" s="1811"/>
      <c r="AD958" s="1811"/>
      <c r="AE958" s="1811"/>
      <c r="AF958" s="1811"/>
      <c r="AG958" s="1811"/>
      <c r="AH958" s="1811"/>
      <c r="AI958" s="1812"/>
      <c r="AJ958" s="1725">
        <f>IF(ISERROR((R958*AB958)),0,(R958*AB958))</f>
        <v>16957440</v>
      </c>
      <c r="AK958" s="1726"/>
      <c r="AL958" s="1726"/>
      <c r="AM958" s="1726"/>
      <c r="AN958" s="1726"/>
      <c r="AO958" s="1726"/>
      <c r="AP958" s="1726"/>
      <c r="AQ958" s="1727"/>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720" t="s">
        <v>469</v>
      </c>
      <c r="E959" s="1721"/>
      <c r="F959" s="1721"/>
      <c r="G959" s="1721"/>
      <c r="H959" s="1721"/>
      <c r="I959" s="1721"/>
      <c r="J959" s="1721"/>
      <c r="K959" s="1721"/>
      <c r="L959" s="1721"/>
      <c r="M959" s="1721"/>
      <c r="N959" s="1721"/>
      <c r="O959" s="1721"/>
      <c r="P959" s="1721"/>
      <c r="Q959" s="1722"/>
      <c r="R959" s="1697">
        <f>IF(ISNA(IF($BN$785="4%",(INDEX($BP$795:$BT$852,MATCH($CB$785,$BO$795:$BO$852,0),MATCH(D959,$BP$794:$BT$794,0))),(INDEX($BW$795:$CA$852,MATCH($CB$785,$BV$795:$BV$852,0),MATCH(D959,$BW$794:$CA$794,0))))),0,IF($BN$785="4%",(INDEX($BP$795:$BT$852,MATCH($CB$785,$BO$795:$BO$852,0),MATCH(D959,$BP$794:$BT$794,0))),(INDEX($BW$795:$CA$852,MATCH($CB$785,$BV$795:$BV$852,0),MATCH(D959,$BW$794:$CA$794,0)))))</f>
        <v>787152</v>
      </c>
      <c r="S959" s="1697"/>
      <c r="T959" s="1697"/>
      <c r="U959" s="1697"/>
      <c r="V959" s="1697"/>
      <c r="W959" s="1697"/>
      <c r="X959" s="1697"/>
      <c r="Y959" s="1697"/>
      <c r="Z959" s="1697"/>
      <c r="AA959" s="1697"/>
      <c r="AB959" s="1810">
        <f>CM649+CH649</f>
        <v>0</v>
      </c>
      <c r="AC959" s="1811"/>
      <c r="AD959" s="1811"/>
      <c r="AE959" s="1811"/>
      <c r="AF959" s="1811"/>
      <c r="AG959" s="1811"/>
      <c r="AH959" s="1811"/>
      <c r="AI959" s="1812"/>
      <c r="AJ959" s="1725">
        <f>IF(ISERROR((R959*AB959)),0,(R959*AB959))</f>
        <v>0</v>
      </c>
      <c r="AK959" s="1726"/>
      <c r="AL959" s="1726"/>
      <c r="AM959" s="1726"/>
      <c r="AN959" s="1726"/>
      <c r="AO959" s="1726"/>
      <c r="AP959" s="1726"/>
      <c r="AQ959" s="1727"/>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822" t="s">
        <v>815</v>
      </c>
      <c r="C960" s="1823"/>
      <c r="D960" s="1823"/>
      <c r="E960" s="1823"/>
      <c r="F960" s="1823"/>
      <c r="G960" s="1823"/>
      <c r="H960" s="1823"/>
      <c r="I960" s="1823"/>
      <c r="J960" s="1823"/>
      <c r="K960" s="1823"/>
      <c r="L960" s="1823"/>
      <c r="M960" s="1823"/>
      <c r="N960" s="1823"/>
      <c r="O960" s="1823"/>
      <c r="P960" s="1823"/>
      <c r="Q960" s="1823"/>
      <c r="R960" s="1823"/>
      <c r="S960" s="1823"/>
      <c r="T960" s="1823"/>
      <c r="U960" s="1823"/>
      <c r="V960" s="1823"/>
      <c r="W960" s="1823"/>
      <c r="X960" s="1823"/>
      <c r="Y960" s="1823"/>
      <c r="Z960" s="1823"/>
      <c r="AA960" s="1824"/>
      <c r="AB960" s="1810">
        <f>SUM(AB955:AI959)</f>
        <v>76</v>
      </c>
      <c r="AC960" s="1811"/>
      <c r="AD960" s="1811"/>
      <c r="AE960" s="1811"/>
      <c r="AF960" s="1811"/>
      <c r="AG960" s="1811"/>
      <c r="AH960" s="1811"/>
      <c r="AI960" s="1812"/>
      <c r="AJ960" s="1725"/>
      <c r="AK960" s="1726"/>
      <c r="AL960" s="1726"/>
      <c r="AM960" s="1726"/>
      <c r="AN960" s="1726"/>
      <c r="AO960" s="1726"/>
      <c r="AP960" s="1726"/>
      <c r="AQ960" s="1727"/>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840" t="s">
        <v>521</v>
      </c>
      <c r="C961" s="1841"/>
      <c r="D961" s="1841"/>
      <c r="E961" s="1841"/>
      <c r="F961" s="1841"/>
      <c r="G961" s="1841"/>
      <c r="H961" s="1841"/>
      <c r="I961" s="1841"/>
      <c r="J961" s="1841"/>
      <c r="K961" s="1841"/>
      <c r="L961" s="1841"/>
      <c r="M961" s="1841"/>
      <c r="N961" s="1841"/>
      <c r="O961" s="1841"/>
      <c r="P961" s="1841"/>
      <c r="Q961" s="1841"/>
      <c r="R961" s="1841"/>
      <c r="S961" s="1841"/>
      <c r="T961" s="1841"/>
      <c r="U961" s="1841"/>
      <c r="V961" s="1841"/>
      <c r="W961" s="1841"/>
      <c r="X961" s="1841"/>
      <c r="Y961" s="1841"/>
      <c r="Z961" s="1841"/>
      <c r="AA961" s="1841"/>
      <c r="AB961" s="1841"/>
      <c r="AC961" s="1841"/>
      <c r="AD961" s="1841"/>
      <c r="AE961" s="1841"/>
      <c r="AF961" s="1841"/>
      <c r="AG961" s="1841"/>
      <c r="AH961" s="1841"/>
      <c r="AI961" s="1842"/>
      <c r="AJ961" s="1725">
        <f>SUM(AJ955:AQ959)</f>
        <v>45661440</v>
      </c>
      <c r="AK961" s="1726"/>
      <c r="AL961" s="1726"/>
      <c r="AM961" s="1726"/>
      <c r="AN961" s="1726"/>
      <c r="AO961" s="1726"/>
      <c r="AP961" s="1726"/>
      <c r="AQ961" s="1727"/>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801"/>
      <c r="C962" s="1802"/>
      <c r="D962" s="1802"/>
      <c r="E962" s="1802"/>
      <c r="F962" s="1802"/>
      <c r="G962" s="1802"/>
      <c r="H962" s="1802"/>
      <c r="I962" s="1802"/>
      <c r="J962" s="1802"/>
      <c r="K962" s="1802"/>
      <c r="L962" s="1802"/>
      <c r="M962" s="1802"/>
      <c r="N962" s="1802"/>
      <c r="O962" s="1802"/>
      <c r="P962" s="1802"/>
      <c r="Q962" s="1802"/>
      <c r="R962" s="1802"/>
      <c r="S962" s="1802"/>
      <c r="T962" s="1802"/>
      <c r="U962" s="1802"/>
      <c r="V962" s="1802"/>
      <c r="W962" s="1802"/>
      <c r="X962" s="1802"/>
      <c r="Y962" s="1802"/>
      <c r="Z962" s="1802"/>
      <c r="AA962" s="1802"/>
      <c r="AB962" s="1802"/>
      <c r="AC962" s="1802"/>
      <c r="AD962" s="1802"/>
      <c r="AE962" s="1803"/>
      <c r="AF962" s="1843" t="s">
        <v>675</v>
      </c>
      <c r="AG962" s="1844"/>
      <c r="AH962" s="1844"/>
      <c r="AI962" s="1845"/>
      <c r="AJ962" s="1801"/>
      <c r="AK962" s="1802"/>
      <c r="AL962" s="1802"/>
      <c r="AM962" s="1802"/>
      <c r="AN962" s="1802"/>
      <c r="AO962" s="1802"/>
      <c r="AP962" s="1802"/>
      <c r="AQ962" s="1803"/>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677</v>
      </c>
      <c r="D963" s="1804" t="s">
        <v>1364</v>
      </c>
      <c r="E963" s="1805"/>
      <c r="F963" s="1805"/>
      <c r="G963" s="1805"/>
      <c r="H963" s="1805"/>
      <c r="I963" s="1805"/>
      <c r="J963" s="1805"/>
      <c r="K963" s="1805"/>
      <c r="L963" s="1805"/>
      <c r="M963" s="1805"/>
      <c r="N963" s="1805"/>
      <c r="O963" s="1805"/>
      <c r="P963" s="1805"/>
      <c r="Q963" s="1805"/>
      <c r="R963" s="1805"/>
      <c r="S963" s="1805"/>
      <c r="T963" s="1805"/>
      <c r="U963" s="1805"/>
      <c r="V963" s="1805"/>
      <c r="W963" s="1805"/>
      <c r="X963" s="1805"/>
      <c r="Y963" s="1805"/>
      <c r="Z963" s="1805"/>
      <c r="AA963" s="1805"/>
      <c r="AB963" s="1805"/>
      <c r="AC963" s="1805"/>
      <c r="AD963" s="1805"/>
      <c r="AE963" s="1806"/>
      <c r="AF963" s="79"/>
      <c r="AG963" s="1846" t="s">
        <v>678</v>
      </c>
      <c r="AH963" s="1847"/>
      <c r="AI963" s="87"/>
      <c r="AJ963" s="1784">
        <f>ROUND(IF(AND(AG963="yes",D965&gt;0),AJ961*0.2,0),0)</f>
        <v>0</v>
      </c>
      <c r="AK963" s="1785"/>
      <c r="AL963" s="1785"/>
      <c r="AM963" s="1785"/>
      <c r="AN963" s="1785"/>
      <c r="AO963" s="1785"/>
      <c r="AP963" s="1785"/>
      <c r="AQ963" s="1786"/>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25" t="s">
        <v>1365</v>
      </c>
      <c r="E964" s="1826"/>
      <c r="F964" s="1826"/>
      <c r="G964" s="1826"/>
      <c r="H964" s="1826"/>
      <c r="I964" s="1826"/>
      <c r="J964" s="1826"/>
      <c r="K964" s="1826"/>
      <c r="L964" s="1826"/>
      <c r="M964" s="1826"/>
      <c r="N964" s="1826"/>
      <c r="O964" s="1826"/>
      <c r="P964" s="1826"/>
      <c r="Q964" s="1826"/>
      <c r="R964" s="1826"/>
      <c r="S964" s="1826"/>
      <c r="T964" s="1826"/>
      <c r="U964" s="1826"/>
      <c r="V964" s="1826"/>
      <c r="W964" s="1826"/>
      <c r="X964" s="1826"/>
      <c r="Y964" s="1826"/>
      <c r="Z964" s="1826"/>
      <c r="AA964" s="1826"/>
      <c r="AB964" s="1826"/>
      <c r="AC964" s="1826"/>
      <c r="AD964" s="1826"/>
      <c r="AE964" s="1827"/>
      <c r="AF964" s="73"/>
      <c r="AG964" s="14"/>
      <c r="AH964" s="14"/>
      <c r="AI964" s="83"/>
      <c r="AJ964" s="1787"/>
      <c r="AK964" s="1788"/>
      <c r="AL964" s="1788"/>
      <c r="AM964" s="1788"/>
      <c r="AN964" s="1788"/>
      <c r="AO964" s="1788"/>
      <c r="AP964" s="1788"/>
      <c r="AQ964" s="1789"/>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828"/>
      <c r="E965" s="1829"/>
      <c r="F965" s="1829"/>
      <c r="G965" s="1829"/>
      <c r="H965" s="1829"/>
      <c r="I965" s="1829"/>
      <c r="J965" s="1829"/>
      <c r="K965" s="1829"/>
      <c r="L965" s="1829"/>
      <c r="M965" s="1829"/>
      <c r="N965" s="1829"/>
      <c r="O965" s="1829"/>
      <c r="P965" s="1829"/>
      <c r="Q965" s="1829"/>
      <c r="R965" s="1829"/>
      <c r="S965" s="1829"/>
      <c r="T965" s="1829"/>
      <c r="U965" s="1829"/>
      <c r="V965" s="1829"/>
      <c r="W965" s="1829"/>
      <c r="X965" s="1829"/>
      <c r="Y965" s="1829"/>
      <c r="Z965" s="1829"/>
      <c r="AA965" s="1829"/>
      <c r="AB965" s="1829"/>
      <c r="AC965" s="1829"/>
      <c r="AD965" s="1829"/>
      <c r="AE965" s="1830"/>
      <c r="AF965" s="77"/>
      <c r="AG965" s="7"/>
      <c r="AH965" s="7"/>
      <c r="AI965" s="78"/>
      <c r="AJ965" s="1790"/>
      <c r="AK965" s="1791"/>
      <c r="AL965" s="1791"/>
      <c r="AM965" s="1791"/>
      <c r="AN965" s="1791"/>
      <c r="AO965" s="1791"/>
      <c r="AP965" s="1791"/>
      <c r="AQ965" s="1792"/>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765" t="s">
        <v>1450</v>
      </c>
      <c r="E966" s="1766"/>
      <c r="F966" s="1766"/>
      <c r="G966" s="1766"/>
      <c r="H966" s="1766"/>
      <c r="I966" s="1766"/>
      <c r="J966" s="1766"/>
      <c r="K966" s="1766"/>
      <c r="L966" s="1766"/>
      <c r="M966" s="1766"/>
      <c r="N966" s="1766"/>
      <c r="O966" s="1766"/>
      <c r="P966" s="1766"/>
      <c r="Q966" s="1766"/>
      <c r="R966" s="1766"/>
      <c r="S966" s="1766"/>
      <c r="T966" s="1766"/>
      <c r="U966" s="1766"/>
      <c r="V966" s="1766"/>
      <c r="W966" s="1766"/>
      <c r="X966" s="1766"/>
      <c r="Y966" s="1766"/>
      <c r="Z966" s="1766"/>
      <c r="AA966" s="1766"/>
      <c r="AB966" s="1766"/>
      <c r="AC966" s="1766"/>
      <c r="AD966" s="1766"/>
      <c r="AE966" s="1767"/>
      <c r="AF966" s="79"/>
      <c r="AG966" s="1777" t="s">
        <v>678</v>
      </c>
      <c r="AH966" s="1778"/>
      <c r="AI966" s="87"/>
      <c r="AJ966" s="1784">
        <f>ROUND(IF(AG966="yes",AJ961*0.05,0),0)</f>
        <v>0</v>
      </c>
      <c r="AK966" s="1785"/>
      <c r="AL966" s="1785"/>
      <c r="AM966" s="1785"/>
      <c r="AN966" s="1785"/>
      <c r="AO966" s="1785"/>
      <c r="AP966" s="1785"/>
      <c r="AQ966" s="1786"/>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825" t="s">
        <v>1448</v>
      </c>
      <c r="E967" s="1826"/>
      <c r="F967" s="1826"/>
      <c r="G967" s="1826"/>
      <c r="H967" s="1826"/>
      <c r="I967" s="1826"/>
      <c r="J967" s="1826"/>
      <c r="K967" s="1826"/>
      <c r="L967" s="1826"/>
      <c r="M967" s="1826"/>
      <c r="N967" s="1826"/>
      <c r="O967" s="1826"/>
      <c r="P967" s="1826"/>
      <c r="Q967" s="1826"/>
      <c r="R967" s="1826"/>
      <c r="S967" s="1826"/>
      <c r="T967" s="1826"/>
      <c r="U967" s="1826"/>
      <c r="V967" s="1826"/>
      <c r="W967" s="1826"/>
      <c r="X967" s="1826"/>
      <c r="Y967" s="1826"/>
      <c r="Z967" s="1826"/>
      <c r="AA967" s="1826"/>
      <c r="AB967" s="1826"/>
      <c r="AC967" s="1826"/>
      <c r="AD967" s="1826"/>
      <c r="AE967" s="1827"/>
      <c r="AF967" s="73"/>
      <c r="AG967" s="14"/>
      <c r="AH967" s="14"/>
      <c r="AI967" s="83"/>
      <c r="AJ967" s="1787"/>
      <c r="AK967" s="1788"/>
      <c r="AL967" s="1788"/>
      <c r="AM967" s="1788"/>
      <c r="AN967" s="1788"/>
      <c r="AO967" s="1788"/>
      <c r="AP967" s="1788"/>
      <c r="AQ967" s="1789"/>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825"/>
      <c r="E968" s="1826"/>
      <c r="F968" s="1826"/>
      <c r="G968" s="1826"/>
      <c r="H968" s="1826"/>
      <c r="I968" s="1826"/>
      <c r="J968" s="1826"/>
      <c r="K968" s="1826"/>
      <c r="L968" s="1826"/>
      <c r="M968" s="1826"/>
      <c r="N968" s="1826"/>
      <c r="O968" s="1826"/>
      <c r="P968" s="1826"/>
      <c r="Q968" s="1826"/>
      <c r="R968" s="1826"/>
      <c r="S968" s="1826"/>
      <c r="T968" s="1826"/>
      <c r="U968" s="1826"/>
      <c r="V968" s="1826"/>
      <c r="W968" s="1826"/>
      <c r="X968" s="1826"/>
      <c r="Y968" s="1826"/>
      <c r="Z968" s="1826"/>
      <c r="AA968" s="1826"/>
      <c r="AB968" s="1826"/>
      <c r="AC968" s="1826"/>
      <c r="AD968" s="1826"/>
      <c r="AE968" s="1827"/>
      <c r="AF968" s="73"/>
      <c r="AG968" s="14"/>
      <c r="AH968" s="14"/>
      <c r="AI968" s="83"/>
      <c r="AJ968" s="1787"/>
      <c r="AK968" s="1788"/>
      <c r="AL968" s="1788"/>
      <c r="AM968" s="1788"/>
      <c r="AN968" s="1788"/>
      <c r="AO968" s="1788"/>
      <c r="AP968" s="1788"/>
      <c r="AQ968" s="1789"/>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825"/>
      <c r="E969" s="1826"/>
      <c r="F969" s="1826"/>
      <c r="G969" s="1826"/>
      <c r="H969" s="1826"/>
      <c r="I969" s="1826"/>
      <c r="J969" s="1826"/>
      <c r="K969" s="1826"/>
      <c r="L969" s="1826"/>
      <c r="M969" s="1826"/>
      <c r="N969" s="1826"/>
      <c r="O969" s="1826"/>
      <c r="P969" s="1826"/>
      <c r="Q969" s="1826"/>
      <c r="R969" s="1826"/>
      <c r="S969" s="1826"/>
      <c r="T969" s="1826"/>
      <c r="U969" s="1826"/>
      <c r="V969" s="1826"/>
      <c r="W969" s="1826"/>
      <c r="X969" s="1826"/>
      <c r="Y969" s="1826"/>
      <c r="Z969" s="1826"/>
      <c r="AA969" s="1826"/>
      <c r="AB969" s="1826"/>
      <c r="AC969" s="1826"/>
      <c r="AD969" s="1826"/>
      <c r="AE969" s="1827"/>
      <c r="AF969" s="73"/>
      <c r="AG969" s="14"/>
      <c r="AH969" s="14"/>
      <c r="AI969" s="83"/>
      <c r="AJ969" s="1787"/>
      <c r="AK969" s="1788"/>
      <c r="AL969" s="1788"/>
      <c r="AM969" s="1788"/>
      <c r="AN969" s="1788"/>
      <c r="AO969" s="1788"/>
      <c r="AP969" s="1788"/>
      <c r="AQ969" s="1789"/>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825"/>
      <c r="E970" s="1826"/>
      <c r="F970" s="1826"/>
      <c r="G970" s="1826"/>
      <c r="H970" s="1826"/>
      <c r="I970" s="1826"/>
      <c r="J970" s="1826"/>
      <c r="K970" s="1826"/>
      <c r="L970" s="1826"/>
      <c r="M970" s="1826"/>
      <c r="N970" s="1826"/>
      <c r="O970" s="1826"/>
      <c r="P970" s="1826"/>
      <c r="Q970" s="1826"/>
      <c r="R970" s="1826"/>
      <c r="S970" s="1826"/>
      <c r="T970" s="1826"/>
      <c r="U970" s="1826"/>
      <c r="V970" s="1826"/>
      <c r="W970" s="1826"/>
      <c r="X970" s="1826"/>
      <c r="Y970" s="1826"/>
      <c r="Z970" s="1826"/>
      <c r="AA970" s="1826"/>
      <c r="AB970" s="1826"/>
      <c r="AC970" s="1826"/>
      <c r="AD970" s="1826"/>
      <c r="AE970" s="1827"/>
      <c r="AF970" s="73"/>
      <c r="AG970" s="14"/>
      <c r="AH970" s="14"/>
      <c r="AI970" s="83"/>
      <c r="AJ970" s="1787"/>
      <c r="AK970" s="1788"/>
      <c r="AL970" s="1788"/>
      <c r="AM970" s="1788"/>
      <c r="AN970" s="1788"/>
      <c r="AO970" s="1788"/>
      <c r="AP970" s="1788"/>
      <c r="AQ970" s="1789"/>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831"/>
      <c r="E971" s="1832"/>
      <c r="F971" s="1832"/>
      <c r="G971" s="1832"/>
      <c r="H971" s="1832"/>
      <c r="I971" s="1832"/>
      <c r="J971" s="1832"/>
      <c r="K971" s="1832"/>
      <c r="L971" s="1832"/>
      <c r="M971" s="1832"/>
      <c r="N971" s="1832"/>
      <c r="O971" s="1832"/>
      <c r="P971" s="1832"/>
      <c r="Q971" s="1832"/>
      <c r="R971" s="1832"/>
      <c r="S971" s="1832"/>
      <c r="T971" s="1832"/>
      <c r="U971" s="1832"/>
      <c r="V971" s="1832"/>
      <c r="W971" s="1832"/>
      <c r="X971" s="1832"/>
      <c r="Y971" s="1832"/>
      <c r="Z971" s="1832"/>
      <c r="AA971" s="1832"/>
      <c r="AB971" s="1832"/>
      <c r="AC971" s="1832"/>
      <c r="AD971" s="1832"/>
      <c r="AE971" s="1833"/>
      <c r="AF971" s="77"/>
      <c r="AG971" s="7"/>
      <c r="AH971" s="7"/>
      <c r="AI971" s="78"/>
      <c r="AJ971" s="1790"/>
      <c r="AK971" s="1791"/>
      <c r="AL971" s="1791"/>
      <c r="AM971" s="1791"/>
      <c r="AN971" s="1791"/>
      <c r="AO971" s="1791"/>
      <c r="AP971" s="1791"/>
      <c r="AQ971" s="1792"/>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681</v>
      </c>
      <c r="D972" s="1765" t="s">
        <v>1943</v>
      </c>
      <c r="E972" s="1766"/>
      <c r="F972" s="1766"/>
      <c r="G972" s="1766"/>
      <c r="H972" s="1766"/>
      <c r="I972" s="1766"/>
      <c r="J972" s="1766"/>
      <c r="K972" s="1766"/>
      <c r="L972" s="1766"/>
      <c r="M972" s="1766"/>
      <c r="N972" s="1766"/>
      <c r="O972" s="1766"/>
      <c r="P972" s="1766"/>
      <c r="Q972" s="1766"/>
      <c r="R972" s="1766"/>
      <c r="S972" s="1766"/>
      <c r="T972" s="1766"/>
      <c r="U972" s="1766"/>
      <c r="V972" s="1766"/>
      <c r="W972" s="1766"/>
      <c r="X972" s="1766"/>
      <c r="Y972" s="1766"/>
      <c r="Z972" s="1766"/>
      <c r="AA972" s="1766"/>
      <c r="AB972" s="1766"/>
      <c r="AC972" s="1766"/>
      <c r="AD972" s="1766"/>
      <c r="AE972" s="1767"/>
      <c r="AF972" s="86"/>
      <c r="AG972" s="1777" t="s">
        <v>678</v>
      </c>
      <c r="AH972" s="1778"/>
      <c r="AI972" s="87"/>
      <c r="AJ972" s="1784">
        <f>ROUND(IF(AG972="yes",AJ961*0.1,0),0)</f>
        <v>0</v>
      </c>
      <c r="AK972" s="1785"/>
      <c r="AL972" s="1785"/>
      <c r="AM972" s="1785"/>
      <c r="AN972" s="1785"/>
      <c r="AO972" s="1785"/>
      <c r="AP972" s="1785"/>
      <c r="AQ972" s="1786"/>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768" t="s">
        <v>1449</v>
      </c>
      <c r="E973" s="1769"/>
      <c r="F973" s="1769"/>
      <c r="G973" s="1769"/>
      <c r="H973" s="1769"/>
      <c r="I973" s="1769"/>
      <c r="J973" s="1769"/>
      <c r="K973" s="1769"/>
      <c r="L973" s="1769"/>
      <c r="M973" s="1769"/>
      <c r="N973" s="1769"/>
      <c r="O973" s="1769"/>
      <c r="P973" s="1769"/>
      <c r="Q973" s="1769"/>
      <c r="R973" s="1769"/>
      <c r="S973" s="1769"/>
      <c r="T973" s="1769"/>
      <c r="U973" s="1769"/>
      <c r="V973" s="1769"/>
      <c r="W973" s="1769"/>
      <c r="X973" s="1769"/>
      <c r="Y973" s="1769"/>
      <c r="Z973" s="1769"/>
      <c r="AA973" s="1769"/>
      <c r="AB973" s="1769"/>
      <c r="AC973" s="1769"/>
      <c r="AD973" s="1769"/>
      <c r="AE973" s="1770"/>
      <c r="AF973" s="73"/>
      <c r="AI973" s="83"/>
      <c r="AJ973" s="1787"/>
      <c r="AK973" s="1788"/>
      <c r="AL973" s="1788"/>
      <c r="AM973" s="1788"/>
      <c r="AN973" s="1788"/>
      <c r="AO973" s="1788"/>
      <c r="AP973" s="1788"/>
      <c r="AQ973" s="1789"/>
      <c r="AR973" s="68"/>
      <c r="AS973" s="68"/>
      <c r="AT973" s="68"/>
      <c r="AU973" s="68"/>
      <c r="AV973" s="68"/>
      <c r="AW973" s="68"/>
      <c r="AX973" s="68"/>
      <c r="AY973" s="68"/>
      <c r="AZ973" s="34"/>
      <c r="BA973" s="951">
        <f>G739+O782</f>
        <v>75</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768"/>
      <c r="E974" s="1769"/>
      <c r="F974" s="1769"/>
      <c r="G974" s="1769"/>
      <c r="H974" s="1769"/>
      <c r="I974" s="1769"/>
      <c r="J974" s="1769"/>
      <c r="K974" s="1769"/>
      <c r="L974" s="1769"/>
      <c r="M974" s="1769"/>
      <c r="N974" s="1769"/>
      <c r="O974" s="1769"/>
      <c r="P974" s="1769"/>
      <c r="Q974" s="1769"/>
      <c r="R974" s="1769"/>
      <c r="S974" s="1769"/>
      <c r="T974" s="1769"/>
      <c r="U974" s="1769"/>
      <c r="V974" s="1769"/>
      <c r="W974" s="1769"/>
      <c r="X974" s="1769"/>
      <c r="Y974" s="1769"/>
      <c r="Z974" s="1769"/>
      <c r="AA974" s="1769"/>
      <c r="AB974" s="1769"/>
      <c r="AC974" s="1769"/>
      <c r="AD974" s="1769"/>
      <c r="AE974" s="1770"/>
      <c r="AF974" s="73"/>
      <c r="AG974" s="14"/>
      <c r="AH974" s="14"/>
      <c r="AI974" s="83"/>
      <c r="AJ974" s="1787"/>
      <c r="AK974" s="1788"/>
      <c r="AL974" s="1788"/>
      <c r="AM974" s="1788"/>
      <c r="AN974" s="1788"/>
      <c r="AO974" s="1788"/>
      <c r="AP974" s="1788"/>
      <c r="AQ974" s="1789"/>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781"/>
      <c r="E975" s="1782"/>
      <c r="F975" s="1782"/>
      <c r="G975" s="1782"/>
      <c r="H975" s="1782"/>
      <c r="I975" s="1782"/>
      <c r="J975" s="1782"/>
      <c r="K975" s="1782"/>
      <c r="L975" s="1782"/>
      <c r="M975" s="1782"/>
      <c r="N975" s="1782"/>
      <c r="O975" s="1782"/>
      <c r="P975" s="1782"/>
      <c r="Q975" s="1782"/>
      <c r="R975" s="1782"/>
      <c r="S975" s="1782"/>
      <c r="T975" s="1782"/>
      <c r="U975" s="1782"/>
      <c r="V975" s="1782"/>
      <c r="W975" s="1782"/>
      <c r="X975" s="1782"/>
      <c r="Y975" s="1782"/>
      <c r="Z975" s="1782"/>
      <c r="AA975" s="1782"/>
      <c r="AB975" s="1782"/>
      <c r="AC975" s="1782"/>
      <c r="AD975" s="1782"/>
      <c r="AE975" s="1783"/>
      <c r="AF975" s="77"/>
      <c r="AG975" s="7"/>
      <c r="AH975" s="7"/>
      <c r="AI975" s="78"/>
      <c r="AJ975" s="1790"/>
      <c r="AK975" s="1791"/>
      <c r="AL975" s="1791"/>
      <c r="AM975" s="1791"/>
      <c r="AN975" s="1791"/>
      <c r="AO975" s="1791"/>
      <c r="AP975" s="1791"/>
      <c r="AQ975" s="1792"/>
      <c r="AR975" s="68"/>
      <c r="AS975" s="68"/>
      <c r="AT975" s="68"/>
      <c r="AU975" s="68"/>
      <c r="AV975" s="68"/>
      <c r="AW975" s="68"/>
      <c r="AX975" s="68"/>
      <c r="AY975" s="68"/>
      <c r="AZ975" s="34"/>
      <c r="BA975" s="950">
        <f>ROUNDDOWN(X1013/I1013,2)</f>
        <v>0.72</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765" t="s">
        <v>1451</v>
      </c>
      <c r="E976" s="1766"/>
      <c r="F976" s="1766"/>
      <c r="G976" s="1766"/>
      <c r="H976" s="1766"/>
      <c r="I976" s="1766"/>
      <c r="J976" s="1766"/>
      <c r="K976" s="1766"/>
      <c r="L976" s="1766"/>
      <c r="M976" s="1766"/>
      <c r="N976" s="1766"/>
      <c r="O976" s="1766"/>
      <c r="P976" s="1766"/>
      <c r="Q976" s="1766"/>
      <c r="R976" s="1766"/>
      <c r="S976" s="1766"/>
      <c r="T976" s="1766"/>
      <c r="U976" s="1766"/>
      <c r="V976" s="1766"/>
      <c r="W976" s="1766"/>
      <c r="X976" s="1766"/>
      <c r="Y976" s="1766"/>
      <c r="Z976" s="1766"/>
      <c r="AA976" s="1766"/>
      <c r="AB976" s="1766"/>
      <c r="AC976" s="1766"/>
      <c r="AD976" s="1766"/>
      <c r="AE976" s="1767"/>
      <c r="AF976" s="79"/>
      <c r="AG976" s="1777" t="s">
        <v>678</v>
      </c>
      <c r="AH976" s="1778"/>
      <c r="AI976" s="87"/>
      <c r="AJ976" s="1784">
        <f>ROUND(IF(AG976="yes",AJ961*0.02,0),0)</f>
        <v>0</v>
      </c>
      <c r="AK976" s="1785"/>
      <c r="AL976" s="1785"/>
      <c r="AM976" s="1785"/>
      <c r="AN976" s="1785"/>
      <c r="AO976" s="1785"/>
      <c r="AP976" s="1785"/>
      <c r="AQ976" s="1786"/>
      <c r="AR976" s="68"/>
      <c r="AS976" s="68"/>
      <c r="AT976" s="68"/>
      <c r="AU976" s="68"/>
      <c r="AV976" s="68"/>
      <c r="AW976" s="68"/>
      <c r="AX976" s="68"/>
      <c r="AY976" s="68"/>
      <c r="AZ976" s="34"/>
      <c r="BA976" s="950">
        <f>ROUNDDOWN(X1017/I1017,2)</f>
        <v>0.1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781" t="s">
        <v>1452</v>
      </c>
      <c r="E977" s="1782"/>
      <c r="F977" s="1782"/>
      <c r="G977" s="1782"/>
      <c r="H977" s="1782"/>
      <c r="I977" s="1782"/>
      <c r="J977" s="1782"/>
      <c r="K977" s="1782"/>
      <c r="L977" s="1782"/>
      <c r="M977" s="1782"/>
      <c r="N977" s="1782"/>
      <c r="O977" s="1782"/>
      <c r="P977" s="1782"/>
      <c r="Q977" s="1782"/>
      <c r="R977" s="1782"/>
      <c r="S977" s="1782"/>
      <c r="T977" s="1782"/>
      <c r="U977" s="1782"/>
      <c r="V977" s="1782"/>
      <c r="W977" s="1782"/>
      <c r="X977" s="1782"/>
      <c r="Y977" s="1782"/>
      <c r="Z977" s="1782"/>
      <c r="AA977" s="1782"/>
      <c r="AB977" s="1782"/>
      <c r="AC977" s="1782"/>
      <c r="AD977" s="1782"/>
      <c r="AE977" s="1783"/>
      <c r="AF977" s="77"/>
      <c r="AG977" s="7"/>
      <c r="AH977" s="7"/>
      <c r="AI977" s="78"/>
      <c r="AJ977" s="1790"/>
      <c r="AK977" s="1791"/>
      <c r="AL977" s="1791"/>
      <c r="AM977" s="1791"/>
      <c r="AN977" s="1791"/>
      <c r="AO977" s="1791"/>
      <c r="AP977" s="1791"/>
      <c r="AQ977" s="1792"/>
      <c r="AR977" s="68"/>
      <c r="AS977" s="68"/>
      <c r="AT977" s="68"/>
      <c r="AU977" s="68"/>
      <c r="AV977" s="68"/>
      <c r="AW977" s="68"/>
      <c r="AX977" s="68"/>
      <c r="AY977" s="68"/>
      <c r="BB977" s="34"/>
      <c r="BC977" s="34"/>
      <c r="BD977" s="34"/>
      <c r="BE977" s="34"/>
      <c r="BF977" s="34"/>
    </row>
    <row r="978" spans="1:58" ht="12.95" customHeight="1">
      <c r="A978" s="14"/>
      <c r="B978" s="79"/>
      <c r="C978" s="80" t="s">
        <v>217</v>
      </c>
      <c r="D978" s="1765" t="s">
        <v>1453</v>
      </c>
      <c r="E978" s="1766"/>
      <c r="F978" s="1766"/>
      <c r="G978" s="1766"/>
      <c r="H978" s="1766"/>
      <c r="I978" s="1766"/>
      <c r="J978" s="1766"/>
      <c r="K978" s="1766"/>
      <c r="L978" s="1766"/>
      <c r="M978" s="1766"/>
      <c r="N978" s="1766"/>
      <c r="O978" s="1766"/>
      <c r="P978" s="1766"/>
      <c r="Q978" s="1766"/>
      <c r="R978" s="1766"/>
      <c r="S978" s="1766"/>
      <c r="T978" s="1766"/>
      <c r="U978" s="1766"/>
      <c r="V978" s="1766"/>
      <c r="W978" s="1766"/>
      <c r="X978" s="1766"/>
      <c r="Y978" s="1766"/>
      <c r="Z978" s="1766"/>
      <c r="AA978" s="1766"/>
      <c r="AB978" s="1766"/>
      <c r="AC978" s="1766"/>
      <c r="AD978" s="1766"/>
      <c r="AE978" s="1767"/>
      <c r="AF978" s="79"/>
      <c r="AG978" s="1777" t="s">
        <v>678</v>
      </c>
      <c r="AH978" s="1778"/>
      <c r="AI978" s="79"/>
      <c r="AJ978" s="1784">
        <f>ROUND(IF(AG978="yes",AJ961*0.02,0),0)</f>
        <v>0</v>
      </c>
      <c r="AK978" s="1785"/>
      <c r="AL978" s="1785"/>
      <c r="AM978" s="1785"/>
      <c r="AN978" s="1785"/>
      <c r="AO978" s="1785"/>
      <c r="AP978" s="1785"/>
      <c r="AQ978" s="1786"/>
      <c r="AR978" s="68"/>
      <c r="AS978" s="68"/>
      <c r="AT978" s="68"/>
      <c r="AU978" s="68"/>
      <c r="AV978" s="68"/>
      <c r="AW978" s="68"/>
      <c r="AX978" s="68"/>
      <c r="AY978" s="68"/>
    </row>
    <row r="979" spans="1:58" ht="12.95" customHeight="1">
      <c r="A979" s="14"/>
      <c r="B979" s="73"/>
      <c r="C979" s="74"/>
      <c r="D979" s="1768" t="s">
        <v>1454</v>
      </c>
      <c r="E979" s="1769"/>
      <c r="F979" s="1769"/>
      <c r="G979" s="1769"/>
      <c r="H979" s="1769"/>
      <c r="I979" s="1769"/>
      <c r="J979" s="1769"/>
      <c r="K979" s="1769"/>
      <c r="L979" s="1769"/>
      <c r="M979" s="1769"/>
      <c r="N979" s="1769"/>
      <c r="O979" s="1769"/>
      <c r="P979" s="1769"/>
      <c r="Q979" s="1769"/>
      <c r="R979" s="1769"/>
      <c r="S979" s="1769"/>
      <c r="T979" s="1769"/>
      <c r="U979" s="1769"/>
      <c r="V979" s="1769"/>
      <c r="W979" s="1769"/>
      <c r="X979" s="1769"/>
      <c r="Y979" s="1769"/>
      <c r="Z979" s="1769"/>
      <c r="AA979" s="1769"/>
      <c r="AB979" s="1769"/>
      <c r="AC979" s="1769"/>
      <c r="AD979" s="1769"/>
      <c r="AE979" s="1770"/>
      <c r="AF979" s="73"/>
      <c r="AI979" s="14"/>
      <c r="AJ979" s="1787"/>
      <c r="AK979" s="1788"/>
      <c r="AL979" s="1788"/>
      <c r="AM979" s="1788"/>
      <c r="AN979" s="1788"/>
      <c r="AO979" s="1788"/>
      <c r="AP979" s="1788"/>
      <c r="AQ979" s="1789"/>
      <c r="AR979" s="68"/>
      <c r="AS979" s="68"/>
      <c r="AT979" s="68"/>
      <c r="AU979" s="68"/>
      <c r="AV979" s="68"/>
      <c r="AW979" s="68"/>
      <c r="AX979" s="68"/>
      <c r="AY979" s="68"/>
    </row>
    <row r="980" spans="1:58" ht="12.95" customHeight="1">
      <c r="A980" s="14"/>
      <c r="B980" s="75"/>
      <c r="C980" s="76"/>
      <c r="D980" s="1781"/>
      <c r="E980" s="1782"/>
      <c r="F980" s="1782"/>
      <c r="G980" s="1782"/>
      <c r="H980" s="1782"/>
      <c r="I980" s="1782"/>
      <c r="J980" s="1782"/>
      <c r="K980" s="1782"/>
      <c r="L980" s="1782"/>
      <c r="M980" s="1782"/>
      <c r="N980" s="1782"/>
      <c r="O980" s="1782"/>
      <c r="P980" s="1782"/>
      <c r="Q980" s="1782"/>
      <c r="R980" s="1782"/>
      <c r="S980" s="1782"/>
      <c r="T980" s="1782"/>
      <c r="U980" s="1782"/>
      <c r="V980" s="1782"/>
      <c r="W980" s="1782"/>
      <c r="X980" s="1782"/>
      <c r="Y980" s="1782"/>
      <c r="Z980" s="1782"/>
      <c r="AA980" s="1782"/>
      <c r="AB980" s="1782"/>
      <c r="AC980" s="1782"/>
      <c r="AD980" s="1782"/>
      <c r="AE980" s="1783"/>
      <c r="AF980" s="77"/>
      <c r="AG980" s="7"/>
      <c r="AH980" s="7"/>
      <c r="AI980" s="78"/>
      <c r="AJ980" s="1790"/>
      <c r="AK980" s="1791"/>
      <c r="AL980" s="1791"/>
      <c r="AM980" s="1791"/>
      <c r="AN980" s="1791"/>
      <c r="AO980" s="1791"/>
      <c r="AP980" s="1791"/>
      <c r="AQ980" s="1792"/>
      <c r="AR980" s="68"/>
      <c r="AS980" s="68"/>
      <c r="AT980" s="68"/>
      <c r="AU980" s="68"/>
      <c r="AV980" s="68"/>
      <c r="AW980" s="68"/>
      <c r="AX980" s="68"/>
      <c r="AY980" s="68"/>
    </row>
    <row r="981" spans="1:58" ht="12.95" customHeight="1">
      <c r="A981" s="14"/>
      <c r="B981" s="79"/>
      <c r="C981" s="80" t="s">
        <v>220</v>
      </c>
      <c r="D981" s="1804" t="s">
        <v>1455</v>
      </c>
      <c r="E981" s="1805"/>
      <c r="F981" s="1805"/>
      <c r="G981" s="1805"/>
      <c r="H981" s="1805"/>
      <c r="I981" s="1805"/>
      <c r="J981" s="1805"/>
      <c r="K981" s="1805"/>
      <c r="L981" s="1805"/>
      <c r="M981" s="1805"/>
      <c r="N981" s="1805"/>
      <c r="O981" s="1805"/>
      <c r="P981" s="1805"/>
      <c r="Q981" s="1805"/>
      <c r="R981" s="1805"/>
      <c r="S981" s="1805"/>
      <c r="T981" s="1805"/>
      <c r="U981" s="1805"/>
      <c r="V981" s="1805"/>
      <c r="W981" s="1805"/>
      <c r="X981" s="1805"/>
      <c r="Y981" s="1805"/>
      <c r="Z981" s="1805"/>
      <c r="AA981" s="1805"/>
      <c r="AB981" s="1805"/>
      <c r="AC981" s="1805"/>
      <c r="AD981" s="1805"/>
      <c r="AE981" s="1806"/>
      <c r="AF981" s="79"/>
      <c r="AG981" s="1777" t="s">
        <v>678</v>
      </c>
      <c r="AH981" s="1778"/>
      <c r="AI981" s="87"/>
      <c r="AJ981" s="1784">
        <f>IF(AG981="yes",AJ961*BA981,0)</f>
        <v>0</v>
      </c>
      <c r="AK981" s="1785"/>
      <c r="AL981" s="1785"/>
      <c r="AM981" s="1785"/>
      <c r="AN981" s="1785"/>
      <c r="AO981" s="1785"/>
      <c r="AP981" s="1785"/>
      <c r="AQ981" s="1786"/>
      <c r="AR981" s="68"/>
      <c r="AS981" s="68"/>
      <c r="AT981" s="68"/>
      <c r="AU981" s="68"/>
      <c r="AV981" s="68"/>
      <c r="AW981" s="68"/>
      <c r="AX981" s="68"/>
      <c r="AY981" s="68"/>
      <c r="BA981" s="215">
        <f>IF(SUM(BA983:BA991)&lt;=0.1,SUM(BA983:BA991),0.1)</f>
        <v>0</v>
      </c>
    </row>
    <row r="982" spans="1:58" ht="12.95" customHeight="1">
      <c r="A982" s="14"/>
      <c r="B982" s="73"/>
      <c r="C982" s="74"/>
      <c r="D982" s="1768" t="s">
        <v>1456</v>
      </c>
      <c r="E982" s="1769"/>
      <c r="F982" s="1769"/>
      <c r="G982" s="1769"/>
      <c r="H982" s="1769"/>
      <c r="I982" s="1769"/>
      <c r="J982" s="1769"/>
      <c r="K982" s="1769"/>
      <c r="L982" s="1769"/>
      <c r="M982" s="1769"/>
      <c r="N982" s="1769"/>
      <c r="O982" s="1769"/>
      <c r="P982" s="1769"/>
      <c r="Q982" s="1769"/>
      <c r="R982" s="1769"/>
      <c r="S982" s="1769"/>
      <c r="T982" s="1769"/>
      <c r="U982" s="1769"/>
      <c r="V982" s="1769"/>
      <c r="W982" s="1769"/>
      <c r="X982" s="1769"/>
      <c r="Y982" s="1769"/>
      <c r="Z982" s="1769"/>
      <c r="AA982" s="1769"/>
      <c r="AB982" s="1769"/>
      <c r="AC982" s="1769"/>
      <c r="AD982" s="1769"/>
      <c r="AE982" s="1770"/>
      <c r="AF982" s="73"/>
      <c r="AG982" s="14"/>
      <c r="AH982" s="14"/>
      <c r="AI982" s="83"/>
      <c r="AJ982" s="1787"/>
      <c r="AK982" s="1788"/>
      <c r="AL982" s="1788"/>
      <c r="AM982" s="1788"/>
      <c r="AN982" s="1788"/>
      <c r="AO982" s="1788"/>
      <c r="AP982" s="1788"/>
      <c r="AQ982" s="1789"/>
      <c r="AR982" s="68"/>
      <c r="AS982" s="68"/>
      <c r="AT982" s="68"/>
      <c r="AU982" s="68"/>
      <c r="AV982" s="68"/>
      <c r="AW982" s="68"/>
      <c r="AX982" s="68"/>
      <c r="AY982" s="68"/>
    </row>
    <row r="983" spans="1:58" ht="12.95" customHeight="1">
      <c r="A983" s="14"/>
      <c r="B983" s="73"/>
      <c r="C983" s="74"/>
      <c r="D983" s="1768"/>
      <c r="E983" s="1769"/>
      <c r="F983" s="1769"/>
      <c r="G983" s="1769"/>
      <c r="H983" s="1769"/>
      <c r="I983" s="1769"/>
      <c r="J983" s="1769"/>
      <c r="K983" s="1769"/>
      <c r="L983" s="1769"/>
      <c r="M983" s="1769"/>
      <c r="N983" s="1769"/>
      <c r="O983" s="1769"/>
      <c r="P983" s="1769"/>
      <c r="Q983" s="1769"/>
      <c r="R983" s="1769"/>
      <c r="S983" s="1769"/>
      <c r="T983" s="1769"/>
      <c r="U983" s="1769"/>
      <c r="V983" s="1769"/>
      <c r="W983" s="1769"/>
      <c r="X983" s="1769"/>
      <c r="Y983" s="1769"/>
      <c r="Z983" s="1769"/>
      <c r="AA983" s="1769"/>
      <c r="AB983" s="1769"/>
      <c r="AC983" s="1769"/>
      <c r="AD983" s="1769"/>
      <c r="AE983" s="1770"/>
      <c r="AF983" s="73"/>
      <c r="AG983" s="14"/>
      <c r="AH983" s="14"/>
      <c r="AI983" s="83"/>
      <c r="AJ983" s="1787"/>
      <c r="AK983" s="1788"/>
      <c r="AL983" s="1788"/>
      <c r="AM983" s="1788"/>
      <c r="AN983" s="1788"/>
      <c r="AO983" s="1788"/>
      <c r="AP983" s="1788"/>
      <c r="AQ983" s="1789"/>
      <c r="AR983" s="68"/>
      <c r="AS983" s="68"/>
      <c r="AT983" s="68"/>
      <c r="AU983" s="68"/>
      <c r="AV983" s="68"/>
      <c r="AW983" s="68"/>
      <c r="AX983" s="68"/>
      <c r="AY983" s="68"/>
      <c r="BA983" s="213">
        <f>IF(A1030="Yes",0.05,0)</f>
        <v>0</v>
      </c>
    </row>
    <row r="984" spans="1:58" ht="12.95" customHeight="1">
      <c r="A984" s="14"/>
      <c r="B984" s="81"/>
      <c r="C984" s="82"/>
      <c r="D984" s="1781"/>
      <c r="E984" s="1782"/>
      <c r="F984" s="1782"/>
      <c r="G984" s="1782"/>
      <c r="H984" s="1782"/>
      <c r="I984" s="1782"/>
      <c r="J984" s="1782"/>
      <c r="K984" s="1782"/>
      <c r="L984" s="1782"/>
      <c r="M984" s="1782"/>
      <c r="N984" s="1782"/>
      <c r="O984" s="1782"/>
      <c r="P984" s="1782"/>
      <c r="Q984" s="1782"/>
      <c r="R984" s="1782"/>
      <c r="S984" s="1782"/>
      <c r="T984" s="1782"/>
      <c r="U984" s="1782"/>
      <c r="V984" s="1782"/>
      <c r="W984" s="1782"/>
      <c r="X984" s="1782"/>
      <c r="Y984" s="1782"/>
      <c r="Z984" s="1782"/>
      <c r="AA984" s="1782"/>
      <c r="AB984" s="1782"/>
      <c r="AC984" s="1782"/>
      <c r="AD984" s="1782"/>
      <c r="AE984" s="1783"/>
      <c r="AF984" s="77"/>
      <c r="AG984" s="7"/>
      <c r="AH984" s="7"/>
      <c r="AI984" s="78"/>
      <c r="AJ984" s="1790"/>
      <c r="AK984" s="1791"/>
      <c r="AL984" s="1791"/>
      <c r="AM984" s="1791"/>
      <c r="AN984" s="1791"/>
      <c r="AO984" s="1791"/>
      <c r="AP984" s="1791"/>
      <c r="AQ984" s="1792"/>
      <c r="AR984" s="68"/>
      <c r="AS984" s="68"/>
      <c r="AT984" s="68"/>
      <c r="AU984" s="68"/>
      <c r="AV984" s="68"/>
      <c r="AW984" s="68"/>
      <c r="AX984" s="68"/>
      <c r="AY984" s="68"/>
      <c r="BA984" s="213">
        <f>IF(A1036="Yes",0.02,0)</f>
        <v>0</v>
      </c>
    </row>
    <row r="985" spans="1:58" ht="12.95" customHeight="1">
      <c r="A985" s="14"/>
      <c r="B985" s="79"/>
      <c r="C985" s="80" t="s">
        <v>225</v>
      </c>
      <c r="D985" s="1834" t="s">
        <v>1457</v>
      </c>
      <c r="E985" s="1835"/>
      <c r="F985" s="1835"/>
      <c r="G985" s="1835"/>
      <c r="H985" s="1835"/>
      <c r="I985" s="1835"/>
      <c r="J985" s="1835"/>
      <c r="K985" s="1835"/>
      <c r="L985" s="1835"/>
      <c r="M985" s="1835"/>
      <c r="N985" s="1835"/>
      <c r="O985" s="1835"/>
      <c r="P985" s="1835"/>
      <c r="Q985" s="1835"/>
      <c r="R985" s="1835"/>
      <c r="S985" s="1835"/>
      <c r="T985" s="1835"/>
      <c r="U985" s="1835"/>
      <c r="V985" s="1835"/>
      <c r="W985" s="1835"/>
      <c r="X985" s="1835"/>
      <c r="Y985" s="1835"/>
      <c r="Z985" s="1835"/>
      <c r="AA985" s="1835"/>
      <c r="AB985" s="1835"/>
      <c r="AC985" s="1835"/>
      <c r="AD985" s="1835"/>
      <c r="AE985" s="1836"/>
      <c r="AF985" s="79"/>
      <c r="AG985" s="1777" t="s">
        <v>678</v>
      </c>
      <c r="AH985" s="1778"/>
      <c r="AI985" s="87"/>
      <c r="AJ985" s="1784">
        <f>ROUND(IF(AG985="Yes",MIN(AF988,(0.15*AJ961)),0),0)</f>
        <v>0</v>
      </c>
      <c r="AK985" s="1785"/>
      <c r="AL985" s="1785"/>
      <c r="AM985" s="1785"/>
      <c r="AN985" s="1785"/>
      <c r="AO985" s="1785"/>
      <c r="AP985" s="1785"/>
      <c r="AQ985" s="1786"/>
      <c r="AR985" s="68"/>
      <c r="AS985" s="68"/>
      <c r="AT985" s="68"/>
      <c r="AU985" s="68"/>
      <c r="AV985" s="68"/>
      <c r="AW985" s="68"/>
      <c r="AX985" s="68"/>
      <c r="AY985" s="68"/>
      <c r="BA985" s="213">
        <f>IF(A1042="Yes",0.04,0)</f>
        <v>0</v>
      </c>
    </row>
    <row r="986" spans="1:58" ht="12.95" customHeight="1">
      <c r="A986" s="14"/>
      <c r="B986" s="81"/>
      <c r="C986" s="84"/>
      <c r="D986" s="1837"/>
      <c r="E986" s="1838"/>
      <c r="F986" s="1838"/>
      <c r="G986" s="1838"/>
      <c r="H986" s="1838"/>
      <c r="I986" s="1838"/>
      <c r="J986" s="1838"/>
      <c r="K986" s="1838"/>
      <c r="L986" s="1838"/>
      <c r="M986" s="1838"/>
      <c r="N986" s="1838"/>
      <c r="O986" s="1838"/>
      <c r="P986" s="1838"/>
      <c r="Q986" s="1838"/>
      <c r="R986" s="1838"/>
      <c r="S986" s="1838"/>
      <c r="T986" s="1838"/>
      <c r="U986" s="1838"/>
      <c r="V986" s="1838"/>
      <c r="W986" s="1838"/>
      <c r="X986" s="1838"/>
      <c r="Y986" s="1838"/>
      <c r="Z986" s="1838"/>
      <c r="AA986" s="1838"/>
      <c r="AB986" s="1838"/>
      <c r="AC986" s="1838"/>
      <c r="AD986" s="1838"/>
      <c r="AE986" s="1839"/>
      <c r="AF986" s="1848" t="str">
        <f>IF(AG985="yes","Please Select Type and Enter Amount:","")</f>
        <v/>
      </c>
      <c r="AG986" s="1849"/>
      <c r="AH986" s="1849"/>
      <c r="AI986" s="1850"/>
      <c r="AJ986" s="1787"/>
      <c r="AK986" s="1788"/>
      <c r="AL986" s="1788"/>
      <c r="AM986" s="1788"/>
      <c r="AN986" s="1788"/>
      <c r="AO986" s="1788"/>
      <c r="AP986" s="1788"/>
      <c r="AQ986" s="1789"/>
      <c r="AR986" s="68"/>
      <c r="AS986" s="68"/>
      <c r="AT986" s="68"/>
      <c r="AU986" s="68"/>
      <c r="AV986" s="68"/>
      <c r="AW986" s="68"/>
      <c r="AX986" s="68"/>
      <c r="AY986" s="68"/>
      <c r="BA986" s="213">
        <f>IF(A1049="Yes",0.04,0)</f>
        <v>0</v>
      </c>
    </row>
    <row r="987" spans="1:58" ht="12.95" customHeight="1">
      <c r="A987" s="14"/>
      <c r="B987" s="81"/>
      <c r="C987" s="84"/>
      <c r="D987" s="1768" t="s">
        <v>1458</v>
      </c>
      <c r="E987" s="1769"/>
      <c r="F987" s="1769"/>
      <c r="G987" s="1769"/>
      <c r="H987" s="1769"/>
      <c r="I987" s="1769"/>
      <c r="J987" s="1769"/>
      <c r="K987" s="1769"/>
      <c r="L987" s="1769"/>
      <c r="M987" s="1769"/>
      <c r="N987" s="1769"/>
      <c r="O987" s="1769"/>
      <c r="P987" s="1769"/>
      <c r="Q987" s="1769"/>
      <c r="R987" s="1769"/>
      <c r="S987" s="1769"/>
      <c r="T987" s="1769"/>
      <c r="U987" s="1769"/>
      <c r="V987" s="1769"/>
      <c r="W987" s="1769"/>
      <c r="X987" s="1769"/>
      <c r="Y987" s="1769"/>
      <c r="Z987" s="1769"/>
      <c r="AA987" s="1769"/>
      <c r="AB987" s="1769"/>
      <c r="AC987" s="1769"/>
      <c r="AD987" s="1769"/>
      <c r="AE987" s="1770"/>
      <c r="AF987" s="1848"/>
      <c r="AG987" s="1849"/>
      <c r="AH987" s="1849"/>
      <c r="AI987" s="1850"/>
      <c r="AJ987" s="1787"/>
      <c r="AK987" s="1788"/>
      <c r="AL987" s="1788"/>
      <c r="AM987" s="1788"/>
      <c r="AN987" s="1788"/>
      <c r="AO987" s="1788"/>
      <c r="AP987" s="1788"/>
      <c r="AQ987" s="1789"/>
      <c r="AR987" s="68"/>
      <c r="AS987" s="68"/>
      <c r="AT987" s="68"/>
      <c r="AU987" s="68"/>
      <c r="AV987" s="68"/>
      <c r="AW987" s="68"/>
      <c r="AX987" s="68"/>
      <c r="AY987" s="68"/>
      <c r="BA987" s="213">
        <f>IF(A1052="Yes",0.01,0)</f>
        <v>0</v>
      </c>
    </row>
    <row r="988" spans="1:58" ht="12.95" customHeight="1">
      <c r="A988" s="14"/>
      <c r="B988" s="81"/>
      <c r="C988" s="84"/>
      <c r="D988" s="1768"/>
      <c r="E988" s="1769"/>
      <c r="F988" s="1769"/>
      <c r="G988" s="1769"/>
      <c r="H988" s="1769"/>
      <c r="I988" s="1769"/>
      <c r="J988" s="1769"/>
      <c r="K988" s="1769"/>
      <c r="L988" s="1769"/>
      <c r="M988" s="1769"/>
      <c r="N988" s="1769"/>
      <c r="O988" s="1769"/>
      <c r="P988" s="1769"/>
      <c r="Q988" s="1769"/>
      <c r="R988" s="1769"/>
      <c r="S988" s="1769"/>
      <c r="T988" s="1769"/>
      <c r="U988" s="1769"/>
      <c r="V988" s="1769"/>
      <c r="W988" s="1769"/>
      <c r="X988" s="1769"/>
      <c r="Y988" s="1769"/>
      <c r="Z988" s="1769"/>
      <c r="AA988" s="1769"/>
      <c r="AB988" s="1769"/>
      <c r="AC988" s="1769"/>
      <c r="AD988" s="1769"/>
      <c r="AE988" s="1770"/>
      <c r="AF988" s="1851"/>
      <c r="AG988" s="1851"/>
      <c r="AH988" s="1851"/>
      <c r="AI988" s="1851"/>
      <c r="AJ988" s="1787"/>
      <c r="AK988" s="1788"/>
      <c r="AL988" s="1788"/>
      <c r="AM988" s="1788"/>
      <c r="AN988" s="1788"/>
      <c r="AO988" s="1788"/>
      <c r="AP988" s="1788"/>
      <c r="AQ988" s="1789"/>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856" t="s">
        <v>600</v>
      </c>
      <c r="K989" s="1857"/>
      <c r="L989" s="1857"/>
      <c r="M989" s="1857"/>
      <c r="N989" s="1857"/>
      <c r="O989" s="1857"/>
      <c r="P989" s="1857"/>
      <c r="Q989" s="1857"/>
      <c r="R989" s="1857"/>
      <c r="S989" s="1857"/>
      <c r="T989" s="1857"/>
      <c r="U989" s="1857"/>
      <c r="V989" s="1857"/>
      <c r="W989" s="1857"/>
      <c r="X989" s="1857"/>
      <c r="Y989" s="1857"/>
      <c r="Z989" s="1857"/>
      <c r="AA989" s="1857"/>
      <c r="AB989" s="1857"/>
      <c r="AC989" s="1857"/>
      <c r="AD989" s="1857"/>
      <c r="AE989" s="1858"/>
      <c r="AF989" s="1851"/>
      <c r="AG989" s="1851"/>
      <c r="AH989" s="1851"/>
      <c r="AI989" s="1851"/>
      <c r="AJ989" s="1790"/>
      <c r="AK989" s="1791"/>
      <c r="AL989" s="1791"/>
      <c r="AM989" s="1791"/>
      <c r="AN989" s="1791"/>
      <c r="AO989" s="1791"/>
      <c r="AP989" s="1791"/>
      <c r="AQ989" s="1792"/>
      <c r="AR989" s="68"/>
      <c r="AS989" s="68"/>
      <c r="AT989" s="68"/>
      <c r="AU989" s="68"/>
      <c r="AV989" s="68"/>
      <c r="AW989" s="68"/>
      <c r="AX989" s="68"/>
      <c r="AY989" s="68"/>
      <c r="BA989" s="213">
        <f>IF(A1060="Yes",0.01,0)</f>
        <v>0</v>
      </c>
    </row>
    <row r="990" spans="1:58" ht="12.95" customHeight="1">
      <c r="A990" s="14"/>
      <c r="B990" s="79"/>
      <c r="C990" s="80" t="s">
        <v>231</v>
      </c>
      <c r="D990" s="1765" t="s">
        <v>1459</v>
      </c>
      <c r="E990" s="1766"/>
      <c r="F990" s="1766"/>
      <c r="G990" s="1766"/>
      <c r="H990" s="1766"/>
      <c r="I990" s="1766"/>
      <c r="J990" s="1766"/>
      <c r="K990" s="1766"/>
      <c r="L990" s="1766"/>
      <c r="M990" s="1766"/>
      <c r="N990" s="1766"/>
      <c r="O990" s="1766"/>
      <c r="P990" s="1766"/>
      <c r="Q990" s="1766"/>
      <c r="R990" s="1766"/>
      <c r="S990" s="1766"/>
      <c r="T990" s="1766"/>
      <c r="U990" s="1766"/>
      <c r="V990" s="1766"/>
      <c r="W990" s="1766"/>
      <c r="X990" s="1766"/>
      <c r="Y990" s="1766"/>
      <c r="Z990" s="1766"/>
      <c r="AA990" s="1766"/>
      <c r="AB990" s="1766"/>
      <c r="AC990" s="1766"/>
      <c r="AD990" s="1766"/>
      <c r="AE990" s="1767"/>
      <c r="AF990" s="79"/>
      <c r="AG990" s="1777" t="s">
        <v>678</v>
      </c>
      <c r="AH990" s="1778"/>
      <c r="AI990" s="87"/>
      <c r="AJ990" s="1784">
        <f>ROUND(IF(AG990="Yes",AF992,0),0)</f>
        <v>0</v>
      </c>
      <c r="AK990" s="1785"/>
      <c r="AL990" s="1785"/>
      <c r="AM990" s="1785"/>
      <c r="AN990" s="1785"/>
      <c r="AO990" s="1785"/>
      <c r="AP990" s="1785"/>
      <c r="AQ990" s="1786"/>
      <c r="AR990" s="68"/>
      <c r="AS990" s="68"/>
      <c r="AT990" s="68"/>
      <c r="AU990" s="68"/>
      <c r="AV990" s="68"/>
      <c r="AW990" s="68"/>
      <c r="AX990" s="68"/>
      <c r="AY990" s="68"/>
      <c r="BA990" s="213">
        <f>IF(A1064="Yes",0.02,0)</f>
        <v>0</v>
      </c>
    </row>
    <row r="991" spans="1:58" ht="12.95" customHeight="1">
      <c r="A991" s="14"/>
      <c r="B991" s="73"/>
      <c r="C991" s="74"/>
      <c r="D991" s="1768" t="s">
        <v>1950</v>
      </c>
      <c r="E991" s="1769"/>
      <c r="F991" s="1769"/>
      <c r="G991" s="1769"/>
      <c r="H991" s="1769"/>
      <c r="I991" s="1769"/>
      <c r="J991" s="1769"/>
      <c r="K991" s="1769"/>
      <c r="L991" s="1769"/>
      <c r="M991" s="1769"/>
      <c r="N991" s="1769"/>
      <c r="O991" s="1769"/>
      <c r="P991" s="1769"/>
      <c r="Q991" s="1769"/>
      <c r="R991" s="1769"/>
      <c r="S991" s="1769"/>
      <c r="T991" s="1769"/>
      <c r="U991" s="1769"/>
      <c r="V991" s="1769"/>
      <c r="W991" s="1769"/>
      <c r="X991" s="1769"/>
      <c r="Y991" s="1769"/>
      <c r="Z991" s="1769"/>
      <c r="AA991" s="1769"/>
      <c r="AB991" s="1769"/>
      <c r="AC991" s="1769"/>
      <c r="AD991" s="1769"/>
      <c r="AE991" s="1770"/>
      <c r="AF991" s="1852" t="str">
        <f>IF(AG990="yes","Enter Amount:","")</f>
        <v/>
      </c>
      <c r="AG991" s="1853"/>
      <c r="AH991" s="1853"/>
      <c r="AI991" s="1854"/>
      <c r="AJ991" s="1787"/>
      <c r="AK991" s="1788"/>
      <c r="AL991" s="1788"/>
      <c r="AM991" s="1788"/>
      <c r="AN991" s="1788"/>
      <c r="AO991" s="1788"/>
      <c r="AP991" s="1788"/>
      <c r="AQ991" s="1789"/>
      <c r="AR991" s="68"/>
      <c r="AS991" s="68"/>
      <c r="AT991" s="68"/>
      <c r="AU991" s="68"/>
      <c r="AV991" s="68"/>
      <c r="AW991" s="68"/>
      <c r="AX991" s="68"/>
      <c r="AY991" s="68"/>
      <c r="BA991" s="214">
        <f>IF(A1068="Yes",0.02,0)</f>
        <v>0</v>
      </c>
    </row>
    <row r="992" spans="1:58" ht="12.95" customHeight="1">
      <c r="A992" s="14"/>
      <c r="B992" s="73"/>
      <c r="C992" s="74"/>
      <c r="D992" s="1768"/>
      <c r="E992" s="1769"/>
      <c r="F992" s="1769"/>
      <c r="G992" s="1769"/>
      <c r="H992" s="1769"/>
      <c r="I992" s="1769"/>
      <c r="J992" s="1769"/>
      <c r="K992" s="1769"/>
      <c r="L992" s="1769"/>
      <c r="M992" s="1769"/>
      <c r="N992" s="1769"/>
      <c r="O992" s="1769"/>
      <c r="P992" s="1769"/>
      <c r="Q992" s="1769"/>
      <c r="R992" s="1769"/>
      <c r="S992" s="1769"/>
      <c r="T992" s="1769"/>
      <c r="U992" s="1769"/>
      <c r="V992" s="1769"/>
      <c r="W992" s="1769"/>
      <c r="X992" s="1769"/>
      <c r="Y992" s="1769"/>
      <c r="Z992" s="1769"/>
      <c r="AA992" s="1769"/>
      <c r="AB992" s="1769"/>
      <c r="AC992" s="1769"/>
      <c r="AD992" s="1769"/>
      <c r="AE992" s="1770"/>
      <c r="AF992" s="1851"/>
      <c r="AG992" s="1851"/>
      <c r="AH992" s="1851"/>
      <c r="AI992" s="1851"/>
      <c r="AJ992" s="1787"/>
      <c r="AK992" s="1788"/>
      <c r="AL992" s="1788"/>
      <c r="AM992" s="1788"/>
      <c r="AN992" s="1788"/>
      <c r="AO992" s="1788"/>
      <c r="AP992" s="1788"/>
      <c r="AQ992" s="1789"/>
      <c r="AR992" s="68"/>
      <c r="AS992" s="68"/>
      <c r="AT992" s="68"/>
      <c r="AU992" s="68"/>
      <c r="AV992" s="68"/>
      <c r="AW992" s="68"/>
      <c r="AX992" s="68"/>
      <c r="AY992" s="68"/>
    </row>
    <row r="993" spans="1:51" ht="12.95" customHeight="1">
      <c r="A993" s="14"/>
      <c r="B993" s="85"/>
      <c r="C993" s="84"/>
      <c r="D993" s="1781"/>
      <c r="E993" s="1782"/>
      <c r="F993" s="1782"/>
      <c r="G993" s="1782"/>
      <c r="H993" s="1782"/>
      <c r="I993" s="1782"/>
      <c r="J993" s="1782"/>
      <c r="K993" s="1782"/>
      <c r="L993" s="1782"/>
      <c r="M993" s="1782"/>
      <c r="N993" s="1782"/>
      <c r="O993" s="1782"/>
      <c r="P993" s="1782"/>
      <c r="Q993" s="1782"/>
      <c r="R993" s="1782"/>
      <c r="S993" s="1782"/>
      <c r="T993" s="1782"/>
      <c r="U993" s="1782"/>
      <c r="V993" s="1782"/>
      <c r="W993" s="1782"/>
      <c r="X993" s="1782"/>
      <c r="Y993" s="1782"/>
      <c r="Z993" s="1782"/>
      <c r="AA993" s="1782"/>
      <c r="AB993" s="1782"/>
      <c r="AC993" s="1782"/>
      <c r="AD993" s="1782"/>
      <c r="AE993" s="1783"/>
      <c r="AF993" s="1851"/>
      <c r="AG993" s="1851"/>
      <c r="AH993" s="1851"/>
      <c r="AI993" s="1851"/>
      <c r="AJ993" s="1790"/>
      <c r="AK993" s="1791"/>
      <c r="AL993" s="1791"/>
      <c r="AM993" s="1791"/>
      <c r="AN993" s="1791"/>
      <c r="AO993" s="1791"/>
      <c r="AP993" s="1791"/>
      <c r="AQ993" s="1792"/>
      <c r="AR993" s="68"/>
      <c r="AS993" s="68"/>
      <c r="AT993" s="68"/>
      <c r="AU993" s="68"/>
      <c r="AV993" s="68"/>
      <c r="AW993" s="68"/>
      <c r="AX993" s="68"/>
      <c r="AY993" s="68"/>
    </row>
    <row r="994" spans="1:51" ht="12.95" customHeight="1">
      <c r="A994" s="14"/>
      <c r="B994" s="79"/>
      <c r="C994" s="80" t="s">
        <v>236</v>
      </c>
      <c r="D994" s="1804" t="s">
        <v>1460</v>
      </c>
      <c r="E994" s="1805"/>
      <c r="F994" s="1805"/>
      <c r="G994" s="1805"/>
      <c r="H994" s="1805"/>
      <c r="I994" s="1805"/>
      <c r="J994" s="1805"/>
      <c r="K994" s="1805"/>
      <c r="L994" s="1805"/>
      <c r="M994" s="1805"/>
      <c r="N994" s="1805"/>
      <c r="O994" s="1805"/>
      <c r="P994" s="1805"/>
      <c r="Q994" s="1805"/>
      <c r="R994" s="1805"/>
      <c r="S994" s="1805"/>
      <c r="T994" s="1805"/>
      <c r="U994" s="1805"/>
      <c r="V994" s="1805"/>
      <c r="W994" s="1805"/>
      <c r="X994" s="1805"/>
      <c r="Y994" s="1805"/>
      <c r="Z994" s="1805"/>
      <c r="AA994" s="1805"/>
      <c r="AB994" s="1805"/>
      <c r="AC994" s="1805"/>
      <c r="AD994" s="1805"/>
      <c r="AE994" s="1806"/>
      <c r="AF994" s="79"/>
      <c r="AG994" s="1777" t="s">
        <v>678</v>
      </c>
      <c r="AH994" s="1778"/>
      <c r="AI994" s="87"/>
      <c r="AJ994" s="1784">
        <f>ROUND(IF(AG994="yes",(AJ961*0.1),0),0)</f>
        <v>0</v>
      </c>
      <c r="AK994" s="1785"/>
      <c r="AL994" s="1785"/>
      <c r="AM994" s="1785"/>
      <c r="AN994" s="1785"/>
      <c r="AO994" s="1785"/>
      <c r="AP994" s="1785"/>
      <c r="AQ994" s="1786"/>
      <c r="AR994" s="68"/>
      <c r="AS994" s="68"/>
      <c r="AT994" s="68"/>
      <c r="AU994" s="68"/>
      <c r="AV994" s="68"/>
      <c r="AW994" s="68"/>
      <c r="AX994" s="68"/>
      <c r="AY994" s="68"/>
    </row>
    <row r="995" spans="1:51" ht="12.95" customHeight="1">
      <c r="A995" s="14"/>
      <c r="B995" s="73"/>
      <c r="C995" s="74"/>
      <c r="D995" s="1768" t="s">
        <v>1461</v>
      </c>
      <c r="E995" s="1769"/>
      <c r="F995" s="1769"/>
      <c r="G995" s="1769"/>
      <c r="H995" s="1769"/>
      <c r="I995" s="1769"/>
      <c r="J995" s="1769"/>
      <c r="K995" s="1769"/>
      <c r="L995" s="1769"/>
      <c r="M995" s="1769"/>
      <c r="N995" s="1769"/>
      <c r="O995" s="1769"/>
      <c r="P995" s="1769"/>
      <c r="Q995" s="1769"/>
      <c r="R995" s="1769"/>
      <c r="S995" s="1769"/>
      <c r="T995" s="1769"/>
      <c r="U995" s="1769"/>
      <c r="V995" s="1769"/>
      <c r="W995" s="1769"/>
      <c r="X995" s="1769"/>
      <c r="Y995" s="1769"/>
      <c r="Z995" s="1769"/>
      <c r="AA995" s="1769"/>
      <c r="AB995" s="1769"/>
      <c r="AC995" s="1769"/>
      <c r="AD995" s="1769"/>
      <c r="AE995" s="1770"/>
      <c r="AF995" s="73"/>
      <c r="AG995" s="14"/>
      <c r="AH995" s="14"/>
      <c r="AI995" s="83"/>
      <c r="AJ995" s="1787"/>
      <c r="AK995" s="1788"/>
      <c r="AL995" s="1788"/>
      <c r="AM995" s="1788"/>
      <c r="AN995" s="1788"/>
      <c r="AO995" s="1788"/>
      <c r="AP995" s="1788"/>
      <c r="AQ995" s="1789"/>
      <c r="AR995" s="68"/>
      <c r="AS995" s="68"/>
      <c r="AT995" s="68"/>
      <c r="AU995" s="68"/>
      <c r="AV995" s="68"/>
      <c r="AW995" s="68"/>
      <c r="AX995" s="68"/>
      <c r="AY995" s="68"/>
    </row>
    <row r="996" spans="1:51" ht="12.95" customHeight="1">
      <c r="A996" s="14"/>
      <c r="B996" s="77"/>
      <c r="C996" s="74"/>
      <c r="D996" s="1781"/>
      <c r="E996" s="1782"/>
      <c r="F996" s="1782"/>
      <c r="G996" s="1782"/>
      <c r="H996" s="1782"/>
      <c r="I996" s="1782"/>
      <c r="J996" s="1782"/>
      <c r="K996" s="1782"/>
      <c r="L996" s="1782"/>
      <c r="M996" s="1782"/>
      <c r="N996" s="1782"/>
      <c r="O996" s="1782"/>
      <c r="P996" s="1782"/>
      <c r="Q996" s="1782"/>
      <c r="R996" s="1782"/>
      <c r="S996" s="1782"/>
      <c r="T996" s="1782"/>
      <c r="U996" s="1782"/>
      <c r="V996" s="1782"/>
      <c r="W996" s="1782"/>
      <c r="X996" s="1782"/>
      <c r="Y996" s="1782"/>
      <c r="Z996" s="1782"/>
      <c r="AA996" s="1782"/>
      <c r="AB996" s="1782"/>
      <c r="AC996" s="1782"/>
      <c r="AD996" s="1782"/>
      <c r="AE996" s="1783"/>
      <c r="AF996" s="73"/>
      <c r="AG996" s="14"/>
      <c r="AH996" s="14"/>
      <c r="AI996" s="83"/>
      <c r="AJ996" s="1790"/>
      <c r="AK996" s="1791"/>
      <c r="AL996" s="1791"/>
      <c r="AM996" s="1791"/>
      <c r="AN996" s="1791"/>
      <c r="AO996" s="1791"/>
      <c r="AP996" s="1791"/>
      <c r="AQ996" s="1792"/>
      <c r="AR996" s="68"/>
      <c r="AS996" s="68"/>
      <c r="AT996" s="68"/>
      <c r="AU996" s="68"/>
      <c r="AV996" s="68"/>
      <c r="AW996" s="68"/>
      <c r="AX996" s="68"/>
      <c r="AY996" s="68"/>
    </row>
    <row r="997" spans="1:51" ht="12.95" customHeight="1">
      <c r="A997" s="14"/>
      <c r="B997" s="73"/>
      <c r="C997" s="368" t="s">
        <v>697</v>
      </c>
      <c r="D997" s="1765" t="s">
        <v>1946</v>
      </c>
      <c r="E997" s="1766"/>
      <c r="F997" s="1766"/>
      <c r="G997" s="1766"/>
      <c r="H997" s="1766"/>
      <c r="I997" s="1766"/>
      <c r="J997" s="1766"/>
      <c r="K997" s="1766"/>
      <c r="L997" s="1766"/>
      <c r="M997" s="1766"/>
      <c r="N997" s="1766"/>
      <c r="O997" s="1766"/>
      <c r="P997" s="1766"/>
      <c r="Q997" s="1766"/>
      <c r="R997" s="1766"/>
      <c r="S997" s="1766"/>
      <c r="T997" s="1766"/>
      <c r="U997" s="1766"/>
      <c r="V997" s="1766"/>
      <c r="W997" s="1766"/>
      <c r="X997" s="1766"/>
      <c r="Y997" s="1766"/>
      <c r="Z997" s="1766"/>
      <c r="AA997" s="1766"/>
      <c r="AB997" s="1766"/>
      <c r="AC997" s="1766"/>
      <c r="AD997" s="1766"/>
      <c r="AE997" s="1767"/>
      <c r="AF997" s="79"/>
      <c r="AG997" s="1777" t="s">
        <v>678</v>
      </c>
      <c r="AH997" s="1778"/>
      <c r="AI997" s="87"/>
      <c r="AJ997" s="1784">
        <f>ROUND(IF(AG997="yes",(AJ961*0.15),0),0)</f>
        <v>0</v>
      </c>
      <c r="AK997" s="1785"/>
      <c r="AL997" s="1785"/>
      <c r="AM997" s="1785"/>
      <c r="AN997" s="1785"/>
      <c r="AO997" s="1785"/>
      <c r="AP997" s="1785"/>
      <c r="AQ997" s="1786"/>
      <c r="AR997" s="68"/>
      <c r="AS997" s="68"/>
      <c r="AT997" s="68"/>
      <c r="AU997" s="68"/>
      <c r="AV997" s="68"/>
      <c r="AW997" s="68"/>
      <c r="AX997" s="68"/>
      <c r="AY997" s="68"/>
    </row>
    <row r="998" spans="1:51" ht="12.95" customHeight="1">
      <c r="A998" s="14"/>
      <c r="B998" s="73"/>
      <c r="C998" s="74"/>
      <c r="D998" s="1796" t="s">
        <v>1947</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797"/>
      <c r="AF998" s="952"/>
      <c r="AG998" s="953"/>
      <c r="AH998" s="953"/>
      <c r="AI998" s="954"/>
      <c r="AJ998" s="1787"/>
      <c r="AK998" s="1788"/>
      <c r="AL998" s="1788"/>
      <c r="AM998" s="1788"/>
      <c r="AN998" s="1788"/>
      <c r="AO998" s="1788"/>
      <c r="AP998" s="1788"/>
      <c r="AQ998" s="1789"/>
      <c r="AR998" s="68"/>
      <c r="AS998" s="68"/>
      <c r="AT998" s="68"/>
      <c r="AU998" s="68"/>
      <c r="AV998" s="68"/>
      <c r="AW998" s="68"/>
      <c r="AX998" s="68"/>
      <c r="AY998" s="68"/>
    </row>
    <row r="999" spans="1:51" ht="12.95" customHeight="1">
      <c r="A999" s="14"/>
      <c r="B999" s="73"/>
      <c r="C999" s="74"/>
      <c r="D999" s="1796"/>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797"/>
      <c r="AF999" s="952"/>
      <c r="AG999" s="953"/>
      <c r="AH999" s="953"/>
      <c r="AI999" s="954"/>
      <c r="AJ999" s="1787"/>
      <c r="AK999" s="1788"/>
      <c r="AL999" s="1788"/>
      <c r="AM999" s="1788"/>
      <c r="AN999" s="1788"/>
      <c r="AO999" s="1788"/>
      <c r="AP999" s="1788"/>
      <c r="AQ999" s="1789"/>
      <c r="AR999" s="68"/>
      <c r="AS999" s="68"/>
      <c r="AT999" s="68"/>
      <c r="AU999" s="68"/>
      <c r="AV999" s="68"/>
      <c r="AW999" s="68"/>
      <c r="AX999" s="68"/>
      <c r="AY999" s="68"/>
    </row>
    <row r="1000" spans="1:51" ht="12.95" customHeight="1">
      <c r="A1000" s="14"/>
      <c r="B1000" s="73"/>
      <c r="C1000" s="74"/>
      <c r="D1000" s="1798"/>
      <c r="E1000" s="1799"/>
      <c r="F1000" s="1799"/>
      <c r="G1000" s="1799"/>
      <c r="H1000" s="1799"/>
      <c r="I1000" s="1799"/>
      <c r="J1000" s="1799"/>
      <c r="K1000" s="1799"/>
      <c r="L1000" s="1799"/>
      <c r="M1000" s="1799"/>
      <c r="N1000" s="1799"/>
      <c r="O1000" s="1799"/>
      <c r="P1000" s="1799"/>
      <c r="Q1000" s="1799"/>
      <c r="R1000" s="1799"/>
      <c r="S1000" s="1799"/>
      <c r="T1000" s="1799"/>
      <c r="U1000" s="1799"/>
      <c r="V1000" s="1799"/>
      <c r="W1000" s="1799"/>
      <c r="X1000" s="1799"/>
      <c r="Y1000" s="1799"/>
      <c r="Z1000" s="1799"/>
      <c r="AA1000" s="1799"/>
      <c r="AB1000" s="1799"/>
      <c r="AC1000" s="1799"/>
      <c r="AD1000" s="1799"/>
      <c r="AE1000" s="1800"/>
      <c r="AF1000" s="955"/>
      <c r="AG1000" s="956"/>
      <c r="AH1000" s="956"/>
      <c r="AI1000" s="957"/>
      <c r="AJ1000" s="1790"/>
      <c r="AK1000" s="1791"/>
      <c r="AL1000" s="1791"/>
      <c r="AM1000" s="1791"/>
      <c r="AN1000" s="1791"/>
      <c r="AO1000" s="1791"/>
      <c r="AP1000" s="1791"/>
      <c r="AQ1000" s="1792"/>
      <c r="AR1000" s="68"/>
      <c r="AS1000" s="68"/>
      <c r="AT1000" s="68"/>
      <c r="AU1000" s="68"/>
      <c r="AV1000" s="68"/>
      <c r="AW1000" s="68"/>
      <c r="AX1000" s="68"/>
      <c r="AY1000" s="68"/>
    </row>
    <row r="1001" spans="1:51" ht="12.95" customHeight="1">
      <c r="A1001" s="14"/>
      <c r="B1001" s="73"/>
      <c r="C1001" s="368" t="s">
        <v>697</v>
      </c>
      <c r="D1001" s="1804" t="s">
        <v>1948</v>
      </c>
      <c r="E1001" s="1805"/>
      <c r="F1001" s="1805"/>
      <c r="G1001" s="1805"/>
      <c r="H1001" s="1805"/>
      <c r="I1001" s="1805"/>
      <c r="J1001" s="1805"/>
      <c r="K1001" s="1805"/>
      <c r="L1001" s="1805"/>
      <c r="M1001" s="1805"/>
      <c r="N1001" s="1805"/>
      <c r="O1001" s="1805"/>
      <c r="P1001" s="1805"/>
      <c r="Q1001" s="1805"/>
      <c r="R1001" s="1805"/>
      <c r="S1001" s="1805"/>
      <c r="T1001" s="1805"/>
      <c r="U1001" s="1805"/>
      <c r="V1001" s="1805"/>
      <c r="W1001" s="1805"/>
      <c r="X1001" s="1805"/>
      <c r="Y1001" s="1805"/>
      <c r="Z1001" s="1805"/>
      <c r="AA1001" s="1805"/>
      <c r="AB1001" s="1805"/>
      <c r="AC1001" s="1805"/>
      <c r="AD1001" s="1805"/>
      <c r="AE1001" s="1806"/>
      <c r="AF1001" s="73"/>
      <c r="AG1001" s="1779" t="s">
        <v>678</v>
      </c>
      <c r="AH1001" s="1780"/>
      <c r="AI1001" s="83"/>
      <c r="AJ1001" s="1784">
        <f>ROUND(IF(AND(AG1001="yes",AJ997=0),(AJ961*0.1),0),0)</f>
        <v>0</v>
      </c>
      <c r="AK1001" s="1785"/>
      <c r="AL1001" s="1785"/>
      <c r="AM1001" s="1785"/>
      <c r="AN1001" s="1785"/>
      <c r="AO1001" s="1785"/>
      <c r="AP1001" s="1785"/>
      <c r="AQ1001" s="1786"/>
      <c r="AR1001" s="68"/>
      <c r="AS1001" s="68"/>
      <c r="AT1001" s="68"/>
      <c r="AU1001" s="68"/>
      <c r="AV1001" s="68"/>
      <c r="AW1001" s="68"/>
      <c r="AX1001" s="68"/>
      <c r="AY1001" s="68"/>
    </row>
    <row r="1002" spans="1:51" ht="12.95" customHeight="1">
      <c r="A1002" s="14"/>
      <c r="B1002" s="73"/>
      <c r="C1002" s="74"/>
      <c r="D1002" s="1796" t="s">
        <v>1949</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797"/>
      <c r="AF1002" s="73"/>
      <c r="AG1002" s="14"/>
      <c r="AH1002" s="14"/>
      <c r="AI1002" s="83"/>
      <c r="AJ1002" s="1787"/>
      <c r="AK1002" s="1788"/>
      <c r="AL1002" s="1788"/>
      <c r="AM1002" s="1788"/>
      <c r="AN1002" s="1788"/>
      <c r="AO1002" s="1788"/>
      <c r="AP1002" s="1788"/>
      <c r="AQ1002" s="1789"/>
      <c r="AR1002" s="68"/>
      <c r="AS1002" s="68"/>
      <c r="AT1002" s="68"/>
      <c r="AU1002" s="68"/>
      <c r="AV1002" s="68"/>
      <c r="AW1002" s="68"/>
      <c r="AX1002" s="68"/>
      <c r="AY1002" s="68"/>
    </row>
    <row r="1003" spans="1:51" ht="12.95" customHeight="1">
      <c r="A1003" s="14"/>
      <c r="B1003" s="73"/>
      <c r="C1003" s="74"/>
      <c r="D1003" s="1796"/>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797"/>
      <c r="AF1003" s="73"/>
      <c r="AG1003" s="14"/>
      <c r="AH1003" s="14"/>
      <c r="AI1003" s="83"/>
      <c r="AJ1003" s="1787"/>
      <c r="AK1003" s="1788"/>
      <c r="AL1003" s="1788"/>
      <c r="AM1003" s="1788"/>
      <c r="AN1003" s="1788"/>
      <c r="AO1003" s="1788"/>
      <c r="AP1003" s="1788"/>
      <c r="AQ1003" s="1789"/>
      <c r="AR1003" s="68"/>
      <c r="AS1003" s="68"/>
      <c r="AT1003" s="68"/>
      <c r="AU1003" s="68"/>
      <c r="AV1003" s="68"/>
      <c r="AW1003" s="68"/>
      <c r="AX1003" s="68"/>
      <c r="AY1003" s="68"/>
    </row>
    <row r="1004" spans="1:51" ht="12.95" customHeight="1">
      <c r="A1004" s="14"/>
      <c r="B1004" s="73"/>
      <c r="C1004" s="74"/>
      <c r="D1004" s="1796"/>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797"/>
      <c r="AF1004" s="73"/>
      <c r="AG1004" s="14"/>
      <c r="AH1004" s="14"/>
      <c r="AI1004" s="83"/>
      <c r="AJ1004" s="1787"/>
      <c r="AK1004" s="1788"/>
      <c r="AL1004" s="1788"/>
      <c r="AM1004" s="1788"/>
      <c r="AN1004" s="1788"/>
      <c r="AO1004" s="1788"/>
      <c r="AP1004" s="1788"/>
      <c r="AQ1004" s="1789"/>
      <c r="AR1004" s="68"/>
      <c r="AS1004" s="68"/>
      <c r="AT1004" s="68"/>
      <c r="AU1004" s="68"/>
      <c r="AV1004" s="68"/>
      <c r="AW1004" s="68"/>
      <c r="AX1004" s="68"/>
      <c r="AY1004" s="68"/>
    </row>
    <row r="1005" spans="1:51" ht="12.95" customHeight="1">
      <c r="A1005" s="14"/>
      <c r="B1005" s="73"/>
      <c r="C1005" s="74"/>
      <c r="D1005" s="1798"/>
      <c r="E1005" s="1799"/>
      <c r="F1005" s="1799"/>
      <c r="G1005" s="1799"/>
      <c r="H1005" s="1799"/>
      <c r="I1005" s="1799"/>
      <c r="J1005" s="1799"/>
      <c r="K1005" s="1799"/>
      <c r="L1005" s="1799"/>
      <c r="M1005" s="1799"/>
      <c r="N1005" s="1799"/>
      <c r="O1005" s="1799"/>
      <c r="P1005" s="1799"/>
      <c r="Q1005" s="1799"/>
      <c r="R1005" s="1799"/>
      <c r="S1005" s="1799"/>
      <c r="T1005" s="1799"/>
      <c r="U1005" s="1799"/>
      <c r="V1005" s="1799"/>
      <c r="W1005" s="1799"/>
      <c r="X1005" s="1799"/>
      <c r="Y1005" s="1799"/>
      <c r="Z1005" s="1799"/>
      <c r="AA1005" s="1799"/>
      <c r="AB1005" s="1799"/>
      <c r="AC1005" s="1799"/>
      <c r="AD1005" s="1799"/>
      <c r="AE1005" s="1800"/>
      <c r="AF1005" s="73"/>
      <c r="AG1005" s="14"/>
      <c r="AH1005" s="14"/>
      <c r="AI1005" s="83"/>
      <c r="AJ1005" s="1787"/>
      <c r="AK1005" s="1788"/>
      <c r="AL1005" s="1788"/>
      <c r="AM1005" s="1788"/>
      <c r="AN1005" s="1788"/>
      <c r="AO1005" s="1788"/>
      <c r="AP1005" s="1788"/>
      <c r="AQ1005" s="1789"/>
      <c r="AR1005" s="68"/>
      <c r="AS1005" s="68"/>
      <c r="AT1005" s="68"/>
      <c r="AU1005" s="68"/>
      <c r="AV1005" s="68"/>
      <c r="AW1005" s="68"/>
      <c r="AX1005" s="68"/>
      <c r="AY1005" s="68"/>
    </row>
    <row r="1006" spans="1:51" ht="12.95" customHeight="1">
      <c r="A1006" s="14"/>
      <c r="B1006" s="79"/>
      <c r="C1006" s="131" t="s">
        <v>1067</v>
      </c>
      <c r="D1006" s="1765" t="s">
        <v>1462</v>
      </c>
      <c r="E1006" s="1766"/>
      <c r="F1006" s="1766"/>
      <c r="G1006" s="1766"/>
      <c r="H1006" s="1766"/>
      <c r="I1006" s="1766"/>
      <c r="J1006" s="1766"/>
      <c r="K1006" s="1766"/>
      <c r="L1006" s="1766"/>
      <c r="M1006" s="1766"/>
      <c r="N1006" s="1766"/>
      <c r="O1006" s="1766"/>
      <c r="P1006" s="1766"/>
      <c r="Q1006" s="1766"/>
      <c r="R1006" s="1766"/>
      <c r="S1006" s="1766"/>
      <c r="T1006" s="1766"/>
      <c r="U1006" s="1766"/>
      <c r="V1006" s="1766"/>
      <c r="W1006" s="1766"/>
      <c r="X1006" s="1766"/>
      <c r="Y1006" s="1766"/>
      <c r="Z1006" s="1766"/>
      <c r="AA1006" s="1766"/>
      <c r="AB1006" s="1766"/>
      <c r="AC1006" s="1766"/>
      <c r="AD1006" s="1766"/>
      <c r="AE1006" s="1767"/>
      <c r="AF1006" s="79"/>
      <c r="AG1006" s="1777" t="s">
        <v>678</v>
      </c>
      <c r="AH1006" s="1778"/>
      <c r="AI1006" s="87"/>
      <c r="AJ1006" s="1784">
        <f>ROUND(IF(AG1006="yes",(AJ961*0.1),0),0)</f>
        <v>0</v>
      </c>
      <c r="AK1006" s="1785"/>
      <c r="AL1006" s="1785"/>
      <c r="AM1006" s="1785"/>
      <c r="AN1006" s="1785"/>
      <c r="AO1006" s="1785"/>
      <c r="AP1006" s="1785"/>
      <c r="AQ1006" s="1786"/>
      <c r="AR1006" s="68"/>
      <c r="AS1006" s="68"/>
      <c r="AT1006" s="68"/>
      <c r="AU1006" s="68"/>
      <c r="AV1006" s="68"/>
      <c r="AW1006" s="68"/>
      <c r="AX1006" s="68"/>
      <c r="AY1006" s="68"/>
    </row>
    <row r="1007" spans="1:51" ht="12.95" customHeight="1">
      <c r="A1007" s="14"/>
      <c r="B1007" s="73"/>
      <c r="C1007" s="74"/>
      <c r="D1007" s="1768" t="s">
        <v>2617</v>
      </c>
      <c r="E1007" s="1769"/>
      <c r="F1007" s="1769"/>
      <c r="G1007" s="1769"/>
      <c r="H1007" s="1769"/>
      <c r="I1007" s="1769"/>
      <c r="J1007" s="1769"/>
      <c r="K1007" s="1769"/>
      <c r="L1007" s="1769"/>
      <c r="M1007" s="1769"/>
      <c r="N1007" s="1769"/>
      <c r="O1007" s="1769"/>
      <c r="P1007" s="1769"/>
      <c r="Q1007" s="1769"/>
      <c r="R1007" s="1769"/>
      <c r="S1007" s="1769"/>
      <c r="T1007" s="1769"/>
      <c r="U1007" s="1769"/>
      <c r="V1007" s="1769"/>
      <c r="W1007" s="1769"/>
      <c r="X1007" s="1769"/>
      <c r="Y1007" s="1769"/>
      <c r="Z1007" s="1769"/>
      <c r="AA1007" s="1769"/>
      <c r="AB1007" s="1769"/>
      <c r="AC1007" s="1769"/>
      <c r="AD1007" s="1769"/>
      <c r="AE1007" s="1770"/>
      <c r="AF1007" s="73"/>
      <c r="AG1007" s="14"/>
      <c r="AH1007" s="14"/>
      <c r="AI1007" s="83"/>
      <c r="AJ1007" s="1787"/>
      <c r="AK1007" s="1788"/>
      <c r="AL1007" s="1788"/>
      <c r="AM1007" s="1788"/>
      <c r="AN1007" s="1788"/>
      <c r="AO1007" s="1788"/>
      <c r="AP1007" s="1788"/>
      <c r="AQ1007" s="1789"/>
      <c r="AR1007" s="68"/>
      <c r="AS1007" s="68"/>
      <c r="AT1007" s="68"/>
      <c r="AU1007" s="68"/>
      <c r="AV1007" s="68"/>
      <c r="AW1007" s="68"/>
      <c r="AX1007" s="68"/>
      <c r="AY1007" s="68"/>
    </row>
    <row r="1008" spans="1:51" ht="12.95" customHeight="1">
      <c r="A1008" s="14"/>
      <c r="B1008" s="73"/>
      <c r="C1008" s="74"/>
      <c r="D1008" s="1768"/>
      <c r="E1008" s="1769"/>
      <c r="F1008" s="1769"/>
      <c r="G1008" s="1769"/>
      <c r="H1008" s="1769"/>
      <c r="I1008" s="1769"/>
      <c r="J1008" s="1769"/>
      <c r="K1008" s="1769"/>
      <c r="L1008" s="1769"/>
      <c r="M1008" s="1769"/>
      <c r="N1008" s="1769"/>
      <c r="O1008" s="1769"/>
      <c r="P1008" s="1769"/>
      <c r="Q1008" s="1769"/>
      <c r="R1008" s="1769"/>
      <c r="S1008" s="1769"/>
      <c r="T1008" s="1769"/>
      <c r="U1008" s="1769"/>
      <c r="V1008" s="1769"/>
      <c r="W1008" s="1769"/>
      <c r="X1008" s="1769"/>
      <c r="Y1008" s="1769"/>
      <c r="Z1008" s="1769"/>
      <c r="AA1008" s="1769"/>
      <c r="AB1008" s="1769"/>
      <c r="AC1008" s="1769"/>
      <c r="AD1008" s="1769"/>
      <c r="AE1008" s="1770"/>
      <c r="AF1008" s="73"/>
      <c r="AG1008" s="14"/>
      <c r="AH1008" s="14"/>
      <c r="AI1008" s="83"/>
      <c r="AJ1008" s="1787"/>
      <c r="AK1008" s="1788"/>
      <c r="AL1008" s="1788"/>
      <c r="AM1008" s="1788"/>
      <c r="AN1008" s="1788"/>
      <c r="AO1008" s="1788"/>
      <c r="AP1008" s="1788"/>
      <c r="AQ1008" s="1789"/>
      <c r="AR1008" s="68"/>
      <c r="AS1008" s="68"/>
      <c r="AT1008" s="68"/>
      <c r="AU1008" s="68"/>
      <c r="AV1008" s="68"/>
      <c r="AW1008" s="68"/>
      <c r="AX1008" s="68"/>
      <c r="AY1008" s="68"/>
    </row>
    <row r="1009" spans="1:51" ht="12.95" customHeight="1">
      <c r="A1009" s="14"/>
      <c r="B1009" s="73"/>
      <c r="C1009" s="74"/>
      <c r="D1009" s="1781"/>
      <c r="E1009" s="1782"/>
      <c r="F1009" s="1782"/>
      <c r="G1009" s="1782"/>
      <c r="H1009" s="1782"/>
      <c r="I1009" s="1782"/>
      <c r="J1009" s="1782"/>
      <c r="K1009" s="1782"/>
      <c r="L1009" s="1782"/>
      <c r="M1009" s="1782"/>
      <c r="N1009" s="1782"/>
      <c r="O1009" s="1782"/>
      <c r="P1009" s="1782"/>
      <c r="Q1009" s="1782"/>
      <c r="R1009" s="1782"/>
      <c r="S1009" s="1782"/>
      <c r="T1009" s="1782"/>
      <c r="U1009" s="1782"/>
      <c r="V1009" s="1782"/>
      <c r="W1009" s="1782"/>
      <c r="X1009" s="1782"/>
      <c r="Y1009" s="1782"/>
      <c r="Z1009" s="1782"/>
      <c r="AA1009" s="1782"/>
      <c r="AB1009" s="1782"/>
      <c r="AC1009" s="1782"/>
      <c r="AD1009" s="1782"/>
      <c r="AE1009" s="1783"/>
      <c r="AF1009" s="73"/>
      <c r="AG1009" s="14"/>
      <c r="AH1009" s="14"/>
      <c r="AI1009" s="83"/>
      <c r="AJ1009" s="1790"/>
      <c r="AK1009" s="1791"/>
      <c r="AL1009" s="1791"/>
      <c r="AM1009" s="1791"/>
      <c r="AN1009" s="1791"/>
      <c r="AO1009" s="1791"/>
      <c r="AP1009" s="1791"/>
      <c r="AQ1009" s="1792"/>
      <c r="AR1009" s="68"/>
      <c r="AS1009" s="68"/>
      <c r="AT1009" s="68"/>
      <c r="AU1009" s="68"/>
      <c r="AV1009" s="68"/>
      <c r="AW1009" s="68"/>
      <c r="AX1009" s="68"/>
      <c r="AY1009" s="68"/>
    </row>
    <row r="1010" spans="1:51" ht="12.95" customHeight="1">
      <c r="A1010" s="14"/>
      <c r="B1010" s="79"/>
      <c r="C1010" s="131" t="s">
        <v>1944</v>
      </c>
      <c r="D1010" s="1804" t="s">
        <v>2128</v>
      </c>
      <c r="E1010" s="1805"/>
      <c r="F1010" s="1805"/>
      <c r="G1010" s="1805"/>
      <c r="H1010" s="1805"/>
      <c r="I1010" s="1805"/>
      <c r="J1010" s="1805"/>
      <c r="K1010" s="1805"/>
      <c r="L1010" s="1805"/>
      <c r="M1010" s="1805"/>
      <c r="N1010" s="1805"/>
      <c r="O1010" s="1805"/>
      <c r="P1010" s="1805"/>
      <c r="Q1010" s="1805"/>
      <c r="R1010" s="1805"/>
      <c r="S1010" s="1805"/>
      <c r="T1010" s="1805"/>
      <c r="U1010" s="1805"/>
      <c r="V1010" s="1805"/>
      <c r="W1010" s="1805"/>
      <c r="X1010" s="1805"/>
      <c r="Y1010" s="1805"/>
      <c r="Z1010" s="1805"/>
      <c r="AA1010" s="1805"/>
      <c r="AB1010" s="1805"/>
      <c r="AC1010" s="1805"/>
      <c r="AD1010" s="1805"/>
      <c r="AE1010" s="1806"/>
      <c r="AF1010" s="79"/>
      <c r="AG1010" s="1775" t="str">
        <f>IF(X1013&gt;0,"Yes","No")</f>
        <v>Yes</v>
      </c>
      <c r="AH1010" s="1776"/>
      <c r="AI1010" s="87"/>
      <c r="AJ1010" s="1784">
        <f>IF((X1013=0),0,BA975*AJ961)</f>
        <v>32876236.799999997</v>
      </c>
      <c r="AK1010" s="1785"/>
      <c r="AL1010" s="1785"/>
      <c r="AM1010" s="1785"/>
      <c r="AN1010" s="1785"/>
      <c r="AO1010" s="1785"/>
      <c r="AP1010" s="1785"/>
      <c r="AQ1010" s="1786"/>
      <c r="AR1010" s="68"/>
      <c r="AS1010" s="68"/>
      <c r="AT1010" s="68"/>
      <c r="AU1010" s="68"/>
      <c r="AV1010" s="68"/>
      <c r="AW1010" s="68"/>
      <c r="AX1010" s="68"/>
      <c r="AY1010" s="68"/>
    </row>
    <row r="1011" spans="1:51" ht="12.95" customHeight="1">
      <c r="A1011" s="14"/>
      <c r="B1011" s="73"/>
      <c r="C1011" s="477"/>
      <c r="D1011" s="1768" t="s">
        <v>1464</v>
      </c>
      <c r="E1011" s="1769"/>
      <c r="F1011" s="1769"/>
      <c r="G1011" s="1769"/>
      <c r="H1011" s="1769"/>
      <c r="I1011" s="1769"/>
      <c r="J1011" s="1769"/>
      <c r="K1011" s="1769"/>
      <c r="L1011" s="1769"/>
      <c r="M1011" s="1769"/>
      <c r="N1011" s="1769"/>
      <c r="O1011" s="1769"/>
      <c r="P1011" s="1769"/>
      <c r="Q1011" s="1769"/>
      <c r="R1011" s="1769"/>
      <c r="S1011" s="1769"/>
      <c r="T1011" s="1769"/>
      <c r="U1011" s="1769"/>
      <c r="V1011" s="1769"/>
      <c r="W1011" s="1769"/>
      <c r="X1011" s="1769"/>
      <c r="Y1011" s="1769"/>
      <c r="Z1011" s="1769"/>
      <c r="AA1011" s="1769"/>
      <c r="AB1011" s="1769"/>
      <c r="AC1011" s="1769"/>
      <c r="AD1011" s="1769"/>
      <c r="AE1011" s="1770"/>
      <c r="AF1011" s="73"/>
      <c r="AG1011" s="478"/>
      <c r="AH1011" s="478"/>
      <c r="AI1011" s="83"/>
      <c r="AJ1011" s="1787"/>
      <c r="AK1011" s="1788"/>
      <c r="AL1011" s="1788"/>
      <c r="AM1011" s="1788"/>
      <c r="AN1011" s="1788"/>
      <c r="AO1011" s="1788"/>
      <c r="AP1011" s="1788"/>
      <c r="AQ1011" s="1789"/>
      <c r="AR1011" s="68"/>
      <c r="AS1011" s="68"/>
      <c r="AT1011" s="68"/>
      <c r="AU1011" s="68"/>
      <c r="AV1011" s="68"/>
      <c r="AW1011" s="68"/>
      <c r="AX1011" s="68"/>
      <c r="AY1011" s="68"/>
    </row>
    <row r="1012" spans="1:51" ht="12.95" customHeight="1">
      <c r="A1012" s="14"/>
      <c r="B1012" s="73"/>
      <c r="C1012" s="477"/>
      <c r="D1012" s="1768"/>
      <c r="E1012" s="1769"/>
      <c r="F1012" s="1769"/>
      <c r="G1012" s="1769"/>
      <c r="H1012" s="1769"/>
      <c r="I1012" s="1769"/>
      <c r="J1012" s="1769"/>
      <c r="K1012" s="1769"/>
      <c r="L1012" s="1769"/>
      <c r="M1012" s="1769"/>
      <c r="N1012" s="1769"/>
      <c r="O1012" s="1769"/>
      <c r="P1012" s="1769"/>
      <c r="Q1012" s="1769"/>
      <c r="R1012" s="1769"/>
      <c r="S1012" s="1769"/>
      <c r="T1012" s="1769"/>
      <c r="U1012" s="1769"/>
      <c r="V1012" s="1769"/>
      <c r="W1012" s="1769"/>
      <c r="X1012" s="1769"/>
      <c r="Y1012" s="1769"/>
      <c r="Z1012" s="1769"/>
      <c r="AA1012" s="1769"/>
      <c r="AB1012" s="1769"/>
      <c r="AC1012" s="1769"/>
      <c r="AD1012" s="1769"/>
      <c r="AE1012" s="1770"/>
      <c r="AF1012" s="73"/>
      <c r="AG1012" s="478"/>
      <c r="AH1012" s="478"/>
      <c r="AI1012" s="83"/>
      <c r="AJ1012" s="1787"/>
      <c r="AK1012" s="1788"/>
      <c r="AL1012" s="1788"/>
      <c r="AM1012" s="1788"/>
      <c r="AN1012" s="1788"/>
      <c r="AO1012" s="1788"/>
      <c r="AP1012" s="1788"/>
      <c r="AQ1012" s="1789"/>
      <c r="AR1012" s="68"/>
      <c r="AS1012" s="68"/>
      <c r="AT1012" s="68"/>
      <c r="AU1012" s="68"/>
      <c r="AV1012" s="68"/>
      <c r="AW1012" s="68"/>
      <c r="AX1012" s="68"/>
      <c r="AY1012" s="68"/>
    </row>
    <row r="1013" spans="1:51" ht="12.95" customHeight="1">
      <c r="A1013" s="14"/>
      <c r="B1013" s="77"/>
      <c r="C1013" s="78"/>
      <c r="D1013" s="132" t="s">
        <v>1012</v>
      </c>
      <c r="E1013" s="133"/>
      <c r="F1013" s="133"/>
      <c r="G1013" s="133"/>
      <c r="H1013" s="133"/>
      <c r="I1013" s="1773">
        <f>BA973</f>
        <v>75</v>
      </c>
      <c r="J1013" s="1774"/>
      <c r="K1013" s="7"/>
      <c r="L1013" s="133"/>
      <c r="M1013" s="133"/>
      <c r="N1013" s="133"/>
      <c r="O1013" s="133"/>
      <c r="P1013" s="133"/>
      <c r="Q1013" s="133"/>
      <c r="R1013" s="133"/>
      <c r="S1013" s="133"/>
      <c r="T1013" s="133"/>
      <c r="U1013" s="133"/>
      <c r="V1013" s="134" t="s">
        <v>1013</v>
      </c>
      <c r="W1013" s="48"/>
      <c r="X1013" s="1771">
        <f>BG621</f>
        <v>54</v>
      </c>
      <c r="Y1013" s="1772"/>
      <c r="Z1013" s="48"/>
      <c r="AA1013" s="48"/>
      <c r="AB1013" s="48"/>
      <c r="AC1013" s="48"/>
      <c r="AD1013" s="48"/>
      <c r="AE1013" s="49"/>
      <c r="AF1013" s="961"/>
      <c r="AG1013" s="962"/>
      <c r="AH1013" s="962"/>
      <c r="AI1013" s="963"/>
      <c r="AJ1013" s="1790"/>
      <c r="AK1013" s="1791"/>
      <c r="AL1013" s="1791"/>
      <c r="AM1013" s="1791"/>
      <c r="AN1013" s="1791"/>
      <c r="AO1013" s="1791"/>
      <c r="AP1013" s="1791"/>
      <c r="AQ1013" s="1792"/>
      <c r="AR1013" s="68"/>
      <c r="AS1013" s="68"/>
      <c r="AT1013" s="68"/>
      <c r="AU1013" s="68"/>
      <c r="AV1013" s="68"/>
      <c r="AW1013" s="68"/>
      <c r="AX1013" s="68"/>
      <c r="AY1013" s="68"/>
    </row>
    <row r="1014" spans="1:51" ht="12.95" customHeight="1">
      <c r="A1014" s="14"/>
      <c r="B1014" s="79"/>
      <c r="C1014" s="131" t="s">
        <v>1945</v>
      </c>
      <c r="D1014" s="1765" t="s">
        <v>2129</v>
      </c>
      <c r="E1014" s="1766"/>
      <c r="F1014" s="1766"/>
      <c r="G1014" s="1766"/>
      <c r="H1014" s="1766"/>
      <c r="I1014" s="1766"/>
      <c r="J1014" s="1766"/>
      <c r="K1014" s="1766"/>
      <c r="L1014" s="1766"/>
      <c r="M1014" s="1766"/>
      <c r="N1014" s="1766"/>
      <c r="O1014" s="1766"/>
      <c r="P1014" s="1766"/>
      <c r="Q1014" s="1766"/>
      <c r="R1014" s="1766"/>
      <c r="S1014" s="1766"/>
      <c r="T1014" s="1766"/>
      <c r="U1014" s="1766"/>
      <c r="V1014" s="1766"/>
      <c r="W1014" s="1766"/>
      <c r="X1014" s="1766"/>
      <c r="Y1014" s="1766"/>
      <c r="Z1014" s="1766"/>
      <c r="AA1014" s="1766"/>
      <c r="AB1014" s="1766"/>
      <c r="AC1014" s="1766"/>
      <c r="AD1014" s="1766"/>
      <c r="AE1014" s="1767"/>
      <c r="AF1014" s="73"/>
      <c r="AG1014" s="1775" t="str">
        <f>IF(X1017&gt;0,"Yes","No")</f>
        <v>Yes</v>
      </c>
      <c r="AH1014" s="1776"/>
      <c r="AI1014" s="83"/>
      <c r="AJ1014" s="1784">
        <f>IF((X1017=0),0,(2*BA976)*AJ961)</f>
        <v>9132288</v>
      </c>
      <c r="AK1014" s="1785"/>
      <c r="AL1014" s="1785"/>
      <c r="AM1014" s="1785"/>
      <c r="AN1014" s="1785"/>
      <c r="AO1014" s="1785"/>
      <c r="AP1014" s="1785"/>
      <c r="AQ1014" s="1786"/>
      <c r="AR1014" s="68"/>
      <c r="AS1014" s="68"/>
      <c r="AT1014" s="68"/>
      <c r="AU1014" s="68"/>
      <c r="AV1014" s="68"/>
      <c r="AW1014" s="68"/>
      <c r="AX1014" s="68"/>
      <c r="AY1014" s="68"/>
    </row>
    <row r="1015" spans="1:51" ht="12.95" customHeight="1">
      <c r="A1015" s="14"/>
      <c r="B1015" s="73"/>
      <c r="C1015" s="477"/>
      <c r="D1015" s="1768" t="s">
        <v>1463</v>
      </c>
      <c r="E1015" s="1769"/>
      <c r="F1015" s="1769"/>
      <c r="G1015" s="1769"/>
      <c r="H1015" s="1769"/>
      <c r="I1015" s="1769"/>
      <c r="J1015" s="1769"/>
      <c r="K1015" s="1769"/>
      <c r="L1015" s="1769"/>
      <c r="M1015" s="1769"/>
      <c r="N1015" s="1769"/>
      <c r="O1015" s="1769"/>
      <c r="P1015" s="1769"/>
      <c r="Q1015" s="1769"/>
      <c r="R1015" s="1769"/>
      <c r="S1015" s="1769"/>
      <c r="T1015" s="1769"/>
      <c r="U1015" s="1769"/>
      <c r="V1015" s="1769"/>
      <c r="W1015" s="1769"/>
      <c r="X1015" s="1769"/>
      <c r="Y1015" s="1769"/>
      <c r="Z1015" s="1769"/>
      <c r="AA1015" s="1769"/>
      <c r="AB1015" s="1769"/>
      <c r="AC1015" s="1769"/>
      <c r="AD1015" s="1769"/>
      <c r="AE1015" s="1770"/>
      <c r="AF1015" s="73"/>
      <c r="AG1015" s="478"/>
      <c r="AH1015" s="478"/>
      <c r="AI1015" s="83"/>
      <c r="AJ1015" s="1787"/>
      <c r="AK1015" s="1788"/>
      <c r="AL1015" s="1788"/>
      <c r="AM1015" s="1788"/>
      <c r="AN1015" s="1788"/>
      <c r="AO1015" s="1788"/>
      <c r="AP1015" s="1788"/>
      <c r="AQ1015" s="1789"/>
      <c r="AR1015" s="68"/>
      <c r="AS1015" s="68"/>
      <c r="AT1015" s="68"/>
      <c r="AU1015" s="68"/>
      <c r="AV1015" s="68"/>
      <c r="AW1015" s="68"/>
      <c r="AX1015" s="68"/>
      <c r="AY1015" s="68"/>
    </row>
    <row r="1016" spans="1:51" ht="12.95" customHeight="1">
      <c r="A1016" s="14"/>
      <c r="B1016" s="73"/>
      <c r="C1016" s="83"/>
      <c r="D1016" s="1768"/>
      <c r="E1016" s="1769"/>
      <c r="F1016" s="1769"/>
      <c r="G1016" s="1769"/>
      <c r="H1016" s="1769"/>
      <c r="I1016" s="1769"/>
      <c r="J1016" s="1769"/>
      <c r="K1016" s="1769"/>
      <c r="L1016" s="1769"/>
      <c r="M1016" s="1769"/>
      <c r="N1016" s="1769"/>
      <c r="O1016" s="1769"/>
      <c r="P1016" s="1769"/>
      <c r="Q1016" s="1769"/>
      <c r="R1016" s="1769"/>
      <c r="S1016" s="1769"/>
      <c r="T1016" s="1769"/>
      <c r="U1016" s="1769"/>
      <c r="V1016" s="1769"/>
      <c r="W1016" s="1769"/>
      <c r="X1016" s="1769"/>
      <c r="Y1016" s="1769"/>
      <c r="Z1016" s="1769"/>
      <c r="AA1016" s="1769"/>
      <c r="AB1016" s="1769"/>
      <c r="AC1016" s="1769"/>
      <c r="AD1016" s="1769"/>
      <c r="AE1016" s="1770"/>
      <c r="AF1016" s="958"/>
      <c r="AG1016" s="959"/>
      <c r="AH1016" s="959"/>
      <c r="AI1016" s="960"/>
      <c r="AJ1016" s="1787"/>
      <c r="AK1016" s="1788"/>
      <c r="AL1016" s="1788"/>
      <c r="AM1016" s="1788"/>
      <c r="AN1016" s="1788"/>
      <c r="AO1016" s="1788"/>
      <c r="AP1016" s="1788"/>
      <c r="AQ1016" s="1789"/>
      <c r="AR1016" s="68"/>
      <c r="AS1016" s="68"/>
      <c r="AT1016" s="68"/>
      <c r="AU1016" s="68"/>
      <c r="AV1016" s="68"/>
      <c r="AW1016" s="68"/>
      <c r="AX1016" s="68"/>
      <c r="AY1016" s="68"/>
    </row>
    <row r="1017" spans="1:51" ht="12.95" customHeight="1">
      <c r="A1017" s="14"/>
      <c r="B1017" s="77"/>
      <c r="C1017" s="78"/>
      <c r="D1017" s="132" t="s">
        <v>1012</v>
      </c>
      <c r="E1017" s="133"/>
      <c r="F1017" s="133"/>
      <c r="G1017" s="133"/>
      <c r="H1017" s="133"/>
      <c r="I1017" s="1773">
        <f>BA973</f>
        <v>75</v>
      </c>
      <c r="J1017" s="1774"/>
      <c r="K1017" s="14"/>
      <c r="L1017" s="133"/>
      <c r="M1017" s="133"/>
      <c r="N1017" s="133"/>
      <c r="O1017" s="133"/>
      <c r="P1017" s="133"/>
      <c r="Q1017" s="133"/>
      <c r="R1017" s="133"/>
      <c r="S1017" s="133"/>
      <c r="T1017" s="133"/>
      <c r="U1017" s="133"/>
      <c r="V1017" s="134" t="s">
        <v>1014</v>
      </c>
      <c r="X1017" s="1771">
        <f>BK621</f>
        <v>8</v>
      </c>
      <c r="Y1017" s="1772"/>
      <c r="AF1017" s="961"/>
      <c r="AG1017" s="962"/>
      <c r="AH1017" s="962"/>
      <c r="AI1017" s="963"/>
      <c r="AJ1017" s="1790"/>
      <c r="AK1017" s="1791"/>
      <c r="AL1017" s="1791"/>
      <c r="AM1017" s="1791"/>
      <c r="AN1017" s="1791"/>
      <c r="AO1017" s="1791"/>
      <c r="AP1017" s="1791"/>
      <c r="AQ1017" s="1792"/>
      <c r="AR1017" s="68"/>
      <c r="AS1017" s="68"/>
      <c r="AT1017" s="68"/>
      <c r="AU1017" s="68"/>
      <c r="AV1017" s="68"/>
      <c r="AW1017" s="68"/>
      <c r="AX1017" s="68"/>
      <c r="AY1017" s="68"/>
    </row>
    <row r="1018" spans="1:51" ht="12.95" customHeight="1">
      <c r="A1018" s="14"/>
      <c r="B1018" s="102"/>
      <c r="C1018" s="103"/>
      <c r="D1018" s="1763" t="s">
        <v>522</v>
      </c>
      <c r="E1018" s="1763"/>
      <c r="F1018" s="1763"/>
      <c r="G1018" s="1763"/>
      <c r="H1018" s="1763"/>
      <c r="I1018" s="1763"/>
      <c r="J1018" s="1763"/>
      <c r="K1018" s="1763"/>
      <c r="L1018" s="1763"/>
      <c r="M1018" s="1763"/>
      <c r="N1018" s="1763"/>
      <c r="O1018" s="1763"/>
      <c r="P1018" s="1763"/>
      <c r="Q1018" s="1763"/>
      <c r="R1018" s="1763"/>
      <c r="S1018" s="1763"/>
      <c r="T1018" s="1763"/>
      <c r="U1018" s="1763"/>
      <c r="V1018" s="1763"/>
      <c r="W1018" s="1763"/>
      <c r="X1018" s="1763"/>
      <c r="Y1018" s="1763"/>
      <c r="Z1018" s="1763"/>
      <c r="AA1018" s="1763"/>
      <c r="AB1018" s="1763"/>
      <c r="AC1018" s="1763"/>
      <c r="AD1018" s="1763"/>
      <c r="AE1018" s="1763"/>
      <c r="AF1018" s="1763"/>
      <c r="AG1018" s="1763"/>
      <c r="AH1018" s="1763"/>
      <c r="AI1018" s="1764"/>
      <c r="AJ1018" s="1793">
        <f>SUM(AJ961:AQ1017)</f>
        <v>87669964.799999997</v>
      </c>
      <c r="AK1018" s="1794"/>
      <c r="AL1018" s="1794"/>
      <c r="AM1018" s="1794"/>
      <c r="AN1018" s="1794"/>
      <c r="AO1018" s="1794"/>
      <c r="AP1018" s="1794"/>
      <c r="AQ1018" s="1795"/>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728">
        <f>IF(ISNA(IF((AJ985&gt;(AJ961*0.15)),"(f) cannot be greater than 15% of unadjusted eligible basis.",0)),"",(IF((AJ985&gt;(AJ961*0.15)),"(f) cannot be greater than 15% of unadjusted eligible basis.",0)))</f>
        <v>0</v>
      </c>
      <c r="C1025" s="1728"/>
      <c r="D1025" s="1728"/>
      <c r="E1025" s="1728"/>
      <c r="F1025" s="1728"/>
      <c r="G1025" s="1728"/>
      <c r="H1025" s="1728"/>
      <c r="I1025" s="1728"/>
      <c r="J1025" s="1728"/>
      <c r="K1025" s="1728"/>
      <c r="L1025" s="1728"/>
      <c r="M1025" s="1728"/>
      <c r="N1025" s="1728"/>
      <c r="O1025" s="1728"/>
      <c r="P1025" s="1728"/>
      <c r="Q1025" s="1728"/>
      <c r="R1025" s="1728"/>
      <c r="S1025" s="1728"/>
      <c r="T1025" s="1728"/>
      <c r="U1025" s="1728"/>
      <c r="V1025" s="1728"/>
      <c r="W1025" s="1728"/>
      <c r="X1025" s="1728"/>
      <c r="Y1025" s="1728"/>
      <c r="Z1025" s="1728"/>
      <c r="AA1025" s="1728"/>
      <c r="AB1025" s="1728"/>
      <c r="AC1025" s="1728"/>
      <c r="AD1025" s="1728"/>
      <c r="AE1025" s="1728"/>
      <c r="AF1025" s="1728"/>
      <c r="AG1025" s="1728"/>
      <c r="AH1025" s="1728"/>
      <c r="AI1025" s="1728"/>
      <c r="AJ1025" s="1728"/>
      <c r="AK1025" s="1728"/>
      <c r="AL1025" s="68"/>
      <c r="AM1025" s="68"/>
      <c r="AN1025" s="68"/>
      <c r="AO1025" s="68"/>
      <c r="AP1025" s="68"/>
      <c r="AQ1025" s="68"/>
      <c r="AR1025" s="68"/>
      <c r="AS1025" s="68"/>
      <c r="AT1025" s="68"/>
      <c r="AU1025" s="68"/>
      <c r="AV1025" s="68"/>
      <c r="AW1025" s="68"/>
      <c r="AX1025" s="68"/>
      <c r="AY1025" s="68"/>
    </row>
    <row r="1026" spans="1:51" ht="12.95" customHeight="1" thickBot="1">
      <c r="A1026" s="1690" t="s">
        <v>818</v>
      </c>
      <c r="B1026" s="1690"/>
      <c r="C1026" s="1690"/>
      <c r="D1026" s="1690"/>
      <c r="E1026" s="1690"/>
      <c r="F1026" s="1690"/>
      <c r="G1026" s="1690"/>
      <c r="H1026" s="1690"/>
      <c r="I1026" s="1690"/>
      <c r="J1026" s="1690"/>
      <c r="K1026" s="1690"/>
      <c r="L1026" s="1690"/>
      <c r="M1026" s="1690"/>
      <c r="N1026" s="1690"/>
      <c r="O1026" s="1690"/>
      <c r="P1026" s="1690"/>
      <c r="Q1026" s="1690"/>
      <c r="R1026" s="1690"/>
      <c r="S1026" s="1690"/>
      <c r="T1026" s="1690"/>
      <c r="U1026" s="1690"/>
      <c r="V1026" s="1690"/>
      <c r="W1026" s="1690"/>
      <c r="X1026" s="1690"/>
      <c r="Y1026" s="1690"/>
      <c r="Z1026" s="1690"/>
      <c r="AA1026" s="1690"/>
      <c r="AB1026" s="1690"/>
      <c r="AC1026" s="1690"/>
      <c r="AD1026" s="1690"/>
      <c r="AE1026" s="1690"/>
      <c r="AF1026" s="1690"/>
      <c r="AG1026" s="1690"/>
      <c r="AH1026" s="1690"/>
      <c r="AI1026" s="1690"/>
      <c r="AJ1026" s="1690"/>
      <c r="AK1026" s="1690"/>
      <c r="AL1026" s="1690"/>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73" t="s">
        <v>600</v>
      </c>
      <c r="B1030" s="1373"/>
      <c r="C1030" s="8">
        <v>1</v>
      </c>
      <c r="D1030" s="1260" t="s">
        <v>1170</v>
      </c>
      <c r="E1030" s="1260"/>
      <c r="F1030" s="1260"/>
      <c r="G1030" s="1260"/>
      <c r="H1030" s="1260"/>
      <c r="I1030" s="1260"/>
      <c r="J1030" s="1260"/>
      <c r="K1030" s="1260"/>
      <c r="L1030" s="1260"/>
      <c r="M1030" s="1260"/>
      <c r="N1030" s="1260"/>
      <c r="O1030" s="1260"/>
      <c r="P1030" s="1260"/>
      <c r="Q1030" s="1260"/>
      <c r="R1030" s="1260"/>
      <c r="S1030" s="1260"/>
      <c r="T1030" s="1260"/>
      <c r="U1030" s="1260"/>
      <c r="V1030" s="1260"/>
      <c r="W1030" s="1260"/>
      <c r="X1030" s="1260"/>
      <c r="Y1030" s="1260"/>
      <c r="Z1030" s="1260"/>
      <c r="AA1030" s="1260"/>
      <c r="AB1030" s="1260"/>
      <c r="AC1030" s="1260"/>
      <c r="AD1030" s="1260"/>
      <c r="AE1030" s="1260"/>
      <c r="AF1030" s="1260"/>
      <c r="AG1030" s="1260"/>
      <c r="AH1030" s="1260"/>
      <c r="AI1030" s="1260"/>
      <c r="AJ1030" s="1260"/>
      <c r="AK1030" s="1260"/>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0"/>
      <c r="E1031" s="1260"/>
      <c r="F1031" s="1260"/>
      <c r="G1031" s="1260"/>
      <c r="H1031" s="1260"/>
      <c r="I1031" s="1260"/>
      <c r="J1031" s="1260"/>
      <c r="K1031" s="1260"/>
      <c r="L1031" s="1260"/>
      <c r="M1031" s="1260"/>
      <c r="N1031" s="1260"/>
      <c r="O1031" s="1260"/>
      <c r="P1031" s="1260"/>
      <c r="Q1031" s="1260"/>
      <c r="R1031" s="1260"/>
      <c r="S1031" s="1260"/>
      <c r="T1031" s="1260"/>
      <c r="U1031" s="1260"/>
      <c r="V1031" s="1260"/>
      <c r="W1031" s="1260"/>
      <c r="X1031" s="1260"/>
      <c r="Y1031" s="1260"/>
      <c r="Z1031" s="1260"/>
      <c r="AA1031" s="1260"/>
      <c r="AB1031" s="1260"/>
      <c r="AC1031" s="1260"/>
      <c r="AD1031" s="1260"/>
      <c r="AE1031" s="1260"/>
      <c r="AF1031" s="1260"/>
      <c r="AG1031" s="1260"/>
      <c r="AH1031" s="1260"/>
      <c r="AI1031" s="1260"/>
      <c r="AJ1031" s="1260"/>
      <c r="AK1031" s="1260"/>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0"/>
      <c r="E1032" s="1260"/>
      <c r="F1032" s="1260"/>
      <c r="G1032" s="1260"/>
      <c r="H1032" s="1260"/>
      <c r="I1032" s="1260"/>
      <c r="J1032" s="1260"/>
      <c r="K1032" s="1260"/>
      <c r="L1032" s="1260"/>
      <c r="M1032" s="1260"/>
      <c r="N1032" s="1260"/>
      <c r="O1032" s="1260"/>
      <c r="P1032" s="1260"/>
      <c r="Q1032" s="1260"/>
      <c r="R1032" s="1260"/>
      <c r="S1032" s="1260"/>
      <c r="T1032" s="1260"/>
      <c r="U1032" s="1260"/>
      <c r="V1032" s="1260"/>
      <c r="W1032" s="1260"/>
      <c r="X1032" s="1260"/>
      <c r="Y1032" s="1260"/>
      <c r="Z1032" s="1260"/>
      <c r="AA1032" s="1260"/>
      <c r="AB1032" s="1260"/>
      <c r="AC1032" s="1260"/>
      <c r="AD1032" s="1260"/>
      <c r="AE1032" s="1260"/>
      <c r="AF1032" s="1260"/>
      <c r="AG1032" s="1260"/>
      <c r="AH1032" s="1260"/>
      <c r="AI1032" s="1260"/>
      <c r="AJ1032" s="1260"/>
      <c r="AK1032" s="1260"/>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0"/>
      <c r="E1033" s="1260"/>
      <c r="F1033" s="1260"/>
      <c r="G1033" s="1260"/>
      <c r="H1033" s="1260"/>
      <c r="I1033" s="1260"/>
      <c r="J1033" s="1260"/>
      <c r="K1033" s="1260"/>
      <c r="L1033" s="1260"/>
      <c r="M1033" s="1260"/>
      <c r="N1033" s="1260"/>
      <c r="O1033" s="1260"/>
      <c r="P1033" s="1260"/>
      <c r="Q1033" s="1260"/>
      <c r="R1033" s="1260"/>
      <c r="S1033" s="1260"/>
      <c r="T1033" s="1260"/>
      <c r="U1033" s="1260"/>
      <c r="V1033" s="1260"/>
      <c r="W1033" s="1260"/>
      <c r="X1033" s="1260"/>
      <c r="Y1033" s="1260"/>
      <c r="Z1033" s="1260"/>
      <c r="AA1033" s="1260"/>
      <c r="AB1033" s="1260"/>
      <c r="AC1033" s="1260"/>
      <c r="AD1033" s="1260"/>
      <c r="AE1033" s="1260"/>
      <c r="AF1033" s="1260"/>
      <c r="AG1033" s="1260"/>
      <c r="AH1033" s="1260"/>
      <c r="AI1033" s="1260"/>
      <c r="AJ1033" s="1260"/>
      <c r="AK1033" s="1260"/>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0"/>
      <c r="E1034" s="1260"/>
      <c r="F1034" s="1260"/>
      <c r="G1034" s="1260"/>
      <c r="H1034" s="1260"/>
      <c r="I1034" s="1260"/>
      <c r="J1034" s="1260"/>
      <c r="K1034" s="1260"/>
      <c r="L1034" s="1260"/>
      <c r="M1034" s="1260"/>
      <c r="N1034" s="1260"/>
      <c r="O1034" s="1260"/>
      <c r="P1034" s="1260"/>
      <c r="Q1034" s="1260"/>
      <c r="R1034" s="1260"/>
      <c r="S1034" s="1260"/>
      <c r="T1034" s="1260"/>
      <c r="U1034" s="1260"/>
      <c r="V1034" s="1260"/>
      <c r="W1034" s="1260"/>
      <c r="X1034" s="1260"/>
      <c r="Y1034" s="1260"/>
      <c r="Z1034" s="1260"/>
      <c r="AA1034" s="1260"/>
      <c r="AB1034" s="1260"/>
      <c r="AC1034" s="1260"/>
      <c r="AD1034" s="1260"/>
      <c r="AE1034" s="1260"/>
      <c r="AF1034" s="1260"/>
      <c r="AG1034" s="1260"/>
      <c r="AH1034" s="1260"/>
      <c r="AI1034" s="1260"/>
      <c r="AJ1034" s="1260"/>
      <c r="AK1034" s="1260"/>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0"/>
      <c r="E1035" s="1260"/>
      <c r="F1035" s="1260"/>
      <c r="G1035" s="1260"/>
      <c r="H1035" s="1260"/>
      <c r="I1035" s="1260"/>
      <c r="J1035" s="1260"/>
      <c r="K1035" s="1260"/>
      <c r="L1035" s="1260"/>
      <c r="M1035" s="1260"/>
      <c r="N1035" s="1260"/>
      <c r="O1035" s="1260"/>
      <c r="P1035" s="1260"/>
      <c r="Q1035" s="1260"/>
      <c r="R1035" s="1260"/>
      <c r="S1035" s="1260"/>
      <c r="T1035" s="1260"/>
      <c r="U1035" s="1260"/>
      <c r="V1035" s="1260"/>
      <c r="W1035" s="1260"/>
      <c r="X1035" s="1260"/>
      <c r="Y1035" s="1260"/>
      <c r="Z1035" s="1260"/>
      <c r="AA1035" s="1260"/>
      <c r="AB1035" s="1260"/>
      <c r="AC1035" s="1260"/>
      <c r="AD1035" s="1260"/>
      <c r="AE1035" s="1260"/>
      <c r="AF1035" s="1260"/>
      <c r="AG1035" s="1260"/>
      <c r="AH1035" s="1260"/>
      <c r="AI1035" s="1260"/>
      <c r="AJ1035" s="1260"/>
      <c r="AK1035" s="1260"/>
      <c r="AL1035" s="68"/>
      <c r="AM1035" s="68"/>
      <c r="AN1035" s="68"/>
      <c r="AO1035" s="68"/>
      <c r="AP1035" s="68"/>
      <c r="AQ1035" s="68"/>
      <c r="AR1035" s="68"/>
      <c r="AS1035" s="68"/>
      <c r="AT1035" s="68"/>
      <c r="AU1035" s="68"/>
      <c r="AV1035" s="68"/>
      <c r="AW1035" s="68"/>
      <c r="AX1035" s="68"/>
      <c r="AY1035" s="68"/>
    </row>
    <row r="1036" spans="1:51" ht="12.95" customHeight="1">
      <c r="A1036" s="1373" t="s">
        <v>600</v>
      </c>
      <c r="B1036" s="1373"/>
      <c r="C1036" s="8">
        <v>2</v>
      </c>
      <c r="D1036" s="1260" t="s">
        <v>1169</v>
      </c>
      <c r="E1036" s="1260"/>
      <c r="F1036" s="1260"/>
      <c r="G1036" s="1260"/>
      <c r="H1036" s="1260"/>
      <c r="I1036" s="1260"/>
      <c r="J1036" s="1260"/>
      <c r="K1036" s="1260"/>
      <c r="L1036" s="1260"/>
      <c r="M1036" s="1260"/>
      <c r="N1036" s="1260"/>
      <c r="O1036" s="1260"/>
      <c r="P1036" s="1260"/>
      <c r="Q1036" s="1260"/>
      <c r="R1036" s="1260"/>
      <c r="S1036" s="1260"/>
      <c r="T1036" s="1260"/>
      <c r="U1036" s="1260"/>
      <c r="V1036" s="1260"/>
      <c r="W1036" s="1260"/>
      <c r="X1036" s="1260"/>
      <c r="Y1036" s="1260"/>
      <c r="Z1036" s="1260"/>
      <c r="AA1036" s="1260"/>
      <c r="AB1036" s="1260"/>
      <c r="AC1036" s="1260"/>
      <c r="AD1036" s="1260"/>
      <c r="AE1036" s="1260"/>
      <c r="AF1036" s="1260"/>
      <c r="AG1036" s="1260"/>
      <c r="AH1036" s="1260"/>
      <c r="AI1036" s="1260"/>
      <c r="AJ1036" s="1260"/>
      <c r="AK1036" s="1260"/>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0"/>
      <c r="E1037" s="1260"/>
      <c r="F1037" s="1260"/>
      <c r="G1037" s="1260"/>
      <c r="H1037" s="1260"/>
      <c r="I1037" s="1260"/>
      <c r="J1037" s="1260"/>
      <c r="K1037" s="1260"/>
      <c r="L1037" s="1260"/>
      <c r="M1037" s="1260"/>
      <c r="N1037" s="1260"/>
      <c r="O1037" s="1260"/>
      <c r="P1037" s="1260"/>
      <c r="Q1037" s="1260"/>
      <c r="R1037" s="1260"/>
      <c r="S1037" s="1260"/>
      <c r="T1037" s="1260"/>
      <c r="U1037" s="1260"/>
      <c r="V1037" s="1260"/>
      <c r="W1037" s="1260"/>
      <c r="X1037" s="1260"/>
      <c r="Y1037" s="1260"/>
      <c r="Z1037" s="1260"/>
      <c r="AA1037" s="1260"/>
      <c r="AB1037" s="1260"/>
      <c r="AC1037" s="1260"/>
      <c r="AD1037" s="1260"/>
      <c r="AE1037" s="1260"/>
      <c r="AF1037" s="1260"/>
      <c r="AG1037" s="1260"/>
      <c r="AH1037" s="1260"/>
      <c r="AI1037" s="1260"/>
      <c r="AJ1037" s="1260"/>
      <c r="AK1037" s="1260"/>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0"/>
      <c r="E1038" s="1260"/>
      <c r="F1038" s="1260"/>
      <c r="G1038" s="1260"/>
      <c r="H1038" s="1260"/>
      <c r="I1038" s="1260"/>
      <c r="J1038" s="1260"/>
      <c r="K1038" s="1260"/>
      <c r="L1038" s="1260"/>
      <c r="M1038" s="1260"/>
      <c r="N1038" s="1260"/>
      <c r="O1038" s="1260"/>
      <c r="P1038" s="1260"/>
      <c r="Q1038" s="1260"/>
      <c r="R1038" s="1260"/>
      <c r="S1038" s="1260"/>
      <c r="T1038" s="1260"/>
      <c r="U1038" s="1260"/>
      <c r="V1038" s="1260"/>
      <c r="W1038" s="1260"/>
      <c r="X1038" s="1260"/>
      <c r="Y1038" s="1260"/>
      <c r="Z1038" s="1260"/>
      <c r="AA1038" s="1260"/>
      <c r="AB1038" s="1260"/>
      <c r="AC1038" s="1260"/>
      <c r="AD1038" s="1260"/>
      <c r="AE1038" s="1260"/>
      <c r="AF1038" s="1260"/>
      <c r="AG1038" s="1260"/>
      <c r="AH1038" s="1260"/>
      <c r="AI1038" s="1260"/>
      <c r="AJ1038" s="1260"/>
      <c r="AK1038" s="1260"/>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0"/>
      <c r="E1039" s="1260"/>
      <c r="F1039" s="1260"/>
      <c r="G1039" s="1260"/>
      <c r="H1039" s="1260"/>
      <c r="I1039" s="1260"/>
      <c r="J1039" s="1260"/>
      <c r="K1039" s="1260"/>
      <c r="L1039" s="1260"/>
      <c r="M1039" s="1260"/>
      <c r="N1039" s="1260"/>
      <c r="O1039" s="1260"/>
      <c r="P1039" s="1260"/>
      <c r="Q1039" s="1260"/>
      <c r="R1039" s="1260"/>
      <c r="S1039" s="1260"/>
      <c r="T1039" s="1260"/>
      <c r="U1039" s="1260"/>
      <c r="V1039" s="1260"/>
      <c r="W1039" s="1260"/>
      <c r="X1039" s="1260"/>
      <c r="Y1039" s="1260"/>
      <c r="Z1039" s="1260"/>
      <c r="AA1039" s="1260"/>
      <c r="AB1039" s="1260"/>
      <c r="AC1039" s="1260"/>
      <c r="AD1039" s="1260"/>
      <c r="AE1039" s="1260"/>
      <c r="AF1039" s="1260"/>
      <c r="AG1039" s="1260"/>
      <c r="AH1039" s="1260"/>
      <c r="AI1039" s="1260"/>
      <c r="AJ1039" s="1260"/>
      <c r="AK1039" s="1260"/>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0"/>
      <c r="E1040" s="1260"/>
      <c r="F1040" s="1260"/>
      <c r="G1040" s="1260"/>
      <c r="H1040" s="1260"/>
      <c r="I1040" s="1260"/>
      <c r="J1040" s="1260"/>
      <c r="K1040" s="1260"/>
      <c r="L1040" s="1260"/>
      <c r="M1040" s="1260"/>
      <c r="N1040" s="1260"/>
      <c r="O1040" s="1260"/>
      <c r="P1040" s="1260"/>
      <c r="Q1040" s="1260"/>
      <c r="R1040" s="1260"/>
      <c r="S1040" s="1260"/>
      <c r="T1040" s="1260"/>
      <c r="U1040" s="1260"/>
      <c r="V1040" s="1260"/>
      <c r="W1040" s="1260"/>
      <c r="X1040" s="1260"/>
      <c r="Y1040" s="1260"/>
      <c r="Z1040" s="1260"/>
      <c r="AA1040" s="1260"/>
      <c r="AB1040" s="1260"/>
      <c r="AC1040" s="1260"/>
      <c r="AD1040" s="1260"/>
      <c r="AE1040" s="1260"/>
      <c r="AF1040" s="1260"/>
      <c r="AG1040" s="1260"/>
      <c r="AH1040" s="1260"/>
      <c r="AI1040" s="1260"/>
      <c r="AJ1040" s="1260"/>
      <c r="AK1040" s="1260"/>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0"/>
      <c r="E1041" s="1260"/>
      <c r="F1041" s="1260"/>
      <c r="G1041" s="1260"/>
      <c r="H1041" s="1260"/>
      <c r="I1041" s="1260"/>
      <c r="J1041" s="1260"/>
      <c r="K1041" s="1260"/>
      <c r="L1041" s="1260"/>
      <c r="M1041" s="1260"/>
      <c r="N1041" s="1260"/>
      <c r="O1041" s="1260"/>
      <c r="P1041" s="1260"/>
      <c r="Q1041" s="1260"/>
      <c r="R1041" s="1260"/>
      <c r="S1041" s="1260"/>
      <c r="T1041" s="1260"/>
      <c r="U1041" s="1260"/>
      <c r="V1041" s="1260"/>
      <c r="W1041" s="1260"/>
      <c r="X1041" s="1260"/>
      <c r="Y1041" s="1260"/>
      <c r="Z1041" s="1260"/>
      <c r="AA1041" s="1260"/>
      <c r="AB1041" s="1260"/>
      <c r="AC1041" s="1260"/>
      <c r="AD1041" s="1260"/>
      <c r="AE1041" s="1260"/>
      <c r="AF1041" s="1260"/>
      <c r="AG1041" s="1260"/>
      <c r="AH1041" s="1260"/>
      <c r="AI1041" s="1260"/>
      <c r="AJ1041" s="1260"/>
      <c r="AK1041" s="1260"/>
    </row>
    <row r="1042" spans="1:37" ht="12.95" customHeight="1">
      <c r="A1042" s="1373" t="s">
        <v>600</v>
      </c>
      <c r="B1042" s="1373"/>
      <c r="C1042" s="8">
        <v>3</v>
      </c>
      <c r="D1042" s="1260" t="s">
        <v>2560</v>
      </c>
      <c r="E1042" s="1260"/>
      <c r="F1042" s="1260"/>
      <c r="G1042" s="1260"/>
      <c r="H1042" s="1260"/>
      <c r="I1042" s="1260"/>
      <c r="J1042" s="1260"/>
      <c r="K1042" s="1260"/>
      <c r="L1042" s="1260"/>
      <c r="M1042" s="1260"/>
      <c r="N1042" s="1260"/>
      <c r="O1042" s="1260"/>
      <c r="P1042" s="1260"/>
      <c r="Q1042" s="1260"/>
      <c r="R1042" s="1260"/>
      <c r="S1042" s="1260"/>
      <c r="T1042" s="1260"/>
      <c r="U1042" s="1260"/>
      <c r="V1042" s="1260"/>
      <c r="W1042" s="1260"/>
      <c r="X1042" s="1260"/>
      <c r="Y1042" s="1260"/>
      <c r="Z1042" s="1260"/>
      <c r="AA1042" s="1260"/>
      <c r="AB1042" s="1260"/>
      <c r="AC1042" s="1260"/>
      <c r="AD1042" s="1260"/>
      <c r="AE1042" s="1260"/>
      <c r="AF1042" s="1260"/>
      <c r="AG1042" s="1260"/>
      <c r="AH1042" s="1260"/>
      <c r="AI1042" s="1260"/>
      <c r="AJ1042" s="1260"/>
      <c r="AK1042" s="1260"/>
    </row>
    <row r="1043" spans="1:37" ht="12.95" customHeight="1">
      <c r="A1043" s="4"/>
      <c r="B1043" s="4"/>
      <c r="C1043" s="8"/>
      <c r="D1043" s="1260"/>
      <c r="E1043" s="1260"/>
      <c r="F1043" s="1260"/>
      <c r="G1043" s="1260"/>
      <c r="H1043" s="1260"/>
      <c r="I1043" s="1260"/>
      <c r="J1043" s="1260"/>
      <c r="K1043" s="1260"/>
      <c r="L1043" s="1260"/>
      <c r="M1043" s="1260"/>
      <c r="N1043" s="1260"/>
      <c r="O1043" s="1260"/>
      <c r="P1043" s="1260"/>
      <c r="Q1043" s="1260"/>
      <c r="R1043" s="1260"/>
      <c r="S1043" s="1260"/>
      <c r="T1043" s="1260"/>
      <c r="U1043" s="1260"/>
      <c r="V1043" s="1260"/>
      <c r="W1043" s="1260"/>
      <c r="X1043" s="1260"/>
      <c r="Y1043" s="1260"/>
      <c r="Z1043" s="1260"/>
      <c r="AA1043" s="1260"/>
      <c r="AB1043" s="1260"/>
      <c r="AC1043" s="1260"/>
      <c r="AD1043" s="1260"/>
      <c r="AE1043" s="1260"/>
      <c r="AF1043" s="1260"/>
      <c r="AG1043" s="1260"/>
      <c r="AH1043" s="1260"/>
      <c r="AI1043" s="1260"/>
      <c r="AJ1043" s="1260"/>
      <c r="AK1043" s="1260"/>
    </row>
    <row r="1044" spans="1:37" ht="12.95" customHeight="1">
      <c r="A1044" s="4"/>
      <c r="B1044" s="4"/>
      <c r="C1044" s="8"/>
      <c r="D1044" s="1260"/>
      <c r="E1044" s="1260"/>
      <c r="F1044" s="1260"/>
      <c r="G1044" s="1260"/>
      <c r="H1044" s="1260"/>
      <c r="I1044" s="1260"/>
      <c r="J1044" s="1260"/>
      <c r="K1044" s="1260"/>
      <c r="L1044" s="1260"/>
      <c r="M1044" s="1260"/>
      <c r="N1044" s="1260"/>
      <c r="O1044" s="1260"/>
      <c r="P1044" s="1260"/>
      <c r="Q1044" s="1260"/>
      <c r="R1044" s="1260"/>
      <c r="S1044" s="1260"/>
      <c r="T1044" s="1260"/>
      <c r="U1044" s="1260"/>
      <c r="V1044" s="1260"/>
      <c r="W1044" s="1260"/>
      <c r="X1044" s="1260"/>
      <c r="Y1044" s="1260"/>
      <c r="Z1044" s="1260"/>
      <c r="AA1044" s="1260"/>
      <c r="AB1044" s="1260"/>
      <c r="AC1044" s="1260"/>
      <c r="AD1044" s="1260"/>
      <c r="AE1044" s="1260"/>
      <c r="AF1044" s="1260"/>
      <c r="AG1044" s="1260"/>
      <c r="AH1044" s="1260"/>
      <c r="AI1044" s="1260"/>
      <c r="AJ1044" s="1260"/>
      <c r="AK1044" s="1260"/>
    </row>
    <row r="1045" spans="1:37" ht="12.95" customHeight="1">
      <c r="A1045" s="35"/>
      <c r="B1045" s="25"/>
      <c r="C1045" s="8"/>
      <c r="D1045" s="1260"/>
      <c r="E1045" s="1260"/>
      <c r="F1045" s="1260"/>
      <c r="G1045" s="1260"/>
      <c r="H1045" s="1260"/>
      <c r="I1045" s="1260"/>
      <c r="J1045" s="1260"/>
      <c r="K1045" s="1260"/>
      <c r="L1045" s="1260"/>
      <c r="M1045" s="1260"/>
      <c r="N1045" s="1260"/>
      <c r="O1045" s="1260"/>
      <c r="P1045" s="1260"/>
      <c r="Q1045" s="1260"/>
      <c r="R1045" s="1260"/>
      <c r="S1045" s="1260"/>
      <c r="T1045" s="1260"/>
      <c r="U1045" s="1260"/>
      <c r="V1045" s="1260"/>
      <c r="W1045" s="1260"/>
      <c r="X1045" s="1260"/>
      <c r="Y1045" s="1260"/>
      <c r="Z1045" s="1260"/>
      <c r="AA1045" s="1260"/>
      <c r="AB1045" s="1260"/>
      <c r="AC1045" s="1260"/>
      <c r="AD1045" s="1260"/>
      <c r="AE1045" s="1260"/>
      <c r="AF1045" s="1260"/>
      <c r="AG1045" s="1260"/>
      <c r="AH1045" s="1260"/>
      <c r="AI1045" s="1260"/>
      <c r="AJ1045" s="1260"/>
      <c r="AK1045" s="1260"/>
    </row>
    <row r="1046" spans="1:37" ht="12.95" customHeight="1">
      <c r="A1046" s="35"/>
      <c r="B1046" s="25"/>
      <c r="C1046" s="8"/>
      <c r="D1046" s="1260"/>
      <c r="E1046" s="1260"/>
      <c r="F1046" s="1260"/>
      <c r="G1046" s="1260"/>
      <c r="H1046" s="1260"/>
      <c r="I1046" s="1260"/>
      <c r="J1046" s="1260"/>
      <c r="K1046" s="1260"/>
      <c r="L1046" s="1260"/>
      <c r="M1046" s="1260"/>
      <c r="N1046" s="1260"/>
      <c r="O1046" s="1260"/>
      <c r="P1046" s="1260"/>
      <c r="Q1046" s="1260"/>
      <c r="R1046" s="1260"/>
      <c r="S1046" s="1260"/>
      <c r="T1046" s="1260"/>
      <c r="U1046" s="1260"/>
      <c r="V1046" s="1260"/>
      <c r="W1046" s="1260"/>
      <c r="X1046" s="1260"/>
      <c r="Y1046" s="1260"/>
      <c r="Z1046" s="1260"/>
      <c r="AA1046" s="1260"/>
      <c r="AB1046" s="1260"/>
      <c r="AC1046" s="1260"/>
      <c r="AD1046" s="1260"/>
      <c r="AE1046" s="1260"/>
      <c r="AF1046" s="1260"/>
      <c r="AG1046" s="1260"/>
      <c r="AH1046" s="1260"/>
      <c r="AI1046" s="1260"/>
      <c r="AJ1046" s="1260"/>
      <c r="AK1046" s="1260"/>
    </row>
    <row r="1047" spans="1:37" ht="12.95" customHeight="1">
      <c r="A1047" s="35"/>
      <c r="B1047" s="25"/>
      <c r="C1047" s="8"/>
      <c r="D1047" s="1260"/>
      <c r="E1047" s="1260"/>
      <c r="F1047" s="1260"/>
      <c r="G1047" s="1260"/>
      <c r="H1047" s="1260"/>
      <c r="I1047" s="1260"/>
      <c r="J1047" s="1260"/>
      <c r="K1047" s="1260"/>
      <c r="L1047" s="1260"/>
      <c r="M1047" s="1260"/>
      <c r="N1047" s="1260"/>
      <c r="O1047" s="1260"/>
      <c r="P1047" s="1260"/>
      <c r="Q1047" s="1260"/>
      <c r="R1047" s="1260"/>
      <c r="S1047" s="1260"/>
      <c r="T1047" s="1260"/>
      <c r="U1047" s="1260"/>
      <c r="V1047" s="1260"/>
      <c r="W1047" s="1260"/>
      <c r="X1047" s="1260"/>
      <c r="Y1047" s="1260"/>
      <c r="Z1047" s="1260"/>
      <c r="AA1047" s="1260"/>
      <c r="AB1047" s="1260"/>
      <c r="AC1047" s="1260"/>
      <c r="AD1047" s="1260"/>
      <c r="AE1047" s="1260"/>
      <c r="AF1047" s="1260"/>
      <c r="AG1047" s="1260"/>
      <c r="AH1047" s="1260"/>
      <c r="AI1047" s="1260"/>
      <c r="AJ1047" s="1260"/>
      <c r="AK1047" s="1260"/>
    </row>
    <row r="1048" spans="1:37" ht="12.95" customHeight="1">
      <c r="A1048" s="35"/>
      <c r="B1048" s="25"/>
      <c r="C1048" s="8"/>
      <c r="D1048" s="1260"/>
      <c r="E1048" s="1260"/>
      <c r="F1048" s="1260"/>
      <c r="G1048" s="1260"/>
      <c r="H1048" s="1260"/>
      <c r="I1048" s="1260"/>
      <c r="J1048" s="1260"/>
      <c r="K1048" s="1260"/>
      <c r="L1048" s="1260"/>
      <c r="M1048" s="1260"/>
      <c r="N1048" s="1260"/>
      <c r="O1048" s="1260"/>
      <c r="P1048" s="1260"/>
      <c r="Q1048" s="1260"/>
      <c r="R1048" s="1260"/>
      <c r="S1048" s="1260"/>
      <c r="T1048" s="1260"/>
      <c r="U1048" s="1260"/>
      <c r="V1048" s="1260"/>
      <c r="W1048" s="1260"/>
      <c r="X1048" s="1260"/>
      <c r="Y1048" s="1260"/>
      <c r="Z1048" s="1260"/>
      <c r="AA1048" s="1260"/>
      <c r="AB1048" s="1260"/>
      <c r="AC1048" s="1260"/>
      <c r="AD1048" s="1260"/>
      <c r="AE1048" s="1260"/>
      <c r="AF1048" s="1260"/>
      <c r="AG1048" s="1260"/>
      <c r="AH1048" s="1260"/>
      <c r="AI1048" s="1260"/>
      <c r="AJ1048" s="1260"/>
      <c r="AK1048" s="1260"/>
    </row>
    <row r="1049" spans="1:37" ht="12.95" customHeight="1">
      <c r="A1049" s="1373" t="s">
        <v>600</v>
      </c>
      <c r="B1049" s="1373"/>
      <c r="C1049" s="8">
        <v>4</v>
      </c>
      <c r="D1049" s="1260" t="s">
        <v>1155</v>
      </c>
      <c r="E1049" s="1260"/>
      <c r="F1049" s="1260"/>
      <c r="G1049" s="1260"/>
      <c r="H1049" s="1260"/>
      <c r="I1049" s="1260"/>
      <c r="J1049" s="1260"/>
      <c r="K1049" s="1260"/>
      <c r="L1049" s="1260"/>
      <c r="M1049" s="1260"/>
      <c r="N1049" s="1260"/>
      <c r="O1049" s="1260"/>
      <c r="P1049" s="1260"/>
      <c r="Q1049" s="1260"/>
      <c r="R1049" s="1260"/>
      <c r="S1049" s="1260"/>
      <c r="T1049" s="1260"/>
      <c r="U1049" s="1260"/>
      <c r="V1049" s="1260"/>
      <c r="W1049" s="1260"/>
      <c r="X1049" s="1260"/>
      <c r="Y1049" s="1260"/>
      <c r="Z1049" s="1260"/>
      <c r="AA1049" s="1260"/>
      <c r="AB1049" s="1260"/>
      <c r="AC1049" s="1260"/>
      <c r="AD1049" s="1260"/>
      <c r="AE1049" s="1260"/>
      <c r="AF1049" s="1260"/>
      <c r="AG1049" s="1260"/>
      <c r="AH1049" s="1260"/>
      <c r="AI1049" s="1260"/>
      <c r="AJ1049" s="1260"/>
      <c r="AK1049" s="1260"/>
    </row>
    <row r="1050" spans="1:37" ht="12.95" customHeight="1">
      <c r="A1050" s="1"/>
      <c r="B1050" s="1"/>
      <c r="C1050" s="8"/>
      <c r="D1050" s="1260"/>
      <c r="E1050" s="1260"/>
      <c r="F1050" s="1260"/>
      <c r="G1050" s="1260"/>
      <c r="H1050" s="1260"/>
      <c r="I1050" s="1260"/>
      <c r="J1050" s="1260"/>
      <c r="K1050" s="1260"/>
      <c r="L1050" s="1260"/>
      <c r="M1050" s="1260"/>
      <c r="N1050" s="1260"/>
      <c r="O1050" s="1260"/>
      <c r="P1050" s="1260"/>
      <c r="Q1050" s="1260"/>
      <c r="R1050" s="1260"/>
      <c r="S1050" s="1260"/>
      <c r="T1050" s="1260"/>
      <c r="U1050" s="1260"/>
      <c r="V1050" s="1260"/>
      <c r="W1050" s="1260"/>
      <c r="X1050" s="1260"/>
      <c r="Y1050" s="1260"/>
      <c r="Z1050" s="1260"/>
      <c r="AA1050" s="1260"/>
      <c r="AB1050" s="1260"/>
      <c r="AC1050" s="1260"/>
      <c r="AD1050" s="1260"/>
      <c r="AE1050" s="1260"/>
      <c r="AF1050" s="1260"/>
      <c r="AG1050" s="1260"/>
      <c r="AH1050" s="1260"/>
      <c r="AI1050" s="1260"/>
      <c r="AJ1050" s="1260"/>
      <c r="AK1050" s="1260"/>
    </row>
    <row r="1051" spans="1:37" ht="12.95" customHeight="1">
      <c r="A1051" s="35"/>
      <c r="B1051" s="25"/>
      <c r="C1051" s="8"/>
      <c r="D1051" s="1260"/>
      <c r="E1051" s="1260"/>
      <c r="F1051" s="1260"/>
      <c r="G1051" s="1260"/>
      <c r="H1051" s="1260"/>
      <c r="I1051" s="1260"/>
      <c r="J1051" s="1260"/>
      <c r="K1051" s="1260"/>
      <c r="L1051" s="1260"/>
      <c r="M1051" s="1260"/>
      <c r="N1051" s="1260"/>
      <c r="O1051" s="1260"/>
      <c r="P1051" s="1260"/>
      <c r="Q1051" s="1260"/>
      <c r="R1051" s="1260"/>
      <c r="S1051" s="1260"/>
      <c r="T1051" s="1260"/>
      <c r="U1051" s="1260"/>
      <c r="V1051" s="1260"/>
      <c r="W1051" s="1260"/>
      <c r="X1051" s="1260"/>
      <c r="Y1051" s="1260"/>
      <c r="Z1051" s="1260"/>
      <c r="AA1051" s="1260"/>
      <c r="AB1051" s="1260"/>
      <c r="AC1051" s="1260"/>
      <c r="AD1051" s="1260"/>
      <c r="AE1051" s="1260"/>
      <c r="AF1051" s="1260"/>
      <c r="AG1051" s="1260"/>
      <c r="AH1051" s="1260"/>
      <c r="AI1051" s="1260"/>
      <c r="AJ1051" s="1260"/>
      <c r="AK1051" s="1260"/>
    </row>
    <row r="1052" spans="1:37" ht="12.95" customHeight="1">
      <c r="A1052" s="1373" t="s">
        <v>600</v>
      </c>
      <c r="B1052" s="1373"/>
      <c r="C1052" s="8">
        <v>5</v>
      </c>
      <c r="D1052" s="1260" t="s">
        <v>2561</v>
      </c>
      <c r="E1052" s="1260"/>
      <c r="F1052" s="1260"/>
      <c r="G1052" s="1260"/>
      <c r="H1052" s="1260"/>
      <c r="I1052" s="1260"/>
      <c r="J1052" s="1260"/>
      <c r="K1052" s="1260"/>
      <c r="L1052" s="1260"/>
      <c r="M1052" s="1260"/>
      <c r="N1052" s="1260"/>
      <c r="O1052" s="1260"/>
      <c r="P1052" s="1260"/>
      <c r="Q1052" s="1260"/>
      <c r="R1052" s="1260"/>
      <c r="S1052" s="1260"/>
      <c r="T1052" s="1260"/>
      <c r="U1052" s="1260"/>
      <c r="V1052" s="1260"/>
      <c r="W1052" s="1260"/>
      <c r="X1052" s="1260"/>
      <c r="Y1052" s="1260"/>
      <c r="Z1052" s="1260"/>
      <c r="AA1052" s="1260"/>
      <c r="AB1052" s="1260"/>
      <c r="AC1052" s="1260"/>
      <c r="AD1052" s="1260"/>
      <c r="AE1052" s="1260"/>
      <c r="AF1052" s="1260"/>
      <c r="AG1052" s="1260"/>
      <c r="AH1052" s="1260"/>
      <c r="AI1052" s="1260"/>
      <c r="AJ1052" s="1260"/>
      <c r="AK1052" s="1260"/>
    </row>
    <row r="1053" spans="1:37" ht="12.95" customHeight="1">
      <c r="A1053" s="1"/>
      <c r="B1053" s="1"/>
      <c r="C1053" s="8"/>
      <c r="D1053" s="1260"/>
      <c r="E1053" s="1260"/>
      <c r="F1053" s="1260"/>
      <c r="G1053" s="1260"/>
      <c r="H1053" s="1260"/>
      <c r="I1053" s="1260"/>
      <c r="J1053" s="1260"/>
      <c r="K1053" s="1260"/>
      <c r="L1053" s="1260"/>
      <c r="M1053" s="1260"/>
      <c r="N1053" s="1260"/>
      <c r="O1053" s="1260"/>
      <c r="P1053" s="1260"/>
      <c r="Q1053" s="1260"/>
      <c r="R1053" s="1260"/>
      <c r="S1053" s="1260"/>
      <c r="T1053" s="1260"/>
      <c r="U1053" s="1260"/>
      <c r="V1053" s="1260"/>
      <c r="W1053" s="1260"/>
      <c r="X1053" s="1260"/>
      <c r="Y1053" s="1260"/>
      <c r="Z1053" s="1260"/>
      <c r="AA1053" s="1260"/>
      <c r="AB1053" s="1260"/>
      <c r="AC1053" s="1260"/>
      <c r="AD1053" s="1260"/>
      <c r="AE1053" s="1260"/>
      <c r="AF1053" s="1260"/>
      <c r="AG1053" s="1260"/>
      <c r="AH1053" s="1260"/>
      <c r="AI1053" s="1260"/>
      <c r="AJ1053" s="1260"/>
      <c r="AK1053" s="1260"/>
    </row>
    <row r="1054" spans="1:37" ht="12.95" customHeight="1">
      <c r="A1054" s="1"/>
      <c r="B1054" s="1"/>
      <c r="C1054" s="8"/>
      <c r="D1054" s="1260"/>
      <c r="E1054" s="1260"/>
      <c r="F1054" s="1260"/>
      <c r="G1054" s="1260"/>
      <c r="H1054" s="1260"/>
      <c r="I1054" s="1260"/>
      <c r="J1054" s="1260"/>
      <c r="K1054" s="1260"/>
      <c r="L1054" s="1260"/>
      <c r="M1054" s="1260"/>
      <c r="N1054" s="1260"/>
      <c r="O1054" s="1260"/>
      <c r="P1054" s="1260"/>
      <c r="Q1054" s="1260"/>
      <c r="R1054" s="1260"/>
      <c r="S1054" s="1260"/>
      <c r="T1054" s="1260"/>
      <c r="U1054" s="1260"/>
      <c r="V1054" s="1260"/>
      <c r="W1054" s="1260"/>
      <c r="X1054" s="1260"/>
      <c r="Y1054" s="1260"/>
      <c r="Z1054" s="1260"/>
      <c r="AA1054" s="1260"/>
      <c r="AB1054" s="1260"/>
      <c r="AC1054" s="1260"/>
      <c r="AD1054" s="1260"/>
      <c r="AE1054" s="1260"/>
      <c r="AF1054" s="1260"/>
      <c r="AG1054" s="1260"/>
      <c r="AH1054" s="1260"/>
      <c r="AI1054" s="1260"/>
      <c r="AJ1054" s="1260"/>
      <c r="AK1054" s="1260"/>
    </row>
    <row r="1055" spans="1:37" ht="12.95" hidden="1" customHeight="1">
      <c r="A1055" s="1"/>
      <c r="B1055" s="1"/>
      <c r="C1055" s="8"/>
      <c r="D1055" s="1260"/>
      <c r="E1055" s="1260"/>
      <c r="F1055" s="1260"/>
      <c r="G1055" s="1260"/>
      <c r="H1055" s="1260"/>
      <c r="I1055" s="1260"/>
      <c r="J1055" s="1260"/>
      <c r="K1055" s="1260"/>
      <c r="L1055" s="1260"/>
      <c r="M1055" s="1260"/>
      <c r="N1055" s="1260"/>
      <c r="O1055" s="1260"/>
      <c r="P1055" s="1260"/>
      <c r="Q1055" s="1260"/>
      <c r="R1055" s="1260"/>
      <c r="S1055" s="1260"/>
      <c r="T1055" s="1260"/>
      <c r="U1055" s="1260"/>
      <c r="V1055" s="1260"/>
      <c r="W1055" s="1260"/>
      <c r="X1055" s="1260"/>
      <c r="Y1055" s="1260"/>
      <c r="Z1055" s="1260"/>
      <c r="AA1055" s="1260"/>
      <c r="AB1055" s="1260"/>
      <c r="AC1055" s="1260"/>
      <c r="AD1055" s="1260"/>
      <c r="AE1055" s="1260"/>
      <c r="AF1055" s="1260"/>
      <c r="AG1055" s="1260"/>
      <c r="AH1055" s="1260"/>
      <c r="AI1055" s="1260"/>
      <c r="AJ1055" s="1260"/>
      <c r="AK1055" s="1260"/>
    </row>
    <row r="1056" spans="1:37" ht="12.95" customHeight="1">
      <c r="A1056" s="35"/>
      <c r="B1056" s="25"/>
      <c r="C1056" s="8"/>
      <c r="D1056" s="1260"/>
      <c r="E1056" s="1260"/>
      <c r="F1056" s="1260"/>
      <c r="G1056" s="1260"/>
      <c r="H1056" s="1260"/>
      <c r="I1056" s="1260"/>
      <c r="J1056" s="1260"/>
      <c r="K1056" s="1260"/>
      <c r="L1056" s="1260"/>
      <c r="M1056" s="1260"/>
      <c r="N1056" s="1260"/>
      <c r="O1056" s="1260"/>
      <c r="P1056" s="1260"/>
      <c r="Q1056" s="1260"/>
      <c r="R1056" s="1260"/>
      <c r="S1056" s="1260"/>
      <c r="T1056" s="1260"/>
      <c r="U1056" s="1260"/>
      <c r="V1056" s="1260"/>
      <c r="W1056" s="1260"/>
      <c r="X1056" s="1260"/>
      <c r="Y1056" s="1260"/>
      <c r="Z1056" s="1260"/>
      <c r="AA1056" s="1260"/>
      <c r="AB1056" s="1260"/>
      <c r="AC1056" s="1260"/>
      <c r="AD1056" s="1260"/>
      <c r="AE1056" s="1260"/>
      <c r="AF1056" s="1260"/>
      <c r="AG1056" s="1260"/>
      <c r="AH1056" s="1260"/>
      <c r="AI1056" s="1260"/>
      <c r="AJ1056" s="1260"/>
      <c r="AK1056" s="1260"/>
    </row>
    <row r="1057" spans="1:37" ht="12.95" customHeight="1">
      <c r="A1057" s="1373" t="s">
        <v>600</v>
      </c>
      <c r="B1057" s="1373"/>
      <c r="C1057" s="8">
        <v>6</v>
      </c>
      <c r="D1057" s="1260" t="s">
        <v>1156</v>
      </c>
      <c r="E1057" s="1260"/>
      <c r="F1057" s="1260"/>
      <c r="G1057" s="1260"/>
      <c r="H1057" s="1260"/>
      <c r="I1057" s="1260"/>
      <c r="J1057" s="1260"/>
      <c r="K1057" s="1260"/>
      <c r="L1057" s="1260"/>
      <c r="M1057" s="1260"/>
      <c r="N1057" s="1260"/>
      <c r="O1057" s="1260"/>
      <c r="P1057" s="1260"/>
      <c r="Q1057" s="1260"/>
      <c r="R1057" s="1260"/>
      <c r="S1057" s="1260"/>
      <c r="T1057" s="1260"/>
      <c r="U1057" s="1260"/>
      <c r="V1057" s="1260"/>
      <c r="W1057" s="1260"/>
      <c r="X1057" s="1260"/>
      <c r="Y1057" s="1260"/>
      <c r="Z1057" s="1260"/>
      <c r="AA1057" s="1260"/>
      <c r="AB1057" s="1260"/>
      <c r="AC1057" s="1260"/>
      <c r="AD1057" s="1260"/>
      <c r="AE1057" s="1260"/>
      <c r="AF1057" s="1260"/>
      <c r="AG1057" s="1260"/>
      <c r="AH1057" s="1260"/>
      <c r="AI1057" s="1260"/>
      <c r="AJ1057" s="1260"/>
      <c r="AK1057" s="1260"/>
    </row>
    <row r="1058" spans="1:37" ht="12.95" customHeight="1">
      <c r="A1058" s="35"/>
      <c r="B1058" s="25"/>
      <c r="C1058" s="8"/>
      <c r="D1058" s="1260"/>
      <c r="E1058" s="1260"/>
      <c r="F1058" s="1260"/>
      <c r="G1058" s="1260"/>
      <c r="H1058" s="1260"/>
      <c r="I1058" s="1260"/>
      <c r="J1058" s="1260"/>
      <c r="K1058" s="1260"/>
      <c r="L1058" s="1260"/>
      <c r="M1058" s="1260"/>
      <c r="N1058" s="1260"/>
      <c r="O1058" s="1260"/>
      <c r="P1058" s="1260"/>
      <c r="Q1058" s="1260"/>
      <c r="R1058" s="1260"/>
      <c r="S1058" s="1260"/>
      <c r="T1058" s="1260"/>
      <c r="U1058" s="1260"/>
      <c r="V1058" s="1260"/>
      <c r="W1058" s="1260"/>
      <c r="X1058" s="1260"/>
      <c r="Y1058" s="1260"/>
      <c r="Z1058" s="1260"/>
      <c r="AA1058" s="1260"/>
      <c r="AB1058" s="1260"/>
      <c r="AC1058" s="1260"/>
      <c r="AD1058" s="1260"/>
      <c r="AE1058" s="1260"/>
      <c r="AF1058" s="1260"/>
      <c r="AG1058" s="1260"/>
      <c r="AH1058" s="1260"/>
      <c r="AI1058" s="1260"/>
      <c r="AJ1058" s="1260"/>
      <c r="AK1058" s="1260"/>
    </row>
    <row r="1059" spans="1:37" ht="12.95" customHeight="1">
      <c r="A1059" s="35"/>
      <c r="B1059" s="25"/>
      <c r="C1059" s="8"/>
      <c r="D1059" s="1260"/>
      <c r="E1059" s="1260"/>
      <c r="F1059" s="1260"/>
      <c r="G1059" s="1260"/>
      <c r="H1059" s="1260"/>
      <c r="I1059" s="1260"/>
      <c r="J1059" s="1260"/>
      <c r="K1059" s="1260"/>
      <c r="L1059" s="1260"/>
      <c r="M1059" s="1260"/>
      <c r="N1059" s="1260"/>
      <c r="O1059" s="1260"/>
      <c r="P1059" s="1260"/>
      <c r="Q1059" s="1260"/>
      <c r="R1059" s="1260"/>
      <c r="S1059" s="1260"/>
      <c r="T1059" s="1260"/>
      <c r="U1059" s="1260"/>
      <c r="V1059" s="1260"/>
      <c r="W1059" s="1260"/>
      <c r="X1059" s="1260"/>
      <c r="Y1059" s="1260"/>
      <c r="Z1059" s="1260"/>
      <c r="AA1059" s="1260"/>
      <c r="AB1059" s="1260"/>
      <c r="AC1059" s="1260"/>
      <c r="AD1059" s="1260"/>
      <c r="AE1059" s="1260"/>
      <c r="AF1059" s="1260"/>
      <c r="AG1059" s="1260"/>
      <c r="AH1059" s="1260"/>
      <c r="AI1059" s="1260"/>
      <c r="AJ1059" s="1260"/>
      <c r="AK1059" s="1260"/>
    </row>
    <row r="1060" spans="1:37" ht="12.95" customHeight="1">
      <c r="A1060" s="1373" t="s">
        <v>600</v>
      </c>
      <c r="B1060" s="1373"/>
      <c r="C1060" s="212">
        <v>7</v>
      </c>
      <c r="D1060" s="1260" t="s">
        <v>1158</v>
      </c>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row>
    <row r="1061" spans="1:37" ht="12.95" customHeight="1">
      <c r="A1061" s="1"/>
      <c r="B1061" s="1"/>
      <c r="C1061" s="212"/>
      <c r="D1061" s="1260"/>
      <c r="E1061" s="1260"/>
      <c r="F1061" s="1260"/>
      <c r="G1061" s="1260"/>
      <c r="H1061" s="1260"/>
      <c r="I1061" s="1260"/>
      <c r="J1061" s="1260"/>
      <c r="K1061" s="1260"/>
      <c r="L1061" s="1260"/>
      <c r="M1061" s="1260"/>
      <c r="N1061" s="1260"/>
      <c r="O1061" s="1260"/>
      <c r="P1061" s="1260"/>
      <c r="Q1061" s="1260"/>
      <c r="R1061" s="1260"/>
      <c r="S1061" s="1260"/>
      <c r="T1061" s="1260"/>
      <c r="U1061" s="1260"/>
      <c r="V1061" s="1260"/>
      <c r="W1061" s="1260"/>
      <c r="X1061" s="1260"/>
      <c r="Y1061" s="1260"/>
      <c r="Z1061" s="1260"/>
      <c r="AA1061" s="1260"/>
      <c r="AB1061" s="1260"/>
      <c r="AC1061" s="1260"/>
      <c r="AD1061" s="1260"/>
      <c r="AE1061" s="1260"/>
      <c r="AF1061" s="1260"/>
      <c r="AG1061" s="1260"/>
      <c r="AH1061" s="1260"/>
      <c r="AI1061" s="1260"/>
      <c r="AJ1061" s="1260"/>
      <c r="AK1061" s="1260"/>
    </row>
    <row r="1062" spans="1:37" ht="12.95" customHeight="1">
      <c r="A1062" s="1"/>
      <c r="B1062" s="1"/>
      <c r="C1062" s="212"/>
      <c r="D1062" s="1260"/>
      <c r="E1062" s="1260"/>
      <c r="F1062" s="1260"/>
      <c r="G1062" s="1260"/>
      <c r="H1062" s="1260"/>
      <c r="I1062" s="1260"/>
      <c r="J1062" s="1260"/>
      <c r="K1062" s="1260"/>
      <c r="L1062" s="1260"/>
      <c r="M1062" s="1260"/>
      <c r="N1062" s="1260"/>
      <c r="O1062" s="1260"/>
      <c r="P1062" s="1260"/>
      <c r="Q1062" s="1260"/>
      <c r="R1062" s="1260"/>
      <c r="S1062" s="1260"/>
      <c r="T1062" s="1260"/>
      <c r="U1062" s="1260"/>
      <c r="V1062" s="1260"/>
      <c r="W1062" s="1260"/>
      <c r="X1062" s="1260"/>
      <c r="Y1062" s="1260"/>
      <c r="Z1062" s="1260"/>
      <c r="AA1062" s="1260"/>
      <c r="AB1062" s="1260"/>
      <c r="AC1062" s="1260"/>
      <c r="AD1062" s="1260"/>
      <c r="AE1062" s="1260"/>
      <c r="AF1062" s="1260"/>
      <c r="AG1062" s="1260"/>
      <c r="AH1062" s="1260"/>
      <c r="AI1062" s="1260"/>
      <c r="AJ1062" s="1260"/>
      <c r="AK1062" s="1260"/>
    </row>
    <row r="1063" spans="1:37" ht="12.95" customHeight="1">
      <c r="A1063" s="35"/>
      <c r="B1063" s="25"/>
      <c r="C1063" s="212"/>
      <c r="D1063" s="1260"/>
      <c r="E1063" s="1260"/>
      <c r="F1063" s="1260"/>
      <c r="G1063" s="1260"/>
      <c r="H1063" s="1260"/>
      <c r="I1063" s="1260"/>
      <c r="J1063" s="1260"/>
      <c r="K1063" s="1260"/>
      <c r="L1063" s="1260"/>
      <c r="M1063" s="1260"/>
      <c r="N1063" s="1260"/>
      <c r="O1063" s="1260"/>
      <c r="P1063" s="1260"/>
      <c r="Q1063" s="1260"/>
      <c r="R1063" s="1260"/>
      <c r="S1063" s="1260"/>
      <c r="T1063" s="1260"/>
      <c r="U1063" s="1260"/>
      <c r="V1063" s="1260"/>
      <c r="W1063" s="1260"/>
      <c r="X1063" s="1260"/>
      <c r="Y1063" s="1260"/>
      <c r="Z1063" s="1260"/>
      <c r="AA1063" s="1260"/>
      <c r="AB1063" s="1260"/>
      <c r="AC1063" s="1260"/>
      <c r="AD1063" s="1260"/>
      <c r="AE1063" s="1260"/>
      <c r="AF1063" s="1260"/>
      <c r="AG1063" s="1260"/>
      <c r="AH1063" s="1260"/>
      <c r="AI1063" s="1260"/>
      <c r="AJ1063" s="1260"/>
      <c r="AK1063" s="1260"/>
    </row>
    <row r="1064" spans="1:37" ht="12.95" customHeight="1">
      <c r="A1064" s="1373" t="s">
        <v>600</v>
      </c>
      <c r="B1064" s="1373"/>
      <c r="C1064" s="212">
        <v>8</v>
      </c>
      <c r="D1064" s="1344" t="s">
        <v>1942</v>
      </c>
      <c r="E1064" s="1344"/>
      <c r="F1064" s="1344"/>
      <c r="G1064" s="1344"/>
      <c r="H1064" s="1344"/>
      <c r="I1064" s="1344"/>
      <c r="J1064" s="1344"/>
      <c r="K1064" s="1344"/>
      <c r="L1064" s="1344"/>
      <c r="M1064" s="1344"/>
      <c r="N1064" s="1344"/>
      <c r="O1064" s="1344"/>
      <c r="P1064" s="1344"/>
      <c r="Q1064" s="1344"/>
      <c r="R1064" s="1344"/>
      <c r="S1064" s="1344"/>
      <c r="T1064" s="1344"/>
      <c r="U1064" s="1344"/>
      <c r="V1064" s="1344"/>
      <c r="W1064" s="1344"/>
      <c r="X1064" s="1344"/>
      <c r="Y1064" s="1344"/>
      <c r="Z1064" s="1344"/>
      <c r="AA1064" s="1344"/>
      <c r="AB1064" s="1344"/>
      <c r="AC1064" s="1344"/>
      <c r="AD1064" s="1344"/>
      <c r="AE1064" s="1344"/>
      <c r="AF1064" s="1344"/>
      <c r="AG1064" s="1344"/>
      <c r="AH1064" s="1344"/>
      <c r="AI1064" s="1344"/>
      <c r="AJ1064" s="1344"/>
      <c r="AK1064" s="1344"/>
    </row>
    <row r="1065" spans="1:37" ht="12.95" customHeight="1">
      <c r="A1065" s="1"/>
      <c r="B1065" s="1"/>
      <c r="C1065" s="212"/>
      <c r="D1065" s="1344"/>
      <c r="E1065" s="1344"/>
      <c r="F1065" s="1344"/>
      <c r="G1065" s="1344"/>
      <c r="H1065" s="1344"/>
      <c r="I1065" s="1344"/>
      <c r="J1065" s="1344"/>
      <c r="K1065" s="1344"/>
      <c r="L1065" s="1344"/>
      <c r="M1065" s="1344"/>
      <c r="N1065" s="1344"/>
      <c r="O1065" s="1344"/>
      <c r="P1065" s="1344"/>
      <c r="Q1065" s="1344"/>
      <c r="R1065" s="1344"/>
      <c r="S1065" s="1344"/>
      <c r="T1065" s="1344"/>
      <c r="U1065" s="1344"/>
      <c r="V1065" s="1344"/>
      <c r="W1065" s="1344"/>
      <c r="X1065" s="1344"/>
      <c r="Y1065" s="1344"/>
      <c r="Z1065" s="1344"/>
      <c r="AA1065" s="1344"/>
      <c r="AB1065" s="1344"/>
      <c r="AC1065" s="1344"/>
      <c r="AD1065" s="1344"/>
      <c r="AE1065" s="1344"/>
      <c r="AF1065" s="1344"/>
      <c r="AG1065" s="1344"/>
      <c r="AH1065" s="1344"/>
      <c r="AI1065" s="1344"/>
      <c r="AJ1065" s="1344"/>
      <c r="AK1065" s="1344"/>
    </row>
    <row r="1066" spans="1:37" ht="12.95" customHeight="1">
      <c r="A1066" s="1"/>
      <c r="B1066" s="1"/>
      <c r="C1066" s="212"/>
      <c r="D1066" s="1344"/>
      <c r="E1066" s="1344"/>
      <c r="F1066" s="1344"/>
      <c r="G1066" s="1344"/>
      <c r="H1066" s="1344"/>
      <c r="I1066" s="1344"/>
      <c r="J1066" s="1344"/>
      <c r="K1066" s="1344"/>
      <c r="L1066" s="1344"/>
      <c r="M1066" s="1344"/>
      <c r="N1066" s="1344"/>
      <c r="O1066" s="1344"/>
      <c r="P1066" s="1344"/>
      <c r="Q1066" s="1344"/>
      <c r="R1066" s="1344"/>
      <c r="S1066" s="1344"/>
      <c r="T1066" s="1344"/>
      <c r="U1066" s="1344"/>
      <c r="V1066" s="1344"/>
      <c r="W1066" s="1344"/>
      <c r="X1066" s="1344"/>
      <c r="Y1066" s="1344"/>
      <c r="Z1066" s="1344"/>
      <c r="AA1066" s="1344"/>
      <c r="AB1066" s="1344"/>
      <c r="AC1066" s="1344"/>
      <c r="AD1066" s="1344"/>
      <c r="AE1066" s="1344"/>
      <c r="AF1066" s="1344"/>
      <c r="AG1066" s="1344"/>
      <c r="AH1066" s="1344"/>
      <c r="AI1066" s="1344"/>
      <c r="AJ1066" s="1344"/>
      <c r="AK1066" s="1344"/>
    </row>
    <row r="1067" spans="1:37" ht="12.95" customHeight="1">
      <c r="A1067" s="35"/>
      <c r="B1067" s="25"/>
      <c r="C1067" s="212"/>
      <c r="D1067" s="1344"/>
      <c r="E1067" s="1344"/>
      <c r="F1067" s="1344"/>
      <c r="G1067" s="1344"/>
      <c r="H1067" s="1344"/>
      <c r="I1067" s="1344"/>
      <c r="J1067" s="1344"/>
      <c r="K1067" s="1344"/>
      <c r="L1067" s="1344"/>
      <c r="M1067" s="1344"/>
      <c r="N1067" s="1344"/>
      <c r="O1067" s="1344"/>
      <c r="P1067" s="1344"/>
      <c r="Q1067" s="1344"/>
      <c r="R1067" s="1344"/>
      <c r="S1067" s="1344"/>
      <c r="T1067" s="1344"/>
      <c r="U1067" s="1344"/>
      <c r="V1067" s="1344"/>
      <c r="W1067" s="1344"/>
      <c r="X1067" s="1344"/>
      <c r="Y1067" s="1344"/>
      <c r="Z1067" s="1344"/>
      <c r="AA1067" s="1344"/>
      <c r="AB1067" s="1344"/>
      <c r="AC1067" s="1344"/>
      <c r="AD1067" s="1344"/>
      <c r="AE1067" s="1344"/>
      <c r="AF1067" s="1344"/>
      <c r="AG1067" s="1344"/>
      <c r="AH1067" s="1344"/>
      <c r="AI1067" s="1344"/>
      <c r="AJ1067" s="1344"/>
      <c r="AK1067" s="1344"/>
    </row>
    <row r="1068" spans="1:37" ht="12.95" customHeight="1">
      <c r="A1068" s="1373" t="s">
        <v>600</v>
      </c>
      <c r="B1068" s="1373"/>
      <c r="C1068" s="212">
        <v>9</v>
      </c>
      <c r="D1068" s="1260" t="s">
        <v>1157</v>
      </c>
      <c r="E1068" s="1260"/>
      <c r="F1068" s="1260"/>
      <c r="G1068" s="1260"/>
      <c r="H1068" s="1260"/>
      <c r="I1068" s="1260"/>
      <c r="J1068" s="1260"/>
      <c r="K1068" s="1260"/>
      <c r="L1068" s="1260"/>
      <c r="M1068" s="1260"/>
      <c r="N1068" s="1260"/>
      <c r="O1068" s="1260"/>
      <c r="P1068" s="1260"/>
      <c r="Q1068" s="1260"/>
      <c r="R1068" s="1260"/>
      <c r="S1068" s="1260"/>
      <c r="T1068" s="1260"/>
      <c r="U1068" s="1260"/>
      <c r="V1068" s="1260"/>
      <c r="W1068" s="1260"/>
      <c r="X1068" s="1260"/>
      <c r="Y1068" s="1260"/>
      <c r="Z1068" s="1260"/>
      <c r="AA1068" s="1260"/>
      <c r="AB1068" s="1260"/>
      <c r="AC1068" s="1260"/>
      <c r="AD1068" s="1260"/>
      <c r="AE1068" s="1260"/>
      <c r="AF1068" s="1260"/>
      <c r="AG1068" s="1260"/>
      <c r="AH1068" s="1260"/>
      <c r="AI1068" s="1260"/>
      <c r="AJ1068" s="1260"/>
      <c r="AK1068" s="1260"/>
    </row>
    <row r="1069" spans="1:37" ht="12.95" customHeight="1">
      <c r="A1069" s="35"/>
      <c r="B1069" s="25"/>
      <c r="C1069" s="212"/>
      <c r="D1069" s="1260"/>
      <c r="E1069" s="1260"/>
      <c r="F1069" s="1260"/>
      <c r="G1069" s="1260"/>
      <c r="H1069" s="1260"/>
      <c r="I1069" s="1260"/>
      <c r="J1069" s="1260"/>
      <c r="K1069" s="1260"/>
      <c r="L1069" s="1260"/>
      <c r="M1069" s="1260"/>
      <c r="N1069" s="1260"/>
      <c r="O1069" s="1260"/>
      <c r="P1069" s="1260"/>
      <c r="Q1069" s="1260"/>
      <c r="R1069" s="1260"/>
      <c r="S1069" s="1260"/>
      <c r="T1069" s="1260"/>
      <c r="U1069" s="1260"/>
      <c r="V1069" s="1260"/>
      <c r="W1069" s="1260"/>
      <c r="X1069" s="1260"/>
      <c r="Y1069" s="1260"/>
      <c r="Z1069" s="1260"/>
      <c r="AA1069" s="1260"/>
      <c r="AB1069" s="1260"/>
      <c r="AC1069" s="1260"/>
      <c r="AD1069" s="1260"/>
      <c r="AE1069" s="1260"/>
      <c r="AF1069" s="1260"/>
      <c r="AG1069" s="1260"/>
      <c r="AH1069" s="1260"/>
      <c r="AI1069" s="1260"/>
      <c r="AJ1069" s="1260"/>
      <c r="AK1069" s="1260"/>
    </row>
    <row r="1070" spans="1:37" ht="12.95" customHeight="1">
      <c r="D1070" s="1260"/>
      <c r="E1070" s="1260"/>
      <c r="F1070" s="1260"/>
      <c r="G1070" s="1260"/>
      <c r="H1070" s="1260"/>
      <c r="I1070" s="1260"/>
      <c r="J1070" s="1260"/>
      <c r="K1070" s="1260"/>
      <c r="L1070" s="1260"/>
      <c r="M1070" s="1260"/>
      <c r="N1070" s="1260"/>
      <c r="O1070" s="1260"/>
      <c r="P1070" s="1260"/>
      <c r="Q1070" s="1260"/>
      <c r="R1070" s="1260"/>
      <c r="S1070" s="1260"/>
      <c r="T1070" s="1260"/>
      <c r="U1070" s="1260"/>
      <c r="V1070" s="1260"/>
      <c r="W1070" s="1260"/>
      <c r="X1070" s="1260"/>
      <c r="Y1070" s="1260"/>
      <c r="Z1070" s="1260"/>
      <c r="AA1070" s="1260"/>
      <c r="AB1070" s="1260"/>
      <c r="AC1070" s="1260"/>
      <c r="AD1070" s="1260"/>
      <c r="AE1070" s="1260"/>
      <c r="AF1070" s="1260"/>
      <c r="AG1070" s="1260"/>
      <c r="AH1070" s="1260"/>
      <c r="AI1070" s="1260"/>
      <c r="AJ1070" s="1260"/>
      <c r="AK1070" s="1260"/>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G641:R641"/>
    <mergeCell ref="G642:R642"/>
    <mergeCell ref="G640:R640"/>
    <mergeCell ref="Z583:AK583"/>
    <mergeCell ref="Z582:AK582"/>
    <mergeCell ref="J387:U387"/>
    <mergeCell ref="V387:AJ387"/>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H586:R586"/>
    <mergeCell ref="H594:R594"/>
    <mergeCell ref="G591:R591"/>
    <mergeCell ref="G592:R592"/>
    <mergeCell ref="G583:R583"/>
    <mergeCell ref="G574:R574"/>
    <mergeCell ref="Z566:AK566"/>
    <mergeCell ref="Z567:AK567"/>
    <mergeCell ref="Z565:AK565"/>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W620:Y622"/>
    <mergeCell ref="T620:V62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75:L675"/>
    <mergeCell ref="Z647:AK647"/>
    <mergeCell ref="Z667:AE667"/>
    <mergeCell ref="Z664:AK664"/>
    <mergeCell ref="P659:R659"/>
    <mergeCell ref="G655:R655"/>
    <mergeCell ref="AI675:AK675"/>
    <mergeCell ref="AG653:AH653"/>
    <mergeCell ref="G657:R65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X718:AB718"/>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AI338:AK338"/>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X612:CB612"/>
    <mergeCell ref="CC612:CG612"/>
    <mergeCell ref="BG613:BH613"/>
    <mergeCell ref="BG612:BH612"/>
    <mergeCell ref="BK614:BL614"/>
    <mergeCell ref="CC613:CG613"/>
    <mergeCell ref="BN614:BR614"/>
    <mergeCell ref="BK615:BL615"/>
    <mergeCell ref="CH611:CL611"/>
    <mergeCell ref="CH612:CL612"/>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BK619:BL619"/>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J762:N76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W839:AC839"/>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T778:W778"/>
    <mergeCell ref="M816:P816"/>
    <mergeCell ref="U813:X813"/>
    <mergeCell ref="W850:AC850"/>
    <mergeCell ref="C878:AB878"/>
    <mergeCell ref="AH777:AL777"/>
    <mergeCell ref="U811:X811"/>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Y813:AB813"/>
    <mergeCell ref="O779:S779"/>
    <mergeCell ref="O781:S781"/>
    <mergeCell ref="Y810:AB810"/>
    <mergeCell ref="AC810:AF810"/>
    <mergeCell ref="AC811:AF811"/>
    <mergeCell ref="I391:N39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N369:Q369"/>
    <mergeCell ref="AH525:AK525"/>
    <mergeCell ref="AC515:AF515"/>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AH722:AJ722"/>
    <mergeCell ref="G715:J715"/>
    <mergeCell ref="K718:N718"/>
    <mergeCell ref="AC738:AG738"/>
    <mergeCell ref="X759:AB759"/>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M262:R262"/>
    <mergeCell ref="M264:T264"/>
    <mergeCell ref="AA264:AK264"/>
    <mergeCell ref="H339:M339"/>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H297:R297"/>
    <mergeCell ref="H311:R311"/>
    <mergeCell ref="AI306:AK306"/>
    <mergeCell ref="L278:AD278"/>
    <mergeCell ref="AA310:AK310"/>
    <mergeCell ref="AA311:AK311"/>
    <mergeCell ref="AA313:AK313"/>
    <mergeCell ref="AA312:AK312"/>
    <mergeCell ref="AA314:AF314"/>
    <mergeCell ref="AA316:AK316"/>
    <mergeCell ref="H313:R313"/>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05:AK305"/>
    <mergeCell ref="AA302:AK302"/>
    <mergeCell ref="D269:H269"/>
    <mergeCell ref="X269:AC269"/>
    <mergeCell ref="AA324:AK324"/>
    <mergeCell ref="H314:M314"/>
    <mergeCell ref="AA315:AF315"/>
    <mergeCell ref="H294:R294"/>
    <mergeCell ref="H303:R303"/>
    <mergeCell ref="H302:R302"/>
    <mergeCell ref="AA307:AF307"/>
    <mergeCell ref="AA304:AK304"/>
    <mergeCell ref="M260:T260"/>
    <mergeCell ref="AH261:AK261"/>
    <mergeCell ref="AA338:AF338"/>
    <mergeCell ref="AA296:AK296"/>
    <mergeCell ref="AI314:AK314"/>
    <mergeCell ref="AA303:AK30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L279:AD279"/>
    <mergeCell ref="L274:AD274"/>
    <mergeCell ref="H289:R289"/>
    <mergeCell ref="AC530:AF530"/>
    <mergeCell ref="O533:AA533"/>
    <mergeCell ref="AH534:AK534"/>
    <mergeCell ref="AH521:AK521"/>
    <mergeCell ref="O530:AA530"/>
    <mergeCell ref="AH502:AK502"/>
    <mergeCell ref="AH515:AK515"/>
    <mergeCell ref="AH533:AK533"/>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W467:Y467"/>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81:R581"/>
    <mergeCell ref="AG571:AH571"/>
    <mergeCell ref="Z564:AK564"/>
    <mergeCell ref="AM554:AS554"/>
    <mergeCell ref="AM562:AS562"/>
    <mergeCell ref="AM552:AS552"/>
    <mergeCell ref="H569:R569"/>
    <mergeCell ref="B562:AL562"/>
    <mergeCell ref="AM557:AS557"/>
    <mergeCell ref="AM555:AS555"/>
    <mergeCell ref="AM561:AS561"/>
    <mergeCell ref="Z576:AK576"/>
    <mergeCell ref="AI561:AL561"/>
    <mergeCell ref="AI585:AK585"/>
    <mergeCell ref="Z573:AK573"/>
    <mergeCell ref="AE561:AH561"/>
    <mergeCell ref="G576:R576"/>
    <mergeCell ref="G593:L593"/>
    <mergeCell ref="Z591:AK591"/>
    <mergeCell ref="Z577:AE577"/>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E596:BF596"/>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G603:BH603"/>
    <mergeCell ref="BK602:BL602"/>
    <mergeCell ref="CC597:CG597"/>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N608:BR608"/>
    <mergeCell ref="BN609:BR609"/>
    <mergeCell ref="BK600:BL600"/>
    <mergeCell ref="BG605:BH605"/>
    <mergeCell ref="BX603:CB603"/>
    <mergeCell ref="BS608:BW608"/>
    <mergeCell ref="BX608:CB608"/>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BE620:BF620"/>
    <mergeCell ref="BS615:BW615"/>
    <mergeCell ref="CC608:CG608"/>
    <mergeCell ref="BX610:CB610"/>
    <mergeCell ref="BX613:CB613"/>
    <mergeCell ref="BS612:BW61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O759:S759"/>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57:AD557"/>
    <mergeCell ref="M558:P558"/>
    <mergeCell ref="C559:L559"/>
    <mergeCell ref="G566:R566"/>
    <mergeCell ref="G567:R567"/>
    <mergeCell ref="G565:R565"/>
    <mergeCell ref="Z555:AD555"/>
    <mergeCell ref="Z556:AD556"/>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H499:AK499"/>
    <mergeCell ref="J386:U386"/>
    <mergeCell ref="AC385:AJ385"/>
    <mergeCell ref="BX642:CB642"/>
    <mergeCell ref="BX643:CB643"/>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AH493:AK493"/>
  </mergeCells>
  <phoneticPr fontId="0" type="noConversion"/>
  <conditionalFormatting sqref="B740:AH741">
    <cfRule type="expression" dxfId="96" priority="14">
      <formula>NOT($D$210="Special Needs")</formula>
    </cfRule>
  </conditionalFormatting>
  <conditionalFormatting sqref="C551:C561 Q551:AS561 Q624:Z634 AC624:AS634">
    <cfRule type="expression" dxfId="95" priority="17">
      <formula>$AT551="!"</formula>
    </cfRule>
  </conditionalFormatting>
  <conditionalFormatting sqref="C624:C634">
    <cfRule type="expression" dxfId="94" priority="16">
      <formula>$AT624="!"</formula>
    </cfRule>
  </conditionalFormatting>
  <conditionalFormatting sqref="C877:AB878">
    <cfRule type="expression" dxfId="93" priority="2">
      <formula>AND(AC877&lt;&gt;"",OR(C877="Other (Specify):",C877=""))</formula>
    </cfRule>
  </conditionalFormatting>
  <conditionalFormatting sqref="D212">
    <cfRule type="expression" dxfId="92" priority="28">
      <formula>AND($Y$211&gt;0,$AB$211&lt;75%)</formula>
    </cfRule>
  </conditionalFormatting>
  <conditionalFormatting sqref="D215">
    <cfRule type="expression" dxfId="91" priority="25">
      <formula>NOT($D$210="At-Risk")</formula>
    </cfRule>
  </conditionalFormatting>
  <conditionalFormatting sqref="D214:U214">
    <cfRule type="expression" dxfId="90" priority="29">
      <formula>NOT(OR($D$213="Seniors",$D$210="Seniors"))</formula>
    </cfRule>
  </conditionalFormatting>
  <conditionalFormatting sqref="D211:X211">
    <cfRule type="expression" dxfId="89" priority="32">
      <formula>NOT($D$210="Special Needs")</formula>
    </cfRule>
  </conditionalFormatting>
  <conditionalFormatting sqref="D213:Z213">
    <cfRule type="expression" dxfId="88" priority="27">
      <formula>AND($Y$211&gt;0,$AB$211&lt;75%)</formula>
    </cfRule>
  </conditionalFormatting>
  <conditionalFormatting sqref="E703:AK703">
    <cfRule type="expression" dxfId="87" priority="15">
      <formula>AND($W$702="Other",OR($E$703="(specify here)",$E$703=""))</formula>
    </cfRule>
  </conditionalFormatting>
  <conditionalFormatting sqref="F815:L815">
    <cfRule type="expression" dxfId="86" priority="10">
      <formula>AND(OR(M815&lt;&gt;"",$Q$795&lt;&gt;"",$U$795&lt;&gt;"",$Y$795&lt;&gt;"",$AC$795&lt;&gt;"",$AG$795&lt;&gt;"",SUM($M$815:$AJ$815)&gt;0),OR(F815="(specify here)",F815=""))</formula>
    </cfRule>
  </conditionalFormatting>
  <conditionalFormatting sqref="L506:AB506">
    <cfRule type="expression" dxfId="85" priority="24">
      <formula>AND(NOT(AC506="N/A"),AH506&lt;&gt;"",OR(L506="(specify here)",L506=""))</formula>
    </cfRule>
  </conditionalFormatting>
  <conditionalFormatting sqref="M830:V830">
    <cfRule type="expression" dxfId="84" priority="9">
      <formula>AND(W830&lt;&gt;"",OR(M830="(specify here)",M830=""))</formula>
    </cfRule>
  </conditionalFormatting>
  <conditionalFormatting sqref="M845:V845">
    <cfRule type="expression" dxfId="83" priority="8">
      <formula>AND(W845&lt;&gt;"",OR(M845="(specify here)",M845=""))</formula>
    </cfRule>
  </conditionalFormatting>
  <conditionalFormatting sqref="M855:V855">
    <cfRule type="expression" dxfId="82" priority="7">
      <formula>AND(W855&lt;&gt;"",OR(M855="(specify here)",M855=""))</formula>
    </cfRule>
  </conditionalFormatting>
  <conditionalFormatting sqref="M858:V862">
    <cfRule type="expression" dxfId="81" priority="6">
      <formula>AND(W858&lt;&gt;"",OR(M858="(specify here)",M858=""))</formula>
    </cfRule>
  </conditionalFormatting>
  <conditionalFormatting sqref="O518:AA518">
    <cfRule type="expression" dxfId="80" priority="23">
      <formula>AND(OR(AND(NOT(AC518="N/A"),AH518&lt;&gt;""),AND(NOT(AC519="N/A"),AH519&lt;&gt;""),AND(NOT(AC520="N/A"),AH520&lt;&gt;"")),OR(O518="(specify here)",O518=""))</formula>
    </cfRule>
  </conditionalFormatting>
  <conditionalFormatting sqref="O521:AA521">
    <cfRule type="expression" dxfId="79" priority="22">
      <formula>AND(OR(AND(NOT(AC521="N/A"),AH521&lt;&gt;""),AND(NOT(AC522="N/A"),AH522&lt;&gt;""),AND(NOT(AC523="N/A"),AH523&lt;&gt;"")),OR(O521="(specify here)",O521=""))</formula>
    </cfRule>
  </conditionalFormatting>
  <conditionalFormatting sqref="O524:AA524">
    <cfRule type="expression" dxfId="78" priority="21">
      <formula>AND(OR(AND(NOT(AC524="N/A"),AH524&lt;&gt;""),AND(NOT(AC525="N/A"),AH525&lt;&gt;""),AND(NOT(AC526="N/A"),AH526&lt;&gt;"")),OR(O524="(specify here)",O524=""))</formula>
    </cfRule>
  </conditionalFormatting>
  <conditionalFormatting sqref="O527:AA527">
    <cfRule type="expression" dxfId="77" priority="20">
      <formula>AND(OR(AND(NOT(AC527="N/A"),AH527&lt;&gt;""),AND(NOT(AC528="N/A"),AH528&lt;&gt;""),AND(NOT(AC529="N/A"),AH529&lt;&gt;"")),OR(O527="(specify here)",O527=""))</formula>
    </cfRule>
  </conditionalFormatting>
  <conditionalFormatting sqref="O530:AA530">
    <cfRule type="expression" dxfId="76" priority="19">
      <formula>AND(OR(AND(NOT(AC530="N/A"),AH530&lt;&gt;""),AND(NOT(AC531="N/A"),AH531&lt;&gt;""),AND(NOT(AC532="N/A"),AH532&lt;&gt;"")),OR(O530="(specify here)",O530=""))</formula>
    </cfRule>
  </conditionalFormatting>
  <conditionalFormatting sqref="O533:AA533">
    <cfRule type="expression" dxfId="75" priority="18">
      <formula>AND(OR(AND(NOT(AC533="N/A"),AH533&lt;&gt;""),AND(NOT(AC534="N/A"),AH534&lt;&gt;""),AND(NOT(AC535="N/A"),AH535&lt;&gt;"")),OR(O533="(specify here)",O533=""))</formula>
    </cfRule>
  </conditionalFormatting>
  <conditionalFormatting sqref="P800:Y800">
    <cfRule type="expression" dxfId="74" priority="11">
      <formula>AND(Z800&lt;&gt;"",OR(P800="(specify here)",P800=""))</formula>
    </cfRule>
  </conditionalFormatting>
  <conditionalFormatting sqref="U742">
    <cfRule type="expression" dxfId="73" priority="13">
      <formula>NOT($D$210="Special Needs")</formula>
    </cfRule>
  </conditionalFormatting>
  <conditionalFormatting sqref="W944:AG944">
    <cfRule type="expression" dxfId="72" priority="1">
      <formula>AND($AA$923&lt;&gt;"",OR($W$922="",$W$922="(specify here)"))</formula>
    </cfRule>
  </conditionalFormatting>
  <conditionalFormatting sqref="Y211:AC211">
    <cfRule type="expression" dxfId="71" priority="31">
      <formula>NOT($D$210="Special Needs")</formula>
    </cfRule>
  </conditionalFormatting>
  <conditionalFormatting sqref="AA214:AO214">
    <cfRule type="expression" dxfId="70" priority="30">
      <formula>NOT(OR($D$213="Seniors",$D$210="Seniors"))</formula>
    </cfRule>
  </conditionalFormatting>
  <conditionalFormatting sqref="AB215:AM215">
    <cfRule type="expression" dxfId="69" priority="26">
      <formula>NOT($D$210="At-Risk")</formula>
    </cfRule>
  </conditionalFormatting>
  <conditionalFormatting sqref="AF986">
    <cfRule type="cellIs" dxfId="68" priority="36" stopIfTrue="1" operator="equal">
      <formula>"Please Enter Amount:"</formula>
    </cfRule>
  </conditionalFormatting>
  <conditionalFormatting sqref="AF991">
    <cfRule type="cellIs" dxfId="67" priority="33" stopIfTrue="1" operator="equal">
      <formula>"Please Enter Amount:"</formula>
    </cfRule>
  </conditionalFormatting>
  <conditionalFormatting sqref="AF998">
    <cfRule type="cellIs" dxfId="66" priority="34" stopIfTrue="1" operator="equal">
      <formula>"Please Enter Amount:"</formula>
    </cfRule>
  </conditionalFormatting>
  <conditionalFormatting sqref="AG440:AJ440">
    <cfRule type="expression" dxfId="65" priority="40" stopIfTrue="1">
      <formula>"iserror(d31)"</formula>
    </cfRule>
  </conditionalFormatting>
  <conditionalFormatting sqref="AG742:AJ742">
    <cfRule type="expression" dxfId="64" priority="12">
      <formula>NOT($D$210="Special Needs")</formula>
    </cfRule>
  </conditionalFormatting>
  <conditionalFormatting sqref="AJ1010">
    <cfRule type="cellIs" dxfId="63"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selection activeCell="G23" sqref="G23"/>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71" t="s">
        <v>630</v>
      </c>
      <c r="G1" s="1872"/>
      <c r="H1" s="1872"/>
      <c r="I1" s="1872"/>
      <c r="J1" s="1872"/>
      <c r="K1" s="1872"/>
      <c r="L1" s="1872"/>
      <c r="M1" s="1872"/>
      <c r="N1" s="1872"/>
      <c r="O1" s="1872"/>
      <c r="P1" s="1872"/>
      <c r="Q1" s="1872"/>
      <c r="R1" s="1873"/>
      <c r="S1" s="112"/>
      <c r="T1" s="111"/>
      <c r="U1" s="113"/>
    </row>
    <row r="2" spans="1:21" s="138" customFormat="1" ht="71.25" customHeight="1">
      <c r="A2" s="137"/>
      <c r="B2" s="138" t="s">
        <v>23</v>
      </c>
      <c r="C2" s="138" t="s">
        <v>376</v>
      </c>
      <c r="D2" s="138" t="s">
        <v>375</v>
      </c>
      <c r="E2" s="138" t="s">
        <v>24</v>
      </c>
      <c r="F2" s="139" t="str">
        <f>Application!B623&amp;Application!C623</f>
        <v>1)Perm Bond Proceeds - Chase</v>
      </c>
      <c r="G2" s="139" t="str">
        <f>Application!B624&amp;Application!C624</f>
        <v>2)City of Yorba Linda</v>
      </c>
      <c r="H2" s="139" t="str">
        <f>Application!B625&amp;Application!C625</f>
        <v>3)AHP</v>
      </c>
      <c r="I2" s="139" t="str">
        <f>Application!B626&amp;Application!C626</f>
        <v>4)Deferred Developer Fee</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1273804</v>
      </c>
      <c r="C4" s="147">
        <v>1273804</v>
      </c>
      <c r="D4" s="147"/>
      <c r="E4" s="147">
        <f>B4-SUM(F4:K4)</f>
        <v>0</v>
      </c>
      <c r="F4" s="147">
        <f>B4</f>
        <v>1273804</v>
      </c>
      <c r="G4" s="147"/>
      <c r="H4" s="147"/>
      <c r="I4" s="147"/>
      <c r="J4" s="147"/>
      <c r="K4" s="147"/>
      <c r="L4" s="147"/>
      <c r="M4" s="147"/>
      <c r="N4" s="147"/>
      <c r="O4" s="147"/>
      <c r="P4" s="147"/>
      <c r="Q4" s="147"/>
      <c r="R4" s="551">
        <f>SUM(E4:Q4)</f>
        <v>1273804</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602</v>
      </c>
      <c r="B8" s="146">
        <f>SUM(C8:D8)</f>
        <v>1273804</v>
      </c>
      <c r="C8" s="146">
        <f t="shared" ref="C8:Q8" si="0">SUM(C4:C7)</f>
        <v>1273804</v>
      </c>
      <c r="D8" s="146">
        <f t="shared" si="0"/>
        <v>0</v>
      </c>
      <c r="E8" s="146">
        <f t="shared" si="0"/>
        <v>0</v>
      </c>
      <c r="F8" s="146">
        <f t="shared" si="0"/>
        <v>1273804</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1273804</v>
      </c>
      <c r="S8" s="148"/>
      <c r="T8" s="148"/>
      <c r="U8" s="143"/>
    </row>
    <row r="9" spans="1:21" s="144" customFormat="1">
      <c r="A9" s="145" t="s">
        <v>603</v>
      </c>
      <c r="B9" s="146">
        <f>SUM(C9+D9)</f>
        <v>23494598</v>
      </c>
      <c r="C9" s="147">
        <f>24768402-C4</f>
        <v>23494598</v>
      </c>
      <c r="D9" s="147"/>
      <c r="E9" s="147"/>
      <c r="F9" s="147">
        <f>B9-19554880</f>
        <v>3939718</v>
      </c>
      <c r="G9" s="147">
        <f>G108</f>
        <v>18804880</v>
      </c>
      <c r="H9" s="147">
        <f>H108</f>
        <v>750000</v>
      </c>
      <c r="I9" s="147"/>
      <c r="J9" s="147"/>
      <c r="K9" s="147"/>
      <c r="L9" s="147"/>
      <c r="M9" s="147"/>
      <c r="N9" s="147"/>
      <c r="O9" s="147"/>
      <c r="P9" s="147"/>
      <c r="Q9" s="147"/>
      <c r="R9" s="551">
        <f>SUM(E9:Q9)</f>
        <v>23494598</v>
      </c>
      <c r="S9" s="148"/>
      <c r="T9" s="147">
        <f>C9</f>
        <v>23494598</v>
      </c>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605</v>
      </c>
      <c r="B11" s="146">
        <f>SUM(C11:D11)</f>
        <v>23494598</v>
      </c>
      <c r="C11" s="146">
        <f t="shared" ref="C11:Q11" si="1">SUM(C9:C10)</f>
        <v>23494598</v>
      </c>
      <c r="D11" s="146">
        <f t="shared" si="1"/>
        <v>0</v>
      </c>
      <c r="E11" s="146">
        <f t="shared" si="1"/>
        <v>0</v>
      </c>
      <c r="F11" s="146">
        <f t="shared" si="1"/>
        <v>3939718</v>
      </c>
      <c r="G11" s="146">
        <f t="shared" si="1"/>
        <v>18804880</v>
      </c>
      <c r="H11" s="146">
        <f t="shared" si="1"/>
        <v>750000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23494598</v>
      </c>
      <c r="S11" s="148"/>
      <c r="T11" s="150">
        <f>SUM(T9:T10)</f>
        <v>23494598</v>
      </c>
      <c r="U11" s="143"/>
    </row>
    <row r="12" spans="1:21" s="144" customFormat="1">
      <c r="A12" s="149" t="s">
        <v>85</v>
      </c>
      <c r="B12" s="146">
        <f t="shared" ref="B12:Q12" si="2">SUM(B8+B11)</f>
        <v>24768402</v>
      </c>
      <c r="C12" s="146">
        <f t="shared" si="2"/>
        <v>24768402</v>
      </c>
      <c r="D12" s="146">
        <f t="shared" si="2"/>
        <v>0</v>
      </c>
      <c r="E12" s="146">
        <f t="shared" si="2"/>
        <v>0</v>
      </c>
      <c r="F12" s="146">
        <f t="shared" si="2"/>
        <v>5213522</v>
      </c>
      <c r="G12" s="146">
        <f t="shared" si="2"/>
        <v>18804880</v>
      </c>
      <c r="H12" s="146">
        <f t="shared" si="2"/>
        <v>750000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24768402</v>
      </c>
      <c r="S12" s="148"/>
      <c r="T12" s="148"/>
      <c r="U12" s="143"/>
    </row>
    <row r="13" spans="1:21" s="144" customFormat="1">
      <c r="A13" s="309" t="s">
        <v>935</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4">
      <c r="A14" s="310" t="s">
        <v>1823</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1303</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608</v>
      </c>
      <c r="B18" s="146">
        <f t="shared" si="3"/>
        <v>6747537</v>
      </c>
      <c r="C18" s="147">
        <v>6747537</v>
      </c>
      <c r="D18" s="147"/>
      <c r="E18" s="147">
        <f>B18-SUM(F18:K18)</f>
        <v>5676843</v>
      </c>
      <c r="F18" s="147">
        <f>F108-F8-F11</f>
        <v>1070694</v>
      </c>
      <c r="G18" s="147"/>
      <c r="H18" s="147"/>
      <c r="I18" s="147"/>
      <c r="J18" s="147"/>
      <c r="K18" s="147"/>
      <c r="L18" s="147"/>
      <c r="M18" s="147"/>
      <c r="N18" s="147"/>
      <c r="O18" s="147"/>
      <c r="P18" s="147"/>
      <c r="Q18" s="147"/>
      <c r="R18" s="551">
        <f>SUM(E18:Q18)</f>
        <v>6747537</v>
      </c>
      <c r="S18" s="147">
        <f>B18</f>
        <v>6747537</v>
      </c>
      <c r="T18" s="147"/>
      <c r="U18" s="143"/>
    </row>
    <row r="19" spans="1:21" s="144" customFormat="1">
      <c r="A19" s="145" t="s">
        <v>609</v>
      </c>
      <c r="B19" s="146">
        <f t="shared" si="3"/>
        <v>539803</v>
      </c>
      <c r="C19" s="147">
        <v>539803</v>
      </c>
      <c r="D19" s="147"/>
      <c r="E19" s="147">
        <f t="shared" ref="E19:E25" si="4">B19-SUM(F19:K19)</f>
        <v>539803</v>
      </c>
      <c r="F19" s="147"/>
      <c r="G19" s="147"/>
      <c r="H19" s="147"/>
      <c r="I19" s="147"/>
      <c r="J19" s="147"/>
      <c r="K19" s="147"/>
      <c r="L19" s="147"/>
      <c r="M19" s="147"/>
      <c r="N19" s="147"/>
      <c r="O19" s="147"/>
      <c r="P19" s="147"/>
      <c r="Q19" s="147"/>
      <c r="R19" s="551">
        <f>SUM(E19:Q19)</f>
        <v>539803</v>
      </c>
      <c r="S19" s="147">
        <f t="shared" ref="S19:S23" si="5">B19</f>
        <v>539803</v>
      </c>
      <c r="T19" s="147"/>
      <c r="U19" s="143"/>
    </row>
    <row r="20" spans="1:21" s="144" customFormat="1">
      <c r="A20" s="145" t="s">
        <v>138</v>
      </c>
      <c r="B20" s="146">
        <f t="shared" si="3"/>
        <v>202426</v>
      </c>
      <c r="C20" s="147">
        <f>404852/2</f>
        <v>202426</v>
      </c>
      <c r="D20" s="147"/>
      <c r="E20" s="147">
        <f t="shared" si="4"/>
        <v>202426</v>
      </c>
      <c r="F20" s="147"/>
      <c r="G20" s="147"/>
      <c r="H20" s="147"/>
      <c r="I20" s="147"/>
      <c r="J20" s="147"/>
      <c r="K20" s="147"/>
      <c r="L20" s="147"/>
      <c r="M20" s="147"/>
      <c r="N20" s="147"/>
      <c r="O20" s="147"/>
      <c r="P20" s="147"/>
      <c r="Q20" s="147"/>
      <c r="R20" s="551">
        <f t="shared" ref="R20:R27" si="6">SUM(E20:Q20)</f>
        <v>202426</v>
      </c>
      <c r="S20" s="147">
        <f t="shared" si="5"/>
        <v>202426</v>
      </c>
      <c r="T20" s="147"/>
      <c r="U20" s="143"/>
    </row>
    <row r="21" spans="1:21" s="144" customFormat="1">
      <c r="A21" s="145" t="s">
        <v>139</v>
      </c>
      <c r="B21" s="146">
        <f t="shared" si="3"/>
        <v>202426</v>
      </c>
      <c r="C21" s="147">
        <f>C20</f>
        <v>202426</v>
      </c>
      <c r="D21" s="147"/>
      <c r="E21" s="147">
        <f t="shared" si="4"/>
        <v>202426</v>
      </c>
      <c r="F21" s="147"/>
      <c r="G21" s="147"/>
      <c r="H21" s="147"/>
      <c r="I21" s="147"/>
      <c r="J21" s="147"/>
      <c r="K21" s="147"/>
      <c r="L21" s="147"/>
      <c r="M21" s="147"/>
      <c r="N21" s="147"/>
      <c r="O21" s="147"/>
      <c r="P21" s="147"/>
      <c r="Q21" s="147"/>
      <c r="R21" s="551">
        <f t="shared" si="6"/>
        <v>202426</v>
      </c>
      <c r="S21" s="147">
        <f t="shared" si="5"/>
        <v>202426</v>
      </c>
      <c r="T21" s="147"/>
      <c r="U21" s="143"/>
    </row>
    <row r="22" spans="1:21" s="144" customFormat="1">
      <c r="A22" s="145" t="s">
        <v>140</v>
      </c>
      <c r="B22" s="146">
        <f t="shared" si="3"/>
        <v>0</v>
      </c>
      <c r="C22" s="147"/>
      <c r="D22" s="147"/>
      <c r="E22" s="147">
        <f t="shared" si="4"/>
        <v>0</v>
      </c>
      <c r="F22" s="147"/>
      <c r="G22" s="147"/>
      <c r="H22" s="147"/>
      <c r="I22" s="147"/>
      <c r="J22" s="147"/>
      <c r="K22" s="147"/>
      <c r="L22" s="147"/>
      <c r="M22" s="147"/>
      <c r="N22" s="147"/>
      <c r="O22" s="147"/>
      <c r="P22" s="147"/>
      <c r="Q22" s="147"/>
      <c r="R22" s="551">
        <f t="shared" si="6"/>
        <v>0</v>
      </c>
      <c r="S22" s="147">
        <f t="shared" si="5"/>
        <v>0</v>
      </c>
      <c r="T22" s="147"/>
      <c r="U22" s="143"/>
    </row>
    <row r="23" spans="1:21" s="144" customFormat="1">
      <c r="A23" s="145" t="s">
        <v>141</v>
      </c>
      <c r="B23" s="146">
        <f t="shared" si="3"/>
        <v>84344</v>
      </c>
      <c r="C23" s="147">
        <v>84344</v>
      </c>
      <c r="D23" s="147"/>
      <c r="E23" s="147">
        <f t="shared" si="4"/>
        <v>84344</v>
      </c>
      <c r="F23" s="147"/>
      <c r="G23" s="147"/>
      <c r="H23" s="147"/>
      <c r="I23" s="147"/>
      <c r="J23" s="147"/>
      <c r="K23" s="147"/>
      <c r="L23" s="147"/>
      <c r="M23" s="147"/>
      <c r="N23" s="147"/>
      <c r="O23" s="147"/>
      <c r="P23" s="147"/>
      <c r="Q23" s="147"/>
      <c r="R23" s="551">
        <f t="shared" si="6"/>
        <v>84344</v>
      </c>
      <c r="S23" s="147">
        <f t="shared" si="5"/>
        <v>84344</v>
      </c>
      <c r="T23" s="147"/>
      <c r="U23" s="143"/>
    </row>
    <row r="24" spans="1:21" s="144" customFormat="1">
      <c r="A24" s="543" t="s">
        <v>1820</v>
      </c>
      <c r="B24" s="146">
        <f t="shared" si="3"/>
        <v>0</v>
      </c>
      <c r="C24" s="147"/>
      <c r="D24" s="147"/>
      <c r="E24" s="147">
        <f t="shared" si="4"/>
        <v>0</v>
      </c>
      <c r="F24" s="147"/>
      <c r="G24" s="147"/>
      <c r="H24" s="147"/>
      <c r="I24" s="147"/>
      <c r="J24" s="147"/>
      <c r="K24" s="147"/>
      <c r="L24" s="147"/>
      <c r="M24" s="147"/>
      <c r="N24" s="147"/>
      <c r="O24" s="147"/>
      <c r="P24" s="147"/>
      <c r="Q24" s="147"/>
      <c r="R24" s="551">
        <f t="shared" si="6"/>
        <v>0</v>
      </c>
      <c r="S24" s="147"/>
      <c r="T24" s="147"/>
      <c r="U24" s="143"/>
    </row>
    <row r="25" spans="1:21" s="144" customFormat="1">
      <c r="A25" s="1202" t="s">
        <v>34</v>
      </c>
      <c r="B25" s="146">
        <f t="shared" si="3"/>
        <v>0</v>
      </c>
      <c r="C25" s="147"/>
      <c r="D25" s="147"/>
      <c r="E25" s="147">
        <f t="shared" si="4"/>
        <v>0</v>
      </c>
      <c r="F25" s="147"/>
      <c r="G25" s="147"/>
      <c r="H25" s="147"/>
      <c r="I25" s="147"/>
      <c r="J25" s="147"/>
      <c r="K25" s="147"/>
      <c r="L25" s="147"/>
      <c r="M25" s="147"/>
      <c r="N25" s="147"/>
      <c r="O25" s="147"/>
      <c r="P25" s="147"/>
      <c r="Q25" s="147"/>
      <c r="R25" s="551">
        <f t="shared" si="6"/>
        <v>0</v>
      </c>
      <c r="S25" s="147"/>
      <c r="T25" s="147"/>
      <c r="U25" s="143"/>
    </row>
    <row r="26" spans="1:21" s="144" customFormat="1">
      <c r="A26" s="149" t="s">
        <v>134</v>
      </c>
      <c r="B26" s="146">
        <f t="shared" si="3"/>
        <v>7776536</v>
      </c>
      <c r="C26" s="146">
        <f>SUM(C17:C25)</f>
        <v>7776536</v>
      </c>
      <c r="D26" s="146">
        <f t="shared" ref="D26:Q26" si="7">SUM(D17:D25)</f>
        <v>0</v>
      </c>
      <c r="E26" s="146">
        <f t="shared" si="7"/>
        <v>6705842</v>
      </c>
      <c r="F26" s="146">
        <f t="shared" si="7"/>
        <v>1070694</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71">
        <f>SUM(R17:R25)</f>
        <v>7776536</v>
      </c>
      <c r="S26" s="150">
        <f>SUM(S17:S25)</f>
        <v>7776536</v>
      </c>
      <c r="T26" s="150">
        <f>SUM(T17:T25)</f>
        <v>0</v>
      </c>
      <c r="U26" s="143"/>
    </row>
    <row r="27" spans="1:21" s="144" customFormat="1">
      <c r="A27" s="149" t="s">
        <v>142</v>
      </c>
      <c r="B27" s="146">
        <f>SUM(C27:D27)</f>
        <v>860280</v>
      </c>
      <c r="C27" s="147">
        <v>860280</v>
      </c>
      <c r="D27" s="147"/>
      <c r="E27" s="147">
        <f>B27-SUM(F27:K27)</f>
        <v>860280</v>
      </c>
      <c r="F27" s="147"/>
      <c r="G27" s="147"/>
      <c r="H27" s="147"/>
      <c r="I27" s="147"/>
      <c r="J27" s="147"/>
      <c r="K27" s="147"/>
      <c r="L27" s="147"/>
      <c r="M27" s="147"/>
      <c r="N27" s="147"/>
      <c r="O27" s="147"/>
      <c r="P27" s="147"/>
      <c r="Q27" s="147"/>
      <c r="R27" s="551">
        <f t="shared" si="6"/>
        <v>860280</v>
      </c>
      <c r="S27" s="147">
        <f>B27</f>
        <v>860280</v>
      </c>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8">SUM(C29+D29)</f>
        <v>0</v>
      </c>
      <c r="C29" s="147"/>
      <c r="D29" s="147"/>
      <c r="E29" s="147"/>
      <c r="F29" s="147"/>
      <c r="G29" s="147"/>
      <c r="H29" s="147"/>
      <c r="I29" s="147"/>
      <c r="J29" s="147"/>
      <c r="K29" s="147"/>
      <c r="L29" s="147"/>
      <c r="M29" s="147"/>
      <c r="N29" s="147"/>
      <c r="O29" s="147"/>
      <c r="P29" s="147"/>
      <c r="Q29" s="147"/>
      <c r="R29" s="551">
        <f t="shared" ref="R29:R37" si="9">SUM(E29:Q29)</f>
        <v>0</v>
      </c>
      <c r="S29" s="147"/>
      <c r="T29" s="147"/>
      <c r="U29" s="143"/>
    </row>
    <row r="30" spans="1:21" s="144" customFormat="1">
      <c r="A30" s="145" t="s">
        <v>608</v>
      </c>
      <c r="B30" s="146">
        <f t="shared" si="8"/>
        <v>0</v>
      </c>
      <c r="C30" s="147"/>
      <c r="D30" s="147"/>
      <c r="E30" s="147"/>
      <c r="F30" s="147"/>
      <c r="G30" s="147"/>
      <c r="H30" s="147"/>
      <c r="I30" s="147"/>
      <c r="J30" s="147"/>
      <c r="K30" s="147"/>
      <c r="L30" s="147"/>
      <c r="M30" s="147"/>
      <c r="N30" s="147"/>
      <c r="O30" s="147"/>
      <c r="P30" s="147"/>
      <c r="Q30" s="147"/>
      <c r="R30" s="551">
        <f t="shared" si="9"/>
        <v>0</v>
      </c>
      <c r="S30" s="147"/>
      <c r="T30" s="147"/>
      <c r="U30" s="143"/>
    </row>
    <row r="31" spans="1:21" s="144" customFormat="1">
      <c r="A31" s="145" t="s">
        <v>609</v>
      </c>
      <c r="B31" s="146">
        <f t="shared" si="8"/>
        <v>0</v>
      </c>
      <c r="C31" s="147"/>
      <c r="D31" s="147"/>
      <c r="E31" s="147"/>
      <c r="F31" s="147"/>
      <c r="G31" s="147"/>
      <c r="H31" s="147"/>
      <c r="I31" s="147"/>
      <c r="J31" s="147"/>
      <c r="K31" s="147"/>
      <c r="L31" s="147"/>
      <c r="M31" s="147"/>
      <c r="N31" s="147"/>
      <c r="O31" s="147"/>
      <c r="P31" s="147"/>
      <c r="Q31" s="147"/>
      <c r="R31" s="551">
        <f t="shared" si="9"/>
        <v>0</v>
      </c>
      <c r="S31" s="147"/>
      <c r="T31" s="147"/>
      <c r="U31" s="143"/>
    </row>
    <row r="32" spans="1:21" s="144" customFormat="1">
      <c r="A32" s="145" t="s">
        <v>138</v>
      </c>
      <c r="B32" s="146">
        <f t="shared" si="8"/>
        <v>0</v>
      </c>
      <c r="C32" s="147"/>
      <c r="D32" s="147"/>
      <c r="E32" s="147"/>
      <c r="F32" s="147"/>
      <c r="G32" s="147"/>
      <c r="H32" s="147"/>
      <c r="I32" s="147"/>
      <c r="J32" s="147"/>
      <c r="K32" s="147"/>
      <c r="L32" s="147"/>
      <c r="M32" s="147"/>
      <c r="N32" s="147"/>
      <c r="O32" s="147"/>
      <c r="P32" s="147"/>
      <c r="Q32" s="147"/>
      <c r="R32" s="551">
        <f t="shared" si="9"/>
        <v>0</v>
      </c>
      <c r="S32" s="147"/>
      <c r="T32" s="147"/>
      <c r="U32" s="143"/>
    </row>
    <row r="33" spans="1:21" s="144" customFormat="1">
      <c r="A33" s="145" t="s">
        <v>139</v>
      </c>
      <c r="B33" s="146">
        <f t="shared" si="8"/>
        <v>0</v>
      </c>
      <c r="C33" s="147"/>
      <c r="D33" s="147"/>
      <c r="E33" s="147"/>
      <c r="F33" s="147"/>
      <c r="G33" s="147"/>
      <c r="H33" s="147"/>
      <c r="I33" s="147"/>
      <c r="J33" s="147"/>
      <c r="K33" s="147"/>
      <c r="L33" s="147"/>
      <c r="M33" s="147"/>
      <c r="N33" s="147"/>
      <c r="O33" s="147"/>
      <c r="P33" s="147"/>
      <c r="Q33" s="147"/>
      <c r="R33" s="551">
        <f t="shared" si="9"/>
        <v>0</v>
      </c>
      <c r="S33" s="147"/>
      <c r="T33" s="147"/>
      <c r="U33" s="143"/>
    </row>
    <row r="34" spans="1:21" s="144" customFormat="1">
      <c r="A34" s="145" t="s">
        <v>140</v>
      </c>
      <c r="B34" s="146">
        <f t="shared" si="8"/>
        <v>0</v>
      </c>
      <c r="C34" s="147"/>
      <c r="D34" s="147"/>
      <c r="E34" s="147"/>
      <c r="F34" s="147"/>
      <c r="G34" s="147"/>
      <c r="H34" s="147"/>
      <c r="I34" s="147"/>
      <c r="J34" s="147"/>
      <c r="K34" s="147"/>
      <c r="L34" s="147"/>
      <c r="M34" s="147"/>
      <c r="N34" s="147"/>
      <c r="O34" s="147"/>
      <c r="P34" s="147"/>
      <c r="Q34" s="147"/>
      <c r="R34" s="551">
        <f t="shared" si="9"/>
        <v>0</v>
      </c>
      <c r="S34" s="147"/>
      <c r="T34" s="147"/>
      <c r="U34" s="143"/>
    </row>
    <row r="35" spans="1:21" s="144" customFormat="1">
      <c r="A35" s="145" t="s">
        <v>141</v>
      </c>
      <c r="B35" s="146">
        <f t="shared" si="8"/>
        <v>0</v>
      </c>
      <c r="C35" s="147"/>
      <c r="D35" s="147"/>
      <c r="E35" s="147"/>
      <c r="F35" s="147"/>
      <c r="G35" s="147"/>
      <c r="H35" s="147"/>
      <c r="I35" s="147"/>
      <c r="J35" s="147"/>
      <c r="K35" s="147"/>
      <c r="L35" s="147"/>
      <c r="M35" s="147"/>
      <c r="N35" s="147"/>
      <c r="O35" s="147"/>
      <c r="P35" s="147"/>
      <c r="Q35" s="147"/>
      <c r="R35" s="551">
        <f t="shared" si="9"/>
        <v>0</v>
      </c>
      <c r="S35" s="147"/>
      <c r="T35" s="147"/>
      <c r="U35" s="143"/>
    </row>
    <row r="36" spans="1:21" s="144" customFormat="1">
      <c r="A36" s="304" t="s">
        <v>1820</v>
      </c>
      <c r="B36" s="146">
        <f t="shared" si="8"/>
        <v>0</v>
      </c>
      <c r="C36" s="147"/>
      <c r="D36" s="147"/>
      <c r="E36" s="147"/>
      <c r="F36" s="147"/>
      <c r="G36" s="147"/>
      <c r="H36" s="147"/>
      <c r="I36" s="147"/>
      <c r="J36" s="147"/>
      <c r="K36" s="147"/>
      <c r="L36" s="147"/>
      <c r="M36" s="147"/>
      <c r="N36" s="147"/>
      <c r="O36" s="147"/>
      <c r="P36" s="147"/>
      <c r="Q36" s="147"/>
      <c r="R36" s="551">
        <f t="shared" si="9"/>
        <v>0</v>
      </c>
      <c r="S36" s="147"/>
      <c r="T36" s="147"/>
      <c r="U36" s="143"/>
    </row>
    <row r="37" spans="1:21" s="144" customFormat="1">
      <c r="A37" s="1202" t="s">
        <v>34</v>
      </c>
      <c r="B37" s="146">
        <f t="shared" si="8"/>
        <v>0</v>
      </c>
      <c r="C37" s="147"/>
      <c r="D37" s="147"/>
      <c r="E37" s="147"/>
      <c r="F37" s="147"/>
      <c r="G37" s="147"/>
      <c r="H37" s="147"/>
      <c r="I37" s="147"/>
      <c r="J37" s="147"/>
      <c r="K37" s="147"/>
      <c r="L37" s="147"/>
      <c r="M37" s="147"/>
      <c r="N37" s="147"/>
      <c r="O37" s="147"/>
      <c r="P37" s="147"/>
      <c r="Q37" s="147"/>
      <c r="R37" s="551">
        <f t="shared" si="9"/>
        <v>0</v>
      </c>
      <c r="S37" s="147"/>
      <c r="T37" s="147"/>
      <c r="U37" s="143"/>
    </row>
    <row r="38" spans="1:21" s="144" customFormat="1">
      <c r="A38" s="149" t="s">
        <v>144</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1">
        <f>SUM(R29:R37)</f>
        <v>0</v>
      </c>
      <c r="S38" s="150">
        <f>SUM(S29:S37)</f>
        <v>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425000</v>
      </c>
      <c r="C40" s="147">
        <v>425000</v>
      </c>
      <c r="D40" s="147"/>
      <c r="E40" s="147">
        <f>B40-SUM(F40:K40)</f>
        <v>425000</v>
      </c>
      <c r="F40" s="147"/>
      <c r="G40" s="147"/>
      <c r="H40" s="147"/>
      <c r="I40" s="147"/>
      <c r="J40" s="147"/>
      <c r="K40" s="147"/>
      <c r="L40" s="147"/>
      <c r="M40" s="147"/>
      <c r="N40" s="147"/>
      <c r="O40" s="147"/>
      <c r="P40" s="147"/>
      <c r="Q40" s="147"/>
      <c r="R40" s="551">
        <f>SUM(E40:Q40)</f>
        <v>425000</v>
      </c>
      <c r="S40" s="147">
        <f>B40</f>
        <v>425000</v>
      </c>
      <c r="T40" s="147"/>
      <c r="U40" s="143"/>
    </row>
    <row r="41" spans="1:21" s="144" customFormat="1">
      <c r="A41" s="145" t="s">
        <v>147</v>
      </c>
      <c r="B41" s="146">
        <f>SUM(C41+D41)</f>
        <v>0</v>
      </c>
      <c r="C41" s="147"/>
      <c r="D41" s="147"/>
      <c r="E41" s="147"/>
      <c r="F41" s="147"/>
      <c r="G41" s="147"/>
      <c r="H41" s="147"/>
      <c r="I41" s="147"/>
      <c r="J41" s="147"/>
      <c r="K41" s="147"/>
      <c r="L41" s="147"/>
      <c r="M41" s="147"/>
      <c r="N41" s="147"/>
      <c r="O41" s="147"/>
      <c r="P41" s="147"/>
      <c r="Q41" s="147"/>
      <c r="R41" s="551">
        <f>SUM(E41:Q41)</f>
        <v>0</v>
      </c>
      <c r="S41" s="147"/>
      <c r="T41" s="147"/>
      <c r="U41" s="143"/>
    </row>
    <row r="42" spans="1:21" s="144" customFormat="1">
      <c r="A42" s="149" t="s">
        <v>148</v>
      </c>
      <c r="B42" s="146">
        <f>SUM(C42:D42)</f>
        <v>425000</v>
      </c>
      <c r="C42" s="146">
        <f>SUM(C39:C41)</f>
        <v>425000</v>
      </c>
      <c r="D42" s="146">
        <f>SUM(D39:D41)</f>
        <v>0</v>
      </c>
      <c r="E42" s="146">
        <f t="shared" ref="E42:T42" si="11">SUM(E40:E41)</f>
        <v>425000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1">
        <f>SUM(R40:R41)</f>
        <v>425000</v>
      </c>
      <c r="S42" s="150">
        <f t="shared" si="11"/>
        <v>425000</v>
      </c>
      <c r="T42" s="150">
        <f t="shared" si="11"/>
        <v>0</v>
      </c>
      <c r="U42" s="143"/>
    </row>
    <row r="43" spans="1:21" s="144" customFormat="1">
      <c r="A43" s="149" t="s">
        <v>149</v>
      </c>
      <c r="B43" s="146">
        <f>SUM(C43:D43)</f>
        <v>0</v>
      </c>
      <c r="C43" s="147"/>
      <c r="D43" s="147"/>
      <c r="E43" s="147"/>
      <c r="F43" s="147"/>
      <c r="G43" s="147"/>
      <c r="H43" s="147"/>
      <c r="I43" s="147"/>
      <c r="J43" s="147"/>
      <c r="K43" s="147"/>
      <c r="L43" s="147"/>
      <c r="M43" s="147"/>
      <c r="N43" s="147"/>
      <c r="O43" s="147"/>
      <c r="P43" s="147"/>
      <c r="Q43" s="147"/>
      <c r="R43" s="551">
        <f>SUM(E43:Q43)</f>
        <v>0</v>
      </c>
      <c r="S43" s="147"/>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2">SUM(C45+D45)</f>
        <v>1117882</v>
      </c>
      <c r="C45" s="147">
        <v>1117882</v>
      </c>
      <c r="D45" s="147"/>
      <c r="E45" s="147">
        <f>B45-SUM(F45:K45)</f>
        <v>1117882</v>
      </c>
      <c r="F45" s="147"/>
      <c r="G45" s="147"/>
      <c r="H45" s="147"/>
      <c r="I45" s="147"/>
      <c r="J45" s="147"/>
      <c r="K45" s="147"/>
      <c r="L45" s="147"/>
      <c r="M45" s="147"/>
      <c r="N45" s="147"/>
      <c r="O45" s="147"/>
      <c r="P45" s="147"/>
      <c r="Q45" s="147"/>
      <c r="R45" s="551">
        <f t="shared" ref="R45:R53" si="13">SUM(E45:Q45)</f>
        <v>1117882</v>
      </c>
      <c r="S45" s="147">
        <v>237678</v>
      </c>
      <c r="T45" s="147"/>
      <c r="U45" s="143"/>
    </row>
    <row r="46" spans="1:21" s="144" customFormat="1">
      <c r="A46" s="145" t="s">
        <v>152</v>
      </c>
      <c r="B46" s="146">
        <f t="shared" si="12"/>
        <v>135633</v>
      </c>
      <c r="C46" s="147">
        <v>135633</v>
      </c>
      <c r="D46" s="147"/>
      <c r="E46" s="147">
        <f t="shared" ref="E46:E53" si="14">B46-SUM(F46:K46)</f>
        <v>135633</v>
      </c>
      <c r="F46" s="147"/>
      <c r="G46" s="147"/>
      <c r="H46" s="147"/>
      <c r="I46" s="147"/>
      <c r="J46" s="147"/>
      <c r="K46" s="147"/>
      <c r="L46" s="147"/>
      <c r="M46" s="147"/>
      <c r="N46" s="147"/>
      <c r="O46" s="147"/>
      <c r="P46" s="147"/>
      <c r="Q46" s="147"/>
      <c r="R46" s="551">
        <f t="shared" si="13"/>
        <v>135633</v>
      </c>
      <c r="S46" s="147">
        <v>40648</v>
      </c>
      <c r="T46" s="147"/>
      <c r="U46" s="143"/>
    </row>
    <row r="47" spans="1:21" s="144" customFormat="1">
      <c r="A47" s="198" t="s">
        <v>153</v>
      </c>
      <c r="B47" s="146">
        <f t="shared" si="12"/>
        <v>0</v>
      </c>
      <c r="C47" s="147"/>
      <c r="D47" s="147"/>
      <c r="E47" s="147">
        <f t="shared" si="14"/>
        <v>0</v>
      </c>
      <c r="F47" s="147"/>
      <c r="G47" s="147"/>
      <c r="H47" s="147"/>
      <c r="I47" s="147"/>
      <c r="J47" s="147"/>
      <c r="K47" s="147"/>
      <c r="L47" s="147"/>
      <c r="M47" s="147"/>
      <c r="N47" s="147"/>
      <c r="O47" s="147"/>
      <c r="P47" s="147"/>
      <c r="Q47" s="147"/>
      <c r="R47" s="551">
        <f t="shared" si="13"/>
        <v>0</v>
      </c>
      <c r="S47" s="147"/>
      <c r="T47" s="147"/>
      <c r="U47" s="143"/>
    </row>
    <row r="48" spans="1:21" s="144" customFormat="1">
      <c r="A48" s="145" t="s">
        <v>154</v>
      </c>
      <c r="B48" s="146">
        <f t="shared" si="12"/>
        <v>0</v>
      </c>
      <c r="C48" s="147"/>
      <c r="D48" s="147"/>
      <c r="E48" s="147">
        <f t="shared" si="14"/>
        <v>0</v>
      </c>
      <c r="F48" s="147"/>
      <c r="G48" s="147"/>
      <c r="H48" s="147"/>
      <c r="I48" s="147"/>
      <c r="J48" s="147"/>
      <c r="K48" s="147"/>
      <c r="L48" s="147"/>
      <c r="M48" s="147"/>
      <c r="N48" s="147"/>
      <c r="O48" s="147"/>
      <c r="P48" s="147"/>
      <c r="Q48" s="147"/>
      <c r="R48" s="551">
        <f t="shared" si="13"/>
        <v>0</v>
      </c>
      <c r="S48" s="147"/>
      <c r="T48" s="147"/>
      <c r="U48" s="143"/>
    </row>
    <row r="49" spans="1:21" s="144" customFormat="1">
      <c r="A49" s="145" t="s">
        <v>57</v>
      </c>
      <c r="B49" s="146">
        <f t="shared" si="12"/>
        <v>0</v>
      </c>
      <c r="C49" s="147"/>
      <c r="D49" s="147"/>
      <c r="E49" s="147">
        <f t="shared" si="14"/>
        <v>0</v>
      </c>
      <c r="F49" s="147"/>
      <c r="G49" s="147"/>
      <c r="H49" s="147"/>
      <c r="I49" s="147"/>
      <c r="J49" s="147"/>
      <c r="K49" s="147"/>
      <c r="L49" s="147"/>
      <c r="M49" s="147"/>
      <c r="N49" s="147"/>
      <c r="O49" s="147"/>
      <c r="P49" s="147"/>
      <c r="Q49" s="147"/>
      <c r="R49" s="551">
        <f t="shared" si="13"/>
        <v>0</v>
      </c>
      <c r="S49" s="147"/>
      <c r="T49" s="147"/>
      <c r="U49" s="143"/>
    </row>
    <row r="50" spans="1:21" s="144" customFormat="1">
      <c r="A50" s="145" t="s">
        <v>157</v>
      </c>
      <c r="B50" s="146">
        <f t="shared" si="12"/>
        <v>50000</v>
      </c>
      <c r="C50" s="147">
        <f>85000-C58</f>
        <v>50000</v>
      </c>
      <c r="D50" s="147"/>
      <c r="E50" s="147">
        <f t="shared" si="14"/>
        <v>50000</v>
      </c>
      <c r="F50" s="147"/>
      <c r="G50" s="147"/>
      <c r="H50" s="147"/>
      <c r="I50" s="147"/>
      <c r="J50" s="147"/>
      <c r="K50" s="147"/>
      <c r="L50" s="147"/>
      <c r="M50" s="147"/>
      <c r="N50" s="147"/>
      <c r="O50" s="147"/>
      <c r="P50" s="147"/>
      <c r="Q50" s="147"/>
      <c r="R50" s="551">
        <f t="shared" si="13"/>
        <v>50000</v>
      </c>
      <c r="S50" s="147">
        <v>25000</v>
      </c>
      <c r="T50" s="147"/>
      <c r="U50" s="143"/>
    </row>
    <row r="51" spans="1:21" s="144" customFormat="1">
      <c r="A51" s="304" t="s">
        <v>155</v>
      </c>
      <c r="B51" s="146">
        <f t="shared" si="12"/>
        <v>0</v>
      </c>
      <c r="C51" s="147"/>
      <c r="D51" s="147"/>
      <c r="E51" s="147">
        <f t="shared" si="14"/>
        <v>0</v>
      </c>
      <c r="F51" s="147"/>
      <c r="G51" s="147"/>
      <c r="H51" s="147"/>
      <c r="I51" s="147"/>
      <c r="J51" s="147"/>
      <c r="K51" s="147"/>
      <c r="L51" s="147"/>
      <c r="M51" s="147"/>
      <c r="N51" s="147"/>
      <c r="O51" s="147"/>
      <c r="P51" s="147"/>
      <c r="Q51" s="147"/>
      <c r="R51" s="551">
        <f t="shared" si="13"/>
        <v>0</v>
      </c>
      <c r="S51" s="147"/>
      <c r="T51" s="147"/>
      <c r="U51" s="143"/>
    </row>
    <row r="52" spans="1:21" s="144" customFormat="1">
      <c r="A52" s="145" t="s">
        <v>156</v>
      </c>
      <c r="B52" s="146">
        <f t="shared" si="12"/>
        <v>153844</v>
      </c>
      <c r="C52" s="147">
        <v>153844</v>
      </c>
      <c r="D52" s="147"/>
      <c r="E52" s="147">
        <f t="shared" si="14"/>
        <v>153844</v>
      </c>
      <c r="F52" s="147"/>
      <c r="G52" s="147"/>
      <c r="H52" s="147"/>
      <c r="I52" s="147"/>
      <c r="J52" s="147"/>
      <c r="K52" s="147"/>
      <c r="L52" s="147"/>
      <c r="M52" s="147"/>
      <c r="N52" s="147"/>
      <c r="O52" s="147"/>
      <c r="P52" s="147"/>
      <c r="Q52" s="147"/>
      <c r="R52" s="551">
        <f t="shared" si="13"/>
        <v>153844</v>
      </c>
      <c r="S52" s="147">
        <f>B52</f>
        <v>153844</v>
      </c>
      <c r="T52" s="147"/>
      <c r="U52" s="143"/>
    </row>
    <row r="53" spans="1:21" s="144" customFormat="1">
      <c r="A53" s="1202" t="s">
        <v>2721</v>
      </c>
      <c r="B53" s="146">
        <f t="shared" si="12"/>
        <v>50000</v>
      </c>
      <c r="C53" s="147">
        <v>50000</v>
      </c>
      <c r="D53" s="147"/>
      <c r="E53" s="147">
        <f t="shared" si="14"/>
        <v>50000</v>
      </c>
      <c r="F53" s="147"/>
      <c r="G53" s="147"/>
      <c r="H53" s="147"/>
      <c r="I53" s="147"/>
      <c r="J53" s="147"/>
      <c r="K53" s="147"/>
      <c r="L53" s="147"/>
      <c r="M53" s="147"/>
      <c r="N53" s="147"/>
      <c r="O53" s="147"/>
      <c r="P53" s="147"/>
      <c r="Q53" s="147"/>
      <c r="R53" s="551">
        <f t="shared" si="13"/>
        <v>50000</v>
      </c>
      <c r="S53" s="147">
        <f>B53</f>
        <v>50000</v>
      </c>
      <c r="T53" s="147"/>
      <c r="U53" s="143"/>
    </row>
    <row r="54" spans="1:21" s="153" customFormat="1">
      <c r="A54" s="149" t="s">
        <v>158</v>
      </c>
      <c r="B54" s="150">
        <f>SUM(C54:D54)</f>
        <v>1507359</v>
      </c>
      <c r="C54" s="150">
        <f t="shared" ref="C54:T54" si="15">SUM(C45:C53)</f>
        <v>1507359</v>
      </c>
      <c r="D54" s="150">
        <f t="shared" si="15"/>
        <v>0</v>
      </c>
      <c r="E54" s="150">
        <f t="shared" si="15"/>
        <v>1507359</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71">
        <f t="shared" si="15"/>
        <v>1507359</v>
      </c>
      <c r="S54" s="150">
        <f t="shared" si="15"/>
        <v>507170</v>
      </c>
      <c r="T54" s="150">
        <f t="shared" si="15"/>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6">SUM(C56+D56)</f>
        <v>62842</v>
      </c>
      <c r="C56" s="147">
        <v>62842</v>
      </c>
      <c r="D56" s="147"/>
      <c r="E56" s="147">
        <f>B56-SUM(F56:K56)</f>
        <v>62842</v>
      </c>
      <c r="F56" s="147"/>
      <c r="G56" s="147"/>
      <c r="H56" s="147"/>
      <c r="I56" s="147"/>
      <c r="J56" s="147"/>
      <c r="K56" s="147"/>
      <c r="L56" s="147"/>
      <c r="M56" s="147"/>
      <c r="N56" s="147"/>
      <c r="O56" s="147"/>
      <c r="P56" s="147"/>
      <c r="Q56" s="147"/>
      <c r="R56" s="551">
        <f t="shared" ref="R56:R61" si="17">SUM(E56:Q56)</f>
        <v>62842</v>
      </c>
      <c r="S56" s="148"/>
      <c r="T56" s="148"/>
      <c r="U56" s="143"/>
    </row>
    <row r="57" spans="1:21" s="204" customFormat="1">
      <c r="A57" s="198" t="s">
        <v>153</v>
      </c>
      <c r="B57" s="205">
        <f t="shared" si="16"/>
        <v>0</v>
      </c>
      <c r="C57" s="202"/>
      <c r="D57" s="202"/>
      <c r="E57" s="202">
        <f t="shared" ref="E57:E61" si="18">B57-SUM(F57:K57)</f>
        <v>0</v>
      </c>
      <c r="F57" s="202"/>
      <c r="G57" s="202"/>
      <c r="H57" s="202"/>
      <c r="I57" s="202"/>
      <c r="J57" s="202"/>
      <c r="K57" s="202"/>
      <c r="L57" s="202"/>
      <c r="M57" s="202"/>
      <c r="N57" s="202"/>
      <c r="O57" s="202"/>
      <c r="P57" s="202"/>
      <c r="Q57" s="202"/>
      <c r="R57" s="551">
        <f t="shared" si="17"/>
        <v>0</v>
      </c>
      <c r="S57" s="206"/>
      <c r="T57" s="206"/>
      <c r="U57" s="203"/>
    </row>
    <row r="58" spans="1:21" s="144" customFormat="1">
      <c r="A58" s="145" t="s">
        <v>157</v>
      </c>
      <c r="B58" s="146">
        <f t="shared" si="16"/>
        <v>35000</v>
      </c>
      <c r="C58" s="147">
        <v>35000</v>
      </c>
      <c r="D58" s="147"/>
      <c r="E58" s="147">
        <f t="shared" si="18"/>
        <v>35000</v>
      </c>
      <c r="F58" s="147"/>
      <c r="G58" s="147"/>
      <c r="H58" s="147"/>
      <c r="I58" s="147"/>
      <c r="J58" s="147"/>
      <c r="K58" s="147"/>
      <c r="L58" s="147"/>
      <c r="M58" s="147"/>
      <c r="N58" s="147"/>
      <c r="O58" s="147"/>
      <c r="P58" s="147"/>
      <c r="Q58" s="147"/>
      <c r="R58" s="551">
        <f t="shared" si="17"/>
        <v>35000</v>
      </c>
      <c r="S58" s="148"/>
      <c r="T58" s="148"/>
      <c r="U58" s="143"/>
    </row>
    <row r="59" spans="1:21" s="144" customFormat="1">
      <c r="A59" s="304" t="s">
        <v>155</v>
      </c>
      <c r="B59" s="146">
        <f t="shared" si="16"/>
        <v>0</v>
      </c>
      <c r="C59" s="147"/>
      <c r="D59" s="147"/>
      <c r="E59" s="147">
        <f t="shared" si="18"/>
        <v>0</v>
      </c>
      <c r="F59" s="147"/>
      <c r="G59" s="147"/>
      <c r="H59" s="147"/>
      <c r="I59" s="147"/>
      <c r="J59" s="147"/>
      <c r="K59" s="147"/>
      <c r="L59" s="147"/>
      <c r="M59" s="147"/>
      <c r="N59" s="147"/>
      <c r="O59" s="147"/>
      <c r="P59" s="147"/>
      <c r="Q59" s="147"/>
      <c r="R59" s="551">
        <f t="shared" si="17"/>
        <v>0</v>
      </c>
      <c r="S59" s="148"/>
      <c r="T59" s="148"/>
      <c r="U59" s="143"/>
    </row>
    <row r="60" spans="1:21" s="144" customFormat="1">
      <c r="A60" s="145" t="s">
        <v>156</v>
      </c>
      <c r="B60" s="146">
        <f t="shared" si="16"/>
        <v>0</v>
      </c>
      <c r="C60" s="147"/>
      <c r="D60" s="147"/>
      <c r="E60" s="147">
        <f t="shared" si="18"/>
        <v>0</v>
      </c>
      <c r="F60" s="147"/>
      <c r="G60" s="147"/>
      <c r="H60" s="147"/>
      <c r="I60" s="147"/>
      <c r="J60" s="147"/>
      <c r="K60" s="147"/>
      <c r="L60" s="147"/>
      <c r="M60" s="147"/>
      <c r="N60" s="147"/>
      <c r="O60" s="147"/>
      <c r="P60" s="147"/>
      <c r="Q60" s="147"/>
      <c r="R60" s="551">
        <f t="shared" si="17"/>
        <v>0</v>
      </c>
      <c r="S60" s="148"/>
      <c r="T60" s="148"/>
      <c r="U60" s="143"/>
    </row>
    <row r="61" spans="1:21" s="144" customFormat="1">
      <c r="A61" s="1202" t="s">
        <v>34</v>
      </c>
      <c r="B61" s="146">
        <f t="shared" si="16"/>
        <v>0</v>
      </c>
      <c r="C61" s="147"/>
      <c r="D61" s="147"/>
      <c r="E61" s="147">
        <f t="shared" si="18"/>
        <v>0</v>
      </c>
      <c r="F61" s="147"/>
      <c r="G61" s="147"/>
      <c r="H61" s="147"/>
      <c r="I61" s="147"/>
      <c r="J61" s="147"/>
      <c r="K61" s="147"/>
      <c r="L61" s="147"/>
      <c r="M61" s="147"/>
      <c r="N61" s="147"/>
      <c r="O61" s="147"/>
      <c r="P61" s="147"/>
      <c r="Q61" s="147"/>
      <c r="R61" s="551">
        <f t="shared" si="17"/>
        <v>0</v>
      </c>
      <c r="S61" s="148"/>
      <c r="T61" s="148"/>
      <c r="U61" s="143"/>
    </row>
    <row r="62" spans="1:21" s="144" customFormat="1" ht="13.7" customHeight="1">
      <c r="A62" s="149" t="s">
        <v>303</v>
      </c>
      <c r="B62" s="146">
        <f>SUM(C62:D62)</f>
        <v>97842</v>
      </c>
      <c r="C62" s="146">
        <f t="shared" ref="C62:R62" si="19">SUM(C56:C61)</f>
        <v>97842</v>
      </c>
      <c r="D62" s="146">
        <f t="shared" si="19"/>
        <v>0</v>
      </c>
      <c r="E62" s="146">
        <f t="shared" si="19"/>
        <v>97842</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71">
        <f t="shared" si="19"/>
        <v>97842</v>
      </c>
      <c r="S62" s="148"/>
      <c r="T62" s="148"/>
      <c r="U62" s="143"/>
    </row>
    <row r="63" spans="1:21" s="144" customFormat="1">
      <c r="A63" s="154" t="s">
        <v>304</v>
      </c>
      <c r="B63" s="146">
        <f t="shared" ref="B63:R63" si="20">SUM(B8+B11+B13+B14+B15+B26+B27+B38+B42+B43+B54+B62)</f>
        <v>35435419</v>
      </c>
      <c r="C63" s="146">
        <f t="shared" si="20"/>
        <v>35435419</v>
      </c>
      <c r="D63" s="146">
        <f t="shared" si="20"/>
        <v>0</v>
      </c>
      <c r="E63" s="146">
        <f t="shared" si="20"/>
        <v>9596323</v>
      </c>
      <c r="F63" s="146">
        <f t="shared" si="20"/>
        <v>6284216</v>
      </c>
      <c r="G63" s="146">
        <f t="shared" si="20"/>
        <v>18804880</v>
      </c>
      <c r="H63" s="146">
        <f t="shared" si="20"/>
        <v>750000</v>
      </c>
      <c r="I63" s="146">
        <f t="shared" si="20"/>
        <v>0</v>
      </c>
      <c r="J63" s="146">
        <f t="shared" si="20"/>
        <v>0</v>
      </c>
      <c r="K63" s="146">
        <f t="shared" si="20"/>
        <v>0</v>
      </c>
      <c r="L63" s="146">
        <f t="shared" si="20"/>
        <v>0</v>
      </c>
      <c r="M63" s="146">
        <f t="shared" si="20"/>
        <v>0</v>
      </c>
      <c r="N63" s="146">
        <f t="shared" si="20"/>
        <v>0</v>
      </c>
      <c r="O63" s="146">
        <f t="shared" si="20"/>
        <v>0</v>
      </c>
      <c r="P63" s="146">
        <f t="shared" si="20"/>
        <v>0</v>
      </c>
      <c r="Q63" s="146">
        <f t="shared" si="20"/>
        <v>0</v>
      </c>
      <c r="R63" s="371">
        <f t="shared" si="20"/>
        <v>35435419</v>
      </c>
      <c r="S63" s="146">
        <f>SUM(S10+S13+S14+S15+S26+S27+S38+S42+S43+S54)</f>
        <v>9568986</v>
      </c>
      <c r="T63" s="146">
        <f>SUM(T11+T13+T14+T15+T26+T27+T38+T42+T43+T54)</f>
        <v>23494598</v>
      </c>
      <c r="U63" s="143"/>
    </row>
    <row r="64" spans="1:21" s="144" customFormat="1" ht="24">
      <c r="A64" s="141" t="s">
        <v>1824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290000</v>
      </c>
      <c r="C65" s="147">
        <v>290000</v>
      </c>
      <c r="D65" s="147"/>
      <c r="E65" s="147">
        <f>B65-SUM(F65:K65)</f>
        <v>290000</v>
      </c>
      <c r="F65" s="147"/>
      <c r="G65" s="147"/>
      <c r="H65" s="147"/>
      <c r="I65" s="147"/>
      <c r="J65" s="147"/>
      <c r="K65" s="147"/>
      <c r="L65" s="147"/>
      <c r="M65" s="147"/>
      <c r="N65" s="147"/>
      <c r="O65" s="147"/>
      <c r="P65" s="147"/>
      <c r="Q65" s="147"/>
      <c r="R65" s="551">
        <f>SUM(E65:Q65)</f>
        <v>290000</v>
      </c>
      <c r="S65" s="147">
        <v>20000</v>
      </c>
      <c r="T65" s="147"/>
      <c r="U65" s="143"/>
    </row>
    <row r="66" spans="1:21" s="144" customFormat="1" ht="24" customHeight="1">
      <c r="A66" s="304" t="s">
        <v>1821</v>
      </c>
      <c r="B66" s="146">
        <f>SUM(C66+D66)</f>
        <v>150000</v>
      </c>
      <c r="C66" s="147">
        <v>150000</v>
      </c>
      <c r="D66" s="147"/>
      <c r="E66" s="147">
        <f t="shared" ref="E66:E69" si="21">B66-SUM(F66:K66)</f>
        <v>150000</v>
      </c>
      <c r="F66" s="147"/>
      <c r="G66" s="147"/>
      <c r="H66" s="147"/>
      <c r="I66" s="147"/>
      <c r="J66" s="147"/>
      <c r="K66" s="147"/>
      <c r="L66" s="147"/>
      <c r="M66" s="147"/>
      <c r="N66" s="147"/>
      <c r="O66" s="147"/>
      <c r="P66" s="147"/>
      <c r="Q66" s="147"/>
      <c r="R66" s="551">
        <f>SUM(E66:Q66)</f>
        <v>150000</v>
      </c>
      <c r="S66" s="147">
        <f>B66</f>
        <v>150000</v>
      </c>
      <c r="T66" s="147"/>
      <c r="U66" s="143"/>
    </row>
    <row r="67" spans="1:21" s="144" customFormat="1" ht="24" customHeight="1">
      <c r="A67" s="304" t="s">
        <v>1822</v>
      </c>
      <c r="B67" s="146">
        <f>SUM(C67+D67)</f>
        <v>100000</v>
      </c>
      <c r="C67" s="147">
        <v>100000</v>
      </c>
      <c r="D67" s="147"/>
      <c r="E67" s="147">
        <f t="shared" si="21"/>
        <v>100000</v>
      </c>
      <c r="F67" s="147"/>
      <c r="G67" s="147"/>
      <c r="H67" s="147"/>
      <c r="I67" s="147"/>
      <c r="J67" s="147"/>
      <c r="K67" s="147"/>
      <c r="L67" s="147"/>
      <c r="M67" s="147"/>
      <c r="N67" s="147"/>
      <c r="O67" s="147"/>
      <c r="P67" s="147"/>
      <c r="Q67" s="147"/>
      <c r="R67" s="551">
        <f>SUM(E67:Q67)</f>
        <v>100000</v>
      </c>
      <c r="S67" s="147">
        <f t="shared" ref="S67:S69" si="22">B67</f>
        <v>100000</v>
      </c>
      <c r="T67" s="147"/>
      <c r="U67" s="143"/>
    </row>
    <row r="68" spans="1:21" s="144" customFormat="1" ht="12" customHeight="1">
      <c r="A68" s="304" t="s">
        <v>1828</v>
      </c>
      <c r="B68" s="146">
        <f>SUM(C68+D68)</f>
        <v>0</v>
      </c>
      <c r="C68" s="147"/>
      <c r="D68" s="147"/>
      <c r="E68" s="147">
        <f t="shared" si="21"/>
        <v>0</v>
      </c>
      <c r="F68" s="147"/>
      <c r="G68" s="147"/>
      <c r="H68" s="147"/>
      <c r="I68" s="147"/>
      <c r="J68" s="147"/>
      <c r="K68" s="147"/>
      <c r="L68" s="147"/>
      <c r="M68" s="147"/>
      <c r="N68" s="147"/>
      <c r="O68" s="147"/>
      <c r="P68" s="147"/>
      <c r="Q68" s="147"/>
      <c r="R68" s="551">
        <f>SUM(E68:Q68)</f>
        <v>0</v>
      </c>
      <c r="S68" s="147">
        <f t="shared" si="22"/>
        <v>0</v>
      </c>
      <c r="T68" s="147"/>
      <c r="U68" s="143"/>
    </row>
    <row r="69" spans="1:21" s="144" customFormat="1">
      <c r="A69" s="1202" t="s">
        <v>34</v>
      </c>
      <c r="B69" s="146">
        <f>SUM(C69+D69)</f>
        <v>0</v>
      </c>
      <c r="C69" s="147"/>
      <c r="D69" s="147"/>
      <c r="E69" s="147">
        <f t="shared" si="21"/>
        <v>0</v>
      </c>
      <c r="F69" s="147"/>
      <c r="G69" s="147"/>
      <c r="H69" s="147"/>
      <c r="I69" s="147"/>
      <c r="J69" s="147"/>
      <c r="K69" s="147"/>
      <c r="L69" s="147"/>
      <c r="M69" s="147"/>
      <c r="N69" s="147"/>
      <c r="O69" s="147"/>
      <c r="P69" s="147"/>
      <c r="Q69" s="147"/>
      <c r="R69" s="551">
        <f>SUM(E69:Q69)</f>
        <v>0</v>
      </c>
      <c r="S69" s="147">
        <f t="shared" si="22"/>
        <v>0</v>
      </c>
      <c r="T69" s="147"/>
      <c r="U69" s="143"/>
    </row>
    <row r="70" spans="1:21" s="144" customFormat="1">
      <c r="A70" s="149" t="s">
        <v>1825</v>
      </c>
      <c r="B70" s="146">
        <f>SUM(C70:D70)</f>
        <v>540000</v>
      </c>
      <c r="C70" s="146">
        <f>SUM(C65:C69)</f>
        <v>540000</v>
      </c>
      <c r="D70" s="146">
        <f>SUM(D65:D69)</f>
        <v>0</v>
      </c>
      <c r="E70" s="146">
        <f t="shared" ref="E70:T70" si="23">SUM(E65:E69)</f>
        <v>540000</v>
      </c>
      <c r="F70" s="146">
        <f t="shared" si="23"/>
        <v>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71">
        <f t="shared" si="23"/>
        <v>540000</v>
      </c>
      <c r="S70" s="150">
        <f t="shared" si="23"/>
        <v>270000</v>
      </c>
      <c r="T70" s="150">
        <f t="shared" si="23"/>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f>B72-SUM(F72:K72)</f>
        <v>0</v>
      </c>
      <c r="F72" s="147"/>
      <c r="G72" s="147"/>
      <c r="H72" s="147"/>
      <c r="I72" s="147"/>
      <c r="J72" s="147"/>
      <c r="K72" s="147"/>
      <c r="L72" s="147"/>
      <c r="M72" s="147"/>
      <c r="N72" s="147"/>
      <c r="O72" s="147"/>
      <c r="P72" s="147"/>
      <c r="Q72" s="147"/>
      <c r="R72" s="551">
        <f>SUM(E72:Q72)</f>
        <v>0</v>
      </c>
      <c r="S72" s="148"/>
      <c r="T72" s="148"/>
      <c r="U72" s="143"/>
    </row>
    <row r="73" spans="1:21" s="144" customFormat="1">
      <c r="A73" s="145" t="s">
        <v>613</v>
      </c>
      <c r="B73" s="146">
        <f>SUM(C73+D73)</f>
        <v>0</v>
      </c>
      <c r="C73" s="147"/>
      <c r="D73" s="147"/>
      <c r="E73" s="147">
        <f t="shared" ref="E73:E76" si="24">B73-SUM(F73:K73)</f>
        <v>0</v>
      </c>
      <c r="F73" s="147"/>
      <c r="G73" s="147"/>
      <c r="H73" s="147"/>
      <c r="I73" s="147"/>
      <c r="J73" s="147"/>
      <c r="K73" s="147"/>
      <c r="L73" s="147"/>
      <c r="M73" s="147"/>
      <c r="N73" s="147"/>
      <c r="O73" s="147"/>
      <c r="P73" s="147"/>
      <c r="Q73" s="147"/>
      <c r="R73" s="551">
        <f>SUM(E73:Q73)</f>
        <v>0</v>
      </c>
      <c r="S73" s="148"/>
      <c r="T73" s="148"/>
      <c r="U73" s="143"/>
    </row>
    <row r="74" spans="1:21" s="144" customFormat="1">
      <c r="A74" s="485" t="s">
        <v>1040</v>
      </c>
      <c r="B74" s="146">
        <f>SUM(C74+D74)</f>
        <v>0</v>
      </c>
      <c r="C74" s="147"/>
      <c r="D74" s="147"/>
      <c r="E74" s="147">
        <f t="shared" si="24"/>
        <v>0</v>
      </c>
      <c r="F74" s="147"/>
      <c r="G74" s="147"/>
      <c r="H74" s="147"/>
      <c r="I74" s="147"/>
      <c r="J74" s="147"/>
      <c r="K74" s="147"/>
      <c r="L74" s="147"/>
      <c r="M74" s="147"/>
      <c r="N74" s="147"/>
      <c r="O74" s="147"/>
      <c r="P74" s="147"/>
      <c r="Q74" s="147"/>
      <c r="R74" s="551">
        <f>SUM(E74:Q74)</f>
        <v>0</v>
      </c>
      <c r="S74" s="148"/>
      <c r="T74" s="148"/>
      <c r="U74" s="143"/>
    </row>
    <row r="75" spans="1:21" s="144" customFormat="1">
      <c r="A75" s="145" t="s">
        <v>614</v>
      </c>
      <c r="B75" s="146">
        <f>SUM(C75+D75)</f>
        <v>293749.23339101876</v>
      </c>
      <c r="C75" s="147">
        <f>Application!AC870</f>
        <v>293749.23339101876</v>
      </c>
      <c r="D75" s="147"/>
      <c r="E75" s="147">
        <f t="shared" si="24"/>
        <v>293749.23339101876</v>
      </c>
      <c r="F75" s="147"/>
      <c r="G75" s="147"/>
      <c r="H75" s="147"/>
      <c r="I75" s="147"/>
      <c r="J75" s="147"/>
      <c r="K75" s="147"/>
      <c r="L75" s="147"/>
      <c r="M75" s="147"/>
      <c r="N75" s="147"/>
      <c r="O75" s="147"/>
      <c r="P75" s="147"/>
      <c r="Q75" s="147"/>
      <c r="R75" s="551">
        <f>SUM(E75:Q75)</f>
        <v>293749.23339101876</v>
      </c>
      <c r="S75" s="148"/>
      <c r="T75" s="148"/>
      <c r="U75" s="143"/>
    </row>
    <row r="76" spans="1:21" s="144" customFormat="1">
      <c r="A76" s="1202" t="s">
        <v>34</v>
      </c>
      <c r="B76" s="146">
        <f>SUM(C76+D76)</f>
        <v>0</v>
      </c>
      <c r="C76" s="147"/>
      <c r="D76" s="147"/>
      <c r="E76" s="147">
        <f t="shared" si="24"/>
        <v>0</v>
      </c>
      <c r="F76" s="147"/>
      <c r="G76" s="147"/>
      <c r="H76" s="147"/>
      <c r="I76" s="147"/>
      <c r="J76" s="147"/>
      <c r="K76" s="147"/>
      <c r="L76" s="147"/>
      <c r="M76" s="147"/>
      <c r="N76" s="147"/>
      <c r="O76" s="147"/>
      <c r="P76" s="147"/>
      <c r="Q76" s="147"/>
      <c r="R76" s="551">
        <f>SUM(E76:Q76)</f>
        <v>0</v>
      </c>
      <c r="S76" s="148"/>
      <c r="T76" s="148"/>
      <c r="U76" s="143"/>
    </row>
    <row r="77" spans="1:21" s="144" customFormat="1">
      <c r="A77" s="149" t="s">
        <v>615</v>
      </c>
      <c r="B77" s="146">
        <f>SUM(C77:D77)</f>
        <v>293749.23339101876</v>
      </c>
      <c r="C77" s="146">
        <f>SUM(C72:C76)</f>
        <v>293749.23339101876</v>
      </c>
      <c r="D77" s="146">
        <f>SUM(D72:D76)</f>
        <v>0</v>
      </c>
      <c r="E77" s="146">
        <f t="shared" ref="E77:Q77" si="25">SUM(E72:E76)</f>
        <v>293749.23339101876</v>
      </c>
      <c r="F77" s="146">
        <f t="shared" si="25"/>
        <v>0</v>
      </c>
      <c r="G77" s="146">
        <f t="shared" si="25"/>
        <v>0</v>
      </c>
      <c r="H77" s="146">
        <f t="shared" si="25"/>
        <v>0</v>
      </c>
      <c r="I77" s="146">
        <f t="shared" si="25"/>
        <v>0</v>
      </c>
      <c r="J77" s="146">
        <f t="shared" si="25"/>
        <v>0</v>
      </c>
      <c r="K77" s="146">
        <f t="shared" si="25"/>
        <v>0</v>
      </c>
      <c r="L77" s="146">
        <f t="shared" si="25"/>
        <v>0</v>
      </c>
      <c r="M77" s="146">
        <f t="shared" si="25"/>
        <v>0</v>
      </c>
      <c r="N77" s="146">
        <f t="shared" si="25"/>
        <v>0</v>
      </c>
      <c r="O77" s="146">
        <f t="shared" si="25"/>
        <v>0</v>
      </c>
      <c r="P77" s="146">
        <f t="shared" si="25"/>
        <v>0</v>
      </c>
      <c r="Q77" s="146">
        <f t="shared" si="25"/>
        <v>0</v>
      </c>
      <c r="R77" s="371">
        <f>SUM(R72:R76)</f>
        <v>293749.23339101876</v>
      </c>
      <c r="S77" s="148"/>
      <c r="T77" s="148"/>
      <c r="U77" s="143"/>
    </row>
    <row r="78" spans="1:21" s="144" customFormat="1">
      <c r="A78" s="141" t="s">
        <v>1353</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1355</v>
      </c>
      <c r="B79" s="146">
        <f>SUM(C79:D79)</f>
        <v>777654</v>
      </c>
      <c r="C79" s="147">
        <v>777654</v>
      </c>
      <c r="D79" s="147"/>
      <c r="E79" s="147">
        <f>B79-SUM(F79:K79)</f>
        <v>777654</v>
      </c>
      <c r="F79" s="147"/>
      <c r="G79" s="147"/>
      <c r="H79" s="147"/>
      <c r="I79" s="147"/>
      <c r="J79" s="147"/>
      <c r="K79" s="147"/>
      <c r="L79" s="147"/>
      <c r="M79" s="147"/>
      <c r="N79" s="147"/>
      <c r="O79" s="147"/>
      <c r="P79" s="147"/>
      <c r="Q79" s="147"/>
      <c r="R79" s="551">
        <f>SUM(E79:Q79)</f>
        <v>777654</v>
      </c>
      <c r="S79" s="147">
        <f>B79</f>
        <v>777654</v>
      </c>
      <c r="T79" s="147"/>
      <c r="U79" s="143"/>
    </row>
    <row r="80" spans="1:21" s="144" customFormat="1">
      <c r="A80" s="304" t="s">
        <v>58</v>
      </c>
      <c r="B80" s="146">
        <f>SUM(C80:D80)</f>
        <v>650000</v>
      </c>
      <c r="C80" s="147">
        <v>650000</v>
      </c>
      <c r="D80" s="147"/>
      <c r="E80" s="147">
        <f>B80-SUM(F80:K80)</f>
        <v>650000</v>
      </c>
      <c r="F80" s="147"/>
      <c r="G80" s="147"/>
      <c r="H80" s="147"/>
      <c r="I80" s="147"/>
      <c r="J80" s="147"/>
      <c r="K80" s="147"/>
      <c r="L80" s="147"/>
      <c r="M80" s="147"/>
      <c r="N80" s="147"/>
      <c r="O80" s="147"/>
      <c r="P80" s="147"/>
      <c r="Q80" s="147"/>
      <c r="R80" s="551">
        <f>SUM(E80:Q80)</f>
        <v>650000</v>
      </c>
      <c r="S80" s="147">
        <v>50000</v>
      </c>
      <c r="T80" s="147"/>
      <c r="U80" s="143"/>
    </row>
    <row r="81" spans="1:21" s="144" customFormat="1">
      <c r="A81" s="149" t="s">
        <v>1352</v>
      </c>
      <c r="B81" s="146">
        <f>SUM(C81:D81)</f>
        <v>1427654</v>
      </c>
      <c r="C81" s="544">
        <f>SUM(C79:C80)</f>
        <v>1427654</v>
      </c>
      <c r="D81" s="544">
        <f t="shared" ref="D81:T81" si="26">SUM(D79:D80)</f>
        <v>0</v>
      </c>
      <c r="E81" s="544">
        <f t="shared" si="26"/>
        <v>1427654</v>
      </c>
      <c r="F81" s="544">
        <f t="shared" si="26"/>
        <v>0</v>
      </c>
      <c r="G81" s="544">
        <f t="shared" si="26"/>
        <v>0</v>
      </c>
      <c r="H81" s="544">
        <f t="shared" si="26"/>
        <v>0</v>
      </c>
      <c r="I81" s="544">
        <f t="shared" si="26"/>
        <v>0</v>
      </c>
      <c r="J81" s="544">
        <f t="shared" si="26"/>
        <v>0</v>
      </c>
      <c r="K81" s="544">
        <f t="shared" si="26"/>
        <v>0</v>
      </c>
      <c r="L81" s="544">
        <f t="shared" si="26"/>
        <v>0</v>
      </c>
      <c r="M81" s="544">
        <f t="shared" si="26"/>
        <v>0</v>
      </c>
      <c r="N81" s="544">
        <f t="shared" si="26"/>
        <v>0</v>
      </c>
      <c r="O81" s="544">
        <f t="shared" si="26"/>
        <v>0</v>
      </c>
      <c r="P81" s="544">
        <f t="shared" si="26"/>
        <v>0</v>
      </c>
      <c r="Q81" s="544">
        <f t="shared" si="26"/>
        <v>0</v>
      </c>
      <c r="R81" s="544">
        <f t="shared" si="26"/>
        <v>1427654</v>
      </c>
      <c r="S81" s="544">
        <f t="shared" si="26"/>
        <v>827654</v>
      </c>
      <c r="T81" s="544">
        <f t="shared" si="26"/>
        <v>0</v>
      </c>
      <c r="U81" s="143"/>
    </row>
    <row r="82" spans="1:21" s="144" customFormat="1">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2512</v>
      </c>
      <c r="B83" s="146">
        <f t="shared" ref="B83:B95" si="27">SUM(C83+D83)</f>
        <v>50631</v>
      </c>
      <c r="C83" s="147">
        <f>48159+102472-100000</f>
        <v>50631</v>
      </c>
      <c r="D83" s="147"/>
      <c r="E83" s="147">
        <f>B83-SUM(F83:K83)</f>
        <v>50631</v>
      </c>
      <c r="F83" s="147"/>
      <c r="G83" s="147"/>
      <c r="H83" s="147"/>
      <c r="I83" s="147"/>
      <c r="J83" s="147"/>
      <c r="K83" s="147"/>
      <c r="L83" s="147"/>
      <c r="M83" s="147"/>
      <c r="N83" s="147"/>
      <c r="O83" s="147"/>
      <c r="P83" s="147"/>
      <c r="Q83" s="147"/>
      <c r="R83" s="551">
        <f t="shared" ref="R83:R95" si="28">SUM(E83:Q83)</f>
        <v>50631</v>
      </c>
      <c r="S83" s="148"/>
      <c r="T83" s="148"/>
      <c r="U83" s="143"/>
    </row>
    <row r="84" spans="1:21" s="144" customFormat="1">
      <c r="A84" s="145" t="s">
        <v>791</v>
      </c>
      <c r="B84" s="146">
        <f t="shared" si="27"/>
        <v>0</v>
      </c>
      <c r="C84" s="147"/>
      <c r="D84" s="147"/>
      <c r="E84" s="147">
        <f t="shared" ref="E84:E95" si="29">B84-SUM(F84:K84)</f>
        <v>0</v>
      </c>
      <c r="F84" s="147"/>
      <c r="G84" s="147"/>
      <c r="H84" s="147"/>
      <c r="I84" s="147"/>
      <c r="J84" s="147"/>
      <c r="K84" s="147"/>
      <c r="L84" s="147"/>
      <c r="M84" s="147"/>
      <c r="N84" s="147"/>
      <c r="O84" s="147"/>
      <c r="P84" s="147"/>
      <c r="Q84" s="147"/>
      <c r="R84" s="551">
        <f t="shared" si="28"/>
        <v>0</v>
      </c>
      <c r="S84" s="147"/>
      <c r="T84" s="147"/>
      <c r="U84" s="143"/>
    </row>
    <row r="85" spans="1:21" s="144" customFormat="1">
      <c r="A85" s="145" t="s">
        <v>792</v>
      </c>
      <c r="B85" s="146">
        <f t="shared" si="27"/>
        <v>0</v>
      </c>
      <c r="C85" s="147"/>
      <c r="D85" s="147"/>
      <c r="E85" s="147">
        <f t="shared" si="29"/>
        <v>0</v>
      </c>
      <c r="F85" s="147"/>
      <c r="G85" s="147"/>
      <c r="H85" s="147"/>
      <c r="I85" s="147"/>
      <c r="J85" s="147"/>
      <c r="K85" s="147"/>
      <c r="L85" s="147"/>
      <c r="M85" s="147"/>
      <c r="N85" s="147"/>
      <c r="O85" s="147"/>
      <c r="P85" s="147"/>
      <c r="Q85" s="147"/>
      <c r="R85" s="551">
        <f t="shared" si="28"/>
        <v>0</v>
      </c>
      <c r="S85" s="147"/>
      <c r="T85" s="147"/>
      <c r="U85" s="143"/>
    </row>
    <row r="86" spans="1:21" s="144" customFormat="1">
      <c r="A86" s="145" t="s">
        <v>793</v>
      </c>
      <c r="B86" s="146">
        <f t="shared" si="27"/>
        <v>0</v>
      </c>
      <c r="C86" s="147"/>
      <c r="D86" s="147"/>
      <c r="E86" s="147">
        <f t="shared" si="29"/>
        <v>0</v>
      </c>
      <c r="F86" s="147"/>
      <c r="G86" s="147"/>
      <c r="H86" s="147"/>
      <c r="I86" s="147"/>
      <c r="J86" s="147"/>
      <c r="K86" s="147"/>
      <c r="L86" s="147"/>
      <c r="M86" s="147"/>
      <c r="N86" s="147"/>
      <c r="O86" s="147"/>
      <c r="P86" s="147"/>
      <c r="Q86" s="147"/>
      <c r="R86" s="551">
        <f t="shared" si="28"/>
        <v>0</v>
      </c>
      <c r="S86" s="147"/>
      <c r="T86" s="147"/>
      <c r="U86" s="143"/>
    </row>
    <row r="87" spans="1:21" s="144" customFormat="1">
      <c r="A87" s="145" t="s">
        <v>794</v>
      </c>
      <c r="B87" s="146">
        <f t="shared" si="27"/>
        <v>0</v>
      </c>
      <c r="C87" s="147"/>
      <c r="D87" s="147"/>
      <c r="E87" s="147">
        <f t="shared" si="29"/>
        <v>0</v>
      </c>
      <c r="F87" s="147"/>
      <c r="G87" s="147"/>
      <c r="H87" s="147"/>
      <c r="I87" s="147"/>
      <c r="J87" s="147"/>
      <c r="K87" s="147"/>
      <c r="L87" s="147"/>
      <c r="M87" s="147"/>
      <c r="N87" s="147"/>
      <c r="O87" s="147"/>
      <c r="P87" s="147"/>
      <c r="Q87" s="147"/>
      <c r="R87" s="551">
        <f t="shared" si="28"/>
        <v>0</v>
      </c>
      <c r="S87" s="147"/>
      <c r="T87" s="147"/>
      <c r="U87" s="143"/>
    </row>
    <row r="88" spans="1:21" s="144" customFormat="1">
      <c r="A88" s="145" t="s">
        <v>795</v>
      </c>
      <c r="B88" s="146">
        <f t="shared" si="27"/>
        <v>100000</v>
      </c>
      <c r="C88" s="147">
        <v>100000</v>
      </c>
      <c r="D88" s="147"/>
      <c r="E88" s="147">
        <f t="shared" si="29"/>
        <v>100000</v>
      </c>
      <c r="F88" s="147"/>
      <c r="G88" s="147"/>
      <c r="H88" s="147"/>
      <c r="I88" s="147"/>
      <c r="J88" s="147"/>
      <c r="K88" s="147"/>
      <c r="L88" s="147"/>
      <c r="M88" s="147"/>
      <c r="N88" s="147"/>
      <c r="O88" s="147"/>
      <c r="P88" s="147"/>
      <c r="Q88" s="147"/>
      <c r="R88" s="551">
        <f t="shared" si="28"/>
        <v>100000</v>
      </c>
      <c r="S88" s="148"/>
      <c r="T88" s="148"/>
      <c r="U88" s="143"/>
    </row>
    <row r="89" spans="1:21" s="144" customFormat="1">
      <c r="A89" s="145" t="s">
        <v>796</v>
      </c>
      <c r="B89" s="146">
        <f t="shared" si="27"/>
        <v>50000</v>
      </c>
      <c r="C89" s="147">
        <v>50000</v>
      </c>
      <c r="D89" s="147"/>
      <c r="E89" s="147">
        <f t="shared" si="29"/>
        <v>50000</v>
      </c>
      <c r="F89" s="147"/>
      <c r="G89" s="147"/>
      <c r="H89" s="147"/>
      <c r="I89" s="147"/>
      <c r="J89" s="147"/>
      <c r="K89" s="147"/>
      <c r="L89" s="147"/>
      <c r="M89" s="147"/>
      <c r="N89" s="147"/>
      <c r="O89" s="147"/>
      <c r="P89" s="147"/>
      <c r="Q89" s="147"/>
      <c r="R89" s="551">
        <f t="shared" si="28"/>
        <v>50000</v>
      </c>
      <c r="S89" s="147">
        <f>B89</f>
        <v>50000</v>
      </c>
      <c r="T89" s="147"/>
      <c r="U89" s="143"/>
    </row>
    <row r="90" spans="1:21" s="144" customFormat="1">
      <c r="A90" s="145" t="s">
        <v>797</v>
      </c>
      <c r="B90" s="146">
        <f t="shared" si="27"/>
        <v>12500</v>
      </c>
      <c r="C90" s="147">
        <v>12500</v>
      </c>
      <c r="D90" s="147"/>
      <c r="E90" s="147">
        <f t="shared" si="29"/>
        <v>12500</v>
      </c>
      <c r="F90" s="147"/>
      <c r="G90" s="147"/>
      <c r="H90" s="147"/>
      <c r="I90" s="147"/>
      <c r="J90" s="147"/>
      <c r="K90" s="147"/>
      <c r="L90" s="147"/>
      <c r="M90" s="147"/>
      <c r="N90" s="147"/>
      <c r="O90" s="147"/>
      <c r="P90" s="147"/>
      <c r="Q90" s="147"/>
      <c r="R90" s="551">
        <f t="shared" si="28"/>
        <v>12500</v>
      </c>
      <c r="S90" s="147">
        <f>B90</f>
        <v>12500</v>
      </c>
      <c r="T90" s="147"/>
      <c r="U90" s="143"/>
    </row>
    <row r="91" spans="1:21" s="144" customFormat="1">
      <c r="A91" s="145" t="s">
        <v>374</v>
      </c>
      <c r="B91" s="146">
        <f t="shared" si="27"/>
        <v>35000</v>
      </c>
      <c r="C91" s="147">
        <v>35000</v>
      </c>
      <c r="D91" s="147"/>
      <c r="E91" s="147">
        <f t="shared" si="29"/>
        <v>35000</v>
      </c>
      <c r="F91" s="147"/>
      <c r="G91" s="147"/>
      <c r="H91" s="147"/>
      <c r="I91" s="147"/>
      <c r="J91" s="147"/>
      <c r="K91" s="147"/>
      <c r="L91" s="147"/>
      <c r="M91" s="147"/>
      <c r="N91" s="147"/>
      <c r="O91" s="147"/>
      <c r="P91" s="147"/>
      <c r="Q91" s="147"/>
      <c r="R91" s="551">
        <f t="shared" si="28"/>
        <v>35000</v>
      </c>
      <c r="S91" s="147">
        <f t="shared" ref="S91:S95" si="30">B91</f>
        <v>35000</v>
      </c>
      <c r="T91" s="147"/>
      <c r="U91" s="143"/>
    </row>
    <row r="92" spans="1:21" s="144" customFormat="1">
      <c r="A92" s="304" t="s">
        <v>1354</v>
      </c>
      <c r="B92" s="146">
        <f t="shared" si="27"/>
        <v>0</v>
      </c>
      <c r="C92" s="147"/>
      <c r="D92" s="147"/>
      <c r="E92" s="147">
        <f t="shared" si="29"/>
        <v>0</v>
      </c>
      <c r="F92" s="147"/>
      <c r="G92" s="147"/>
      <c r="H92" s="147"/>
      <c r="I92" s="147"/>
      <c r="J92" s="147"/>
      <c r="K92" s="147"/>
      <c r="L92" s="147"/>
      <c r="M92" s="147"/>
      <c r="N92" s="147"/>
      <c r="O92" s="147"/>
      <c r="P92" s="147"/>
      <c r="Q92" s="147"/>
      <c r="R92" s="551">
        <f t="shared" si="28"/>
        <v>0</v>
      </c>
      <c r="S92" s="147">
        <f t="shared" si="30"/>
        <v>0</v>
      </c>
      <c r="T92" s="147"/>
      <c r="U92" s="143"/>
    </row>
    <row r="93" spans="1:21" s="144" customFormat="1">
      <c r="A93" s="1202" t="s">
        <v>2724</v>
      </c>
      <c r="B93" s="146">
        <f t="shared" si="27"/>
        <v>10000</v>
      </c>
      <c r="C93" s="147">
        <v>10000</v>
      </c>
      <c r="D93" s="147"/>
      <c r="E93" s="147">
        <f t="shared" si="29"/>
        <v>10000</v>
      </c>
      <c r="F93" s="147"/>
      <c r="G93" s="147"/>
      <c r="H93" s="147"/>
      <c r="I93" s="147"/>
      <c r="J93" s="147"/>
      <c r="K93" s="147"/>
      <c r="L93" s="147"/>
      <c r="M93" s="147"/>
      <c r="N93" s="147"/>
      <c r="O93" s="147"/>
      <c r="P93" s="147"/>
      <c r="Q93" s="147"/>
      <c r="R93" s="551">
        <f t="shared" si="28"/>
        <v>10000</v>
      </c>
      <c r="S93" s="147">
        <f t="shared" si="30"/>
        <v>10000</v>
      </c>
      <c r="T93" s="147"/>
      <c r="U93" s="143"/>
    </row>
    <row r="94" spans="1:21" s="144" customFormat="1">
      <c r="A94" s="1202" t="s">
        <v>2725</v>
      </c>
      <c r="B94" s="146">
        <f t="shared" si="27"/>
        <v>15000</v>
      </c>
      <c r="C94" s="147">
        <v>15000</v>
      </c>
      <c r="D94" s="147"/>
      <c r="E94" s="147">
        <f t="shared" si="29"/>
        <v>15000</v>
      </c>
      <c r="F94" s="147"/>
      <c r="G94" s="147"/>
      <c r="H94" s="147"/>
      <c r="I94" s="147"/>
      <c r="J94" s="147"/>
      <c r="K94" s="147"/>
      <c r="L94" s="147"/>
      <c r="M94" s="147"/>
      <c r="N94" s="147"/>
      <c r="O94" s="147"/>
      <c r="P94" s="147"/>
      <c r="Q94" s="147"/>
      <c r="R94" s="551">
        <f t="shared" si="28"/>
        <v>15000</v>
      </c>
      <c r="S94" s="147">
        <f t="shared" si="30"/>
        <v>15000</v>
      </c>
      <c r="T94" s="147"/>
      <c r="U94" s="143"/>
    </row>
    <row r="95" spans="1:21" s="144" customFormat="1">
      <c r="A95" s="1202" t="s">
        <v>2726</v>
      </c>
      <c r="B95" s="146">
        <f t="shared" si="27"/>
        <v>150000</v>
      </c>
      <c r="C95" s="147">
        <v>150000</v>
      </c>
      <c r="D95" s="147"/>
      <c r="E95" s="147">
        <f t="shared" si="29"/>
        <v>150000</v>
      </c>
      <c r="F95" s="147"/>
      <c r="G95" s="147"/>
      <c r="H95" s="147"/>
      <c r="I95" s="147"/>
      <c r="J95" s="147"/>
      <c r="K95" s="147"/>
      <c r="L95" s="147"/>
      <c r="M95" s="147"/>
      <c r="N95" s="147"/>
      <c r="O95" s="147"/>
      <c r="P95" s="147"/>
      <c r="Q95" s="147"/>
      <c r="R95" s="551">
        <f t="shared" si="28"/>
        <v>150000</v>
      </c>
      <c r="S95" s="147">
        <f t="shared" si="30"/>
        <v>150000</v>
      </c>
      <c r="T95" s="147"/>
      <c r="U95" s="143"/>
    </row>
    <row r="96" spans="1:21" s="144" customFormat="1">
      <c r="A96" s="149" t="s">
        <v>798</v>
      </c>
      <c r="B96" s="146">
        <f>SUM(C96:D96)</f>
        <v>423131</v>
      </c>
      <c r="C96" s="146">
        <f t="shared" ref="C96:R96" si="31">SUM(C83:C95)</f>
        <v>423131</v>
      </c>
      <c r="D96" s="146">
        <f t="shared" si="31"/>
        <v>0</v>
      </c>
      <c r="E96" s="146">
        <f t="shared" si="31"/>
        <v>423131</v>
      </c>
      <c r="F96" s="146">
        <f t="shared" si="31"/>
        <v>0</v>
      </c>
      <c r="G96" s="146">
        <f t="shared" si="31"/>
        <v>0</v>
      </c>
      <c r="H96" s="146">
        <f t="shared" si="31"/>
        <v>0</v>
      </c>
      <c r="I96" s="146">
        <f t="shared" si="31"/>
        <v>0</v>
      </c>
      <c r="J96" s="146">
        <f t="shared" si="31"/>
        <v>0</v>
      </c>
      <c r="K96" s="146">
        <f t="shared" si="31"/>
        <v>0</v>
      </c>
      <c r="L96" s="146">
        <f t="shared" si="31"/>
        <v>0</v>
      </c>
      <c r="M96" s="146">
        <f t="shared" si="31"/>
        <v>0</v>
      </c>
      <c r="N96" s="146">
        <f t="shared" si="31"/>
        <v>0</v>
      </c>
      <c r="O96" s="146">
        <f t="shared" si="31"/>
        <v>0</v>
      </c>
      <c r="P96" s="146">
        <f t="shared" si="31"/>
        <v>0</v>
      </c>
      <c r="Q96" s="146">
        <f t="shared" si="31"/>
        <v>0</v>
      </c>
      <c r="R96" s="371">
        <f t="shared" si="31"/>
        <v>423131</v>
      </c>
      <c r="S96" s="150">
        <f>SUM(S84:S87,S89:S95)</f>
        <v>272500</v>
      </c>
      <c r="T96" s="146">
        <f>SUM(T84:T87,T89:T95)</f>
        <v>0</v>
      </c>
      <c r="U96" s="143"/>
    </row>
    <row r="97" spans="1:21" s="144" customFormat="1">
      <c r="A97" s="149" t="s">
        <v>799</v>
      </c>
      <c r="B97" s="146">
        <f>SUM(C97:D97)</f>
        <v>38119953.233391017</v>
      </c>
      <c r="C97" s="146">
        <f t="shared" ref="C97:R97" si="32">SUM(C63+C70+C77+C81+C96)</f>
        <v>38119953.233391017</v>
      </c>
      <c r="D97" s="146">
        <f t="shared" si="32"/>
        <v>0</v>
      </c>
      <c r="E97" s="146">
        <f t="shared" si="32"/>
        <v>12280857.233391019</v>
      </c>
      <c r="F97" s="146">
        <f t="shared" si="32"/>
        <v>6284216</v>
      </c>
      <c r="G97" s="146">
        <f t="shared" si="32"/>
        <v>18804880</v>
      </c>
      <c r="H97" s="146">
        <f t="shared" si="32"/>
        <v>750000</v>
      </c>
      <c r="I97" s="146">
        <f t="shared" si="32"/>
        <v>0</v>
      </c>
      <c r="J97" s="146">
        <f t="shared" si="32"/>
        <v>0</v>
      </c>
      <c r="K97" s="146">
        <f t="shared" si="32"/>
        <v>0</v>
      </c>
      <c r="L97" s="146">
        <f t="shared" si="32"/>
        <v>0</v>
      </c>
      <c r="M97" s="146">
        <f t="shared" si="32"/>
        <v>0</v>
      </c>
      <c r="N97" s="146">
        <f t="shared" si="32"/>
        <v>0</v>
      </c>
      <c r="O97" s="146">
        <f t="shared" si="32"/>
        <v>0</v>
      </c>
      <c r="P97" s="146">
        <f t="shared" si="32"/>
        <v>0</v>
      </c>
      <c r="Q97" s="146">
        <f t="shared" si="32"/>
        <v>0</v>
      </c>
      <c r="R97" s="146">
        <f t="shared" si="32"/>
        <v>38119953.233391017</v>
      </c>
      <c r="S97" s="146">
        <f>SUM(S63+S70+S81+S96)</f>
        <v>10939140</v>
      </c>
      <c r="T97" s="146">
        <f>SUM(T63+T70+T81+T96)</f>
        <v>23494598</v>
      </c>
      <c r="U97" s="143"/>
    </row>
    <row r="98" spans="1:21" s="144" customFormat="1">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2815600.9000000004</v>
      </c>
      <c r="C99" s="1016">
        <f>SUM(S99:T99)</f>
        <v>2815600.9000000004</v>
      </c>
      <c r="D99" s="1016"/>
      <c r="E99" s="1016">
        <f>B99-SUM(F99:K99)</f>
        <v>1993831.7666089851</v>
      </c>
      <c r="F99" s="147"/>
      <c r="G99" s="147"/>
      <c r="H99" s="147"/>
      <c r="I99" s="147">
        <f>I108</f>
        <v>821769.13339101523</v>
      </c>
      <c r="J99" s="147"/>
      <c r="K99" s="147"/>
      <c r="L99" s="147"/>
      <c r="M99" s="147"/>
      <c r="N99" s="147"/>
      <c r="O99" s="147"/>
      <c r="P99" s="147"/>
      <c r="Q99" s="147"/>
      <c r="R99" s="551">
        <f>SUM(E99:Q99)</f>
        <v>2815600.9000000004</v>
      </c>
      <c r="S99" s="147">
        <f>S97*15%</f>
        <v>1640871</v>
      </c>
      <c r="T99" s="147">
        <f>T97*5%</f>
        <v>1174729.9000000001</v>
      </c>
      <c r="U99" s="143"/>
    </row>
    <row r="100" spans="1:21" s="144" customFormat="1">
      <c r="A100" s="304" t="s">
        <v>1826</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802</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1827</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803</v>
      </c>
      <c r="B104" s="146">
        <f>SUM(C104:D104)</f>
        <v>2815600.9000000004</v>
      </c>
      <c r="C104" s="146">
        <f>SUM(C99:C103)</f>
        <v>2815600.9000000004</v>
      </c>
      <c r="D104" s="146">
        <f t="shared" ref="D104:T104" si="33">SUM(D99:D103)</f>
        <v>0</v>
      </c>
      <c r="E104" s="146">
        <f t="shared" si="33"/>
        <v>1993831.7666089851</v>
      </c>
      <c r="F104" s="146">
        <f t="shared" si="33"/>
        <v>0</v>
      </c>
      <c r="G104" s="146">
        <f t="shared" si="33"/>
        <v>0</v>
      </c>
      <c r="H104" s="146">
        <f t="shared" si="33"/>
        <v>0</v>
      </c>
      <c r="I104" s="146">
        <f t="shared" si="33"/>
        <v>821769.13339101523</v>
      </c>
      <c r="J104" s="146">
        <f t="shared" si="33"/>
        <v>0</v>
      </c>
      <c r="K104" s="146">
        <f t="shared" si="33"/>
        <v>0</v>
      </c>
      <c r="L104" s="146">
        <f t="shared" si="33"/>
        <v>0</v>
      </c>
      <c r="M104" s="146">
        <f t="shared" si="33"/>
        <v>0</v>
      </c>
      <c r="N104" s="146">
        <f t="shared" si="33"/>
        <v>0</v>
      </c>
      <c r="O104" s="146">
        <f t="shared" si="33"/>
        <v>0</v>
      </c>
      <c r="P104" s="146">
        <f t="shared" si="33"/>
        <v>0</v>
      </c>
      <c r="Q104" s="146">
        <f t="shared" si="33"/>
        <v>0</v>
      </c>
      <c r="R104" s="371">
        <f t="shared" si="33"/>
        <v>2815600.9000000004</v>
      </c>
      <c r="S104" s="150">
        <f t="shared" si="33"/>
        <v>1640871</v>
      </c>
      <c r="T104" s="150">
        <f t="shared" si="33"/>
        <v>1174729.9000000001</v>
      </c>
      <c r="U104" s="143"/>
    </row>
    <row r="105" spans="1:21" s="144" customFormat="1">
      <c r="A105" s="149" t="s">
        <v>804</v>
      </c>
      <c r="B105" s="150">
        <f>SUM(C105:D105)</f>
        <v>40935554.133391015</v>
      </c>
      <c r="C105" s="150">
        <f t="shared" ref="C105:R105" si="34">SUM(C97+C104)</f>
        <v>40935554.133391015</v>
      </c>
      <c r="D105" s="150">
        <f t="shared" si="34"/>
        <v>0</v>
      </c>
      <c r="E105" s="150">
        <f t="shared" si="34"/>
        <v>14274689.000000004</v>
      </c>
      <c r="F105" s="150">
        <f t="shared" si="34"/>
        <v>6284216</v>
      </c>
      <c r="G105" s="150">
        <f t="shared" si="34"/>
        <v>18804880</v>
      </c>
      <c r="H105" s="150">
        <f t="shared" si="34"/>
        <v>750000</v>
      </c>
      <c r="I105" s="150">
        <f t="shared" si="34"/>
        <v>821769.13339101523</v>
      </c>
      <c r="J105" s="150">
        <f t="shared" si="34"/>
        <v>0</v>
      </c>
      <c r="K105" s="150">
        <f t="shared" si="34"/>
        <v>0</v>
      </c>
      <c r="L105" s="150">
        <f t="shared" si="34"/>
        <v>0</v>
      </c>
      <c r="M105" s="150">
        <f t="shared" si="34"/>
        <v>0</v>
      </c>
      <c r="N105" s="150">
        <f t="shared" si="34"/>
        <v>0</v>
      </c>
      <c r="O105" s="150">
        <f t="shared" si="34"/>
        <v>0</v>
      </c>
      <c r="P105" s="150">
        <f t="shared" si="34"/>
        <v>0</v>
      </c>
      <c r="Q105" s="150">
        <f t="shared" si="34"/>
        <v>0</v>
      </c>
      <c r="R105" s="371">
        <f t="shared" si="34"/>
        <v>40935554.133391015</v>
      </c>
      <c r="S105" s="150">
        <f>S97+S104</f>
        <v>12580011</v>
      </c>
      <c r="T105" s="150">
        <f>T97+T104</f>
        <v>24669327.899999999</v>
      </c>
      <c r="U105" s="143"/>
    </row>
    <row r="106" spans="1:21">
      <c r="A106" s="549" t="s">
        <v>1081</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12580011</v>
      </c>
      <c r="T107" s="150">
        <f>T105+T106</f>
        <v>24669327.899999999</v>
      </c>
    </row>
    <row r="108" spans="1:21" s="201" customFormat="1">
      <c r="A108" s="162" t="s">
        <v>908</v>
      </c>
      <c r="B108" s="157"/>
      <c r="C108" s="157"/>
      <c r="D108" s="157"/>
      <c r="E108" s="323">
        <f>Application!AO636</f>
        <v>14274689</v>
      </c>
      <c r="F108" s="323">
        <f>Application!AO623</f>
        <v>6284216</v>
      </c>
      <c r="G108" s="323">
        <f>Application!AO624</f>
        <v>18804880</v>
      </c>
      <c r="H108" s="323">
        <f>Application!AO625</f>
        <v>750000</v>
      </c>
      <c r="I108" s="323">
        <f>Application!AO626</f>
        <v>821769.13339101523</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998</v>
      </c>
      <c r="B110" s="157"/>
      <c r="C110" s="157"/>
      <c r="D110" s="157"/>
    </row>
    <row r="111" spans="1:21">
      <c r="A111" s="156" t="s">
        <v>999</v>
      </c>
      <c r="B111" s="157"/>
      <c r="C111" s="157"/>
      <c r="D111" s="157"/>
    </row>
    <row r="112" spans="1:21" ht="12" customHeight="1">
      <c r="A112" s="336"/>
      <c r="B112" s="157"/>
      <c r="C112" s="157"/>
      <c r="D112" s="157"/>
    </row>
    <row r="113" spans="1:21">
      <c r="A113" s="156" t="s">
        <v>1077</v>
      </c>
      <c r="B113" s="157"/>
      <c r="C113" s="157"/>
      <c r="D113" s="157"/>
    </row>
    <row r="114" spans="1:21">
      <c r="A114" s="156" t="s">
        <v>2513</v>
      </c>
      <c r="B114" s="157"/>
      <c r="C114" s="157"/>
      <c r="D114" s="157"/>
    </row>
    <row r="115" spans="1:21" ht="12" customHeight="1">
      <c r="A115" s="336"/>
      <c r="B115" s="157"/>
      <c r="C115" s="157"/>
      <c r="D115" s="157"/>
    </row>
    <row r="116" spans="1:21">
      <c r="A116" s="374" t="s">
        <v>1083</v>
      </c>
      <c r="B116" s="157"/>
      <c r="C116" s="157"/>
      <c r="D116" s="157"/>
    </row>
    <row r="117" spans="1:21">
      <c r="A117" s="374" t="s">
        <v>1370</v>
      </c>
      <c r="B117" s="157"/>
      <c r="C117" s="157"/>
      <c r="D117" s="157"/>
    </row>
    <row r="118" spans="1:21">
      <c r="A118" s="374" t="s">
        <v>1082</v>
      </c>
      <c r="B118" s="157"/>
      <c r="C118" s="157"/>
      <c r="D118" s="157"/>
    </row>
    <row r="119" spans="1:21">
      <c r="A119" s="374" t="s">
        <v>1084</v>
      </c>
      <c r="B119" s="157"/>
      <c r="C119" s="157"/>
      <c r="D119" s="157"/>
    </row>
    <row r="120" spans="1:21" ht="12" customHeight="1">
      <c r="A120" s="373"/>
      <c r="B120" s="157"/>
      <c r="C120" s="157"/>
      <c r="D120" s="157"/>
    </row>
    <row r="121" spans="1:21" ht="15.75">
      <c r="A121" s="367" t="s">
        <v>1062</v>
      </c>
      <c r="B121" s="157"/>
      <c r="C121" s="157"/>
      <c r="D121" s="157"/>
    </row>
    <row r="122" spans="1:21">
      <c r="A122" s="354" t="s">
        <v>1046</v>
      </c>
      <c r="B122" s="353"/>
      <c r="C122" s="353"/>
      <c r="D122" s="1875" t="s">
        <v>1047</v>
      </c>
      <c r="E122" s="1875"/>
      <c r="F122" s="1875"/>
      <c r="G122" s="353"/>
      <c r="H122" s="353"/>
      <c r="I122" s="353"/>
      <c r="J122" s="353"/>
      <c r="K122" s="353"/>
      <c r="L122" s="353"/>
      <c r="M122" s="353"/>
      <c r="N122" s="353"/>
      <c r="O122" s="353"/>
      <c r="P122" s="353"/>
      <c r="Q122" s="353"/>
      <c r="R122" s="353"/>
      <c r="S122" s="353"/>
      <c r="T122" s="353"/>
      <c r="U122" s="355"/>
    </row>
    <row r="123" spans="1:21">
      <c r="A123" s="353" t="s">
        <v>1048</v>
      </c>
      <c r="B123" s="362"/>
      <c r="C123" s="353"/>
      <c r="D123" s="1866" t="s">
        <v>1371</v>
      </c>
      <c r="E123" s="1867"/>
      <c r="F123" s="1867"/>
      <c r="G123" s="1867"/>
      <c r="H123" s="1867"/>
      <c r="I123" s="1867"/>
      <c r="J123" s="1867"/>
      <c r="K123" s="1867"/>
      <c r="L123" s="1867"/>
      <c r="M123" s="1867"/>
      <c r="N123" s="1867"/>
      <c r="O123" s="1867"/>
      <c r="P123" s="1867"/>
      <c r="Q123" s="1867"/>
      <c r="R123" s="1867"/>
      <c r="S123" s="1867"/>
      <c r="T123" s="353"/>
      <c r="U123" s="355"/>
    </row>
    <row r="124" spans="1:21" ht="12.75">
      <c r="A124" s="117" t="s">
        <v>1049</v>
      </c>
      <c r="B124" s="362"/>
      <c r="C124" s="117"/>
      <c r="D124" s="1867"/>
      <c r="E124" s="1867"/>
      <c r="F124" s="1867"/>
      <c r="G124" s="1867"/>
      <c r="H124" s="1867"/>
      <c r="I124" s="1867"/>
      <c r="J124" s="1867"/>
      <c r="K124" s="1867"/>
      <c r="L124" s="1867"/>
      <c r="M124" s="1867"/>
      <c r="N124" s="1867"/>
      <c r="O124" s="1867"/>
      <c r="P124" s="1867"/>
      <c r="Q124" s="1867"/>
      <c r="R124" s="1867"/>
      <c r="S124" s="1867"/>
      <c r="T124" s="353"/>
      <c r="U124" s="355"/>
    </row>
    <row r="125" spans="1:21" ht="12.75">
      <c r="A125" s="117" t="s">
        <v>1050</v>
      </c>
      <c r="B125" s="362"/>
      <c r="C125" s="117"/>
      <c r="D125" s="1867"/>
      <c r="E125" s="1867"/>
      <c r="F125" s="1867"/>
      <c r="G125" s="1867"/>
      <c r="H125" s="1867"/>
      <c r="I125" s="1867"/>
      <c r="J125" s="1867"/>
      <c r="K125" s="1867"/>
      <c r="L125" s="1867"/>
      <c r="M125" s="1867"/>
      <c r="N125" s="1867"/>
      <c r="O125" s="1867"/>
      <c r="P125" s="1867"/>
      <c r="Q125" s="1867"/>
      <c r="R125" s="1867"/>
      <c r="S125" s="1867"/>
      <c r="T125" s="353"/>
      <c r="U125" s="355"/>
    </row>
    <row r="126" spans="1:21" ht="12.75">
      <c r="A126" s="117" t="s">
        <v>1051</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1052</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1053</v>
      </c>
      <c r="B128" s="362"/>
      <c r="C128" s="117"/>
      <c r="D128" s="1870"/>
      <c r="E128" s="1870"/>
      <c r="F128" s="1870"/>
      <c r="G128" s="1870"/>
      <c r="H128" s="1870"/>
      <c r="I128" s="117"/>
      <c r="J128" s="1865"/>
      <c r="K128" s="1865"/>
      <c r="L128" s="117"/>
      <c r="M128" s="117"/>
      <c r="N128" s="117"/>
      <c r="O128" s="117"/>
      <c r="P128" s="117"/>
      <c r="Q128" s="117"/>
      <c r="R128" s="117"/>
      <c r="S128" s="117"/>
      <c r="T128" s="353"/>
      <c r="U128" s="355"/>
    </row>
    <row r="129" spans="1:21" ht="12.75">
      <c r="A129" s="117" t="s">
        <v>302</v>
      </c>
      <c r="B129" s="362"/>
      <c r="C129" s="117"/>
      <c r="D129" s="1874" t="s">
        <v>1054</v>
      </c>
      <c r="E129" s="1874"/>
      <c r="F129" s="1874"/>
      <c r="G129" s="1874"/>
      <c r="H129" s="1874"/>
      <c r="I129" s="117"/>
      <c r="J129" s="117" t="s">
        <v>1055</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1056</v>
      </c>
      <c r="B131" s="363">
        <f>SUM(B123:B129)</f>
        <v>0</v>
      </c>
      <c r="C131" s="117"/>
      <c r="D131" s="1440"/>
      <c r="E131" s="1440"/>
      <c r="F131" s="1440"/>
      <c r="G131" s="1440"/>
      <c r="H131" s="1440"/>
      <c r="I131" s="117"/>
      <c r="J131" s="1440"/>
      <c r="K131" s="1440"/>
      <c r="L131" s="1440"/>
      <c r="M131" s="1440"/>
      <c r="N131" s="117"/>
      <c r="O131" s="117"/>
      <c r="P131" s="117"/>
      <c r="Q131" s="117"/>
      <c r="R131" s="117"/>
      <c r="S131" s="117"/>
      <c r="T131" s="353"/>
      <c r="U131" s="355"/>
    </row>
    <row r="132" spans="1:21" ht="12" customHeight="1">
      <c r="A132" s="365"/>
      <c r="B132" s="117"/>
      <c r="C132" s="117"/>
      <c r="D132" s="1868" t="s">
        <v>1057</v>
      </c>
      <c r="E132" s="1868"/>
      <c r="F132" s="1868"/>
      <c r="G132" s="1868"/>
      <c r="H132" s="1868"/>
      <c r="I132" s="117"/>
      <c r="J132" s="1868" t="s">
        <v>1058</v>
      </c>
      <c r="K132" s="1868"/>
      <c r="L132" s="1868"/>
      <c r="M132" s="1868"/>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1059</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1060</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9"/>
      <c r="B138" s="1870"/>
      <c r="C138" s="1870"/>
      <c r="D138" s="357"/>
      <c r="E138" s="1865"/>
      <c r="F138" s="1865"/>
      <c r="G138" s="117"/>
      <c r="H138" s="117"/>
      <c r="I138" s="117"/>
      <c r="J138" s="117"/>
      <c r="K138" s="117"/>
      <c r="L138" s="117"/>
      <c r="M138" s="117"/>
      <c r="N138" s="117"/>
      <c r="O138" s="117"/>
      <c r="P138" s="117"/>
      <c r="Q138" s="117"/>
      <c r="R138" s="117"/>
      <c r="S138" s="117"/>
      <c r="T138" s="359"/>
      <c r="U138" s="360"/>
    </row>
    <row r="139" spans="1:21" ht="12.75">
      <c r="A139" s="1864" t="s">
        <v>1061</v>
      </c>
      <c r="B139" s="1864"/>
      <c r="C139" s="1864"/>
      <c r="D139" s="357"/>
      <c r="E139" s="117" t="s">
        <v>1055</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3">
    <cfRule type="expression" dxfId="60" priority="6">
      <formula>AND(B53&gt;0,OR(A53="",A53="Other: (Specify)"))</formula>
    </cfRule>
  </conditionalFormatting>
  <conditionalFormatting sqref="A61">
    <cfRule type="expression" dxfId="59" priority="5">
      <formula>AND(B61&gt;0,OR(A61="",A61="Other: (Specify)"))</formula>
    </cfRule>
  </conditionalFormatting>
  <conditionalFormatting sqref="A69">
    <cfRule type="expression" dxfId="58" priority="4">
      <formula>AND(B69&gt;0,OR(A69="",A69="Other: (Specify)"))</formula>
    </cfRule>
  </conditionalFormatting>
  <conditionalFormatting sqref="A76">
    <cfRule type="expression" dxfId="57" priority="3">
      <formula>AND(B76&gt;0,OR(A76="",A76="Other: (Specify)"))</formula>
    </cfRule>
  </conditionalFormatting>
  <conditionalFormatting sqref="A93:A95">
    <cfRule type="expression" dxfId="56" priority="2">
      <formula>AND(B93&gt;0,OR(A93="",A93="Other: (Specify)"))</formula>
    </cfRule>
  </conditionalFormatting>
  <conditionalFormatting sqref="A103">
    <cfRule type="expression" dxfId="55" priority="1">
      <formula>AND(B103&gt;0,OR(A103="",A103="Other: (Specify)"))</formula>
    </cfRule>
  </conditionalFormatting>
  <conditionalFormatting sqref="C10">
    <cfRule type="expression" dxfId="54" priority="85">
      <formula>"(S10+T10)&gt;C10 "</formula>
    </cfRule>
  </conditionalFormatting>
  <conditionalFormatting sqref="E105:Q105">
    <cfRule type="cellIs" dxfId="53" priority="208" stopIfTrue="1" operator="notEqual">
      <formula>E$108</formula>
    </cfRule>
  </conditionalFormatting>
  <conditionalFormatting sqref="R4:R15">
    <cfRule type="cellIs" dxfId="52"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1"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0"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49"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8"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7"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6"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5"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4" priority="213" stopIfTrue="1" operator="notEqual">
      <formula>$B79</formula>
    </cfRule>
  </conditionalFormatting>
  <conditionalFormatting sqref="R83:R96">
    <cfRule type="cellIs" dxfId="43"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2"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1" priority="253" stopIfTrue="1">
      <formula>(S10+T10)&gt;C10</formula>
    </cfRule>
  </conditionalFormatting>
  <conditionalFormatting sqref="S13:S14">
    <cfRule type="expression" dxfId="40" priority="202" stopIfTrue="1">
      <formula>(S13+T13)&gt;C13</formula>
    </cfRule>
  </conditionalFormatting>
  <conditionalFormatting sqref="S17:S25">
    <cfRule type="expression" dxfId="39" priority="186" stopIfTrue="1">
      <formula>(S17+T17)&gt;C17</formula>
    </cfRule>
  </conditionalFormatting>
  <conditionalFormatting sqref="S27">
    <cfRule type="expression" dxfId="38" priority="179" stopIfTrue="1">
      <formula>(S27+T27)&gt;C27</formula>
    </cfRule>
  </conditionalFormatting>
  <conditionalFormatting sqref="S29:S37">
    <cfRule type="expression" dxfId="37" priority="169" stopIfTrue="1">
      <formula>(S29+T29)&gt;C29</formula>
    </cfRule>
  </conditionalFormatting>
  <conditionalFormatting sqref="S40:S41">
    <cfRule type="expression" dxfId="36" priority="160" stopIfTrue="1">
      <formula>(S40+T40)&gt;C40</formula>
    </cfRule>
  </conditionalFormatting>
  <conditionalFormatting sqref="S43">
    <cfRule type="expression" dxfId="35" priority="157" stopIfTrue="1">
      <formula>(S43+T43)&gt;C43</formula>
    </cfRule>
  </conditionalFormatting>
  <conditionalFormatting sqref="S45:S53">
    <cfRule type="expression" dxfId="34" priority="142" stopIfTrue="1">
      <formula>(S45+T45)&gt;C45</formula>
    </cfRule>
  </conditionalFormatting>
  <conditionalFormatting sqref="S65:S69">
    <cfRule type="expression" dxfId="33" priority="131" stopIfTrue="1">
      <formula>(S65+T65)&gt;C65</formula>
    </cfRule>
  </conditionalFormatting>
  <conditionalFormatting sqref="S79:S80">
    <cfRule type="expression" dxfId="32" priority="127" stopIfTrue="1">
      <formula>(S79+T79)&gt;C79</formula>
    </cfRule>
  </conditionalFormatting>
  <conditionalFormatting sqref="S84:S87">
    <cfRule type="expression" dxfId="31" priority="121" stopIfTrue="1">
      <formula>(S84+T84)&gt;C84</formula>
    </cfRule>
  </conditionalFormatting>
  <conditionalFormatting sqref="S89:S95">
    <cfRule type="expression" dxfId="30" priority="110" stopIfTrue="1">
      <formula>(S89+T89)&gt;C89</formula>
    </cfRule>
  </conditionalFormatting>
  <conditionalFormatting sqref="S99:S103">
    <cfRule type="expression" dxfId="29" priority="93" stopIfTrue="1">
      <formula>(S99+T99)&gt;C99</formula>
    </cfRule>
  </conditionalFormatting>
  <conditionalFormatting sqref="T9">
    <cfRule type="expression" dxfId="28" priority="254" stopIfTrue="1">
      <formula>T9&gt;C9</formula>
    </cfRule>
  </conditionalFormatting>
  <conditionalFormatting sqref="T10">
    <cfRule type="expression" dxfId="27" priority="83" stopIfTrue="1">
      <formula>(S10+T10)&gt;C10</formula>
    </cfRule>
  </conditionalFormatting>
  <conditionalFormatting sqref="T13:T14">
    <cfRule type="expression" dxfId="26" priority="80" stopIfTrue="1">
      <formula>(S13+T13)&gt;C13</formula>
    </cfRule>
  </conditionalFormatting>
  <conditionalFormatting sqref="T17:T25">
    <cfRule type="expression" dxfId="25" priority="56" stopIfTrue="1">
      <formula>(S17+T17)&gt;C17</formula>
    </cfRule>
  </conditionalFormatting>
  <conditionalFormatting sqref="T27">
    <cfRule type="expression" dxfId="24" priority="54" stopIfTrue="1">
      <formula>(S27+T27)&gt;C27</formula>
    </cfRule>
  </conditionalFormatting>
  <conditionalFormatting sqref="T29:T37">
    <cfRule type="expression" dxfId="23" priority="45" stopIfTrue="1">
      <formula>(S29+T29)&gt;C29</formula>
    </cfRule>
  </conditionalFormatting>
  <conditionalFormatting sqref="T40:T41">
    <cfRule type="expression" dxfId="22" priority="43" stopIfTrue="1">
      <formula>(S40+T40)&gt;C40</formula>
    </cfRule>
  </conditionalFormatting>
  <conditionalFormatting sqref="T43">
    <cfRule type="expression" dxfId="21" priority="42" stopIfTrue="1">
      <formula>(S43+T43)&gt;C43</formula>
    </cfRule>
  </conditionalFormatting>
  <conditionalFormatting sqref="T45:T53">
    <cfRule type="expression" dxfId="20" priority="32" stopIfTrue="1">
      <formula>(S45+T45)&gt;C45</formula>
    </cfRule>
  </conditionalFormatting>
  <conditionalFormatting sqref="T65:T69">
    <cfRule type="expression" dxfId="19" priority="30" stopIfTrue="1">
      <formula>(S65+T65)&gt;C65</formula>
    </cfRule>
  </conditionalFormatting>
  <conditionalFormatting sqref="T79:T80">
    <cfRule type="expression" dxfId="18" priority="28" stopIfTrue="1">
      <formula>(S79+T79)&gt;C79</formula>
    </cfRule>
  </conditionalFormatting>
  <conditionalFormatting sqref="T84:T87">
    <cfRule type="expression" dxfId="17" priority="24" stopIfTrue="1">
      <formula>(S84+T84)&gt;C84</formula>
    </cfRule>
  </conditionalFormatting>
  <conditionalFormatting sqref="T89:T95">
    <cfRule type="expression" dxfId="16" priority="17" stopIfTrue="1">
      <formula>(S89+T89)&gt;C89</formula>
    </cfRule>
  </conditionalFormatting>
  <conditionalFormatting sqref="T99:T103">
    <cfRule type="expression" dxfId="15"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78" t="s">
        <v>1374</v>
      </c>
      <c r="B1" s="1879"/>
      <c r="C1" s="1879"/>
      <c r="D1" s="1879"/>
      <c r="E1" s="1879"/>
      <c r="F1" s="1879"/>
      <c r="G1" s="1879"/>
      <c r="H1" s="1879"/>
      <c r="I1" s="1879"/>
      <c r="J1" s="1880"/>
      <c r="K1" s="387"/>
    </row>
    <row r="2" spans="1:11" s="433" customFormat="1" ht="72">
      <c r="A2" s="430"/>
      <c r="B2" s="431" t="s">
        <v>1088</v>
      </c>
      <c r="C2" s="431" t="s">
        <v>1376</v>
      </c>
      <c r="D2" s="431" t="s">
        <v>1377</v>
      </c>
      <c r="E2" s="431" t="s">
        <v>1299</v>
      </c>
      <c r="F2" s="431" t="s">
        <v>1378</v>
      </c>
      <c r="G2" s="431" t="s">
        <v>1379</v>
      </c>
      <c r="H2" s="431" t="s">
        <v>1089</v>
      </c>
      <c r="I2" s="431" t="s">
        <v>1380</v>
      </c>
      <c r="J2" s="431" t="s">
        <v>1381</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1273804</v>
      </c>
      <c r="C4" s="394"/>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602</v>
      </c>
      <c r="B8" s="393">
        <f>'Sources and Uses Budget'!C8</f>
        <v>1273804</v>
      </c>
      <c r="C8" s="393">
        <f>SUM(C4:C7)</f>
        <v>0</v>
      </c>
      <c r="D8" s="393">
        <f>SUM(D4:D7)</f>
        <v>0</v>
      </c>
      <c r="E8" s="395"/>
      <c r="F8" s="395"/>
      <c r="G8" s="395"/>
      <c r="H8" s="395"/>
      <c r="I8" s="395"/>
      <c r="J8" s="395"/>
      <c r="K8" s="391"/>
    </row>
    <row r="9" spans="1:11" s="392" customFormat="1">
      <c r="A9" s="396" t="s">
        <v>603</v>
      </c>
      <c r="B9" s="393">
        <f>'Sources and Uses Budget'!C9</f>
        <v>23494598</v>
      </c>
      <c r="C9" s="394"/>
      <c r="D9" s="394"/>
      <c r="E9" s="395"/>
      <c r="F9" s="395"/>
      <c r="G9" s="395"/>
      <c r="H9" s="393">
        <f>'Sources and Uses Budget'!T9</f>
        <v>23494598</v>
      </c>
      <c r="I9" s="394"/>
      <c r="J9" s="394"/>
      <c r="K9" s="391"/>
    </row>
    <row r="10" spans="1:11" s="392" customFormat="1">
      <c r="A10" s="396" t="s">
        <v>604</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605</v>
      </c>
      <c r="B11" s="393">
        <f>'Sources and Uses Budget'!C11</f>
        <v>23494598</v>
      </c>
      <c r="C11" s="393">
        <f>SUM(C9:C10)</f>
        <v>0</v>
      </c>
      <c r="D11" s="393">
        <f>SUM(D9:D10)</f>
        <v>0</v>
      </c>
      <c r="E11" s="395"/>
      <c r="F11" s="395"/>
      <c r="G11" s="395"/>
      <c r="H11" s="393">
        <f>'Sources and Uses Budget'!T11</f>
        <v>23494598</v>
      </c>
      <c r="I11" s="393">
        <f>SUM(I9:I10)</f>
        <v>0</v>
      </c>
      <c r="J11" s="393">
        <f>SUM(J9:J10)</f>
        <v>0</v>
      </c>
      <c r="K11" s="391"/>
    </row>
    <row r="12" spans="1:11" s="392" customFormat="1">
      <c r="A12" s="397" t="s">
        <v>85</v>
      </c>
      <c r="B12" s="393">
        <f>'Sources and Uses Budget'!C12</f>
        <v>24768402</v>
      </c>
      <c r="C12" s="393">
        <f>SUM(C8+C11)</f>
        <v>0</v>
      </c>
      <c r="D12" s="393">
        <f>SUM(D8+D11)</f>
        <v>0</v>
      </c>
      <c r="E12" s="395"/>
      <c r="F12" s="395"/>
      <c r="G12" s="395"/>
      <c r="H12" s="395"/>
      <c r="I12" s="395"/>
      <c r="J12" s="395"/>
      <c r="K12" s="391"/>
    </row>
    <row r="13" spans="1:11" s="392" customFormat="1">
      <c r="A13" s="398" t="s">
        <v>935</v>
      </c>
      <c r="B13" s="393">
        <f>'Sources and Uses Budget'!C13</f>
        <v>0</v>
      </c>
      <c r="C13" s="394"/>
      <c r="D13" s="394"/>
      <c r="E13" s="393">
        <f>'Sources and Uses Budget'!S13</f>
        <v>0</v>
      </c>
      <c r="F13" s="394"/>
      <c r="G13" s="394"/>
      <c r="H13" s="393">
        <f>'Sources and Uses Budget'!T13</f>
        <v>0</v>
      </c>
      <c r="I13" s="394"/>
      <c r="J13" s="394"/>
      <c r="K13" s="391"/>
    </row>
    <row r="14" spans="1:11" s="392" customFormat="1" ht="24">
      <c r="A14" s="396" t="s">
        <v>936</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1303</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606</v>
      </c>
      <c r="B16" s="390"/>
      <c r="C16" s="390"/>
      <c r="D16" s="390"/>
      <c r="E16" s="390"/>
      <c r="F16" s="390"/>
      <c r="G16" s="390"/>
      <c r="H16" s="390"/>
      <c r="I16" s="390"/>
      <c r="J16" s="390"/>
      <c r="K16" s="391"/>
    </row>
    <row r="17" spans="1:11" s="392" customFormat="1">
      <c r="A17" s="396" t="s">
        <v>607</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608</v>
      </c>
      <c r="B18" s="393">
        <f>'Sources and Uses Budget'!C18</f>
        <v>6747537</v>
      </c>
      <c r="C18" s="394"/>
      <c r="D18" s="394"/>
      <c r="E18" s="393">
        <f>'Sources and Uses Budget'!S18</f>
        <v>6747537</v>
      </c>
      <c r="F18" s="394"/>
      <c r="G18" s="394"/>
      <c r="H18" s="393">
        <f>'Sources and Uses Budget'!T18</f>
        <v>0</v>
      </c>
      <c r="I18" s="394"/>
      <c r="J18" s="394"/>
      <c r="K18" s="391"/>
    </row>
    <row r="19" spans="1:11" s="392" customFormat="1">
      <c r="A19" s="396" t="s">
        <v>609</v>
      </c>
      <c r="B19" s="393">
        <f>'Sources and Uses Budget'!C19</f>
        <v>539803</v>
      </c>
      <c r="C19" s="394"/>
      <c r="D19" s="394"/>
      <c r="E19" s="393">
        <f>'Sources and Uses Budget'!S19</f>
        <v>539803</v>
      </c>
      <c r="F19" s="394"/>
      <c r="G19" s="394"/>
      <c r="H19" s="393">
        <f>'Sources and Uses Budget'!T19</f>
        <v>0</v>
      </c>
      <c r="I19" s="394"/>
      <c r="J19" s="394"/>
      <c r="K19" s="391"/>
    </row>
    <row r="20" spans="1:11" s="392" customFormat="1">
      <c r="A20" s="396" t="s">
        <v>138</v>
      </c>
      <c r="B20" s="393">
        <f>'Sources and Uses Budget'!C20</f>
        <v>202426</v>
      </c>
      <c r="C20" s="394"/>
      <c r="D20" s="394"/>
      <c r="E20" s="393">
        <f>'Sources and Uses Budget'!S20</f>
        <v>202426</v>
      </c>
      <c r="F20" s="394"/>
      <c r="G20" s="394"/>
      <c r="H20" s="393">
        <f>'Sources and Uses Budget'!T20</f>
        <v>0</v>
      </c>
      <c r="I20" s="394"/>
      <c r="J20" s="394"/>
      <c r="K20" s="391"/>
    </row>
    <row r="21" spans="1:11" s="392" customFormat="1">
      <c r="A21" s="396" t="s">
        <v>139</v>
      </c>
      <c r="B21" s="393">
        <f>'Sources and Uses Budget'!C21</f>
        <v>202426</v>
      </c>
      <c r="C21" s="394"/>
      <c r="D21" s="394"/>
      <c r="E21" s="393">
        <f>'Sources and Uses Budget'!S21</f>
        <v>202426</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84344</v>
      </c>
      <c r="C23" s="394"/>
      <c r="D23" s="394"/>
      <c r="E23" s="393">
        <f>'Sources and Uses Budget'!S23</f>
        <v>84344</v>
      </c>
      <c r="F23" s="394"/>
      <c r="G23" s="394"/>
      <c r="H23" s="393">
        <f>'Sources and Uses Budget'!T23</f>
        <v>0</v>
      </c>
      <c r="I23" s="394"/>
      <c r="J23" s="394"/>
      <c r="K23" s="391"/>
    </row>
    <row r="24" spans="1:11" s="392" customFormat="1">
      <c r="A24" s="543" t="s">
        <v>1820</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7776536</v>
      </c>
      <c r="C26" s="393">
        <f>SUM(C17:C25)</f>
        <v>0</v>
      </c>
      <c r="D26" s="393">
        <f>SUM(D17:D25)</f>
        <v>0</v>
      </c>
      <c r="E26" s="393">
        <f>'Sources and Uses Budget'!S26</f>
        <v>7776536</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860280</v>
      </c>
      <c r="C27" s="394"/>
      <c r="D27" s="394"/>
      <c r="E27" s="393">
        <f>'Sources and Uses Budget'!S27</f>
        <v>860280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607</v>
      </c>
      <c r="B29" s="393">
        <f>'Sources and Uses Budget'!C29</f>
        <v>0</v>
      </c>
      <c r="C29" s="394"/>
      <c r="D29" s="394"/>
      <c r="E29" s="393">
        <f>'Sources and Uses Budget'!S29</f>
        <v>0</v>
      </c>
      <c r="F29" s="394"/>
      <c r="G29" s="394"/>
      <c r="H29" s="393">
        <f>'Sources and Uses Budget'!T29</f>
        <v>0</v>
      </c>
      <c r="I29" s="394"/>
      <c r="J29" s="394"/>
      <c r="K29" s="391"/>
    </row>
    <row r="30" spans="1:11" s="392" customFormat="1">
      <c r="A30" s="145" t="s">
        <v>608</v>
      </c>
      <c r="B30" s="393">
        <f>'Sources and Uses Budget'!C30</f>
        <v>0</v>
      </c>
      <c r="C30" s="394"/>
      <c r="D30" s="394"/>
      <c r="E30" s="393">
        <f>'Sources and Uses Budget'!S30</f>
        <v>0</v>
      </c>
      <c r="F30" s="394"/>
      <c r="G30" s="394"/>
      <c r="H30" s="393">
        <f>'Sources and Uses Budget'!T30</f>
        <v>0</v>
      </c>
      <c r="I30" s="394"/>
      <c r="J30" s="394"/>
      <c r="K30" s="391"/>
    </row>
    <row r="31" spans="1:11" s="392" customFormat="1">
      <c r="A31" s="145" t="s">
        <v>609</v>
      </c>
      <c r="B31" s="393">
        <f>'Sources and Uses Budget'!C31</f>
        <v>0</v>
      </c>
      <c r="C31" s="394"/>
      <c r="D31" s="394"/>
      <c r="E31" s="393">
        <f>'Sources and Uses Budget'!S31</f>
        <v>0</v>
      </c>
      <c r="F31" s="394"/>
      <c r="G31" s="394"/>
      <c r="H31" s="393">
        <f>'Sources and Uses Budget'!T31</f>
        <v>0</v>
      </c>
      <c r="I31" s="394"/>
      <c r="J31" s="394"/>
      <c r="K31" s="391"/>
    </row>
    <row r="32" spans="1:11" s="392" customFormat="1">
      <c r="A32" s="145" t="s">
        <v>138</v>
      </c>
      <c r="B32" s="393">
        <f>'Sources and Uses Budget'!C32</f>
        <v>0</v>
      </c>
      <c r="C32" s="394"/>
      <c r="D32" s="394"/>
      <c r="E32" s="393">
        <f>'Sources and Uses Budget'!S32</f>
        <v>0</v>
      </c>
      <c r="F32" s="394"/>
      <c r="G32" s="394"/>
      <c r="H32" s="393">
        <f>'Sources and Uses Budget'!T32</f>
        <v>0</v>
      </c>
      <c r="I32" s="394"/>
      <c r="J32" s="394"/>
      <c r="K32" s="391"/>
    </row>
    <row r="33" spans="1:11" s="392" customFormat="1">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0</v>
      </c>
      <c r="C35" s="394"/>
      <c r="D35" s="394"/>
      <c r="E35" s="393">
        <f>'Sources and Uses Budget'!S35</f>
        <v>0</v>
      </c>
      <c r="F35" s="394"/>
      <c r="G35" s="394"/>
      <c r="H35" s="393">
        <f>'Sources and Uses Budget'!T35</f>
        <v>0</v>
      </c>
      <c r="I35" s="394"/>
      <c r="J35" s="394"/>
      <c r="K35" s="391"/>
    </row>
    <row r="36" spans="1:11" s="392" customFormat="1">
      <c r="A36" s="543" t="s">
        <v>1820</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0</v>
      </c>
      <c r="C38" s="393">
        <f>SUM(C29:C37)</f>
        <v>0</v>
      </c>
      <c r="D38" s="393">
        <f>SUM(D29:D37)</f>
        <v>0</v>
      </c>
      <c r="E38" s="393">
        <f>'Sources and Uses Budget'!S38</f>
        <v>0</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425000</v>
      </c>
      <c r="C40" s="394"/>
      <c r="D40" s="394"/>
      <c r="E40" s="393">
        <f>'Sources and Uses Budget'!S40</f>
        <v>425000</v>
      </c>
      <c r="F40" s="394"/>
      <c r="G40" s="394"/>
      <c r="H40" s="393">
        <f>'Sources and Uses Budget'!T40</f>
        <v>0</v>
      </c>
      <c r="I40" s="394"/>
      <c r="J40" s="394"/>
      <c r="K40" s="391"/>
    </row>
    <row r="41" spans="1:11" s="392" customFormat="1">
      <c r="A41" s="396" t="s">
        <v>147</v>
      </c>
      <c r="B41" s="393">
        <f>'Sources and Uses Budget'!C41</f>
        <v>0</v>
      </c>
      <c r="C41" s="394"/>
      <c r="D41" s="394"/>
      <c r="E41" s="393">
        <f>'Sources and Uses Budget'!S41</f>
        <v>0</v>
      </c>
      <c r="F41" s="394"/>
      <c r="G41" s="394"/>
      <c r="H41" s="393">
        <f>'Sources and Uses Budget'!T41</f>
        <v>0</v>
      </c>
      <c r="I41" s="394"/>
      <c r="J41" s="394"/>
      <c r="K41" s="391"/>
    </row>
    <row r="42" spans="1:11" s="392" customFormat="1">
      <c r="A42" s="397" t="s">
        <v>148</v>
      </c>
      <c r="B42" s="393">
        <f>'Sources and Uses Budget'!C42</f>
        <v>425000</v>
      </c>
      <c r="C42" s="393">
        <f>SUM(C39:C41)</f>
        <v>0</v>
      </c>
      <c r="D42" s="393">
        <f>SUM(D39:D41)</f>
        <v>0</v>
      </c>
      <c r="E42" s="393">
        <f>'Sources and Uses Budget'!S42</f>
        <v>425000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0</v>
      </c>
      <c r="C43" s="394"/>
      <c r="D43" s="394"/>
      <c r="E43" s="393">
        <f>'Sources and Uses Budget'!S43</f>
        <v>0</v>
      </c>
      <c r="F43" s="394"/>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1117882</v>
      </c>
      <c r="C45" s="394"/>
      <c r="D45" s="394"/>
      <c r="E45" s="393">
        <f>'Sources and Uses Budget'!S45</f>
        <v>237678</v>
      </c>
      <c r="F45" s="394"/>
      <c r="G45" s="394"/>
      <c r="H45" s="393">
        <f>'Sources and Uses Budget'!T45</f>
        <v>0</v>
      </c>
      <c r="I45" s="394"/>
      <c r="J45" s="394"/>
      <c r="K45" s="391"/>
    </row>
    <row r="46" spans="1:11" s="392" customFormat="1">
      <c r="A46" s="396" t="s">
        <v>152</v>
      </c>
      <c r="B46" s="393">
        <f>'Sources and Uses Budget'!C46</f>
        <v>135633</v>
      </c>
      <c r="C46" s="394"/>
      <c r="D46" s="394"/>
      <c r="E46" s="393">
        <f>'Sources and Uses Budget'!S46</f>
        <v>40648</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0</v>
      </c>
      <c r="C49" s="394"/>
      <c r="D49" s="394"/>
      <c r="E49" s="393">
        <f>'Sources and Uses Budget'!S49</f>
        <v>0</v>
      </c>
      <c r="F49" s="394"/>
      <c r="G49" s="394"/>
      <c r="H49" s="393">
        <f>'Sources and Uses Budget'!T49</f>
        <v>0</v>
      </c>
      <c r="I49" s="394"/>
      <c r="J49" s="394"/>
      <c r="K49" s="391"/>
    </row>
    <row r="50" spans="1:11" s="392" customFormat="1">
      <c r="A50" s="396" t="s">
        <v>157</v>
      </c>
      <c r="B50" s="393">
        <f>'Sources and Uses Budget'!C50</f>
        <v>50000</v>
      </c>
      <c r="C50" s="394"/>
      <c r="D50" s="394"/>
      <c r="E50" s="393">
        <f>'Sources and Uses Budget'!S50</f>
        <v>25000</v>
      </c>
      <c r="F50" s="394"/>
      <c r="G50" s="394"/>
      <c r="H50" s="393">
        <f>'Sources and Uses Budget'!T50</f>
        <v>0</v>
      </c>
      <c r="I50" s="394"/>
      <c r="J50" s="394"/>
      <c r="K50" s="391"/>
    </row>
    <row r="51" spans="1:11" s="392" customFormat="1">
      <c r="A51" s="396" t="s">
        <v>155</v>
      </c>
      <c r="B51" s="393">
        <f>'Sources and Uses Budget'!C51</f>
        <v>0</v>
      </c>
      <c r="C51" s="394"/>
      <c r="D51" s="394"/>
      <c r="E51" s="393">
        <f>'Sources and Uses Budget'!S51</f>
        <v>0</v>
      </c>
      <c r="F51" s="394"/>
      <c r="G51" s="394"/>
      <c r="H51" s="393">
        <f>'Sources and Uses Budget'!T51</f>
        <v>0</v>
      </c>
      <c r="I51" s="394"/>
      <c r="J51" s="394"/>
      <c r="K51" s="391"/>
    </row>
    <row r="52" spans="1:11" s="392" customFormat="1">
      <c r="A52" s="396" t="s">
        <v>156</v>
      </c>
      <c r="B52" s="393">
        <f>'Sources and Uses Budget'!C52</f>
        <v>153844</v>
      </c>
      <c r="C52" s="394"/>
      <c r="D52" s="394"/>
      <c r="E52" s="393">
        <f>'Sources and Uses Budget'!S52</f>
        <v>153844</v>
      </c>
      <c r="F52" s="394"/>
      <c r="G52" s="394"/>
      <c r="H52" s="393">
        <f>'Sources and Uses Budget'!T52</f>
        <v>0</v>
      </c>
      <c r="I52" s="394"/>
      <c r="J52" s="394"/>
      <c r="K52" s="391"/>
    </row>
    <row r="53" spans="1:11" s="392" customFormat="1">
      <c r="A53" s="396" t="str">
        <f>'Sources and Uses Budget'!$A53</f>
        <v>Construction Inspections</v>
      </c>
      <c r="B53" s="393">
        <f>'Sources and Uses Budget'!C53</f>
        <v>50000</v>
      </c>
      <c r="C53" s="394"/>
      <c r="D53" s="394"/>
      <c r="E53" s="393">
        <f>'Sources and Uses Budget'!S53</f>
        <v>50000</v>
      </c>
      <c r="F53" s="394"/>
      <c r="G53" s="394"/>
      <c r="H53" s="393">
        <f>'Sources and Uses Budget'!T53</f>
        <v>0</v>
      </c>
      <c r="I53" s="394"/>
      <c r="J53" s="394"/>
      <c r="K53" s="391"/>
    </row>
    <row r="54" spans="1:11" s="401" customFormat="1">
      <c r="A54" s="397" t="s">
        <v>158</v>
      </c>
      <c r="B54" s="393">
        <f>'Sources and Uses Budget'!C54</f>
        <v>1507359</v>
      </c>
      <c r="C54" s="399">
        <f>SUM(C45:C53)</f>
        <v>0</v>
      </c>
      <c r="D54" s="399">
        <f>SUM(D45:D53)</f>
        <v>0</v>
      </c>
      <c r="E54" s="393">
        <f>'Sources and Uses Budget'!S54</f>
        <v>507170</v>
      </c>
      <c r="F54" s="399">
        <f>SUM(F45:F53)</f>
        <v>0</v>
      </c>
      <c r="G54" s="399">
        <f>SUM(G45:G53)</f>
        <v>0</v>
      </c>
      <c r="H54" s="393">
        <f>'Sources and Uses Budget'!T54</f>
        <v>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62842</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35000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(Specify)</v>
      </c>
      <c r="B61" s="393">
        <f>'Sources and Uses Budget'!C61</f>
        <v>0</v>
      </c>
      <c r="C61" s="394"/>
      <c r="D61" s="394"/>
      <c r="E61" s="395"/>
      <c r="F61" s="395"/>
      <c r="G61" s="395"/>
      <c r="H61" s="395"/>
      <c r="I61" s="395"/>
      <c r="J61" s="395"/>
      <c r="K61" s="391"/>
    </row>
    <row r="62" spans="1:11" s="392" customFormat="1" ht="13.7" customHeight="1">
      <c r="A62" s="397" t="s">
        <v>303</v>
      </c>
      <c r="B62" s="393">
        <f>'Sources and Uses Budget'!C62</f>
        <v>97842</v>
      </c>
      <c r="C62" s="393">
        <f>SUM(C56:C61)</f>
        <v>0</v>
      </c>
      <c r="D62" s="393">
        <f>SUM(D56:D61)</f>
        <v>0</v>
      </c>
      <c r="E62" s="395"/>
      <c r="F62" s="395"/>
      <c r="G62" s="395"/>
      <c r="H62" s="395"/>
      <c r="I62" s="395"/>
      <c r="J62" s="395"/>
      <c r="K62" s="391"/>
    </row>
    <row r="63" spans="1:11" s="392" customFormat="1">
      <c r="A63" s="402" t="s">
        <v>304</v>
      </c>
      <c r="B63" s="393">
        <f>'Sources and Uses Budget'!C63</f>
        <v>35435419</v>
      </c>
      <c r="C63" s="393">
        <f>SUM(C8+C11+C13+C14+C15+C26+C27+C38+C42+C43+C54+C62)</f>
        <v>0</v>
      </c>
      <c r="D63" s="393">
        <f>SUM(D8+D11+D13+D14+D15+D26+D27+D38+D42+D43+D54+D62)</f>
        <v>0</v>
      </c>
      <c r="E63" s="393">
        <f>'Sources and Uses Budget'!S63</f>
        <v>9568986</v>
      </c>
      <c r="F63" s="393">
        <f>SUM(F10+F13+F14+F15+F26+F27+F38+F42+F43+F54)</f>
        <v>0</v>
      </c>
      <c r="G63" s="393">
        <f>SUM(G10+G13+G14+G15+G26+G27+G38+G42+G43+G54)</f>
        <v>0</v>
      </c>
      <c r="H63" s="393">
        <f>'Sources and Uses Budget'!T63</f>
        <v>23494598</v>
      </c>
      <c r="I63" s="393">
        <f>SUM(I11+I13+I14+I15+I26+I27+I38+I42+I43+I54)</f>
        <v>0</v>
      </c>
      <c r="J63" s="393">
        <f>SUM(J11+J13+J14+J15+J26+J27+J38+J42+J43+J54)</f>
        <v>0</v>
      </c>
      <c r="K63" s="391"/>
    </row>
    <row r="64" spans="1:11" s="392" customFormat="1" ht="24">
      <c r="A64" s="141" t="s">
        <v>1824</v>
      </c>
      <c r="B64" s="390"/>
      <c r="C64" s="390"/>
      <c r="D64" s="390"/>
      <c r="E64" s="390"/>
      <c r="F64" s="390"/>
      <c r="G64" s="390"/>
      <c r="H64" s="390"/>
      <c r="I64" s="390"/>
      <c r="J64" s="390"/>
      <c r="K64" s="391"/>
    </row>
    <row r="65" spans="1:11" s="392" customFormat="1">
      <c r="A65" s="145" t="s">
        <v>172</v>
      </c>
      <c r="B65" s="393">
        <f>'Sources and Uses Budget'!C65</f>
        <v>290000</v>
      </c>
      <c r="C65" s="394"/>
      <c r="D65" s="394"/>
      <c r="E65" s="393">
        <f>'Sources and Uses Budget'!S65</f>
        <v>20000</v>
      </c>
      <c r="F65" s="394"/>
      <c r="G65" s="394"/>
      <c r="H65" s="393">
        <f>'Sources and Uses Budget'!T65</f>
        <v>0</v>
      </c>
      <c r="I65" s="394"/>
      <c r="J65" s="394"/>
      <c r="K65" s="391"/>
    </row>
    <row r="66" spans="1:11" s="392" customFormat="1" ht="24">
      <c r="A66" s="304" t="s">
        <v>1821</v>
      </c>
      <c r="B66" s="393">
        <f>'Sources and Uses Budget'!C66</f>
        <v>150000</v>
      </c>
      <c r="C66" s="394"/>
      <c r="D66" s="394"/>
      <c r="E66" s="393">
        <f>'Sources and Uses Budget'!S66</f>
        <v>150000</v>
      </c>
      <c r="F66" s="394"/>
      <c r="G66" s="394"/>
      <c r="H66" s="393">
        <f>'Sources and Uses Budget'!T66</f>
        <v>0</v>
      </c>
      <c r="I66" s="394"/>
      <c r="J66" s="394"/>
      <c r="K66" s="391"/>
    </row>
    <row r="67" spans="1:11" s="392" customFormat="1" ht="24">
      <c r="A67" s="304" t="s">
        <v>1822</v>
      </c>
      <c r="B67" s="393">
        <f>'Sources and Uses Budget'!C67</f>
        <v>100000</v>
      </c>
      <c r="C67" s="394"/>
      <c r="D67" s="394"/>
      <c r="E67" s="393">
        <f>'Sources and Uses Budget'!S67</f>
        <v>100000</v>
      </c>
      <c r="F67" s="394"/>
      <c r="G67" s="394"/>
      <c r="H67" s="393">
        <f>'Sources and Uses Budget'!T67</f>
        <v>0</v>
      </c>
      <c r="I67" s="394"/>
      <c r="J67" s="394"/>
      <c r="K67" s="391"/>
    </row>
    <row r="68" spans="1:11" s="392" customFormat="1">
      <c r="A68" s="304" t="s">
        <v>1828</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(Specify)</v>
      </c>
      <c r="B69" s="393">
        <f>'Sources and Uses Budget'!C69</f>
        <v>0</v>
      </c>
      <c r="C69" s="394"/>
      <c r="D69" s="394"/>
      <c r="E69" s="393">
        <f>'Sources and Uses Budget'!S69</f>
        <v>0</v>
      </c>
      <c r="F69" s="394"/>
      <c r="G69" s="394"/>
      <c r="H69" s="393">
        <f>'Sources and Uses Budget'!T69</f>
        <v>0</v>
      </c>
      <c r="I69" s="394"/>
      <c r="J69" s="394"/>
      <c r="K69" s="391"/>
    </row>
    <row r="70" spans="1:11" s="392" customFormat="1">
      <c r="A70" s="397" t="s">
        <v>610</v>
      </c>
      <c r="B70" s="393">
        <f>'Sources and Uses Budget'!C70</f>
        <v>540000</v>
      </c>
      <c r="C70" s="393">
        <f>SUM(C64:C69)</f>
        <v>0</v>
      </c>
      <c r="D70" s="393">
        <f>SUM(D64:D69)</f>
        <v>0</v>
      </c>
      <c r="E70" s="393">
        <f>'Sources and Uses Budget'!S70</f>
        <v>270000</v>
      </c>
      <c r="F70" s="399">
        <f>SUM(F65:F69)</f>
        <v>0</v>
      </c>
      <c r="G70" s="399">
        <f>SUM(G65:G69)</f>
        <v>0</v>
      </c>
      <c r="H70" s="393">
        <f>'Sources and Uses Budget'!T70</f>
        <v>0</v>
      </c>
      <c r="I70" s="399">
        <f>SUM(I65:I69)</f>
        <v>0</v>
      </c>
      <c r="J70" s="399">
        <f>SUM(J65:J69)</f>
        <v>0</v>
      </c>
      <c r="K70" s="391"/>
    </row>
    <row r="71" spans="1:11" s="392" customFormat="1">
      <c r="A71" s="389" t="s">
        <v>611</v>
      </c>
      <c r="B71" s="390"/>
      <c r="C71" s="390"/>
      <c r="D71" s="390"/>
      <c r="E71" s="390"/>
      <c r="F71" s="390"/>
      <c r="G71" s="390"/>
      <c r="H71" s="390"/>
      <c r="I71" s="390"/>
      <c r="J71" s="390"/>
      <c r="K71" s="391"/>
    </row>
    <row r="72" spans="1:11" s="392" customFormat="1">
      <c r="A72" s="396" t="s">
        <v>612</v>
      </c>
      <c r="B72" s="393">
        <f>'Sources and Uses Budget'!C72</f>
        <v>0</v>
      </c>
      <c r="C72" s="394"/>
      <c r="D72" s="394"/>
      <c r="E72" s="395"/>
      <c r="F72" s="395"/>
      <c r="G72" s="395"/>
      <c r="H72" s="395"/>
      <c r="I72" s="395"/>
      <c r="J72" s="395"/>
      <c r="K72" s="391"/>
    </row>
    <row r="73" spans="1:11" s="392" customFormat="1">
      <c r="A73" s="396" t="s">
        <v>613</v>
      </c>
      <c r="B73" s="393">
        <f>'Sources and Uses Budget'!C73</f>
        <v>0</v>
      </c>
      <c r="C73" s="394"/>
      <c r="D73" s="394"/>
      <c r="E73" s="395"/>
      <c r="F73" s="395"/>
      <c r="G73" s="395"/>
      <c r="H73" s="395"/>
      <c r="I73" s="395"/>
      <c r="J73" s="395"/>
      <c r="K73" s="391"/>
    </row>
    <row r="74" spans="1:11" s="392" customFormat="1">
      <c r="A74" s="398" t="s">
        <v>1040</v>
      </c>
      <c r="B74" s="393">
        <f>'Sources and Uses Budget'!C74</f>
        <v>0</v>
      </c>
      <c r="C74" s="394"/>
      <c r="D74" s="394"/>
      <c r="E74" s="395"/>
      <c r="F74" s="395"/>
      <c r="G74" s="395"/>
      <c r="H74" s="395"/>
      <c r="I74" s="395"/>
      <c r="J74" s="395"/>
      <c r="K74" s="391"/>
    </row>
    <row r="75" spans="1:11" s="392" customFormat="1">
      <c r="A75" s="396" t="s">
        <v>614</v>
      </c>
      <c r="B75" s="393">
        <f>'Sources and Uses Budget'!C75</f>
        <v>293749.23339101876</v>
      </c>
      <c r="C75" s="394"/>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615</v>
      </c>
      <c r="B77" s="393">
        <f>'Sources and Uses Budget'!C77</f>
        <v>293749.23339101876</v>
      </c>
      <c r="C77" s="393">
        <f>SUM(C72:C76)</f>
        <v>0</v>
      </c>
      <c r="D77" s="393">
        <f>SUM(D72:D76)</f>
        <v>0</v>
      </c>
      <c r="E77" s="395"/>
      <c r="F77" s="395"/>
      <c r="G77" s="395"/>
      <c r="H77" s="395"/>
      <c r="I77" s="395"/>
      <c r="J77" s="395"/>
      <c r="K77" s="391"/>
    </row>
    <row r="78" spans="1:11" s="392" customFormat="1">
      <c r="A78" s="389" t="s">
        <v>1353</v>
      </c>
      <c r="B78" s="390"/>
      <c r="C78" s="390"/>
      <c r="D78" s="390"/>
      <c r="E78" s="390"/>
      <c r="F78" s="390"/>
      <c r="G78" s="390"/>
      <c r="H78" s="390"/>
      <c r="I78" s="390"/>
      <c r="J78" s="390"/>
      <c r="K78" s="391"/>
    </row>
    <row r="79" spans="1:11" s="392" customFormat="1">
      <c r="A79" s="396" t="s">
        <v>1355</v>
      </c>
      <c r="B79" s="393">
        <f>'Sources and Uses Budget'!C79</f>
        <v>777654</v>
      </c>
      <c r="C79" s="394"/>
      <c r="D79" s="394"/>
      <c r="E79" s="393">
        <f>'Sources and Uses Budget'!S79</f>
        <v>777654</v>
      </c>
      <c r="F79" s="394"/>
      <c r="G79" s="394"/>
      <c r="H79" s="393">
        <f>'Sources and Uses Budget'!T79</f>
        <v>0</v>
      </c>
      <c r="I79" s="394"/>
      <c r="J79" s="394"/>
      <c r="K79" s="391"/>
    </row>
    <row r="80" spans="1:11" s="392" customFormat="1">
      <c r="A80" s="396" t="s">
        <v>58</v>
      </c>
      <c r="B80" s="393">
        <f>'Sources and Uses Budget'!C80</f>
        <v>650000</v>
      </c>
      <c r="C80" s="394"/>
      <c r="D80" s="394"/>
      <c r="E80" s="393">
        <f>'Sources and Uses Budget'!S80</f>
        <v>50000</v>
      </c>
      <c r="F80" s="394"/>
      <c r="G80" s="394"/>
      <c r="H80" s="393">
        <f>'Sources and Uses Budget'!T80</f>
        <v>0</v>
      </c>
      <c r="I80" s="394"/>
      <c r="J80" s="394"/>
      <c r="K80" s="391"/>
    </row>
    <row r="81" spans="1:11" s="392" customFormat="1">
      <c r="A81" s="397" t="s">
        <v>1352</v>
      </c>
      <c r="B81" s="393">
        <f>'Sources and Uses Budget'!C81</f>
        <v>1427654</v>
      </c>
      <c r="C81" s="393">
        <f>SUM(C79:C80)</f>
        <v>0</v>
      </c>
      <c r="D81" s="393">
        <f>SUM(D79:D80)</f>
        <v>0</v>
      </c>
      <c r="E81" s="393">
        <f>'Sources and Uses Budget'!S81</f>
        <v>827654</v>
      </c>
      <c r="F81" s="393">
        <f>SUM(F79:F80)</f>
        <v>0</v>
      </c>
      <c r="G81" s="393">
        <f>SUM(G79:G80)</f>
        <v>0</v>
      </c>
      <c r="H81" s="393">
        <f>'Sources and Uses Budget'!T81</f>
        <v>0</v>
      </c>
      <c r="I81" s="393">
        <f>SUM(I79:I80)</f>
        <v>0</v>
      </c>
      <c r="J81" s="393">
        <f>SUM(J79:J80)</f>
        <v>0</v>
      </c>
      <c r="K81" s="391"/>
    </row>
    <row r="82" spans="1:11" s="392" customFormat="1">
      <c r="A82" s="389" t="s">
        <v>789</v>
      </c>
      <c r="B82" s="390"/>
      <c r="C82" s="390"/>
      <c r="D82" s="390"/>
      <c r="E82" s="390"/>
      <c r="F82" s="390"/>
      <c r="G82" s="390"/>
      <c r="H82" s="390"/>
      <c r="I82" s="390"/>
      <c r="J82" s="390"/>
      <c r="K82" s="391"/>
    </row>
    <row r="83" spans="1:11" s="392" customFormat="1" ht="13.7" customHeight="1">
      <c r="A83" s="145" t="s">
        <v>2512</v>
      </c>
      <c r="B83" s="393">
        <f>'Sources and Uses Budget'!C83</f>
        <v>50631</v>
      </c>
      <c r="C83" s="394"/>
      <c r="D83" s="394"/>
      <c r="E83" s="395"/>
      <c r="F83" s="395"/>
      <c r="G83" s="395"/>
      <c r="H83" s="395"/>
      <c r="I83" s="395"/>
      <c r="J83" s="395"/>
      <c r="K83" s="391"/>
    </row>
    <row r="84" spans="1:11" s="392" customFormat="1">
      <c r="A84" s="145" t="s">
        <v>791</v>
      </c>
      <c r="B84" s="393">
        <f>'Sources and Uses Budget'!C84</f>
        <v>0</v>
      </c>
      <c r="C84" s="394"/>
      <c r="D84" s="394"/>
      <c r="E84" s="393">
        <f>'Sources and Uses Budget'!S84</f>
        <v>0</v>
      </c>
      <c r="F84" s="394"/>
      <c r="G84" s="394"/>
      <c r="H84" s="393">
        <f>'Sources and Uses Budget'!T84</f>
        <v>0</v>
      </c>
      <c r="I84" s="394"/>
      <c r="J84" s="394"/>
      <c r="K84" s="391"/>
    </row>
    <row r="85" spans="1:11" s="392" customFormat="1">
      <c r="A85" s="145" t="s">
        <v>792</v>
      </c>
      <c r="B85" s="393">
        <f>'Sources and Uses Budget'!C85</f>
        <v>0</v>
      </c>
      <c r="C85" s="394"/>
      <c r="D85" s="394"/>
      <c r="E85" s="393">
        <f>'Sources and Uses Budget'!S85</f>
        <v>0</v>
      </c>
      <c r="F85" s="394"/>
      <c r="G85" s="394"/>
      <c r="H85" s="393">
        <f>'Sources and Uses Budget'!T85</f>
        <v>0</v>
      </c>
      <c r="I85" s="394"/>
      <c r="J85" s="394"/>
      <c r="K85" s="391"/>
    </row>
    <row r="86" spans="1:11" s="392" customFormat="1">
      <c r="A86" s="145" t="s">
        <v>793</v>
      </c>
      <c r="B86" s="393">
        <f>'Sources and Uses Budget'!C86</f>
        <v>0</v>
      </c>
      <c r="C86" s="394"/>
      <c r="D86" s="394"/>
      <c r="E86" s="393">
        <f>'Sources and Uses Budget'!S86</f>
        <v>0</v>
      </c>
      <c r="F86" s="394"/>
      <c r="G86" s="394"/>
      <c r="H86" s="393">
        <f>'Sources and Uses Budget'!T86</f>
        <v>0</v>
      </c>
      <c r="I86" s="394"/>
      <c r="J86" s="394"/>
      <c r="K86" s="391"/>
    </row>
    <row r="87" spans="1:11" s="392" customFormat="1">
      <c r="A87" s="145" t="s">
        <v>794</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795</v>
      </c>
      <c r="B88" s="393">
        <f>'Sources and Uses Budget'!C88</f>
        <v>100000</v>
      </c>
      <c r="C88" s="394"/>
      <c r="D88" s="394"/>
      <c r="E88" s="395"/>
      <c r="F88" s="395"/>
      <c r="G88" s="395"/>
      <c r="H88" s="395"/>
      <c r="I88" s="395"/>
      <c r="J88" s="395"/>
      <c r="K88" s="391"/>
    </row>
    <row r="89" spans="1:11" s="392" customFormat="1">
      <c r="A89" s="145" t="s">
        <v>796</v>
      </c>
      <c r="B89" s="393">
        <f>'Sources and Uses Budget'!C89</f>
        <v>50000</v>
      </c>
      <c r="C89" s="394"/>
      <c r="D89" s="394"/>
      <c r="E89" s="393">
        <f>'Sources and Uses Budget'!S89</f>
        <v>50000</v>
      </c>
      <c r="F89" s="394"/>
      <c r="G89" s="394"/>
      <c r="H89" s="393">
        <f>'Sources and Uses Budget'!T89</f>
        <v>0</v>
      </c>
      <c r="I89" s="394"/>
      <c r="J89" s="394"/>
      <c r="K89" s="391"/>
    </row>
    <row r="90" spans="1:11" s="392" customFormat="1">
      <c r="A90" s="145" t="s">
        <v>797</v>
      </c>
      <c r="B90" s="393">
        <f>'Sources and Uses Budget'!C90</f>
        <v>12500</v>
      </c>
      <c r="C90" s="394"/>
      <c r="D90" s="394"/>
      <c r="E90" s="393">
        <f>'Sources and Uses Budget'!S90</f>
        <v>12500</v>
      </c>
      <c r="F90" s="394"/>
      <c r="G90" s="394"/>
      <c r="H90" s="393">
        <f>'Sources and Uses Budget'!T90</f>
        <v>0</v>
      </c>
      <c r="I90" s="394"/>
      <c r="J90" s="394"/>
      <c r="K90" s="391"/>
    </row>
    <row r="91" spans="1:11" s="392" customFormat="1">
      <c r="A91" s="155" t="s">
        <v>374</v>
      </c>
      <c r="B91" s="393">
        <f>'Sources and Uses Budget'!C91</f>
        <v>35000</v>
      </c>
      <c r="C91" s="394"/>
      <c r="D91" s="394"/>
      <c r="E91" s="393">
        <f>'Sources and Uses Budget'!S91</f>
        <v>35000</v>
      </c>
      <c r="F91" s="394"/>
      <c r="G91" s="394"/>
      <c r="H91" s="393">
        <f>'Sources and Uses Budget'!T91</f>
        <v>0</v>
      </c>
      <c r="I91" s="394"/>
      <c r="J91" s="394"/>
      <c r="K91" s="391"/>
    </row>
    <row r="92" spans="1:11" s="392" customFormat="1">
      <c r="A92" s="543" t="s">
        <v>1354</v>
      </c>
      <c r="B92" s="393">
        <f>'Sources and Uses Budget'!C92</f>
        <v>0</v>
      </c>
      <c r="C92" s="394"/>
      <c r="D92" s="394"/>
      <c r="E92" s="393">
        <f>'Sources and Uses Budget'!S92</f>
        <v>0</v>
      </c>
      <c r="F92" s="394"/>
      <c r="G92" s="394"/>
      <c r="H92" s="393">
        <f>'Sources and Uses Budget'!T92</f>
        <v>0</v>
      </c>
      <c r="I92" s="394"/>
      <c r="J92" s="394"/>
      <c r="K92" s="391"/>
    </row>
    <row r="93" spans="1:11" s="392" customFormat="1">
      <c r="A93" s="396" t="str">
        <f>'Sources and Uses Budget'!$A93</f>
        <v>Capital Needs Assessment</v>
      </c>
      <c r="B93" s="393">
        <f>'Sources and Uses Budget'!C93</f>
        <v>10000</v>
      </c>
      <c r="C93" s="394"/>
      <c r="D93" s="394"/>
      <c r="E93" s="393">
        <f>'Sources and Uses Budget'!S93</f>
        <v>10000</v>
      </c>
      <c r="F93" s="394"/>
      <c r="G93" s="394"/>
      <c r="H93" s="393">
        <f>'Sources and Uses Budget'!T93</f>
        <v>0</v>
      </c>
      <c r="I93" s="394"/>
      <c r="J93" s="394"/>
      <c r="K93" s="391"/>
    </row>
    <row r="94" spans="1:11" s="392" customFormat="1">
      <c r="A94" s="396" t="str">
        <f>'Sources and Uses Budget'!$A94</f>
        <v>Energy report</v>
      </c>
      <c r="B94" s="393">
        <f>'Sources and Uses Budget'!C94</f>
        <v>15000</v>
      </c>
      <c r="C94" s="394"/>
      <c r="D94" s="394"/>
      <c r="E94" s="393">
        <f>'Sources and Uses Budget'!S94</f>
        <v>15000</v>
      </c>
      <c r="F94" s="394"/>
      <c r="G94" s="394"/>
      <c r="H94" s="393">
        <f>'Sources and Uses Budget'!T94</f>
        <v>0</v>
      </c>
      <c r="I94" s="394"/>
      <c r="J94" s="394"/>
      <c r="K94" s="391"/>
    </row>
    <row r="95" spans="1:11" s="392" customFormat="1">
      <c r="A95" s="396" t="str">
        <f>'Sources and Uses Budget'!$A95</f>
        <v xml:space="preserve">Bond Issuance Cost </v>
      </c>
      <c r="B95" s="393">
        <f>'Sources and Uses Budget'!C95</f>
        <v>150000</v>
      </c>
      <c r="C95" s="394"/>
      <c r="D95" s="394"/>
      <c r="E95" s="393">
        <f>'Sources and Uses Budget'!S95</f>
        <v>150000</v>
      </c>
      <c r="F95" s="394"/>
      <c r="G95" s="394"/>
      <c r="H95" s="393">
        <f>'Sources and Uses Budget'!T95</f>
        <v>0</v>
      </c>
      <c r="I95" s="394"/>
      <c r="J95" s="394"/>
      <c r="K95" s="391"/>
    </row>
    <row r="96" spans="1:11" s="392" customFormat="1">
      <c r="A96" s="397" t="s">
        <v>798</v>
      </c>
      <c r="B96" s="393">
        <f>'Sources and Uses Budget'!C96</f>
        <v>423131</v>
      </c>
      <c r="C96" s="393">
        <f>SUM(C83:C95)</f>
        <v>0</v>
      </c>
      <c r="D96" s="393">
        <f>SUM(D83:D95)</f>
        <v>0</v>
      </c>
      <c r="E96" s="393">
        <f>'Sources and Uses Budget'!S96</f>
        <v>272500</v>
      </c>
      <c r="F96" s="399">
        <f>SUM(F84:F87,F89:F95)</f>
        <v>0</v>
      </c>
      <c r="G96" s="399">
        <f>SUM(G84:G87,G89:G95)</f>
        <v>0</v>
      </c>
      <c r="H96" s="393">
        <f>'Sources and Uses Budget'!T96</f>
        <v>0</v>
      </c>
      <c r="I96" s="393">
        <f>SUM(I84:I87,I89:I95)</f>
        <v>0</v>
      </c>
      <c r="J96" s="393">
        <f>SUM(J84:J87,J89:J95)</f>
        <v>0</v>
      </c>
      <c r="K96" s="391"/>
    </row>
    <row r="97" spans="1:11" s="392" customFormat="1">
      <c r="A97" s="397" t="s">
        <v>1090</v>
      </c>
      <c r="B97" s="393">
        <f>'Sources and Uses Budget'!C97</f>
        <v>38119953.233391017</v>
      </c>
      <c r="C97" s="393">
        <f>SUM(C63+C70+C77+C81+C96)</f>
        <v>0</v>
      </c>
      <c r="D97" s="393">
        <f>SUM(D63+D70+D77+D81+D96)</f>
        <v>0</v>
      </c>
      <c r="E97" s="393">
        <f>'Sources and Uses Budget'!S97</f>
        <v>10939140</v>
      </c>
      <c r="F97" s="399">
        <f>SUM(+F63+F70+F81+F96)</f>
        <v>0</v>
      </c>
      <c r="G97" s="399">
        <f>SUM(+G63+G70+G81+G96)</f>
        <v>0</v>
      </c>
      <c r="H97" s="393">
        <f>'Sources and Uses Budget'!T97</f>
        <v>23494598</v>
      </c>
      <c r="I97" s="399">
        <f>SUM(I63+I70+I81+I96)</f>
        <v>0</v>
      </c>
      <c r="J97" s="399">
        <f>SUM(J63+J70+J81+J96)</f>
        <v>0</v>
      </c>
      <c r="K97" s="391"/>
    </row>
    <row r="98" spans="1:11" s="392" customFormat="1">
      <c r="A98" s="389" t="s">
        <v>800</v>
      </c>
      <c r="B98" s="390"/>
      <c r="C98" s="390"/>
      <c r="D98" s="390"/>
      <c r="E98" s="390"/>
      <c r="F98" s="390"/>
      <c r="G98" s="390"/>
      <c r="H98" s="390"/>
      <c r="I98" s="390"/>
      <c r="J98" s="390"/>
      <c r="K98" s="391"/>
    </row>
    <row r="99" spans="1:11" s="392" customFormat="1">
      <c r="A99" s="145" t="s">
        <v>801</v>
      </c>
      <c r="B99" s="393">
        <f>'Sources and Uses Budget'!C99</f>
        <v>2815600.9000000004</v>
      </c>
      <c r="C99" s="394"/>
      <c r="D99" s="394"/>
      <c r="E99" s="393">
        <f>'Sources and Uses Budget'!S99</f>
        <v>1640871</v>
      </c>
      <c r="F99" s="394"/>
      <c r="G99" s="394"/>
      <c r="H99" s="393">
        <f>'Sources and Uses Budget'!T99</f>
        <v>1174729.9000000001</v>
      </c>
      <c r="I99" s="394"/>
      <c r="J99" s="394"/>
      <c r="K99" s="391"/>
    </row>
    <row r="100" spans="1:11" s="392" customFormat="1">
      <c r="A100" s="304" t="s">
        <v>1826</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802</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1827</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803</v>
      </c>
      <c r="B104" s="393">
        <f>'Sources and Uses Budget'!C104</f>
        <v>2815600.9000000004</v>
      </c>
      <c r="C104" s="393">
        <f>SUM(C99:C103)</f>
        <v>0</v>
      </c>
      <c r="D104" s="393">
        <f>SUM(D99:D103)</f>
        <v>0</v>
      </c>
      <c r="E104" s="393">
        <f>'Sources and Uses Budget'!S104</f>
        <v>1640871</v>
      </c>
      <c r="F104" s="399">
        <f>SUM(F99:F103)</f>
        <v>0</v>
      </c>
      <c r="G104" s="399">
        <f>SUM(G99:G103)</f>
        <v>0</v>
      </c>
      <c r="H104" s="393">
        <f>'Sources and Uses Budget'!T104</f>
        <v>1174729.9000000001</v>
      </c>
      <c r="I104" s="399">
        <f>SUM(I99:I103)</f>
        <v>0</v>
      </c>
      <c r="J104" s="399">
        <f>SUM(J99:J103)</f>
        <v>0</v>
      </c>
      <c r="K104" s="391"/>
    </row>
    <row r="105" spans="1:11" s="392" customFormat="1">
      <c r="A105" s="397" t="s">
        <v>1091</v>
      </c>
      <c r="B105" s="393">
        <f>'Sources and Uses Budget'!C105</f>
        <v>40935554.133391015</v>
      </c>
      <c r="C105" s="399">
        <f>SUM(C97+C104)</f>
        <v>0</v>
      </c>
      <c r="D105" s="399">
        <f>SUM(D97+D104)</f>
        <v>0</v>
      </c>
      <c r="E105" s="393">
        <f>'Sources and Uses Budget'!S105</f>
        <v>12580011</v>
      </c>
      <c r="F105" s="399">
        <f>F97+F104</f>
        <v>0</v>
      </c>
      <c r="G105" s="399">
        <f>G97+G104</f>
        <v>0</v>
      </c>
      <c r="H105" s="393">
        <f>'Sources and Uses Budget'!T105</f>
        <v>24669327.899999999</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12580011</v>
      </c>
      <c r="F107" s="399">
        <f>F105+F106</f>
        <v>0</v>
      </c>
      <c r="G107" s="399">
        <f>G105+G106</f>
        <v>0</v>
      </c>
      <c r="H107" s="393">
        <f>'Sources and Uses Budget'!T107</f>
        <v>24669327.899999999</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76"/>
      <c r="E124" s="1337"/>
      <c r="F124" s="1337"/>
      <c r="G124" s="1337"/>
      <c r="H124" s="1337"/>
      <c r="I124" s="1337"/>
      <c r="J124" s="408"/>
      <c r="K124" s="391"/>
    </row>
    <row r="125" spans="1:11" s="392" customFormat="1" ht="12.75">
      <c r="A125" s="417"/>
      <c r="B125" s="416"/>
      <c r="C125" s="417"/>
      <c r="D125" s="1337"/>
      <c r="E125" s="1337"/>
      <c r="F125" s="1337"/>
      <c r="G125" s="1337"/>
      <c r="H125" s="1337"/>
      <c r="I125" s="1337"/>
      <c r="J125" s="408"/>
      <c r="K125" s="391"/>
    </row>
    <row r="126" spans="1:11" s="392" customFormat="1" ht="12.75">
      <c r="A126" s="417"/>
      <c r="B126" s="416"/>
      <c r="C126" s="417"/>
      <c r="D126" s="1337"/>
      <c r="E126" s="1337"/>
      <c r="F126" s="1337"/>
      <c r="G126" s="1337"/>
      <c r="H126" s="1337"/>
      <c r="I126" s="1337"/>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77"/>
      <c r="B139" s="1337"/>
      <c r="C139" s="1337"/>
      <c r="D139" s="388"/>
      <c r="E139" s="417"/>
      <c r="F139" s="417"/>
      <c r="G139" s="417"/>
    </row>
    <row r="140" spans="1:11" ht="12" customHeight="1">
      <c r="A140" s="1275"/>
      <c r="B140" s="1275"/>
      <c r="C140" s="1275"/>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14" priority="5" stopIfTrue="1" operator="notEqual">
      <formula>$C3+$D3</formula>
    </cfRule>
  </conditionalFormatting>
  <conditionalFormatting sqref="E3:E107">
    <cfRule type="cellIs" dxfId="13" priority="2" stopIfTrue="1" operator="notEqual">
      <formula>$F3+$G3</formula>
    </cfRule>
  </conditionalFormatting>
  <conditionalFormatting sqref="H3:H107">
    <cfRule type="cellIs" dxfId="12"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zoomScaleNormal="100" zoomScaleSheetLayoutView="100" workbookViewId="0">
      <selection activeCell="AL37" sqref="AL3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05" t="s">
        <v>1472</v>
      </c>
      <c r="B1" s="2105"/>
      <c r="C1" s="2105"/>
      <c r="D1" s="2105"/>
      <c r="E1" s="2105"/>
      <c r="F1" s="2105"/>
      <c r="G1" s="2105"/>
      <c r="H1" s="2105"/>
      <c r="I1" s="2105"/>
      <c r="J1" s="2105"/>
      <c r="K1" s="2105"/>
      <c r="L1" s="2105"/>
      <c r="M1" s="2105"/>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c r="AL1" s="2105"/>
      <c r="AM1" s="2105"/>
    </row>
    <row r="2" spans="1:42" s="571" customFormat="1" ht="12.75" customHeight="1" thickBot="1">
      <c r="A2" s="2106"/>
      <c r="B2" s="2106"/>
      <c r="C2" s="2106"/>
      <c r="D2" s="2106"/>
      <c r="E2" s="2106"/>
      <c r="F2" s="2106"/>
      <c r="G2" s="2106"/>
      <c r="H2" s="2106"/>
      <c r="I2" s="2106"/>
      <c r="J2" s="2106"/>
      <c r="K2" s="2106"/>
      <c r="L2" s="2106"/>
      <c r="M2" s="2106"/>
      <c r="N2" s="2106"/>
      <c r="O2" s="2106"/>
      <c r="P2" s="2106"/>
      <c r="Q2" s="2106"/>
      <c r="R2" s="2106"/>
      <c r="S2" s="2106"/>
      <c r="T2" s="2106"/>
      <c r="U2" s="2106"/>
      <c r="V2" s="2106"/>
      <c r="W2" s="2106"/>
      <c r="X2" s="2106"/>
      <c r="Y2" s="2106"/>
      <c r="Z2" s="2106"/>
      <c r="AA2" s="2106"/>
      <c r="AB2" s="2106"/>
      <c r="AC2" s="2106"/>
      <c r="AD2" s="2106"/>
      <c r="AE2" s="2106"/>
      <c r="AF2" s="2106"/>
      <c r="AG2" s="2106"/>
      <c r="AH2" s="2106"/>
      <c r="AI2" s="2106"/>
      <c r="AJ2" s="2106"/>
      <c r="AK2" s="2106"/>
      <c r="AL2" s="2106"/>
      <c r="AM2" s="2106"/>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1473</v>
      </c>
      <c r="B4" s="574" t="s">
        <v>1474</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1475</v>
      </c>
      <c r="B7" s="574" t="s">
        <v>1476</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21" t="s">
        <v>1477</v>
      </c>
      <c r="AF7" s="1921"/>
      <c r="AG7" s="1921"/>
      <c r="AH7" s="1921"/>
      <c r="AI7" s="1921"/>
      <c r="AJ7" s="1921"/>
      <c r="AK7" s="1921"/>
      <c r="AL7" s="575"/>
      <c r="AM7" s="575"/>
      <c r="AN7" s="570"/>
    </row>
    <row r="8" spans="1:42" s="571" customFormat="1" ht="12.75" customHeight="1">
      <c r="A8" s="573"/>
      <c r="B8" s="574" t="s">
        <v>1989</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2405</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2399</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99" t="s">
        <v>600</v>
      </c>
      <c r="C13" s="2099"/>
      <c r="D13" s="582"/>
      <c r="E13" s="583" t="s">
        <v>1478</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107"/>
      <c r="AH13" s="2107"/>
      <c r="AI13" s="2107"/>
      <c r="AJ13" s="2108"/>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99" t="s">
        <v>600</v>
      </c>
      <c r="C16" s="2099"/>
      <c r="D16" s="582"/>
      <c r="E16" s="2091" t="s">
        <v>1479</v>
      </c>
      <c r="F16" s="2092"/>
      <c r="G16" s="2092"/>
      <c r="H16" s="2092"/>
      <c r="I16" s="2092"/>
      <c r="J16" s="2092"/>
      <c r="K16" s="2092"/>
      <c r="L16" s="2092"/>
      <c r="M16" s="2092"/>
      <c r="N16" s="2092"/>
      <c r="O16" s="2092"/>
      <c r="P16" s="2092"/>
      <c r="Q16" s="2092"/>
      <c r="R16" s="2092"/>
      <c r="S16" s="2092"/>
      <c r="T16" s="2092"/>
      <c r="U16" s="2092"/>
      <c r="V16" s="2092"/>
      <c r="W16" s="2092"/>
      <c r="X16" s="2092"/>
      <c r="Y16" s="2092"/>
      <c r="Z16" s="2092"/>
      <c r="AA16" s="2092"/>
      <c r="AB16" s="2092"/>
      <c r="AC16" s="2092"/>
      <c r="AD16" s="2092"/>
      <c r="AE16" s="2092"/>
      <c r="AF16" s="2092"/>
      <c r="AG16" s="2092"/>
      <c r="AH16" s="2092"/>
      <c r="AI16" s="2092"/>
      <c r="AJ16" s="2093"/>
      <c r="AK16" s="575"/>
      <c r="AL16" s="575"/>
      <c r="AM16" s="575"/>
      <c r="AN16" s="570"/>
      <c r="AO16" s="585">
        <f>IF($B25="yes",20,0)</f>
        <v>0</v>
      </c>
      <c r="AP16" s="14"/>
    </row>
    <row r="17" spans="1:42" s="571" customFormat="1" ht="12.75" customHeight="1">
      <c r="A17" s="575"/>
      <c r="B17" s="575"/>
      <c r="C17" s="575"/>
      <c r="D17" s="586"/>
      <c r="E17" s="2094"/>
      <c r="F17" s="2095"/>
      <c r="G17" s="2095"/>
      <c r="H17" s="2095"/>
      <c r="I17" s="2095"/>
      <c r="J17" s="2095"/>
      <c r="K17" s="2095"/>
      <c r="L17" s="2095"/>
      <c r="M17" s="2095"/>
      <c r="N17" s="2095"/>
      <c r="O17" s="2095"/>
      <c r="P17" s="2095"/>
      <c r="Q17" s="2095"/>
      <c r="R17" s="2095"/>
      <c r="S17" s="2095"/>
      <c r="T17" s="2095"/>
      <c r="U17" s="2095"/>
      <c r="V17" s="2095"/>
      <c r="W17" s="2095"/>
      <c r="X17" s="2095"/>
      <c r="Y17" s="2095"/>
      <c r="Z17" s="2095"/>
      <c r="AA17" s="2095"/>
      <c r="AB17" s="2095"/>
      <c r="AC17" s="2095"/>
      <c r="AD17" s="2095"/>
      <c r="AE17" s="2095"/>
      <c r="AF17" s="2095"/>
      <c r="AG17" s="2095"/>
      <c r="AH17" s="2095"/>
      <c r="AI17" s="2095"/>
      <c r="AJ17" s="2096"/>
      <c r="AK17" s="575"/>
      <c r="AL17" s="575"/>
      <c r="AM17" s="575"/>
      <c r="AN17" s="570"/>
      <c r="AO17" s="571">
        <f>IF(SUM(AO13:AO16)&gt;20,20,(SUM(AO13:AO16)))</f>
        <v>0</v>
      </c>
      <c r="AP17" s="571" t="s">
        <v>1480</v>
      </c>
    </row>
    <row r="18" spans="1:42" s="571" customFormat="1" ht="12.75" customHeight="1">
      <c r="A18" s="575"/>
      <c r="B18" s="575"/>
      <c r="C18" s="575"/>
      <c r="D18" s="586"/>
      <c r="E18" s="2094"/>
      <c r="F18" s="2095"/>
      <c r="G18" s="2095"/>
      <c r="H18" s="2095"/>
      <c r="I18" s="2095"/>
      <c r="J18" s="2095"/>
      <c r="K18" s="2095"/>
      <c r="L18" s="2095"/>
      <c r="M18" s="2095"/>
      <c r="N18" s="2095"/>
      <c r="O18" s="2095"/>
      <c r="P18" s="2095"/>
      <c r="Q18" s="2095"/>
      <c r="R18" s="2095"/>
      <c r="S18" s="2095"/>
      <c r="T18" s="2095"/>
      <c r="U18" s="2095"/>
      <c r="V18" s="2095"/>
      <c r="W18" s="2095"/>
      <c r="X18" s="2095"/>
      <c r="Y18" s="2095"/>
      <c r="Z18" s="2095"/>
      <c r="AA18" s="2095"/>
      <c r="AB18" s="2095"/>
      <c r="AC18" s="2095"/>
      <c r="AD18" s="2095"/>
      <c r="AE18" s="2095"/>
      <c r="AF18" s="2095"/>
      <c r="AG18" s="2095"/>
      <c r="AH18" s="2095"/>
      <c r="AI18" s="2095"/>
      <c r="AJ18" s="2096"/>
      <c r="AK18" s="575"/>
      <c r="AL18" s="575"/>
      <c r="AM18" s="575"/>
      <c r="AN18" s="570"/>
    </row>
    <row r="19" spans="1:42" s="571" customFormat="1" ht="12.75" customHeight="1">
      <c r="A19" s="575"/>
      <c r="B19" s="575"/>
      <c r="C19" s="575"/>
      <c r="D19" s="586"/>
      <c r="E19" s="587" t="s">
        <v>1481</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15"/>
      <c r="F20" s="2116"/>
      <c r="G20" s="2116"/>
      <c r="H20" s="2116"/>
      <c r="I20" s="2116"/>
      <c r="J20" s="2116"/>
      <c r="K20" s="2116"/>
      <c r="L20" s="2116"/>
      <c r="M20" s="2116"/>
      <c r="N20" s="2116"/>
      <c r="O20" s="2116"/>
      <c r="P20" s="2116"/>
      <c r="Q20" s="2116"/>
      <c r="R20" s="2116"/>
      <c r="S20" s="2116"/>
      <c r="T20" s="2116"/>
      <c r="U20" s="2116"/>
      <c r="V20" s="2116"/>
      <c r="W20" s="2116"/>
      <c r="X20" s="2116"/>
      <c r="Y20" s="2116"/>
      <c r="Z20" s="2116"/>
      <c r="AA20" s="2116"/>
      <c r="AB20" s="2116"/>
      <c r="AC20" s="2116"/>
      <c r="AD20" s="2116"/>
      <c r="AE20" s="2116"/>
      <c r="AF20" s="2116"/>
      <c r="AG20" s="2116"/>
      <c r="AH20" s="2116"/>
      <c r="AI20" s="2116"/>
      <c r="AJ20" s="2117"/>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99" t="s">
        <v>600</v>
      </c>
      <c r="C22" s="2099"/>
      <c r="D22" s="582"/>
      <c r="E22" s="2109" t="s">
        <v>1482</v>
      </c>
      <c r="F22" s="2110"/>
      <c r="G22" s="2110"/>
      <c r="H22" s="2110"/>
      <c r="I22" s="2110"/>
      <c r="J22" s="2110"/>
      <c r="K22" s="2110"/>
      <c r="L22" s="2110"/>
      <c r="M22" s="2110"/>
      <c r="N22" s="2110"/>
      <c r="O22" s="2110"/>
      <c r="P22" s="2110"/>
      <c r="Q22" s="2110"/>
      <c r="R22" s="2110"/>
      <c r="S22" s="2110"/>
      <c r="T22" s="2110"/>
      <c r="U22" s="2110"/>
      <c r="V22" s="2110"/>
      <c r="W22" s="2110"/>
      <c r="X22" s="2110"/>
      <c r="Y22" s="2110"/>
      <c r="Z22" s="2110"/>
      <c r="AA22" s="2110"/>
      <c r="AB22" s="2110"/>
      <c r="AC22" s="2110"/>
      <c r="AD22" s="2110"/>
      <c r="AE22" s="2110"/>
      <c r="AF22" s="2110"/>
      <c r="AG22" s="2110"/>
      <c r="AH22" s="2110"/>
      <c r="AI22" s="2110"/>
      <c r="AJ22" s="2111"/>
      <c r="AK22" s="575"/>
      <c r="AL22" s="575"/>
      <c r="AM22" s="575"/>
      <c r="AN22" s="570"/>
      <c r="AO22" s="571">
        <f>IF(SUM(AO20:AO21)&gt;14,14,SUM(AO20:AO21))</f>
        <v>0</v>
      </c>
      <c r="AP22" s="571" t="s">
        <v>1480</v>
      </c>
    </row>
    <row r="23" spans="1:42" s="571" customFormat="1" ht="12.75" customHeight="1">
      <c r="A23" s="575"/>
      <c r="B23" s="575"/>
      <c r="C23" s="575"/>
      <c r="D23" s="585"/>
      <c r="E23" s="2112"/>
      <c r="F23" s="2113"/>
      <c r="G23" s="2113"/>
      <c r="H23" s="2113"/>
      <c r="I23" s="2113"/>
      <c r="J23" s="2113"/>
      <c r="K23" s="2113"/>
      <c r="L23" s="2113"/>
      <c r="M23" s="2113"/>
      <c r="N23" s="2113"/>
      <c r="O23" s="2113"/>
      <c r="P23" s="2113"/>
      <c r="Q23" s="2113"/>
      <c r="R23" s="2113"/>
      <c r="S23" s="2113"/>
      <c r="T23" s="2113"/>
      <c r="U23" s="2113"/>
      <c r="V23" s="2113"/>
      <c r="W23" s="2113"/>
      <c r="X23" s="2113"/>
      <c r="Y23" s="2113"/>
      <c r="Z23" s="2113"/>
      <c r="AA23" s="2113"/>
      <c r="AB23" s="2113"/>
      <c r="AC23" s="2113"/>
      <c r="AD23" s="2113"/>
      <c r="AE23" s="2113"/>
      <c r="AF23" s="2113"/>
      <c r="AG23" s="2113"/>
      <c r="AH23" s="2113"/>
      <c r="AI23" s="2113"/>
      <c r="AJ23" s="2114"/>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99" t="s">
        <v>600</v>
      </c>
      <c r="C25" s="2099"/>
      <c r="D25" s="582"/>
      <c r="E25" s="2027" t="s">
        <v>2429</v>
      </c>
      <c r="F25" s="2028"/>
      <c r="G25" s="2028"/>
      <c r="H25" s="2028"/>
      <c r="I25" s="2028"/>
      <c r="J25" s="2028"/>
      <c r="K25" s="2028"/>
      <c r="L25" s="2028"/>
      <c r="M25" s="2028"/>
      <c r="N25" s="2028"/>
      <c r="O25" s="2028"/>
      <c r="P25" s="2028"/>
      <c r="Q25" s="2028"/>
      <c r="R25" s="2028"/>
      <c r="S25" s="2028"/>
      <c r="T25" s="2028"/>
      <c r="U25" s="2028"/>
      <c r="V25" s="2028"/>
      <c r="W25" s="2028"/>
      <c r="X25" s="2028"/>
      <c r="Y25" s="2028"/>
      <c r="Z25" s="2028"/>
      <c r="AA25" s="2028"/>
      <c r="AB25" s="2028"/>
      <c r="AC25" s="2028"/>
      <c r="AD25" s="2028"/>
      <c r="AE25" s="2028"/>
      <c r="AF25" s="2028"/>
      <c r="AG25" s="2028"/>
      <c r="AH25" s="2028"/>
      <c r="AI25" s="2028"/>
      <c r="AJ25" s="2029"/>
      <c r="AK25" s="575"/>
      <c r="AL25" s="575"/>
      <c r="AM25" s="575"/>
      <c r="AN25" s="570"/>
      <c r="AO25" s="571">
        <f>IF(AO24&gt;6,6,AO24)</f>
        <v>0</v>
      </c>
      <c r="AP25" s="571" t="s">
        <v>1480</v>
      </c>
    </row>
    <row r="26" spans="1:42" s="571" customFormat="1" ht="12.75" customHeight="1">
      <c r="A26" s="575"/>
      <c r="B26" s="575"/>
      <c r="C26" s="575"/>
      <c r="D26" s="585"/>
      <c r="E26" s="2052"/>
      <c r="F26" s="2053"/>
      <c r="G26" s="2053"/>
      <c r="H26" s="2053"/>
      <c r="I26" s="2053"/>
      <c r="J26" s="2053"/>
      <c r="K26" s="2053"/>
      <c r="L26" s="2053"/>
      <c r="M26" s="2053"/>
      <c r="N26" s="2053"/>
      <c r="O26" s="2053"/>
      <c r="P26" s="2053"/>
      <c r="Q26" s="2053"/>
      <c r="R26" s="2053"/>
      <c r="S26" s="2053"/>
      <c r="T26" s="2053"/>
      <c r="U26" s="2053"/>
      <c r="V26" s="2053"/>
      <c r="W26" s="2053"/>
      <c r="X26" s="2053"/>
      <c r="Y26" s="2053"/>
      <c r="Z26" s="2053"/>
      <c r="AA26" s="2053"/>
      <c r="AB26" s="2053"/>
      <c r="AC26" s="2053"/>
      <c r="AD26" s="2053"/>
      <c r="AE26" s="2053"/>
      <c r="AF26" s="2053"/>
      <c r="AG26" s="2053"/>
      <c r="AH26" s="2053"/>
      <c r="AI26" s="2053"/>
      <c r="AJ26" s="2054"/>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2400</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20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20</v>
      </c>
      <c r="AP29" s="571" t="s">
        <v>1480</v>
      </c>
    </row>
    <row r="30" spans="1:42" s="571" customFormat="1" ht="12.75" customHeight="1">
      <c r="A30" s="575"/>
      <c r="B30" s="2099" t="s">
        <v>600</v>
      </c>
      <c r="C30" s="2099"/>
      <c r="D30" s="582"/>
      <c r="E30" s="2109" t="s">
        <v>2401</v>
      </c>
      <c r="F30" s="2110"/>
      <c r="G30" s="2110"/>
      <c r="H30" s="2110"/>
      <c r="I30" s="2110"/>
      <c r="J30" s="2110"/>
      <c r="K30" s="2110"/>
      <c r="L30" s="2110"/>
      <c r="M30" s="2110"/>
      <c r="N30" s="2110"/>
      <c r="O30" s="2110"/>
      <c r="P30" s="2110"/>
      <c r="Q30" s="2110"/>
      <c r="R30" s="2110"/>
      <c r="S30" s="2110"/>
      <c r="T30" s="2110"/>
      <c r="U30" s="2110"/>
      <c r="V30" s="2110"/>
      <c r="W30" s="2110"/>
      <c r="X30" s="2110"/>
      <c r="Y30" s="2110"/>
      <c r="Z30" s="2110"/>
      <c r="AA30" s="2110"/>
      <c r="AB30" s="2110"/>
      <c r="AC30" s="2110"/>
      <c r="AD30" s="2110"/>
      <c r="AE30" s="2110"/>
      <c r="AF30" s="2110"/>
      <c r="AG30" s="2110"/>
      <c r="AH30" s="2110"/>
      <c r="AI30" s="2110"/>
      <c r="AJ30" s="2111"/>
      <c r="AK30" s="575"/>
      <c r="AL30" s="575"/>
      <c r="AM30" s="575"/>
      <c r="AN30" s="570"/>
      <c r="AO30" s="585"/>
    </row>
    <row r="31" spans="1:42" s="571" customFormat="1" ht="12.75" customHeight="1">
      <c r="A31" s="575"/>
      <c r="B31" s="575"/>
      <c r="C31" s="575"/>
      <c r="E31" s="2112"/>
      <c r="F31" s="2113"/>
      <c r="G31" s="2113"/>
      <c r="H31" s="2113"/>
      <c r="I31" s="2113"/>
      <c r="J31" s="2113"/>
      <c r="K31" s="2113"/>
      <c r="L31" s="2113"/>
      <c r="M31" s="2113"/>
      <c r="N31" s="2113"/>
      <c r="O31" s="2113"/>
      <c r="P31" s="2113"/>
      <c r="Q31" s="2113"/>
      <c r="R31" s="2113"/>
      <c r="S31" s="2113"/>
      <c r="T31" s="2113"/>
      <c r="U31" s="2113"/>
      <c r="V31" s="2113"/>
      <c r="W31" s="2113"/>
      <c r="X31" s="2113"/>
      <c r="Y31" s="2113"/>
      <c r="Z31" s="2113"/>
      <c r="AA31" s="2113"/>
      <c r="AB31" s="2113"/>
      <c r="AC31" s="2113"/>
      <c r="AD31" s="2113"/>
      <c r="AE31" s="2113"/>
      <c r="AF31" s="2113"/>
      <c r="AG31" s="2113"/>
      <c r="AH31" s="2113"/>
      <c r="AI31" s="2113"/>
      <c r="AJ31" s="2114"/>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99" t="s">
        <v>600</v>
      </c>
      <c r="C33" s="2099"/>
      <c r="D33" s="582"/>
      <c r="E33" s="2027" t="s">
        <v>2402</v>
      </c>
      <c r="F33" s="2028"/>
      <c r="G33" s="2028"/>
      <c r="H33" s="2028"/>
      <c r="I33" s="2028"/>
      <c r="J33" s="2028"/>
      <c r="K33" s="2028"/>
      <c r="L33" s="2028"/>
      <c r="M33" s="2028"/>
      <c r="N33" s="2028"/>
      <c r="O33" s="2028"/>
      <c r="P33" s="2028"/>
      <c r="Q33" s="2028"/>
      <c r="R33" s="2028"/>
      <c r="S33" s="2028"/>
      <c r="T33" s="2028"/>
      <c r="U33" s="2028"/>
      <c r="V33" s="2028"/>
      <c r="W33" s="2028"/>
      <c r="X33" s="2028"/>
      <c r="Y33" s="2028"/>
      <c r="Z33" s="2028"/>
      <c r="AA33" s="2028"/>
      <c r="AB33" s="2028"/>
      <c r="AC33" s="2028"/>
      <c r="AD33" s="2028"/>
      <c r="AE33" s="2028"/>
      <c r="AF33" s="2028"/>
      <c r="AG33" s="2028"/>
      <c r="AH33" s="2028"/>
      <c r="AI33" s="2028"/>
      <c r="AJ33" s="2029"/>
      <c r="AK33" s="575"/>
      <c r="AL33" s="575"/>
      <c r="AM33" s="575"/>
      <c r="AN33" s="570"/>
    </row>
    <row r="34" spans="1:41" s="571" customFormat="1" ht="12.75" customHeight="1">
      <c r="A34" s="575"/>
      <c r="B34" s="575"/>
      <c r="C34" s="575"/>
      <c r="E34" s="2030"/>
      <c r="F34" s="2031"/>
      <c r="G34" s="2031"/>
      <c r="H34" s="2031"/>
      <c r="I34" s="2031"/>
      <c r="J34" s="2031"/>
      <c r="K34" s="2031"/>
      <c r="L34" s="2031"/>
      <c r="M34" s="2031"/>
      <c r="N34" s="2031"/>
      <c r="O34" s="2031"/>
      <c r="P34" s="2031"/>
      <c r="Q34" s="2031"/>
      <c r="R34" s="2031"/>
      <c r="S34" s="2031"/>
      <c r="T34" s="2031"/>
      <c r="U34" s="2031"/>
      <c r="V34" s="2031"/>
      <c r="W34" s="2031"/>
      <c r="X34" s="2031"/>
      <c r="Y34" s="2031"/>
      <c r="Z34" s="2031"/>
      <c r="AA34" s="2031"/>
      <c r="AB34" s="2031"/>
      <c r="AC34" s="2031"/>
      <c r="AD34" s="2031"/>
      <c r="AE34" s="2031"/>
      <c r="AF34" s="2031"/>
      <c r="AG34" s="2031"/>
      <c r="AH34" s="2031"/>
      <c r="AI34" s="2031"/>
      <c r="AJ34" s="2032"/>
      <c r="AK34" s="575"/>
      <c r="AL34" s="575"/>
      <c r="AM34" s="575"/>
      <c r="AN34" s="570"/>
    </row>
    <row r="35" spans="1:41" s="571" customFormat="1" ht="12.75" customHeight="1">
      <c r="A35" s="575"/>
      <c r="B35" s="575"/>
      <c r="C35" s="575"/>
      <c r="E35" s="2052"/>
      <c r="F35" s="2053"/>
      <c r="G35" s="2053"/>
      <c r="H35" s="2053"/>
      <c r="I35" s="2053"/>
      <c r="J35" s="2053"/>
      <c r="K35" s="2053"/>
      <c r="L35" s="2053"/>
      <c r="M35" s="2053"/>
      <c r="N35" s="2053"/>
      <c r="O35" s="2053"/>
      <c r="P35" s="2053"/>
      <c r="Q35" s="2053"/>
      <c r="R35" s="2053"/>
      <c r="S35" s="2053"/>
      <c r="T35" s="2053"/>
      <c r="U35" s="2053"/>
      <c r="V35" s="2053"/>
      <c r="W35" s="2053"/>
      <c r="X35" s="2053"/>
      <c r="Y35" s="2053"/>
      <c r="Z35" s="2053"/>
      <c r="AA35" s="2053"/>
      <c r="AB35" s="2053"/>
      <c r="AC35" s="2053"/>
      <c r="AD35" s="2053"/>
      <c r="AE35" s="2053"/>
      <c r="AF35" s="2053"/>
      <c r="AG35" s="2053"/>
      <c r="AH35" s="2053"/>
      <c r="AI35" s="2053"/>
      <c r="AJ35" s="2054"/>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20</v>
      </c>
    </row>
    <row r="37" spans="1:41" s="571" customFormat="1" ht="12.75" customHeight="1">
      <c r="A37" s="575"/>
      <c r="C37" s="579" t="s">
        <v>2404</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99" t="s">
        <v>600</v>
      </c>
      <c r="C39" s="2099"/>
      <c r="D39" s="1195"/>
      <c r="E39" s="2027" t="s">
        <v>2403</v>
      </c>
      <c r="F39" s="2028"/>
      <c r="G39" s="2028"/>
      <c r="H39" s="2028"/>
      <c r="I39" s="2028"/>
      <c r="J39" s="2028"/>
      <c r="K39" s="2028"/>
      <c r="L39" s="2028"/>
      <c r="M39" s="2028"/>
      <c r="N39" s="2028"/>
      <c r="O39" s="2028"/>
      <c r="P39" s="2028"/>
      <c r="Q39" s="2028"/>
      <c r="R39" s="2028"/>
      <c r="S39" s="2028"/>
      <c r="T39" s="2028"/>
      <c r="U39" s="2028"/>
      <c r="V39" s="2028"/>
      <c r="W39" s="2028"/>
      <c r="X39" s="2028"/>
      <c r="Y39" s="2028"/>
      <c r="Z39" s="2028"/>
      <c r="AA39" s="2028"/>
      <c r="AB39" s="2028"/>
      <c r="AC39" s="2028"/>
      <c r="AD39" s="2028"/>
      <c r="AE39" s="2028"/>
      <c r="AF39" s="2028"/>
      <c r="AG39" s="2028"/>
      <c r="AH39" s="2028"/>
      <c r="AI39" s="2028"/>
      <c r="AJ39" s="2029"/>
      <c r="AK39" s="1195"/>
      <c r="AL39" s="575"/>
      <c r="AM39" s="575"/>
      <c r="AN39" s="570"/>
    </row>
    <row r="40" spans="1:41" s="571" customFormat="1" ht="12.75" customHeight="1">
      <c r="A40" s="575"/>
      <c r="B40" s="575"/>
      <c r="C40" s="575"/>
      <c r="E40" s="2030"/>
      <c r="F40" s="2031"/>
      <c r="G40" s="2031"/>
      <c r="H40" s="2031"/>
      <c r="I40" s="2031"/>
      <c r="J40" s="2031"/>
      <c r="K40" s="2031"/>
      <c r="L40" s="2031"/>
      <c r="M40" s="2031"/>
      <c r="N40" s="2031"/>
      <c r="O40" s="2031"/>
      <c r="P40" s="2031"/>
      <c r="Q40" s="2031"/>
      <c r="R40" s="2031"/>
      <c r="S40" s="2031"/>
      <c r="T40" s="2031"/>
      <c r="U40" s="2031"/>
      <c r="V40" s="2031"/>
      <c r="W40" s="2031"/>
      <c r="X40" s="2031"/>
      <c r="Y40" s="2031"/>
      <c r="Z40" s="2031"/>
      <c r="AA40" s="2031"/>
      <c r="AB40" s="2031"/>
      <c r="AC40" s="2031"/>
      <c r="AD40" s="2031"/>
      <c r="AE40" s="2031"/>
      <c r="AF40" s="2031"/>
      <c r="AG40" s="2031"/>
      <c r="AH40" s="2031"/>
      <c r="AI40" s="2031"/>
      <c r="AJ40" s="2032"/>
      <c r="AK40" s="575"/>
      <c r="AL40" s="575"/>
      <c r="AM40" s="575"/>
      <c r="AN40" s="570"/>
    </row>
    <row r="41" spans="1:41" s="571" customFormat="1" ht="12.75" customHeight="1">
      <c r="A41" s="575"/>
      <c r="D41" s="582"/>
      <c r="E41" s="2052"/>
      <c r="F41" s="2053"/>
      <c r="G41" s="2053"/>
      <c r="H41" s="2053"/>
      <c r="I41" s="2053"/>
      <c r="J41" s="2053"/>
      <c r="K41" s="2053"/>
      <c r="L41" s="2053"/>
      <c r="M41" s="2053"/>
      <c r="N41" s="2053"/>
      <c r="O41" s="2053"/>
      <c r="P41" s="2053"/>
      <c r="Q41" s="2053"/>
      <c r="R41" s="2053"/>
      <c r="S41" s="2053"/>
      <c r="T41" s="2053"/>
      <c r="U41" s="2053"/>
      <c r="V41" s="2053"/>
      <c r="W41" s="2053"/>
      <c r="X41" s="2053"/>
      <c r="Y41" s="2053"/>
      <c r="Z41" s="2053"/>
      <c r="AA41" s="2053"/>
      <c r="AB41" s="2053"/>
      <c r="AC41" s="2053"/>
      <c r="AD41" s="2053"/>
      <c r="AE41" s="2053"/>
      <c r="AF41" s="2053"/>
      <c r="AG41" s="2053"/>
      <c r="AH41" s="2053"/>
      <c r="AI41" s="2053"/>
      <c r="AJ41" s="2054"/>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2406</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2407</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99" t="s">
        <v>554</v>
      </c>
      <c r="C46" s="2099"/>
      <c r="D46" s="575"/>
      <c r="E46" s="2027" t="s">
        <v>2408</v>
      </c>
      <c r="F46" s="2028"/>
      <c r="G46" s="2028"/>
      <c r="H46" s="2028"/>
      <c r="I46" s="2028"/>
      <c r="J46" s="2028"/>
      <c r="K46" s="2028"/>
      <c r="L46" s="2028"/>
      <c r="M46" s="2028"/>
      <c r="N46" s="2028"/>
      <c r="O46" s="2028"/>
      <c r="P46" s="2028"/>
      <c r="Q46" s="2028"/>
      <c r="R46" s="2028"/>
      <c r="S46" s="2028"/>
      <c r="T46" s="2028"/>
      <c r="U46" s="2028"/>
      <c r="V46" s="2028"/>
      <c r="W46" s="2028"/>
      <c r="X46" s="2028"/>
      <c r="Y46" s="2028"/>
      <c r="Z46" s="2028"/>
      <c r="AA46" s="2028"/>
      <c r="AB46" s="2028"/>
      <c r="AC46" s="2028"/>
      <c r="AD46" s="2028"/>
      <c r="AE46" s="2028"/>
      <c r="AF46" s="2028"/>
      <c r="AG46" s="2028"/>
      <c r="AH46" s="2028"/>
      <c r="AI46" s="2028"/>
      <c r="AJ46" s="2029"/>
      <c r="AK46" s="575"/>
      <c r="AL46" s="575"/>
      <c r="AM46" s="575"/>
      <c r="AN46" s="570"/>
      <c r="AO46" s="594"/>
    </row>
    <row r="47" spans="1:41" s="571" customFormat="1" ht="12.75" customHeight="1">
      <c r="A47" s="575"/>
      <c r="D47" s="582"/>
      <c r="E47" s="2030"/>
      <c r="F47" s="2031"/>
      <c r="G47" s="2031"/>
      <c r="H47" s="2031"/>
      <c r="I47" s="2031"/>
      <c r="J47" s="2031"/>
      <c r="K47" s="2031"/>
      <c r="L47" s="2031"/>
      <c r="M47" s="2031"/>
      <c r="N47" s="2031"/>
      <c r="O47" s="2031"/>
      <c r="P47" s="2031"/>
      <c r="Q47" s="2031"/>
      <c r="R47" s="2031"/>
      <c r="S47" s="2031"/>
      <c r="T47" s="2031"/>
      <c r="U47" s="2031"/>
      <c r="V47" s="2031"/>
      <c r="W47" s="2031"/>
      <c r="X47" s="2031"/>
      <c r="Y47" s="2031"/>
      <c r="Z47" s="2031"/>
      <c r="AA47" s="2031"/>
      <c r="AB47" s="2031"/>
      <c r="AC47" s="2031"/>
      <c r="AD47" s="2031"/>
      <c r="AE47" s="2031"/>
      <c r="AF47" s="2031"/>
      <c r="AG47" s="2031"/>
      <c r="AH47" s="2031"/>
      <c r="AI47" s="2031"/>
      <c r="AJ47" s="2032"/>
      <c r="AK47" s="575"/>
      <c r="AL47" s="575"/>
      <c r="AM47" s="575"/>
      <c r="AN47" s="570"/>
      <c r="AO47" s="594"/>
    </row>
    <row r="48" spans="1:41" s="571" customFormat="1" ht="12.75" customHeight="1">
      <c r="A48" s="575"/>
      <c r="D48" s="575"/>
      <c r="E48" s="2052"/>
      <c r="F48" s="2053"/>
      <c r="G48" s="2053"/>
      <c r="H48" s="2053"/>
      <c r="I48" s="2053"/>
      <c r="J48" s="2053"/>
      <c r="K48" s="2053"/>
      <c r="L48" s="2053"/>
      <c r="M48" s="2053"/>
      <c r="N48" s="2053"/>
      <c r="O48" s="2053"/>
      <c r="P48" s="2053"/>
      <c r="Q48" s="2053"/>
      <c r="R48" s="2053"/>
      <c r="S48" s="2053"/>
      <c r="T48" s="2053"/>
      <c r="U48" s="2053"/>
      <c r="V48" s="2053"/>
      <c r="W48" s="2053"/>
      <c r="X48" s="2053"/>
      <c r="Y48" s="2053"/>
      <c r="Z48" s="2053"/>
      <c r="AA48" s="2053"/>
      <c r="AB48" s="2053"/>
      <c r="AC48" s="2053"/>
      <c r="AD48" s="2053"/>
      <c r="AE48" s="2053"/>
      <c r="AF48" s="2053"/>
      <c r="AG48" s="2053"/>
      <c r="AH48" s="2053"/>
      <c r="AI48" s="2053"/>
      <c r="AJ48" s="2054"/>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99" t="s">
        <v>554</v>
      </c>
      <c r="C50" s="2099"/>
      <c r="D50" s="575"/>
      <c r="E50" s="2125" t="s">
        <v>2409</v>
      </c>
      <c r="F50" s="2126"/>
      <c r="G50" s="2126"/>
      <c r="H50" s="2126"/>
      <c r="I50" s="2126"/>
      <c r="J50" s="2126"/>
      <c r="K50" s="2126"/>
      <c r="L50" s="2126"/>
      <c r="M50" s="2126"/>
      <c r="N50" s="2126"/>
      <c r="O50" s="2126"/>
      <c r="P50" s="2126"/>
      <c r="Q50" s="2126"/>
      <c r="R50" s="2126"/>
      <c r="S50" s="2126"/>
      <c r="T50" s="2126"/>
      <c r="U50" s="2126"/>
      <c r="V50" s="2126"/>
      <c r="W50" s="2126"/>
      <c r="X50" s="2126"/>
      <c r="Y50" s="2126"/>
      <c r="Z50" s="2126"/>
      <c r="AA50" s="2126"/>
      <c r="AB50" s="2126"/>
      <c r="AC50" s="2126"/>
      <c r="AD50" s="2126"/>
      <c r="AE50" s="2126"/>
      <c r="AF50" s="2126"/>
      <c r="AG50" s="2126"/>
      <c r="AH50" s="2126"/>
      <c r="AI50" s="2126"/>
      <c r="AJ50" s="2127"/>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99" t="s">
        <v>554</v>
      </c>
      <c r="C52" s="2099"/>
      <c r="D52" s="575"/>
      <c r="E52" s="2027" t="s">
        <v>2410</v>
      </c>
      <c r="F52" s="2028"/>
      <c r="G52" s="2028"/>
      <c r="H52" s="2028"/>
      <c r="I52" s="2028"/>
      <c r="J52" s="2028"/>
      <c r="K52" s="2028"/>
      <c r="L52" s="2028"/>
      <c r="M52" s="2028"/>
      <c r="N52" s="2028"/>
      <c r="O52" s="2028"/>
      <c r="P52" s="2028"/>
      <c r="Q52" s="2028"/>
      <c r="R52" s="2028"/>
      <c r="S52" s="2028"/>
      <c r="T52" s="2028"/>
      <c r="U52" s="2028"/>
      <c r="V52" s="2028"/>
      <c r="W52" s="2028"/>
      <c r="X52" s="2028"/>
      <c r="Y52" s="2028"/>
      <c r="Z52" s="2028"/>
      <c r="AA52" s="2028"/>
      <c r="AB52" s="2028"/>
      <c r="AC52" s="2028"/>
      <c r="AD52" s="2028"/>
      <c r="AE52" s="2028"/>
      <c r="AF52" s="2028"/>
      <c r="AG52" s="2028"/>
      <c r="AH52" s="2028"/>
      <c r="AI52" s="2028"/>
      <c r="AJ52" s="2029"/>
      <c r="AK52" s="575"/>
      <c r="AL52" s="575"/>
      <c r="AM52" s="575"/>
      <c r="AN52" s="570"/>
    </row>
    <row r="53" spans="1:50" s="571" customFormat="1" ht="12.75" customHeight="1">
      <c r="A53" s="575"/>
      <c r="B53" s="582"/>
      <c r="C53" s="582"/>
      <c r="D53" s="582"/>
      <c r="E53" s="2052"/>
      <c r="F53" s="2053"/>
      <c r="G53" s="2053"/>
      <c r="H53" s="2053"/>
      <c r="I53" s="2053"/>
      <c r="J53" s="2053"/>
      <c r="K53" s="2053"/>
      <c r="L53" s="2053"/>
      <c r="M53" s="2053"/>
      <c r="N53" s="2053"/>
      <c r="O53" s="2053"/>
      <c r="P53" s="2053"/>
      <c r="Q53" s="2053"/>
      <c r="R53" s="2053"/>
      <c r="S53" s="2053"/>
      <c r="T53" s="2053"/>
      <c r="U53" s="2053"/>
      <c r="V53" s="2053"/>
      <c r="W53" s="2053"/>
      <c r="X53" s="2053"/>
      <c r="Y53" s="2053"/>
      <c r="Z53" s="2053"/>
      <c r="AA53" s="2053"/>
      <c r="AB53" s="2053"/>
      <c r="AC53" s="2053"/>
      <c r="AD53" s="2053"/>
      <c r="AE53" s="2053"/>
      <c r="AF53" s="2053"/>
      <c r="AG53" s="2053"/>
      <c r="AH53" s="2053"/>
      <c r="AI53" s="2053"/>
      <c r="AJ53" s="2054"/>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1483</v>
      </c>
      <c r="AK56" s="2073">
        <f>AO36</f>
        <v>20</v>
      </c>
      <c r="AL56" s="2074"/>
      <c r="AM56" s="2075"/>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1484</v>
      </c>
      <c r="B59" s="574" t="s">
        <v>1485</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21" t="s">
        <v>1486</v>
      </c>
      <c r="AF59" s="1921"/>
      <c r="AG59" s="1921"/>
      <c r="AH59" s="1921"/>
      <c r="AI59" s="1921"/>
      <c r="AJ59" s="1921"/>
      <c r="AK59" s="1921"/>
      <c r="AL59" s="575"/>
      <c r="AM59" s="575"/>
      <c r="AN59" s="570"/>
    </row>
    <row r="60" spans="1:50" s="571" customFormat="1" ht="12.75" customHeight="1">
      <c r="A60" s="573"/>
      <c r="B60" s="574" t="s">
        <v>1988</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99" t="s">
        <v>600</v>
      </c>
      <c r="C62" s="2099"/>
      <c r="D62" s="582" t="s">
        <v>1487</v>
      </c>
      <c r="E62" s="2091" t="s">
        <v>2411</v>
      </c>
      <c r="F62" s="2092"/>
      <c r="G62" s="2092"/>
      <c r="H62" s="2092"/>
      <c r="I62" s="2092"/>
      <c r="J62" s="2092"/>
      <c r="K62" s="2092"/>
      <c r="L62" s="2092"/>
      <c r="M62" s="2092"/>
      <c r="N62" s="2092"/>
      <c r="O62" s="2092"/>
      <c r="P62" s="2092"/>
      <c r="Q62" s="2092"/>
      <c r="R62" s="2092"/>
      <c r="S62" s="2092"/>
      <c r="T62" s="2092"/>
      <c r="U62" s="2092"/>
      <c r="V62" s="2092"/>
      <c r="W62" s="2092"/>
      <c r="X62" s="2092"/>
      <c r="Y62" s="2092"/>
      <c r="Z62" s="2092"/>
      <c r="AA62" s="2092"/>
      <c r="AB62" s="2092"/>
      <c r="AC62" s="2092"/>
      <c r="AD62" s="2092"/>
      <c r="AE62" s="2092"/>
      <c r="AF62" s="2092"/>
      <c r="AG62" s="2092"/>
      <c r="AH62" s="2092"/>
      <c r="AI62" s="2092"/>
      <c r="AJ62" s="2093"/>
      <c r="AK62" s="578"/>
      <c r="AL62" s="575"/>
      <c r="AM62" s="575"/>
      <c r="AN62" s="570"/>
      <c r="AO62" s="585">
        <f>IF($B62="yes",10,0)</f>
        <v>0</v>
      </c>
    </row>
    <row r="63" spans="1:50" s="571" customFormat="1" ht="12.75" customHeight="1">
      <c r="A63" s="573"/>
      <c r="B63" s="575"/>
      <c r="C63" s="575"/>
      <c r="D63" s="586"/>
      <c r="E63" s="2094"/>
      <c r="F63" s="2095"/>
      <c r="G63" s="2095"/>
      <c r="H63" s="2095"/>
      <c r="I63" s="2095"/>
      <c r="J63" s="2095"/>
      <c r="K63" s="2095"/>
      <c r="L63" s="2095"/>
      <c r="M63" s="2095"/>
      <c r="N63" s="2095"/>
      <c r="O63" s="2095"/>
      <c r="P63" s="2095"/>
      <c r="Q63" s="2095"/>
      <c r="R63" s="2095"/>
      <c r="S63" s="2095"/>
      <c r="T63" s="2095"/>
      <c r="U63" s="2095"/>
      <c r="V63" s="2095"/>
      <c r="W63" s="2095"/>
      <c r="X63" s="2095"/>
      <c r="Y63" s="2095"/>
      <c r="Z63" s="2095"/>
      <c r="AA63" s="2095"/>
      <c r="AB63" s="2095"/>
      <c r="AC63" s="2095"/>
      <c r="AD63" s="2095"/>
      <c r="AE63" s="2095"/>
      <c r="AF63" s="2095"/>
      <c r="AG63" s="2095"/>
      <c r="AH63" s="2095"/>
      <c r="AI63" s="2095"/>
      <c r="AJ63" s="2096"/>
      <c r="AK63" s="578"/>
      <c r="AL63" s="575"/>
      <c r="AM63" s="575"/>
      <c r="AN63" s="570"/>
      <c r="AO63" s="585">
        <f>IF($B68="yes",10,0)</f>
        <v>0</v>
      </c>
    </row>
    <row r="64" spans="1:50" s="571" customFormat="1" ht="12.75" customHeight="1">
      <c r="A64" s="573"/>
      <c r="B64" s="575"/>
      <c r="C64" s="575"/>
      <c r="D64" s="586"/>
      <c r="E64" s="2094"/>
      <c r="F64" s="2095"/>
      <c r="G64" s="2095"/>
      <c r="H64" s="2095"/>
      <c r="I64" s="2095"/>
      <c r="J64" s="2095"/>
      <c r="K64" s="2095"/>
      <c r="L64" s="2095"/>
      <c r="M64" s="2095"/>
      <c r="N64" s="2095"/>
      <c r="O64" s="2095"/>
      <c r="P64" s="2095"/>
      <c r="Q64" s="2095"/>
      <c r="R64" s="2095"/>
      <c r="S64" s="2095"/>
      <c r="T64" s="2095"/>
      <c r="U64" s="2095"/>
      <c r="V64" s="2095"/>
      <c r="W64" s="2095"/>
      <c r="X64" s="2095"/>
      <c r="Y64" s="2095"/>
      <c r="Z64" s="2095"/>
      <c r="AA64" s="2095"/>
      <c r="AB64" s="2095"/>
      <c r="AC64" s="2095"/>
      <c r="AD64" s="2095"/>
      <c r="AE64" s="2095"/>
      <c r="AF64" s="2095"/>
      <c r="AG64" s="2095"/>
      <c r="AH64" s="2095"/>
      <c r="AI64" s="2095"/>
      <c r="AJ64" s="2096"/>
      <c r="AK64" s="578"/>
      <c r="AL64" s="575"/>
      <c r="AM64" s="575"/>
      <c r="AN64" s="570"/>
      <c r="AO64" s="585">
        <f>IF($B75="yes",10,0)</f>
        <v>0</v>
      </c>
    </row>
    <row r="65" spans="1:42" s="571" customFormat="1" ht="12.75" customHeight="1">
      <c r="A65" s="573"/>
      <c r="B65" s="575"/>
      <c r="C65" s="575"/>
      <c r="D65" s="586"/>
      <c r="E65" s="2094"/>
      <c r="F65" s="2095"/>
      <c r="G65" s="2095"/>
      <c r="H65" s="2095"/>
      <c r="I65" s="2095"/>
      <c r="J65" s="2095"/>
      <c r="K65" s="2095"/>
      <c r="L65" s="2095"/>
      <c r="M65" s="2095"/>
      <c r="N65" s="2095"/>
      <c r="O65" s="2095"/>
      <c r="P65" s="2095"/>
      <c r="Q65" s="2095"/>
      <c r="R65" s="2095"/>
      <c r="S65" s="2095"/>
      <c r="T65" s="2095"/>
      <c r="U65" s="2095"/>
      <c r="V65" s="2095"/>
      <c r="W65" s="2095"/>
      <c r="X65" s="2095"/>
      <c r="Y65" s="2095"/>
      <c r="Z65" s="2095"/>
      <c r="AA65" s="2095"/>
      <c r="AB65" s="2095"/>
      <c r="AC65" s="2095"/>
      <c r="AD65" s="2095"/>
      <c r="AE65" s="2095"/>
      <c r="AF65" s="2095"/>
      <c r="AG65" s="2095"/>
      <c r="AH65" s="2095"/>
      <c r="AI65" s="2095"/>
      <c r="AJ65" s="2096"/>
      <c r="AK65" s="578"/>
      <c r="AL65" s="575"/>
      <c r="AM65" s="575"/>
      <c r="AN65" s="570"/>
      <c r="AO65" s="571">
        <f>IF(SUM(AO62:AO64)&gt;10,10,(SUM(AO62:AO64)))</f>
        <v>0</v>
      </c>
      <c r="AP65" s="609" t="s">
        <v>1488</v>
      </c>
    </row>
    <row r="66" spans="1:42" s="571" customFormat="1" ht="12.75" customHeight="1">
      <c r="A66" s="573"/>
      <c r="B66" s="575"/>
      <c r="C66" s="575"/>
      <c r="D66" s="586"/>
      <c r="E66" s="2121"/>
      <c r="F66" s="2122"/>
      <c r="G66" s="2122"/>
      <c r="H66" s="2122"/>
      <c r="I66" s="2122"/>
      <c r="J66" s="2122"/>
      <c r="K66" s="2122"/>
      <c r="L66" s="2122"/>
      <c r="M66" s="2122"/>
      <c r="N66" s="2122"/>
      <c r="O66" s="2122"/>
      <c r="P66" s="2122"/>
      <c r="Q66" s="2122"/>
      <c r="R66" s="2122"/>
      <c r="S66" s="2122"/>
      <c r="T66" s="2122"/>
      <c r="U66" s="2122"/>
      <c r="V66" s="2122"/>
      <c r="W66" s="2122"/>
      <c r="X66" s="2122"/>
      <c r="Y66" s="2122"/>
      <c r="Z66" s="2122"/>
      <c r="AA66" s="2122"/>
      <c r="AB66" s="2122"/>
      <c r="AC66" s="2122"/>
      <c r="AD66" s="2122"/>
      <c r="AE66" s="2122"/>
      <c r="AF66" s="2122"/>
      <c r="AG66" s="2122"/>
      <c r="AH66" s="2122"/>
      <c r="AI66" s="2122"/>
      <c r="AJ66" s="2123"/>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99" t="s">
        <v>600</v>
      </c>
      <c r="C68" s="2099"/>
      <c r="D68" s="582" t="s">
        <v>1489</v>
      </c>
      <c r="E68" s="1008" t="s">
        <v>1984</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24" t="s">
        <v>600</v>
      </c>
      <c r="F69" s="2099"/>
      <c r="G69" s="610"/>
      <c r="H69" s="593" t="s">
        <v>1490</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19" t="s">
        <v>600</v>
      </c>
      <c r="F70" s="2120"/>
      <c r="G70" s="610"/>
      <c r="H70" s="593" t="s">
        <v>1491</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19" t="s">
        <v>600</v>
      </c>
      <c r="F71" s="2120"/>
      <c r="G71" s="610"/>
      <c r="H71" s="593" t="s">
        <v>1999</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24" t="s">
        <v>600</v>
      </c>
      <c r="F73" s="2099"/>
      <c r="G73" s="943"/>
      <c r="H73" s="1013" t="s">
        <v>1998</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99" t="s">
        <v>600</v>
      </c>
      <c r="C75" s="2099"/>
      <c r="D75" s="582" t="s">
        <v>1492</v>
      </c>
      <c r="E75" s="2027" t="s">
        <v>2000</v>
      </c>
      <c r="F75" s="2028"/>
      <c r="G75" s="2028"/>
      <c r="H75" s="2028"/>
      <c r="I75" s="2028"/>
      <c r="J75" s="2028"/>
      <c r="K75" s="2028"/>
      <c r="L75" s="2028"/>
      <c r="M75" s="2028"/>
      <c r="N75" s="2028"/>
      <c r="O75" s="2028"/>
      <c r="P75" s="2028"/>
      <c r="Q75" s="2028"/>
      <c r="R75" s="2028"/>
      <c r="S75" s="2028"/>
      <c r="T75" s="2028"/>
      <c r="U75" s="2028"/>
      <c r="V75" s="2028"/>
      <c r="W75" s="2028"/>
      <c r="X75" s="2028"/>
      <c r="Y75" s="2028"/>
      <c r="Z75" s="2028"/>
      <c r="AA75" s="2028"/>
      <c r="AB75" s="2028"/>
      <c r="AC75" s="2028"/>
      <c r="AD75" s="2028"/>
      <c r="AE75" s="2028"/>
      <c r="AF75" s="2028"/>
      <c r="AG75" s="2028"/>
      <c r="AH75" s="2028"/>
      <c r="AI75" s="2028"/>
      <c r="AJ75" s="2029"/>
      <c r="AK75" s="578"/>
      <c r="AL75" s="575"/>
      <c r="AM75" s="575"/>
      <c r="AN75" s="570"/>
    </row>
    <row r="76" spans="1:42" s="571" customFormat="1" ht="12.75" customHeight="1">
      <c r="A76" s="573"/>
      <c r="B76" s="575"/>
      <c r="C76" s="575"/>
      <c r="D76" s="585"/>
      <c r="E76" s="2052"/>
      <c r="F76" s="2053"/>
      <c r="G76" s="2053"/>
      <c r="H76" s="2053"/>
      <c r="I76" s="2053"/>
      <c r="J76" s="2053"/>
      <c r="K76" s="2053"/>
      <c r="L76" s="2053"/>
      <c r="M76" s="2053"/>
      <c r="N76" s="2053"/>
      <c r="O76" s="2053"/>
      <c r="P76" s="2053"/>
      <c r="Q76" s="2053"/>
      <c r="R76" s="2053"/>
      <c r="S76" s="2053"/>
      <c r="T76" s="2053"/>
      <c r="U76" s="2053"/>
      <c r="V76" s="2053"/>
      <c r="W76" s="2053"/>
      <c r="X76" s="2053"/>
      <c r="Y76" s="2053"/>
      <c r="Z76" s="2053"/>
      <c r="AA76" s="2053"/>
      <c r="AB76" s="2053"/>
      <c r="AC76" s="2053"/>
      <c r="AD76" s="2053"/>
      <c r="AE76" s="2053"/>
      <c r="AF76" s="2053"/>
      <c r="AG76" s="2053"/>
      <c r="AH76" s="2053"/>
      <c r="AI76" s="2053"/>
      <c r="AJ76" s="2054"/>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1493</v>
      </c>
      <c r="AK78" s="2073">
        <f>IF(AK56&gt;0,0,AO65)</f>
        <v>0</v>
      </c>
      <c r="AL78" s="2074"/>
      <c r="AM78" s="2075"/>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1494</v>
      </c>
      <c r="B81" s="574" t="s">
        <v>1495</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21" t="s">
        <v>1477</v>
      </c>
      <c r="AF81" s="1921"/>
      <c r="AG81" s="1921"/>
      <c r="AH81" s="1921"/>
      <c r="AI81" s="1921"/>
      <c r="AJ81" s="1921"/>
      <c r="AK81" s="1921"/>
      <c r="AL81" s="575"/>
      <c r="AM81" s="575"/>
      <c r="AN81" s="570"/>
    </row>
    <row r="82" spans="1:43" s="571" customFormat="1" ht="12.75" customHeight="1">
      <c r="A82" s="573"/>
      <c r="B82" s="574" t="s">
        <v>1496</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99" t="s">
        <v>600</v>
      </c>
      <c r="C84" s="2099"/>
      <c r="D84" s="582" t="s">
        <v>1487</v>
      </c>
      <c r="E84" s="2091" t="s">
        <v>1497</v>
      </c>
      <c r="F84" s="2092"/>
      <c r="G84" s="2092"/>
      <c r="H84" s="2092"/>
      <c r="I84" s="2092"/>
      <c r="J84" s="2092"/>
      <c r="K84" s="2092"/>
      <c r="L84" s="2092"/>
      <c r="M84" s="2092"/>
      <c r="N84" s="2092"/>
      <c r="O84" s="2092"/>
      <c r="P84" s="2092"/>
      <c r="Q84" s="2092"/>
      <c r="R84" s="2092"/>
      <c r="S84" s="2092"/>
      <c r="T84" s="2092"/>
      <c r="U84" s="2092"/>
      <c r="V84" s="2092"/>
      <c r="W84" s="2092"/>
      <c r="X84" s="2092"/>
      <c r="Y84" s="2092"/>
      <c r="Z84" s="2092"/>
      <c r="AA84" s="2092"/>
      <c r="AB84" s="2092"/>
      <c r="AC84" s="2092"/>
      <c r="AD84" s="2092"/>
      <c r="AE84" s="2092"/>
      <c r="AF84" s="2092"/>
      <c r="AG84" s="2092"/>
      <c r="AH84" s="2092"/>
      <c r="AI84" s="2092"/>
      <c r="AJ84" s="2093"/>
      <c r="AK84" s="578"/>
      <c r="AL84" s="575"/>
      <c r="AM84" s="575"/>
      <c r="AN84" s="570"/>
    </row>
    <row r="85" spans="1:43" s="571" customFormat="1" ht="12.75" customHeight="1">
      <c r="A85" s="573"/>
      <c r="B85" s="574"/>
      <c r="C85" s="574"/>
      <c r="D85" s="574"/>
      <c r="E85" s="2094"/>
      <c r="F85" s="2095"/>
      <c r="G85" s="2095"/>
      <c r="H85" s="2095"/>
      <c r="I85" s="2095"/>
      <c r="J85" s="2095"/>
      <c r="K85" s="2095"/>
      <c r="L85" s="2095"/>
      <c r="M85" s="2095"/>
      <c r="N85" s="2095"/>
      <c r="O85" s="2095"/>
      <c r="P85" s="2095"/>
      <c r="Q85" s="2095"/>
      <c r="R85" s="2095"/>
      <c r="S85" s="2095"/>
      <c r="T85" s="2095"/>
      <c r="U85" s="2095"/>
      <c r="V85" s="2095"/>
      <c r="W85" s="2095"/>
      <c r="X85" s="2095"/>
      <c r="Y85" s="2095"/>
      <c r="Z85" s="2095"/>
      <c r="AA85" s="2095"/>
      <c r="AB85" s="2095"/>
      <c r="AC85" s="2095"/>
      <c r="AD85" s="2095"/>
      <c r="AE85" s="2095"/>
      <c r="AF85" s="2095"/>
      <c r="AG85" s="2095"/>
      <c r="AH85" s="2095"/>
      <c r="AI85" s="2095"/>
      <c r="AJ85" s="2096"/>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87">
        <f>Application!AC739</f>
        <v>0.47533333333333339</v>
      </c>
      <c r="F87" s="2088"/>
      <c r="G87" s="2088"/>
      <c r="H87" s="2088"/>
      <c r="I87" s="612"/>
      <c r="J87" s="615" t="s">
        <v>1498</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18">
        <f>0.6-ROUNDUP(E87,2)</f>
        <v>0.12</v>
      </c>
      <c r="F88" s="1895"/>
      <c r="G88" s="1895"/>
      <c r="H88" s="1895"/>
      <c r="I88" s="612"/>
      <c r="J88" s="615" t="s">
        <v>1499</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103">
        <f>IF(E88*200&gt;20,20,E88*200)</f>
        <v>20</v>
      </c>
      <c r="F89" s="2104"/>
      <c r="G89" s="2104"/>
      <c r="H89" s="2104"/>
      <c r="I89" s="612"/>
      <c r="J89" s="615" t="s">
        <v>1500</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1480</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99" t="s">
        <v>554</v>
      </c>
      <c r="C92" s="2099"/>
      <c r="D92" s="582" t="s">
        <v>1489</v>
      </c>
      <c r="E92" s="2091" t="s">
        <v>1985</v>
      </c>
      <c r="F92" s="2092"/>
      <c r="G92" s="2092"/>
      <c r="H92" s="2092"/>
      <c r="I92" s="2092"/>
      <c r="J92" s="2092"/>
      <c r="K92" s="2092"/>
      <c r="L92" s="2092"/>
      <c r="M92" s="2092"/>
      <c r="N92" s="2092"/>
      <c r="O92" s="2092"/>
      <c r="P92" s="2092"/>
      <c r="Q92" s="2092"/>
      <c r="R92" s="2092"/>
      <c r="S92" s="2092"/>
      <c r="T92" s="2092"/>
      <c r="U92" s="2092"/>
      <c r="V92" s="2092"/>
      <c r="W92" s="2092"/>
      <c r="X92" s="2092"/>
      <c r="Y92" s="2092"/>
      <c r="Z92" s="2092"/>
      <c r="AA92" s="2092"/>
      <c r="AB92" s="2092"/>
      <c r="AC92" s="2092"/>
      <c r="AD92" s="2092"/>
      <c r="AE92" s="2092"/>
      <c r="AF92" s="2092"/>
      <c r="AG92" s="2092"/>
      <c r="AH92" s="2092"/>
      <c r="AI92" s="2092"/>
      <c r="AJ92" s="2093"/>
      <c r="AK92" s="578"/>
      <c r="AL92" s="575"/>
      <c r="AM92" s="575"/>
      <c r="AN92" s="570"/>
    </row>
    <row r="93" spans="1:43" s="571" customFormat="1" ht="12.75" customHeight="1">
      <c r="A93" s="573"/>
      <c r="B93" s="574"/>
      <c r="C93" s="574"/>
      <c r="D93" s="574"/>
      <c r="E93" s="2094"/>
      <c r="F93" s="2095"/>
      <c r="G93" s="2095"/>
      <c r="H93" s="2095"/>
      <c r="I93" s="2095"/>
      <c r="J93" s="2095"/>
      <c r="K93" s="2095"/>
      <c r="L93" s="2095"/>
      <c r="M93" s="2095"/>
      <c r="N93" s="2095"/>
      <c r="O93" s="2095"/>
      <c r="P93" s="2095"/>
      <c r="Q93" s="2095"/>
      <c r="R93" s="2095"/>
      <c r="S93" s="2095"/>
      <c r="T93" s="2095"/>
      <c r="U93" s="2095"/>
      <c r="V93" s="2095"/>
      <c r="W93" s="2095"/>
      <c r="X93" s="2095"/>
      <c r="Y93" s="2095"/>
      <c r="Z93" s="2095"/>
      <c r="AA93" s="2095"/>
      <c r="AB93" s="2095"/>
      <c r="AC93" s="2095"/>
      <c r="AD93" s="2095"/>
      <c r="AE93" s="2095"/>
      <c r="AF93" s="2095"/>
      <c r="AG93" s="2095"/>
      <c r="AH93" s="2095"/>
      <c r="AI93" s="2095"/>
      <c r="AJ93" s="2096"/>
      <c r="AK93" s="578"/>
      <c r="AL93" s="575"/>
      <c r="AM93" s="575"/>
      <c r="AN93" s="570"/>
    </row>
    <row r="94" spans="1:43" s="571" customFormat="1" ht="12.75" customHeight="1">
      <c r="A94" s="573"/>
      <c r="B94" s="574"/>
      <c r="C94" s="574"/>
      <c r="D94" s="574"/>
      <c r="E94" s="2094"/>
      <c r="F94" s="2095"/>
      <c r="G94" s="2095"/>
      <c r="H94" s="2095"/>
      <c r="I94" s="2095"/>
      <c r="J94" s="2095"/>
      <c r="K94" s="2095"/>
      <c r="L94" s="2095"/>
      <c r="M94" s="2095"/>
      <c r="N94" s="2095"/>
      <c r="O94" s="2095"/>
      <c r="P94" s="2095"/>
      <c r="Q94" s="2095"/>
      <c r="R94" s="2095"/>
      <c r="S94" s="2095"/>
      <c r="T94" s="2095"/>
      <c r="U94" s="2095"/>
      <c r="V94" s="2095"/>
      <c r="W94" s="2095"/>
      <c r="X94" s="2095"/>
      <c r="Y94" s="2095"/>
      <c r="Z94" s="2095"/>
      <c r="AA94" s="2095"/>
      <c r="AB94" s="2095"/>
      <c r="AC94" s="2095"/>
      <c r="AD94" s="2095"/>
      <c r="AE94" s="2095"/>
      <c r="AF94" s="2095"/>
      <c r="AG94" s="2095"/>
      <c r="AH94" s="2095"/>
      <c r="AI94" s="2095"/>
      <c r="AJ94" s="2096"/>
      <c r="AK94" s="578"/>
      <c r="AL94" s="575"/>
      <c r="AM94" s="575"/>
      <c r="AN94" s="570"/>
    </row>
    <row r="95" spans="1:43" s="571" customFormat="1" ht="12.75" customHeight="1">
      <c r="A95" s="573"/>
      <c r="B95" s="574"/>
      <c r="C95" s="574"/>
      <c r="D95" s="574"/>
      <c r="E95" s="2094"/>
      <c r="F95" s="2095"/>
      <c r="G95" s="2095"/>
      <c r="H95" s="2095"/>
      <c r="I95" s="2095"/>
      <c r="J95" s="2095"/>
      <c r="K95" s="2095"/>
      <c r="L95" s="2095"/>
      <c r="M95" s="2095"/>
      <c r="N95" s="2095"/>
      <c r="O95" s="2095"/>
      <c r="P95" s="2095"/>
      <c r="Q95" s="2095"/>
      <c r="R95" s="2095"/>
      <c r="S95" s="2095"/>
      <c r="T95" s="2095"/>
      <c r="U95" s="2095"/>
      <c r="V95" s="2095"/>
      <c r="W95" s="2095"/>
      <c r="X95" s="2095"/>
      <c r="Y95" s="2095"/>
      <c r="Z95" s="2095"/>
      <c r="AA95" s="2095"/>
      <c r="AB95" s="2095"/>
      <c r="AC95" s="2095"/>
      <c r="AD95" s="2095"/>
      <c r="AE95" s="2095"/>
      <c r="AF95" s="2095"/>
      <c r="AG95" s="2095"/>
      <c r="AH95" s="2095"/>
      <c r="AI95" s="2095"/>
      <c r="AJ95" s="2096"/>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87">
        <f>Application!AC739</f>
        <v>0.47533333333333339</v>
      </c>
      <c r="F97" s="2088"/>
      <c r="G97" s="2088"/>
      <c r="H97" s="2088"/>
      <c r="I97" s="612"/>
      <c r="J97" s="615" t="s">
        <v>1498</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87">
        <f ca="1">SUMIF(Application!AC714:AG738,0.2,Application!G714:J738)/Application!G739+SUMIF(Application!AC714:AG738,0.25,Application!G714:J738)/Application!G739+SUMIF(Application!AC714:AG738,0.3,Application!G714:J738)/Application!G739</f>
        <v>0.10666666666666667</v>
      </c>
      <c r="F98" s="2088"/>
      <c r="G98" s="2088"/>
      <c r="H98" s="2088"/>
      <c r="I98" s="612"/>
      <c r="J98" s="615" t="s">
        <v>1501</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87">
        <f ca="1">SUMIF(Application!AC714:AG738,0.35,Application!G714:J738)/Application!G739+SUMIF(Application!AC714:AG738,0.4,Application!G714:J738)/Application!G739+SUMIF(Application!AC714:AG738,0.45,Application!G714:J738)/Application!G739+SUMIF(Application!AC714:AG738,0.5,Application!G714:J738)/Application!G739</f>
        <v>0.72</v>
      </c>
      <c r="F99" s="2088"/>
      <c r="G99" s="2088"/>
      <c r="H99" s="2088"/>
      <c r="I99" s="612"/>
      <c r="J99" s="615" t="s">
        <v>1502</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85">
        <f ca="1">IF(AND(E97&lt;=0.6,E98&gt;=0.1,OR(E99&gt;=0.1,E98&gt;=0.2)),20,0)</f>
        <v>20</v>
      </c>
      <c r="F100" s="2086"/>
      <c r="G100" s="2086"/>
      <c r="H100" s="2086"/>
      <c r="I100" s="588"/>
      <c r="J100" s="622" t="s">
        <v>1500</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1480</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1503</v>
      </c>
      <c r="AK103" s="2073">
        <f ca="1">MAX(AP89,AP100)</f>
        <v>20</v>
      </c>
      <c r="AL103" s="2074"/>
      <c r="AM103" s="2075"/>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1504</v>
      </c>
      <c r="B106" s="574" t="s">
        <v>1505</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21" t="s">
        <v>1486</v>
      </c>
      <c r="AF106" s="1921"/>
      <c r="AG106" s="1921"/>
      <c r="AH106" s="1921"/>
      <c r="AI106" s="1921"/>
      <c r="AJ106" s="1921"/>
      <c r="AK106" s="1921"/>
      <c r="AL106" s="575"/>
      <c r="AM106" s="575"/>
      <c r="AN106" s="570"/>
      <c r="AO106" s="571" t="str">
        <f>Application!B714</f>
        <v>2 Bedrooms</v>
      </c>
      <c r="AQ106" s="571">
        <f>Application!O714</f>
        <v>859</v>
      </c>
    </row>
    <row r="107" spans="1:49" s="571" customFormat="1" ht="12.75" customHeight="1">
      <c r="A107" s="575"/>
      <c r="B107" s="574" t="s">
        <v>1496</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2 Bedrooms</v>
      </c>
      <c r="AQ107" s="571">
        <f>Application!O715</f>
        <v>1343</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2 Bedrooms</v>
      </c>
      <c r="AQ108" s="571">
        <f>Application!O716</f>
        <v>1505</v>
      </c>
    </row>
    <row r="109" spans="1:49" s="571" customFormat="1" ht="12.75" customHeight="1">
      <c r="A109" s="575"/>
      <c r="B109" s="2099" t="s">
        <v>554</v>
      </c>
      <c r="C109" s="2099"/>
      <c r="D109" s="582" t="s">
        <v>1487</v>
      </c>
      <c r="E109" s="2091" t="s">
        <v>2120</v>
      </c>
      <c r="F109" s="2092"/>
      <c r="G109" s="2092"/>
      <c r="H109" s="2092"/>
      <c r="I109" s="2092"/>
      <c r="J109" s="2092"/>
      <c r="K109" s="2092"/>
      <c r="L109" s="2092"/>
      <c r="M109" s="2092"/>
      <c r="N109" s="2092"/>
      <c r="O109" s="2092"/>
      <c r="P109" s="2092"/>
      <c r="Q109" s="2092"/>
      <c r="R109" s="2092"/>
      <c r="S109" s="2092"/>
      <c r="T109" s="2092"/>
      <c r="U109" s="2092"/>
      <c r="V109" s="2092"/>
      <c r="W109" s="2092"/>
      <c r="X109" s="2092"/>
      <c r="Y109" s="2092"/>
      <c r="Z109" s="2092"/>
      <c r="AA109" s="2092"/>
      <c r="AB109" s="2092"/>
      <c r="AC109" s="2092"/>
      <c r="AD109" s="2092"/>
      <c r="AE109" s="2092"/>
      <c r="AF109" s="2092"/>
      <c r="AG109" s="2092"/>
      <c r="AH109" s="2092"/>
      <c r="AI109" s="2092"/>
      <c r="AJ109" s="2093"/>
      <c r="AK109" s="575"/>
      <c r="AL109" s="575"/>
      <c r="AM109" s="575"/>
      <c r="AN109" s="570"/>
      <c r="AO109" s="571" t="str">
        <f>Application!B717</f>
        <v>2 Bedrooms</v>
      </c>
      <c r="AQ109" s="571">
        <f>Application!O717</f>
        <v>1828</v>
      </c>
      <c r="AU109" s="571" t="s">
        <v>2102</v>
      </c>
      <c r="AV109" s="630" t="s">
        <v>2103</v>
      </c>
      <c r="AW109" s="571" t="s">
        <v>2104</v>
      </c>
    </row>
    <row r="110" spans="1:49" s="571" customFormat="1" ht="12.75" customHeight="1">
      <c r="A110" s="575"/>
      <c r="B110" s="574"/>
      <c r="C110" s="574"/>
      <c r="D110" s="574"/>
      <c r="E110" s="2094"/>
      <c r="F110" s="2095"/>
      <c r="G110" s="2095"/>
      <c r="H110" s="2095"/>
      <c r="I110" s="2095"/>
      <c r="J110" s="2095"/>
      <c r="K110" s="2095"/>
      <c r="L110" s="2095"/>
      <c r="M110" s="2095"/>
      <c r="N110" s="2095"/>
      <c r="O110" s="2095"/>
      <c r="P110" s="2095"/>
      <c r="Q110" s="2095"/>
      <c r="R110" s="2095"/>
      <c r="S110" s="2095"/>
      <c r="T110" s="2095"/>
      <c r="U110" s="2095"/>
      <c r="V110" s="2095"/>
      <c r="W110" s="2095"/>
      <c r="X110" s="2095"/>
      <c r="Y110" s="2095"/>
      <c r="Z110" s="2095"/>
      <c r="AA110" s="2095"/>
      <c r="AB110" s="2095"/>
      <c r="AC110" s="2095"/>
      <c r="AD110" s="2095"/>
      <c r="AE110" s="2095"/>
      <c r="AF110" s="2095"/>
      <c r="AG110" s="2095"/>
      <c r="AH110" s="2095"/>
      <c r="AI110" s="2095"/>
      <c r="AJ110" s="2096"/>
      <c r="AK110" s="575"/>
      <c r="AL110" s="575"/>
      <c r="AM110" s="575"/>
      <c r="AN110" s="570"/>
      <c r="AO110" s="571" t="str">
        <f>Application!B718</f>
        <v>3 Bedrooms</v>
      </c>
      <c r="AQ110" s="571">
        <f>Application!O718</f>
        <v>980</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2094"/>
      <c r="F111" s="2095"/>
      <c r="G111" s="2095"/>
      <c r="H111" s="2095"/>
      <c r="I111" s="2095"/>
      <c r="J111" s="2095"/>
      <c r="K111" s="2095"/>
      <c r="L111" s="2095"/>
      <c r="M111" s="2095"/>
      <c r="N111" s="2095"/>
      <c r="O111" s="2095"/>
      <c r="P111" s="2095"/>
      <c r="Q111" s="2095"/>
      <c r="R111" s="2095"/>
      <c r="S111" s="2095"/>
      <c r="T111" s="2095"/>
      <c r="U111" s="2095"/>
      <c r="V111" s="2095"/>
      <c r="W111" s="2095"/>
      <c r="X111" s="2095"/>
      <c r="Y111" s="2095"/>
      <c r="Z111" s="2095"/>
      <c r="AA111" s="2095"/>
      <c r="AB111" s="2095"/>
      <c r="AC111" s="2095"/>
      <c r="AD111" s="2095"/>
      <c r="AE111" s="2095"/>
      <c r="AF111" s="2095"/>
      <c r="AG111" s="2095"/>
      <c r="AH111" s="2095"/>
      <c r="AI111" s="2095"/>
      <c r="AJ111" s="2096"/>
      <c r="AK111" s="575"/>
      <c r="AL111" s="575"/>
      <c r="AM111" s="575"/>
      <c r="AN111" s="570"/>
      <c r="AO111" s="571" t="str">
        <f>Application!B719</f>
        <v>3 Bedrooms</v>
      </c>
      <c r="AQ111" s="571">
        <f>Application!O719</f>
        <v>1540</v>
      </c>
      <c r="AU111" s="892" t="str">
        <f>J118</f>
        <v>1-bedroom</v>
      </c>
      <c r="AV111" s="571">
        <f t="array" ref="AV111">SUM(IF(Application!B714:F738="1 Bedroom",Application!G714:J738))</f>
        <v>0</v>
      </c>
      <c r="AW111" s="1048">
        <f>AV111/AV116</f>
        <v>0</v>
      </c>
    </row>
    <row r="112" spans="1:49" s="571" customFormat="1" ht="12.75" customHeight="1">
      <c r="A112" s="575"/>
      <c r="B112" s="574"/>
      <c r="C112" s="574"/>
      <c r="D112" s="574"/>
      <c r="E112" s="2094"/>
      <c r="F112" s="2095"/>
      <c r="G112" s="2095"/>
      <c r="H112" s="2095"/>
      <c r="I112" s="2095"/>
      <c r="J112" s="2095"/>
      <c r="K112" s="2095"/>
      <c r="L112" s="2095"/>
      <c r="M112" s="2095"/>
      <c r="N112" s="2095"/>
      <c r="O112" s="2095"/>
      <c r="P112" s="2095"/>
      <c r="Q112" s="2095"/>
      <c r="R112" s="2095"/>
      <c r="S112" s="2095"/>
      <c r="T112" s="2095"/>
      <c r="U112" s="2095"/>
      <c r="V112" s="2095"/>
      <c r="W112" s="2095"/>
      <c r="X112" s="2095"/>
      <c r="Y112" s="2095"/>
      <c r="Z112" s="2095"/>
      <c r="AA112" s="2095"/>
      <c r="AB112" s="2095"/>
      <c r="AC112" s="2095"/>
      <c r="AD112" s="2095"/>
      <c r="AE112" s="2095"/>
      <c r="AF112" s="2095"/>
      <c r="AG112" s="2095"/>
      <c r="AH112" s="2095"/>
      <c r="AI112" s="2095"/>
      <c r="AJ112" s="2096"/>
      <c r="AK112" s="575"/>
      <c r="AL112" s="575"/>
      <c r="AM112" s="575"/>
      <c r="AN112" s="570"/>
      <c r="AO112" s="571" t="str">
        <f>Application!B720</f>
        <v>3 Bedrooms</v>
      </c>
      <c r="AQ112" s="571">
        <f>Application!O720</f>
        <v>1726</v>
      </c>
      <c r="AU112" s="892" t="str">
        <f>O118</f>
        <v>2-bedroom</v>
      </c>
      <c r="AV112" s="571">
        <f t="array" ref="AV112">SUM(IF(Application!B714:F738="2 Bedrooms",Application!G714:J738))</f>
        <v>52</v>
      </c>
      <c r="AW112" s="1048">
        <f>AV112/AV116</f>
        <v>0.69333333333333336</v>
      </c>
    </row>
    <row r="113" spans="1:52" s="571" customFormat="1" ht="12.75" customHeight="1">
      <c r="A113" s="575"/>
      <c r="B113" s="574"/>
      <c r="C113" s="574"/>
      <c r="D113" s="574"/>
      <c r="E113" s="2094"/>
      <c r="F113" s="2095"/>
      <c r="G113" s="2095"/>
      <c r="H113" s="2095"/>
      <c r="I113" s="2095"/>
      <c r="J113" s="2095"/>
      <c r="K113" s="2095"/>
      <c r="L113" s="2095"/>
      <c r="M113" s="2095"/>
      <c r="N113" s="2095"/>
      <c r="O113" s="2095"/>
      <c r="P113" s="2095"/>
      <c r="Q113" s="2095"/>
      <c r="R113" s="2095"/>
      <c r="S113" s="2095"/>
      <c r="T113" s="2095"/>
      <c r="U113" s="2095"/>
      <c r="V113" s="2095"/>
      <c r="W113" s="2095"/>
      <c r="X113" s="2095"/>
      <c r="Y113" s="2095"/>
      <c r="Z113" s="2095"/>
      <c r="AA113" s="2095"/>
      <c r="AB113" s="2095"/>
      <c r="AC113" s="2095"/>
      <c r="AD113" s="2095"/>
      <c r="AE113" s="2095"/>
      <c r="AF113" s="2095"/>
      <c r="AG113" s="2095"/>
      <c r="AH113" s="2095"/>
      <c r="AI113" s="2095"/>
      <c r="AJ113" s="2096"/>
      <c r="AK113" s="575"/>
      <c r="AL113" s="575"/>
      <c r="AM113" s="575"/>
      <c r="AN113" s="570"/>
      <c r="AO113" s="571" t="str">
        <f>Application!B721</f>
        <v>3 Bedrooms</v>
      </c>
      <c r="AQ113" s="571">
        <f>Application!O721</f>
        <v>2099</v>
      </c>
      <c r="AU113" s="892" t="str">
        <f>T118</f>
        <v>3-bedroom</v>
      </c>
      <c r="AV113" s="571">
        <f t="array" ref="AV113">SUM(IF(Application!B714:F738="3 Bedrooms",Application!G714:J738))</f>
        <v>23</v>
      </c>
      <c r="AW113" s="1048">
        <f>AV113/AV116</f>
        <v>0.30666666666666664</v>
      </c>
    </row>
    <row r="114" spans="1:52" s="571" customFormat="1" ht="12.75" customHeight="1">
      <c r="A114" s="575"/>
      <c r="B114" s="574"/>
      <c r="C114" s="574"/>
      <c r="D114" s="574"/>
      <c r="E114" s="2094"/>
      <c r="F114" s="2095"/>
      <c r="G114" s="2095"/>
      <c r="H114" s="2095"/>
      <c r="I114" s="2095"/>
      <c r="J114" s="2095"/>
      <c r="K114" s="2095"/>
      <c r="L114" s="2095"/>
      <c r="M114" s="2095"/>
      <c r="N114" s="2095"/>
      <c r="O114" s="2095"/>
      <c r="P114" s="2095"/>
      <c r="Q114" s="2095"/>
      <c r="R114" s="2095"/>
      <c r="S114" s="2095"/>
      <c r="T114" s="2095"/>
      <c r="U114" s="2095"/>
      <c r="V114" s="2095"/>
      <c r="W114" s="2095"/>
      <c r="X114" s="2095"/>
      <c r="Y114" s="2095"/>
      <c r="Z114" s="2095"/>
      <c r="AA114" s="2095"/>
      <c r="AB114" s="2095"/>
      <c r="AC114" s="2095"/>
      <c r="AD114" s="2095"/>
      <c r="AE114" s="2095"/>
      <c r="AF114" s="2095"/>
      <c r="AG114" s="2095"/>
      <c r="AH114" s="2095"/>
      <c r="AI114" s="2095"/>
      <c r="AJ114" s="2096"/>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94"/>
      <c r="F115" s="2095"/>
      <c r="G115" s="2095"/>
      <c r="H115" s="2095"/>
      <c r="I115" s="2095"/>
      <c r="J115" s="2095"/>
      <c r="K115" s="2095"/>
      <c r="L115" s="2095"/>
      <c r="M115" s="2095"/>
      <c r="N115" s="2095"/>
      <c r="O115" s="2095"/>
      <c r="P115" s="2095"/>
      <c r="Q115" s="2095"/>
      <c r="R115" s="2095"/>
      <c r="S115" s="2095"/>
      <c r="T115" s="2095"/>
      <c r="U115" s="2095"/>
      <c r="V115" s="2095"/>
      <c r="W115" s="2095"/>
      <c r="X115" s="2095"/>
      <c r="Y115" s="2095"/>
      <c r="Z115" s="2095"/>
      <c r="AA115" s="2095"/>
      <c r="AB115" s="2095"/>
      <c r="AC115" s="2095"/>
      <c r="AD115" s="2095"/>
      <c r="AE115" s="2095"/>
      <c r="AF115" s="2095"/>
      <c r="AG115" s="2095"/>
      <c r="AH115" s="2095"/>
      <c r="AI115" s="2095"/>
      <c r="AJ115" s="2096"/>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94"/>
      <c r="F116" s="2095"/>
      <c r="G116" s="2095"/>
      <c r="H116" s="2095"/>
      <c r="I116" s="2095"/>
      <c r="J116" s="2095"/>
      <c r="K116" s="2095"/>
      <c r="L116" s="2095"/>
      <c r="M116" s="2095"/>
      <c r="N116" s="2095"/>
      <c r="O116" s="2095"/>
      <c r="P116" s="2095"/>
      <c r="Q116" s="2095"/>
      <c r="R116" s="2095"/>
      <c r="S116" s="2095"/>
      <c r="T116" s="2095"/>
      <c r="U116" s="2095"/>
      <c r="V116" s="2095"/>
      <c r="W116" s="2095"/>
      <c r="X116" s="2095"/>
      <c r="Y116" s="2095"/>
      <c r="Z116" s="2095"/>
      <c r="AA116" s="2095"/>
      <c r="AB116" s="2095"/>
      <c r="AC116" s="2095"/>
      <c r="AD116" s="2095"/>
      <c r="AE116" s="2095"/>
      <c r="AF116" s="2095"/>
      <c r="AG116" s="2095"/>
      <c r="AH116" s="2095"/>
      <c r="AI116" s="2095"/>
      <c r="AJ116" s="2096"/>
      <c r="AK116" s="575"/>
      <c r="AL116" s="575"/>
      <c r="AM116" s="575"/>
      <c r="AN116" s="570"/>
      <c r="AO116" s="571">
        <f>Application!B724</f>
        <v>0</v>
      </c>
      <c r="AQ116" s="571">
        <f>Application!O724</f>
        <v>0</v>
      </c>
      <c r="AV116" s="571">
        <f>SUM(AV110:AV115)</f>
        <v>75</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2087" t="s">
        <v>1765</v>
      </c>
      <c r="F118" s="2088"/>
      <c r="G118" s="2088"/>
      <c r="H118" s="2088"/>
      <c r="I118" s="612"/>
      <c r="J118" s="2088" t="s">
        <v>1810</v>
      </c>
      <c r="K118" s="2088"/>
      <c r="L118" s="2088"/>
      <c r="M118" s="2088"/>
      <c r="N118" s="612"/>
      <c r="O118" s="2088" t="s">
        <v>1811</v>
      </c>
      <c r="P118" s="2088"/>
      <c r="Q118" s="2088"/>
      <c r="R118" s="2088"/>
      <c r="S118" s="612"/>
      <c r="T118" s="2088" t="s">
        <v>1506</v>
      </c>
      <c r="U118" s="2088"/>
      <c r="V118" s="2088"/>
      <c r="W118" s="2088"/>
      <c r="X118" s="612"/>
      <c r="Y118" s="2088" t="s">
        <v>1812</v>
      </c>
      <c r="Z118" s="2088"/>
      <c r="AA118" s="2088"/>
      <c r="AB118" s="2088"/>
      <c r="AC118" s="612"/>
      <c r="AD118" s="2088" t="s">
        <v>1813</v>
      </c>
      <c r="AE118" s="2088"/>
      <c r="AF118" s="2088"/>
      <c r="AG118" s="2088"/>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1814</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89"/>
      <c r="F121" s="2090"/>
      <c r="G121" s="2090"/>
      <c r="H121" s="2090"/>
      <c r="I121" s="900"/>
      <c r="J121" s="2090"/>
      <c r="K121" s="2090"/>
      <c r="L121" s="2090"/>
      <c r="M121" s="2090"/>
      <c r="N121" s="900"/>
      <c r="O121" s="2090">
        <v>3059</v>
      </c>
      <c r="P121" s="2090"/>
      <c r="Q121" s="2090"/>
      <c r="R121" s="2090"/>
      <c r="S121" s="900"/>
      <c r="T121" s="2090">
        <v>3405</v>
      </c>
      <c r="U121" s="2090"/>
      <c r="V121" s="2090"/>
      <c r="W121" s="2090"/>
      <c r="X121" s="900"/>
      <c r="Y121" s="2090"/>
      <c r="Z121" s="2090"/>
      <c r="AA121" s="2090"/>
      <c r="AB121" s="2090"/>
      <c r="AC121" s="900"/>
      <c r="AD121" s="2090"/>
      <c r="AE121" s="2090"/>
      <c r="AF121" s="2090"/>
      <c r="AG121" s="2090"/>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2106</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97">
        <f>Application!DX649</f>
        <v>0</v>
      </c>
      <c r="F124" s="2098"/>
      <c r="G124" s="2098"/>
      <c r="H124" s="2098"/>
      <c r="I124" s="900"/>
      <c r="J124" s="2098">
        <f>Application!EC649</f>
        <v>0</v>
      </c>
      <c r="K124" s="2098"/>
      <c r="L124" s="2098"/>
      <c r="M124" s="2098"/>
      <c r="N124" s="900"/>
      <c r="O124" s="2098">
        <f>Application!EH649</f>
        <v>1445.8076923076924</v>
      </c>
      <c r="P124" s="2098"/>
      <c r="Q124" s="2098"/>
      <c r="R124" s="2098"/>
      <c r="S124" s="904"/>
      <c r="T124" s="2098">
        <f>Application!EM649</f>
        <v>1580.304347826087</v>
      </c>
      <c r="U124" s="2098"/>
      <c r="V124" s="2098"/>
      <c r="W124" s="2098"/>
      <c r="X124" s="904"/>
      <c r="Y124" s="2098">
        <f>Application!ER649</f>
        <v>0</v>
      </c>
      <c r="Z124" s="2098"/>
      <c r="AA124" s="2098"/>
      <c r="AB124" s="2098"/>
      <c r="AC124" s="904"/>
      <c r="AD124" s="2098">
        <f>Application!EW649</f>
        <v>0</v>
      </c>
      <c r="AE124" s="2098"/>
      <c r="AF124" s="2098"/>
      <c r="AG124" s="2098"/>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2107</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94" t="e">
        <f>(E121-E124)/E121</f>
        <v>#DIV/0!</v>
      </c>
      <c r="F127" s="1895"/>
      <c r="G127" s="1895"/>
      <c r="H127" s="1896"/>
      <c r="I127" s="612"/>
      <c r="J127" s="1894" t="e">
        <f>(J121-J124)/J121</f>
        <v>#DIV/0!</v>
      </c>
      <c r="K127" s="1895"/>
      <c r="L127" s="1895"/>
      <c r="M127" s="1896"/>
      <c r="N127" s="612"/>
      <c r="O127" s="1894">
        <f>(O121-O124)/O121</f>
        <v>0.5273593683204667</v>
      </c>
      <c r="P127" s="1895"/>
      <c r="Q127" s="1895"/>
      <c r="R127" s="1896"/>
      <c r="S127" s="612"/>
      <c r="T127" s="1894">
        <f>(T121-T124)/T121</f>
        <v>0.53588712251803616</v>
      </c>
      <c r="U127" s="1895"/>
      <c r="V127" s="1895"/>
      <c r="W127" s="1896"/>
      <c r="X127" s="612"/>
      <c r="Y127" s="1894" t="e">
        <f>(Y121-Y124)/Y121</f>
        <v>#DIV/0!</v>
      </c>
      <c r="Z127" s="1895"/>
      <c r="AA127" s="1895"/>
      <c r="AB127" s="1896"/>
      <c r="AC127" s="612"/>
      <c r="AD127" s="1894" t="e">
        <f>(AD121-AD124)/AD121</f>
        <v>#DIV/0!</v>
      </c>
      <c r="AE127" s="1895"/>
      <c r="AF127" s="1895"/>
      <c r="AG127" s="1896"/>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2108</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100" t="e">
        <f>IF(((E127-0.1)*AW110)&gt;0,((E127-0.1)*AW110),0)</f>
        <v>#DIV/0!</v>
      </c>
      <c r="F130" s="2101"/>
      <c r="G130" s="2101"/>
      <c r="H130" s="2102"/>
      <c r="I130" s="612"/>
      <c r="J130" s="2100" t="e">
        <f>IF(((J127-0.1)*AW111)&gt;0,((J127-0.1)*AW111),0)</f>
        <v>#DIV/0!</v>
      </c>
      <c r="K130" s="2101"/>
      <c r="L130" s="2101"/>
      <c r="M130" s="2102"/>
      <c r="N130" s="612"/>
      <c r="O130" s="2100">
        <f>IF(((O127-0.1)*AW112)&gt;0,((O127-0.1)*AW112),0)</f>
        <v>0.29630249536885694</v>
      </c>
      <c r="P130" s="2101"/>
      <c r="Q130" s="2101"/>
      <c r="R130" s="2102"/>
      <c r="S130" s="612"/>
      <c r="T130" s="2100">
        <f>IF(((T127-0.1)*AW113)&gt;0,((T127-0.1)*AW113),0)</f>
        <v>0.13367205090553108</v>
      </c>
      <c r="U130" s="2101"/>
      <c r="V130" s="2101"/>
      <c r="W130" s="2102"/>
      <c r="X130" s="612"/>
      <c r="Y130" s="2100" t="e">
        <f>IF(((Y127-0.1)*AW114)&gt;0,((Y127-0.1)*AW114),0)</f>
        <v>#DIV/0!</v>
      </c>
      <c r="Z130" s="2101"/>
      <c r="AA130" s="2101"/>
      <c r="AB130" s="2102"/>
      <c r="AC130" s="612"/>
      <c r="AD130" s="2100" t="e">
        <f>IF(((AD127-0.1)*AW115)&gt;0,((AD127-0.1)*AW115),0)</f>
        <v>#DIV/0!</v>
      </c>
      <c r="AE130" s="2101"/>
      <c r="AF130" s="2101"/>
      <c r="AG130" s="2102"/>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94">
        <f>ROUNDDOWN(SUMIF(E130:AG130,"&gt;0"),2)</f>
        <v>0.42</v>
      </c>
      <c r="F132" s="1895"/>
      <c r="G132" s="1895"/>
      <c r="H132" s="1896"/>
      <c r="I132" s="612"/>
      <c r="J132" s="615" t="s">
        <v>2109</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73">
        <f>IF((E132*100)&gt;10,10,E132*100)</f>
        <v>10</v>
      </c>
      <c r="F133" s="2074"/>
      <c r="G133" s="2074"/>
      <c r="H133" s="2075"/>
      <c r="I133" s="612"/>
      <c r="J133" s="615" t="s">
        <v>1500</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1507</v>
      </c>
      <c r="AK137" s="2073">
        <f>E133</f>
        <v>10</v>
      </c>
      <c r="AL137" s="2074"/>
      <c r="AM137" s="2075"/>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1508</v>
      </c>
      <c r="AE140" s="1921" t="s">
        <v>1486</v>
      </c>
      <c r="AF140" s="1921"/>
      <c r="AG140" s="1921"/>
      <c r="AH140" s="1921"/>
      <c r="AI140" s="1921"/>
      <c r="AJ140" s="1921"/>
      <c r="AK140" s="1921"/>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1509</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88" t="s">
        <v>1510</v>
      </c>
      <c r="AG142" s="1988"/>
      <c r="AH142" s="1988"/>
      <c r="AI142" s="1988"/>
      <c r="AJ142" s="1988"/>
      <c r="AK142" s="1988"/>
      <c r="AL142" s="1988"/>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78" t="s">
        <v>2696</v>
      </c>
      <c r="C144" s="2078"/>
      <c r="D144" s="2078"/>
      <c r="E144" s="2078"/>
      <c r="F144" s="2078"/>
      <c r="G144" s="2078"/>
      <c r="H144" s="2078"/>
      <c r="I144" s="2078"/>
      <c r="J144" s="2078"/>
      <c r="K144" s="2078"/>
      <c r="L144" s="2078"/>
      <c r="M144" s="2078"/>
      <c r="N144" s="2078"/>
      <c r="O144" s="2078"/>
      <c r="P144" s="2078"/>
      <c r="Q144" s="2078"/>
      <c r="R144" s="2078"/>
      <c r="S144" s="2078"/>
      <c r="T144" s="2078"/>
      <c r="U144" s="2078"/>
      <c r="V144" s="2078"/>
      <c r="W144" s="2078"/>
      <c r="X144" s="2078"/>
      <c r="Y144" s="2078"/>
      <c r="Z144" s="2078"/>
      <c r="AA144" s="2078"/>
      <c r="AB144" s="2078"/>
      <c r="AC144" s="2078"/>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1511</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1512</v>
      </c>
      <c r="AP146" s="524">
        <v>5</v>
      </c>
    </row>
    <row r="147" spans="1:42" s="571" customFormat="1" ht="12.75" customHeight="1">
      <c r="A147" s="573"/>
      <c r="B147" s="2079" t="s">
        <v>1513</v>
      </c>
      <c r="C147" s="2079"/>
      <c r="D147" s="2079"/>
      <c r="E147" s="2079"/>
      <c r="F147" s="2079"/>
      <c r="G147" s="2079"/>
      <c r="H147" s="2079"/>
      <c r="I147" s="2079"/>
      <c r="J147" s="2079"/>
      <c r="K147" s="2079"/>
      <c r="L147" s="2079"/>
      <c r="M147" s="2079"/>
      <c r="N147" s="2079"/>
      <c r="O147" s="2079"/>
      <c r="P147" s="2079"/>
      <c r="Q147" s="2079"/>
      <c r="R147" s="2079"/>
      <c r="S147" s="2079"/>
      <c r="T147" s="2079"/>
      <c r="U147" s="2079"/>
      <c r="V147" s="2079"/>
      <c r="W147" s="2079"/>
      <c r="X147" s="2079"/>
      <c r="Y147" s="2079"/>
      <c r="Z147" s="2079"/>
      <c r="AA147" s="2079"/>
      <c r="AB147" s="2079"/>
      <c r="AC147" s="2079"/>
      <c r="AD147" s="2079"/>
      <c r="AE147" s="2079"/>
      <c r="AF147" s="2079"/>
      <c r="AG147" s="2079"/>
      <c r="AH147" s="2079"/>
      <c r="AI147" s="2079"/>
      <c r="AM147" s="574"/>
      <c r="AN147" s="570"/>
      <c r="AO147" s="511" t="s">
        <v>1513</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2412</v>
      </c>
      <c r="AP148" s="524">
        <v>7</v>
      </c>
    </row>
    <row r="149" spans="1:42" s="571" customFormat="1" ht="12.75" customHeight="1">
      <c r="A149" s="573"/>
      <c r="B149" s="574" t="s">
        <v>1514</v>
      </c>
      <c r="AB149" s="2023" t="s">
        <v>600</v>
      </c>
      <c r="AC149" s="2023"/>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1515</v>
      </c>
      <c r="AP150" s="524"/>
    </row>
    <row r="151" spans="1:42" s="571" customFormat="1" ht="12.75" customHeight="1">
      <c r="A151" s="573"/>
      <c r="B151" s="573" t="s">
        <v>1516</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1517</v>
      </c>
      <c r="AP151" s="524">
        <v>5</v>
      </c>
    </row>
    <row r="152" spans="1:42" s="571" customFormat="1" ht="12.75" customHeight="1">
      <c r="A152" s="573"/>
      <c r="B152" s="2079" t="s">
        <v>1515</v>
      </c>
      <c r="C152" s="2079"/>
      <c r="D152" s="2079"/>
      <c r="E152" s="2079"/>
      <c r="F152" s="2079"/>
      <c r="G152" s="2079"/>
      <c r="H152" s="2079"/>
      <c r="I152" s="2079"/>
      <c r="J152" s="2079"/>
      <c r="K152" s="2079"/>
      <c r="L152" s="2079"/>
      <c r="M152" s="2079"/>
      <c r="N152" s="2079"/>
      <c r="O152" s="2079"/>
      <c r="P152" s="2079"/>
      <c r="Q152" s="2079"/>
      <c r="R152" s="2079"/>
      <c r="S152" s="2079"/>
      <c r="T152" s="2079"/>
      <c r="U152" s="2079"/>
      <c r="V152" s="2079"/>
      <c r="W152" s="2079"/>
      <c r="X152" s="2079"/>
      <c r="Y152" s="2079"/>
      <c r="Z152" s="2079"/>
      <c r="AA152" s="2079"/>
      <c r="AB152" s="2079"/>
      <c r="AC152" s="2079"/>
      <c r="AD152" s="2079"/>
      <c r="AE152" s="2079"/>
      <c r="AF152" s="2079"/>
      <c r="AG152" s="2079"/>
      <c r="AH152" s="2079"/>
      <c r="AI152" s="2079"/>
      <c r="AJ152" s="2079"/>
      <c r="AN152" s="570"/>
      <c r="AO152" s="511" t="s">
        <v>1518</v>
      </c>
      <c r="AP152" s="524">
        <v>7</v>
      </c>
    </row>
    <row r="153" spans="1:42" s="571" customFormat="1" ht="12.75" customHeight="1">
      <c r="B153" s="574" t="s">
        <v>1519</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1521</v>
      </c>
      <c r="AJ155" s="1948">
        <f>IF($AB$149="N/A",VLOOKUP($B$147,$AO$145:$AP$148,2,FALSE),VLOOKUP($B$152,$AO$150:$AP$153,2,FALSE))</f>
        <v>7</v>
      </c>
      <c r="AK155" s="1948"/>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1523</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88" t="s">
        <v>1524</v>
      </c>
      <c r="AG157" s="1988"/>
      <c r="AH157" s="1988"/>
      <c r="AI157" s="1988"/>
      <c r="AJ157" s="1988"/>
      <c r="AK157" s="1988"/>
      <c r="AL157" s="1988"/>
      <c r="AM157" s="638"/>
      <c r="AN157" s="633"/>
    </row>
    <row r="158" spans="1:42" s="585" customFormat="1" ht="12.75" customHeight="1">
      <c r="A158" s="571"/>
      <c r="B158" s="574" t="s">
        <v>1525</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79" t="s">
        <v>1522</v>
      </c>
      <c r="D159" s="2079"/>
      <c r="E159" s="2079"/>
      <c r="F159" s="2079"/>
      <c r="G159" s="2079"/>
      <c r="H159" s="2079"/>
      <c r="I159" s="2079"/>
      <c r="J159" s="2079"/>
      <c r="K159" s="2079"/>
      <c r="L159" s="2079"/>
      <c r="M159" s="2079"/>
      <c r="N159" s="2079"/>
      <c r="O159" s="2079"/>
      <c r="P159" s="2079"/>
      <c r="Q159" s="2079"/>
      <c r="R159" s="2079"/>
      <c r="S159" s="2079"/>
      <c r="T159" s="2079"/>
      <c r="U159" s="2079"/>
      <c r="V159" s="2079"/>
      <c r="W159" s="2079"/>
      <c r="X159" s="2079"/>
      <c r="Y159" s="2079"/>
      <c r="Z159" s="2079"/>
      <c r="AA159" s="2079"/>
      <c r="AB159" s="2079"/>
      <c r="AC159" s="2079"/>
      <c r="AD159" s="2079"/>
      <c r="AE159" s="2079"/>
      <c r="AF159" s="2079"/>
      <c r="AG159" s="2079"/>
      <c r="AH159" s="2079"/>
      <c r="AI159" s="2079"/>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1520</v>
      </c>
      <c r="AP160" s="634">
        <v>2</v>
      </c>
    </row>
    <row r="161" spans="1:73" s="585" customFormat="1" ht="12.75" customHeight="1">
      <c r="A161" s="571"/>
      <c r="B161" s="571"/>
      <c r="C161" s="574" t="s">
        <v>1527</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23" t="s">
        <v>600</v>
      </c>
      <c r="AD161" s="2023"/>
      <c r="AE161" s="571"/>
      <c r="AF161" s="571"/>
      <c r="AG161" s="571"/>
      <c r="AH161" s="571"/>
      <c r="AI161" s="571"/>
      <c r="AJ161" s="571"/>
      <c r="AK161" s="571"/>
      <c r="AL161" s="571"/>
      <c r="AM161" s="638"/>
      <c r="AN161" s="632"/>
      <c r="AO161" s="511" t="s">
        <v>1522</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1816</v>
      </c>
      <c r="AP162" s="634">
        <v>3</v>
      </c>
    </row>
    <row r="163" spans="1:73" s="585" customFormat="1" ht="12.75" customHeight="1">
      <c r="A163" s="571"/>
      <c r="B163" s="571"/>
      <c r="C163" s="2079" t="s">
        <v>1515</v>
      </c>
      <c r="D163" s="2079"/>
      <c r="E163" s="2079"/>
      <c r="F163" s="2079"/>
      <c r="G163" s="2079"/>
      <c r="H163" s="2079"/>
      <c r="I163" s="2079"/>
      <c r="J163" s="2079"/>
      <c r="K163" s="2079"/>
      <c r="L163" s="2079"/>
      <c r="M163" s="2079"/>
      <c r="N163" s="2079"/>
      <c r="O163" s="2079"/>
      <c r="P163" s="2079"/>
      <c r="Q163" s="2079"/>
      <c r="R163" s="2079"/>
      <c r="S163" s="2079"/>
      <c r="T163" s="2079"/>
      <c r="U163" s="2079"/>
      <c r="V163" s="2079"/>
      <c r="W163" s="2079"/>
      <c r="X163" s="2079"/>
      <c r="Y163" s="2079"/>
      <c r="Z163" s="2079"/>
      <c r="AA163" s="2079"/>
      <c r="AB163" s="2079"/>
      <c r="AC163" s="2079"/>
      <c r="AD163" s="2079"/>
      <c r="AE163" s="571"/>
      <c r="AF163" s="571"/>
      <c r="AG163" s="571"/>
      <c r="AH163" s="571"/>
      <c r="AI163" s="571"/>
      <c r="AJ163" s="571"/>
      <c r="AK163" s="571"/>
      <c r="AL163" s="571"/>
      <c r="AM163" s="638"/>
      <c r="AN163" s="632"/>
      <c r="AO163" s="637"/>
      <c r="AP163" s="634"/>
    </row>
    <row r="164" spans="1:73" s="585" customFormat="1" ht="12.75" customHeight="1">
      <c r="A164" s="571"/>
      <c r="B164" s="571"/>
      <c r="C164" s="574" t="s">
        <v>1519</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1529</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1515</v>
      </c>
      <c r="AP166" s="511"/>
    </row>
    <row r="167" spans="1:73" s="585" customFormat="1" ht="12.75" customHeight="1">
      <c r="A167" s="571"/>
      <c r="B167" s="571"/>
      <c r="C167" s="2078" t="s">
        <v>2696</v>
      </c>
      <c r="D167" s="2078"/>
      <c r="E167" s="2078"/>
      <c r="F167" s="2078"/>
      <c r="G167" s="2078"/>
      <c r="H167" s="2078"/>
      <c r="I167" s="2078"/>
      <c r="J167" s="2078"/>
      <c r="K167" s="2078"/>
      <c r="L167" s="2078"/>
      <c r="M167" s="2078"/>
      <c r="N167" s="2078"/>
      <c r="O167" s="2078"/>
      <c r="P167" s="2078"/>
      <c r="Q167" s="2078"/>
      <c r="R167" s="2078"/>
      <c r="S167" s="2078"/>
      <c r="T167" s="2078"/>
      <c r="U167" s="2078"/>
      <c r="V167" s="2078"/>
      <c r="W167" s="2078"/>
      <c r="X167" s="2078"/>
      <c r="Y167" s="2078"/>
      <c r="Z167" s="2078"/>
      <c r="AA167" s="2078"/>
      <c r="AB167" s="2078"/>
      <c r="AC167" s="2078"/>
      <c r="AD167" s="2078"/>
      <c r="AE167" s="571"/>
      <c r="AF167" s="571"/>
      <c r="AG167" s="571"/>
      <c r="AH167" s="571"/>
      <c r="AI167" s="571"/>
      <c r="AJ167" s="571"/>
      <c r="AK167" s="571"/>
      <c r="AL167" s="571"/>
      <c r="AM167" s="638"/>
      <c r="AN167" s="632"/>
      <c r="AO167" s="511" t="s">
        <v>1526</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1528</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1530</v>
      </c>
      <c r="AJ169" s="1947">
        <f>IF($AC$161="N/A",VLOOKUP($C$159,$AO$159:$AP$162,2,FALSE),VLOOKUP($C$163,$AO$166:$AP$168,2,FALSE))</f>
        <v>3</v>
      </c>
      <c r="AK169" s="1947"/>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1531</v>
      </c>
      <c r="AK172" s="2073">
        <f>$AJ$155+$AJ$169</f>
        <v>10</v>
      </c>
      <c r="AL172" s="2074"/>
      <c r="AM172" s="2075"/>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1532</v>
      </c>
      <c r="AQ174" s="647">
        <v>0</v>
      </c>
    </row>
    <row r="175" spans="1:73" s="585" customFormat="1" ht="12.75" customHeight="1">
      <c r="A175" s="573" t="s">
        <v>1533</v>
      </c>
      <c r="B175" s="573" t="s">
        <v>1987</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21" t="s">
        <v>1486</v>
      </c>
      <c r="AF175" s="1921"/>
      <c r="AG175" s="1921"/>
      <c r="AH175" s="1921"/>
      <c r="AI175" s="1921"/>
      <c r="AJ175" s="1921"/>
      <c r="AK175" s="1921"/>
      <c r="AL175" s="626"/>
      <c r="AN175" s="632"/>
      <c r="AP175" s="585" t="s">
        <v>1102</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1534</v>
      </c>
      <c r="AQ176" s="585">
        <v>10</v>
      </c>
    </row>
    <row r="177" spans="1:45" s="585" customFormat="1" ht="12.75" customHeight="1">
      <c r="A177" s="571"/>
      <c r="B177" s="2076" t="s">
        <v>1532</v>
      </c>
      <c r="C177" s="2076"/>
      <c r="D177" s="2076"/>
      <c r="E177" s="2076"/>
      <c r="F177" s="2076"/>
      <c r="G177" s="2076"/>
      <c r="H177" s="2076"/>
      <c r="I177" s="2076"/>
      <c r="J177" s="2076"/>
      <c r="K177" s="2076"/>
      <c r="L177" s="2076"/>
      <c r="M177" s="2076"/>
      <c r="N177" s="2076"/>
      <c r="O177" s="2076"/>
      <c r="P177" s="2076"/>
      <c r="Q177" s="2076"/>
      <c r="R177" s="2076"/>
      <c r="S177" s="2076"/>
      <c r="T177" s="2076"/>
      <c r="U177" s="2076"/>
      <c r="V177" s="2076"/>
      <c r="W177" s="2076"/>
      <c r="X177" s="2076"/>
      <c r="Y177" s="2076"/>
      <c r="Z177" s="2076"/>
      <c r="AA177" s="2076"/>
      <c r="AB177" s="2076"/>
      <c r="AC177" s="2076"/>
      <c r="AD177" s="571"/>
      <c r="AE177" s="571"/>
      <c r="AF177" s="1988" t="s">
        <v>1535</v>
      </c>
      <c r="AG177" s="1988"/>
      <c r="AH177" s="1988"/>
      <c r="AI177" s="1988"/>
      <c r="AJ177" s="1988"/>
      <c r="AK177" s="1988"/>
      <c r="AL177" s="1988"/>
      <c r="AN177" s="632"/>
      <c r="AP177" s="585" t="s">
        <v>1104</v>
      </c>
      <c r="AQ177" s="585">
        <v>10</v>
      </c>
    </row>
    <row r="178" spans="1:45" s="585" customFormat="1" ht="12.75" customHeight="1">
      <c r="A178" s="571"/>
      <c r="B178" s="2077" t="s">
        <v>1986</v>
      </c>
      <c r="C178" s="2077"/>
      <c r="D178" s="2077"/>
      <c r="E178" s="2077"/>
      <c r="F178" s="2077"/>
      <c r="G178" s="2077"/>
      <c r="H178" s="2077"/>
      <c r="I178" s="2077"/>
      <c r="J178" s="2077"/>
      <c r="K178" s="2077"/>
      <c r="L178" s="2077"/>
      <c r="M178" s="2077"/>
      <c r="N178" s="2077"/>
      <c r="O178" s="2077"/>
      <c r="P178" s="2077"/>
      <c r="Q178" s="2077"/>
      <c r="R178" s="2077"/>
      <c r="S178" s="2077"/>
      <c r="T178" s="2078" t="s">
        <v>600</v>
      </c>
      <c r="U178" s="2078"/>
      <c r="V178" s="2078"/>
      <c r="W178" s="2078"/>
      <c r="X178" s="2078"/>
      <c r="Y178" s="2078"/>
      <c r="Z178" s="2078"/>
      <c r="AA178" s="2078"/>
      <c r="AB178" s="2078"/>
      <c r="AC178" s="2078"/>
      <c r="AD178" s="571"/>
      <c r="AE178" s="571"/>
      <c r="AF178" s="571"/>
      <c r="AG178" s="571"/>
      <c r="AH178" s="571"/>
      <c r="AI178" s="571"/>
      <c r="AJ178" s="578"/>
      <c r="AK178" s="630"/>
      <c r="AL178" s="630"/>
      <c r="AM178" s="630"/>
      <c r="AN178" s="632"/>
      <c r="AP178" s="585" t="s">
        <v>1536</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1539</v>
      </c>
      <c r="AQ179" s="585">
        <v>10</v>
      </c>
      <c r="AS179" s="585" t="s">
        <v>1537</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1538</v>
      </c>
      <c r="AK180" s="1915">
        <f>IF(AK78&gt;0,VLOOKUP($B$177,AP174:AQ180,2,FALSE),0)</f>
        <v>0</v>
      </c>
      <c r="AL180" s="1916"/>
      <c r="AM180" s="1917"/>
      <c r="AN180" s="570"/>
      <c r="AP180" s="585" t="s">
        <v>1541</v>
      </c>
      <c r="AQ180" s="585">
        <v>10</v>
      </c>
      <c r="AS180" s="585" t="s">
        <v>1540</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1542</v>
      </c>
      <c r="B183" s="573" t="s">
        <v>1543</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21" t="s">
        <v>1544</v>
      </c>
      <c r="AF183" s="1921"/>
      <c r="AG183" s="1921"/>
      <c r="AH183" s="1921"/>
      <c r="AI183" s="1921"/>
      <c r="AJ183" s="1921"/>
      <c r="AK183" s="1921"/>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1766</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1802</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70" t="str">
        <f>Application!C624</f>
        <v>City of Yorba Linda</v>
      </c>
      <c r="C188" s="2070"/>
      <c r="D188" s="2070"/>
      <c r="E188" s="2070"/>
      <c r="F188" s="2070"/>
      <c r="G188" s="2070"/>
      <c r="H188" s="2070"/>
      <c r="I188" s="2070"/>
      <c r="J188" s="2070"/>
      <c r="K188" s="2070"/>
      <c r="L188" s="2070"/>
      <c r="M188" s="2070"/>
      <c r="N188" s="2070"/>
      <c r="O188" s="2070"/>
      <c r="P188" s="2070"/>
      <c r="Q188" s="2070"/>
      <c r="R188" s="2070"/>
      <c r="S188" s="2070"/>
      <c r="T188" s="2070"/>
      <c r="U188" s="2070"/>
      <c r="V188" s="2070"/>
      <c r="W188" s="2070"/>
      <c r="X188" s="2070"/>
      <c r="Y188" s="2070"/>
      <c r="Z188" s="2070"/>
      <c r="AA188" s="2070"/>
      <c r="AB188" s="2070"/>
      <c r="AC188" s="882"/>
      <c r="AD188" s="2060">
        <v>12976406</v>
      </c>
      <c r="AE188" s="2060"/>
      <c r="AF188" s="2060"/>
      <c r="AG188" s="2060"/>
      <c r="AH188" s="2060"/>
      <c r="AI188" s="2060"/>
      <c r="AJ188" s="2060"/>
      <c r="AK188" s="645"/>
    </row>
    <row r="189" spans="1:45">
      <c r="A189" s="640"/>
      <c r="B189" s="2070" t="str">
        <f>Application!C625</f>
        <v>AHP</v>
      </c>
      <c r="C189" s="2070"/>
      <c r="D189" s="2070"/>
      <c r="E189" s="2070"/>
      <c r="F189" s="2070"/>
      <c r="G189" s="2070"/>
      <c r="H189" s="2070"/>
      <c r="I189" s="2070"/>
      <c r="J189" s="2070"/>
      <c r="K189" s="2070"/>
      <c r="L189" s="2070"/>
      <c r="M189" s="2070"/>
      <c r="N189" s="2070"/>
      <c r="O189" s="2070"/>
      <c r="P189" s="2070"/>
      <c r="Q189" s="2070"/>
      <c r="R189" s="2070"/>
      <c r="S189" s="2070"/>
      <c r="T189" s="2070"/>
      <c r="U189" s="2070"/>
      <c r="V189" s="2070"/>
      <c r="W189" s="2070"/>
      <c r="X189" s="2070"/>
      <c r="Y189" s="2070"/>
      <c r="Z189" s="2070"/>
      <c r="AA189" s="2070"/>
      <c r="AB189" s="2070"/>
      <c r="AC189" s="882"/>
      <c r="AD189" s="2060">
        <f>Application!AO625</f>
        <v>750000</v>
      </c>
      <c r="AE189" s="2060"/>
      <c r="AF189" s="2060"/>
      <c r="AG189" s="2060"/>
      <c r="AH189" s="2060"/>
      <c r="AI189" s="2060"/>
      <c r="AJ189" s="2060"/>
      <c r="AK189" s="645"/>
    </row>
    <row r="190" spans="1:45">
      <c r="A190" s="640"/>
      <c r="B190" s="2070"/>
      <c r="C190" s="2070"/>
      <c r="D190" s="2070"/>
      <c r="E190" s="2070"/>
      <c r="F190" s="2070"/>
      <c r="G190" s="2070"/>
      <c r="H190" s="2070"/>
      <c r="I190" s="2070"/>
      <c r="J190" s="2070"/>
      <c r="K190" s="2070"/>
      <c r="L190" s="2070"/>
      <c r="M190" s="2070"/>
      <c r="N190" s="2070"/>
      <c r="O190" s="2070"/>
      <c r="P190" s="2070"/>
      <c r="Q190" s="2070"/>
      <c r="R190" s="2070"/>
      <c r="S190" s="2070"/>
      <c r="T190" s="2070"/>
      <c r="U190" s="2070"/>
      <c r="V190" s="2070"/>
      <c r="W190" s="2070"/>
      <c r="X190" s="2070"/>
      <c r="Y190" s="2070"/>
      <c r="Z190" s="2070"/>
      <c r="AA190" s="2070"/>
      <c r="AB190" s="2070"/>
      <c r="AC190" s="882"/>
      <c r="AD190" s="2060"/>
      <c r="AE190" s="2060"/>
      <c r="AF190" s="2060"/>
      <c r="AG190" s="2060"/>
      <c r="AH190" s="2060"/>
      <c r="AI190" s="2060"/>
      <c r="AJ190" s="2060"/>
      <c r="AK190" s="645"/>
    </row>
    <row r="191" spans="1:45">
      <c r="A191" s="640"/>
      <c r="B191" s="2070"/>
      <c r="C191" s="2070"/>
      <c r="D191" s="2070"/>
      <c r="E191" s="2070"/>
      <c r="F191" s="2070"/>
      <c r="G191" s="2070"/>
      <c r="H191" s="2070"/>
      <c r="I191" s="2070"/>
      <c r="J191" s="2070"/>
      <c r="K191" s="2070"/>
      <c r="L191" s="2070"/>
      <c r="M191" s="2070"/>
      <c r="N191" s="2070"/>
      <c r="O191" s="2070"/>
      <c r="P191" s="2070"/>
      <c r="Q191" s="2070"/>
      <c r="R191" s="2070"/>
      <c r="S191" s="2070"/>
      <c r="T191" s="2070"/>
      <c r="U191" s="2070"/>
      <c r="V191" s="2070"/>
      <c r="W191" s="2070"/>
      <c r="X191" s="2070"/>
      <c r="Y191" s="2070"/>
      <c r="Z191" s="2070"/>
      <c r="AA191" s="2070"/>
      <c r="AB191" s="2070"/>
      <c r="AC191" s="882"/>
      <c r="AD191" s="2060"/>
      <c r="AE191" s="2060"/>
      <c r="AF191" s="2060"/>
      <c r="AG191" s="2060"/>
      <c r="AH191" s="2060"/>
      <c r="AI191" s="2060"/>
      <c r="AJ191" s="2060"/>
      <c r="AK191" s="645"/>
    </row>
    <row r="192" spans="1:45">
      <c r="A192" s="640"/>
      <c r="B192" s="2070"/>
      <c r="C192" s="2070"/>
      <c r="D192" s="2070"/>
      <c r="E192" s="2070"/>
      <c r="F192" s="2070"/>
      <c r="G192" s="2070"/>
      <c r="H192" s="2070"/>
      <c r="I192" s="2070"/>
      <c r="J192" s="2070"/>
      <c r="K192" s="2070"/>
      <c r="L192" s="2070"/>
      <c r="M192" s="2070"/>
      <c r="N192" s="2070"/>
      <c r="O192" s="2070"/>
      <c r="P192" s="2070"/>
      <c r="Q192" s="2070"/>
      <c r="R192" s="2070"/>
      <c r="S192" s="2070"/>
      <c r="T192" s="2070"/>
      <c r="U192" s="2070"/>
      <c r="V192" s="2070"/>
      <c r="W192" s="2070"/>
      <c r="X192" s="2070"/>
      <c r="Y192" s="2070"/>
      <c r="Z192" s="2070"/>
      <c r="AA192" s="2070"/>
      <c r="AB192" s="2070"/>
      <c r="AC192" s="882"/>
      <c r="AD192" s="2060"/>
      <c r="AE192" s="2060"/>
      <c r="AF192" s="2060"/>
      <c r="AG192" s="2060"/>
      <c r="AH192" s="2060"/>
      <c r="AI192" s="2060"/>
      <c r="AJ192" s="2060"/>
      <c r="AK192" s="645"/>
    </row>
    <row r="193" spans="1:37">
      <c r="A193" s="640"/>
      <c r="B193" s="2070"/>
      <c r="C193" s="2070"/>
      <c r="D193" s="2070"/>
      <c r="E193" s="2070"/>
      <c r="F193" s="2070"/>
      <c r="G193" s="2070"/>
      <c r="H193" s="2070"/>
      <c r="I193" s="2070"/>
      <c r="J193" s="2070"/>
      <c r="K193" s="2070"/>
      <c r="L193" s="2070"/>
      <c r="M193" s="2070"/>
      <c r="N193" s="2070"/>
      <c r="O193" s="2070"/>
      <c r="P193" s="2070"/>
      <c r="Q193" s="2070"/>
      <c r="R193" s="2070"/>
      <c r="S193" s="2070"/>
      <c r="T193" s="2070"/>
      <c r="U193" s="2070"/>
      <c r="V193" s="2070"/>
      <c r="W193" s="2070"/>
      <c r="X193" s="2070"/>
      <c r="Y193" s="2070"/>
      <c r="Z193" s="2070"/>
      <c r="AA193" s="2070"/>
      <c r="AB193" s="2070"/>
      <c r="AC193" s="882"/>
      <c r="AD193" s="2060"/>
      <c r="AE193" s="2060"/>
      <c r="AF193" s="2060"/>
      <c r="AG193" s="2060"/>
      <c r="AH193" s="2060"/>
      <c r="AI193" s="2060"/>
      <c r="AJ193" s="2060"/>
      <c r="AK193" s="645"/>
    </row>
    <row r="194" spans="1:37">
      <c r="A194" s="640"/>
      <c r="B194" s="2070"/>
      <c r="C194" s="2070"/>
      <c r="D194" s="2070"/>
      <c r="E194" s="2070"/>
      <c r="F194" s="2070"/>
      <c r="G194" s="2070"/>
      <c r="H194" s="2070"/>
      <c r="I194" s="2070"/>
      <c r="J194" s="2070"/>
      <c r="K194" s="2070"/>
      <c r="L194" s="2070"/>
      <c r="M194" s="2070"/>
      <c r="N194" s="2070"/>
      <c r="O194" s="2070"/>
      <c r="P194" s="2070"/>
      <c r="Q194" s="2070"/>
      <c r="R194" s="2070"/>
      <c r="S194" s="2070"/>
      <c r="T194" s="2070"/>
      <c r="U194" s="2070"/>
      <c r="V194" s="2070"/>
      <c r="W194" s="2070"/>
      <c r="X194" s="2070"/>
      <c r="Y194" s="2070"/>
      <c r="Z194" s="2070"/>
      <c r="AA194" s="2070"/>
      <c r="AB194" s="2070"/>
      <c r="AC194" s="882"/>
      <c r="AD194" s="2060"/>
      <c r="AE194" s="2060"/>
      <c r="AF194" s="2060"/>
      <c r="AG194" s="2060"/>
      <c r="AH194" s="2060"/>
      <c r="AI194" s="2060"/>
      <c r="AJ194" s="2060"/>
      <c r="AK194" s="645"/>
    </row>
    <row r="195" spans="1:37">
      <c r="A195" s="640"/>
      <c r="B195" s="2070"/>
      <c r="C195" s="2070"/>
      <c r="D195" s="2070"/>
      <c r="E195" s="2070"/>
      <c r="F195" s="2070"/>
      <c r="G195" s="2070"/>
      <c r="H195" s="2070"/>
      <c r="I195" s="2070"/>
      <c r="J195" s="2070"/>
      <c r="K195" s="2070"/>
      <c r="L195" s="2070"/>
      <c r="M195" s="2070"/>
      <c r="N195" s="2070"/>
      <c r="O195" s="2070"/>
      <c r="P195" s="2070"/>
      <c r="Q195" s="2070"/>
      <c r="R195" s="2070"/>
      <c r="S195" s="2070"/>
      <c r="T195" s="2070"/>
      <c r="U195" s="2070"/>
      <c r="V195" s="2070"/>
      <c r="W195" s="2070"/>
      <c r="X195" s="2070"/>
      <c r="Y195" s="2070"/>
      <c r="Z195" s="2070"/>
      <c r="AA195" s="2070"/>
      <c r="AB195" s="2070"/>
      <c r="AC195" s="882"/>
      <c r="AD195" s="2060"/>
      <c r="AE195" s="2060"/>
      <c r="AF195" s="2060"/>
      <c r="AG195" s="2060"/>
      <c r="AH195" s="2060"/>
      <c r="AI195" s="2060"/>
      <c r="AJ195" s="2060"/>
      <c r="AK195" s="645"/>
    </row>
    <row r="196" spans="1:37">
      <c r="A196" s="640"/>
      <c r="B196" s="2070"/>
      <c r="C196" s="2070"/>
      <c r="D196" s="2070"/>
      <c r="E196" s="2070"/>
      <c r="F196" s="2070"/>
      <c r="G196" s="2070"/>
      <c r="H196" s="2070"/>
      <c r="I196" s="2070"/>
      <c r="J196" s="2070"/>
      <c r="K196" s="2070"/>
      <c r="L196" s="2070"/>
      <c r="M196" s="2070"/>
      <c r="N196" s="2070"/>
      <c r="O196" s="2070"/>
      <c r="P196" s="2070"/>
      <c r="Q196" s="2070"/>
      <c r="R196" s="2070"/>
      <c r="S196" s="2070"/>
      <c r="T196" s="2070"/>
      <c r="U196" s="2070"/>
      <c r="V196" s="2070"/>
      <c r="W196" s="2070"/>
      <c r="X196" s="2070"/>
      <c r="Y196" s="2070"/>
      <c r="Z196" s="2070"/>
      <c r="AA196" s="2070"/>
      <c r="AB196" s="2070"/>
      <c r="AC196" s="882"/>
      <c r="AD196" s="2060"/>
      <c r="AE196" s="2060"/>
      <c r="AF196" s="2060"/>
      <c r="AG196" s="2060"/>
      <c r="AH196" s="2060"/>
      <c r="AI196" s="2060"/>
      <c r="AJ196" s="2060"/>
      <c r="AK196" s="645"/>
    </row>
    <row r="197" spans="1:37">
      <c r="A197" s="640"/>
      <c r="B197" s="2070"/>
      <c r="C197" s="2070"/>
      <c r="D197" s="2070"/>
      <c r="E197" s="2070"/>
      <c r="F197" s="2070"/>
      <c r="G197" s="2070"/>
      <c r="H197" s="2070"/>
      <c r="I197" s="2070"/>
      <c r="J197" s="2070"/>
      <c r="K197" s="2070"/>
      <c r="L197" s="2070"/>
      <c r="M197" s="2070"/>
      <c r="N197" s="2070"/>
      <c r="O197" s="2070"/>
      <c r="P197" s="2070"/>
      <c r="Q197" s="2070"/>
      <c r="R197" s="2070"/>
      <c r="S197" s="2070"/>
      <c r="T197" s="2070"/>
      <c r="U197" s="2070"/>
      <c r="V197" s="2070"/>
      <c r="W197" s="2070"/>
      <c r="X197" s="2070"/>
      <c r="Y197" s="2070"/>
      <c r="Z197" s="2070"/>
      <c r="AA197" s="2070"/>
      <c r="AB197" s="2070"/>
      <c r="AC197" s="882"/>
      <c r="AD197" s="2060"/>
      <c r="AE197" s="2060"/>
      <c r="AF197" s="2060"/>
      <c r="AG197" s="2060"/>
      <c r="AH197" s="2060"/>
      <c r="AI197" s="2060"/>
      <c r="AJ197" s="2060"/>
      <c r="AK197" s="645"/>
    </row>
    <row r="198" spans="1:37">
      <c r="A198" s="640"/>
      <c r="B198" s="1935" t="s">
        <v>1804</v>
      </c>
      <c r="C198" s="1935"/>
      <c r="D198" s="1935"/>
      <c r="E198" s="1935"/>
      <c r="F198" s="1935"/>
      <c r="G198" s="1935"/>
      <c r="H198" s="1935"/>
      <c r="I198" s="1935"/>
      <c r="J198" s="1935"/>
      <c r="K198" s="1935"/>
      <c r="L198" s="1935"/>
      <c r="M198" s="1935"/>
      <c r="N198" s="1935"/>
      <c r="O198" s="1935"/>
      <c r="P198" s="1935"/>
      <c r="Q198" s="1935"/>
      <c r="R198" s="1935"/>
      <c r="S198" s="1935"/>
      <c r="T198" s="1935"/>
      <c r="U198" s="1935"/>
      <c r="V198" s="1935"/>
      <c r="W198" s="1935"/>
      <c r="X198" s="1935"/>
      <c r="Y198" s="1935"/>
      <c r="Z198" s="1935"/>
      <c r="AA198" s="1935"/>
      <c r="AB198" s="1935"/>
      <c r="AC198" s="571"/>
      <c r="AD198" s="2058">
        <f>AB249</f>
        <v>0</v>
      </c>
      <c r="AE198" s="2058"/>
      <c r="AF198" s="2058"/>
      <c r="AG198" s="2058"/>
      <c r="AH198" s="2058"/>
      <c r="AI198" s="2058"/>
      <c r="AJ198" s="2058"/>
      <c r="AK198" s="645"/>
    </row>
    <row r="199" spans="1:37">
      <c r="A199" s="640"/>
      <c r="B199" s="1933" t="s">
        <v>1767</v>
      </c>
      <c r="C199" s="1933"/>
      <c r="D199" s="1933"/>
      <c r="E199" s="1933"/>
      <c r="F199" s="1933"/>
      <c r="G199" s="1933"/>
      <c r="H199" s="1933"/>
      <c r="I199" s="1933"/>
      <c r="J199" s="1933"/>
      <c r="K199" s="1933"/>
      <c r="L199" s="1933"/>
      <c r="M199" s="1933"/>
      <c r="N199" s="1933"/>
      <c r="O199" s="1933"/>
      <c r="P199" s="1933"/>
      <c r="Q199" s="1933"/>
      <c r="R199" s="1933"/>
      <c r="S199" s="1933"/>
      <c r="T199" s="1933"/>
      <c r="U199" s="1933"/>
      <c r="V199" s="1933"/>
      <c r="W199" s="1933"/>
      <c r="X199" s="1933"/>
      <c r="Y199" s="1933"/>
      <c r="Z199" s="1933"/>
      <c r="AA199" s="1933"/>
      <c r="AB199" s="1933"/>
      <c r="AC199" s="882"/>
      <c r="AD199" s="2059">
        <f>'Sources and Uses Budget'!B15</f>
        <v>0</v>
      </c>
      <c r="AE199" s="2059"/>
      <c r="AF199" s="2059"/>
      <c r="AG199" s="2059"/>
      <c r="AH199" s="2059"/>
      <c r="AI199" s="2059"/>
      <c r="AJ199" s="2059"/>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2064">
        <f>SUM(AD188:AJ198)-AD199</f>
        <v>13726406</v>
      </c>
      <c r="AE200" s="2064"/>
      <c r="AF200" s="2064"/>
      <c r="AG200" s="2064"/>
      <c r="AH200" s="2064"/>
      <c r="AI200" s="2064"/>
      <c r="AJ200" s="2064"/>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1772</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1803</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1774</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1775</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2419</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1776</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1777</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1815</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83" t="s">
        <v>1784</v>
      </c>
      <c r="J211" s="2083"/>
      <c r="K211" s="2083"/>
      <c r="L211" s="571"/>
      <c r="M211" s="571"/>
      <c r="N211" s="571"/>
      <c r="O211" s="571"/>
      <c r="P211" s="571"/>
      <c r="Q211" s="571"/>
      <c r="R211" s="571"/>
      <c r="S211" s="571"/>
      <c r="T211" s="1899" t="s">
        <v>1778</v>
      </c>
      <c r="U211" s="1899"/>
      <c r="V211" s="1899"/>
      <c r="W211" s="1899"/>
      <c r="X211" s="1899"/>
      <c r="Y211" s="1899"/>
      <c r="Z211" s="885"/>
      <c r="AA211" s="524"/>
      <c r="AB211" s="2080" t="s">
        <v>1779</v>
      </c>
      <c r="AC211" s="2080"/>
      <c r="AD211" s="2080"/>
      <c r="AE211" s="2080"/>
      <c r="AF211" s="2080"/>
      <c r="AG211" s="2080"/>
      <c r="AH211" s="863"/>
      <c r="AI211" s="863"/>
      <c r="AJ211" s="863"/>
      <c r="AK211" s="645"/>
    </row>
    <row r="212" spans="1:37">
      <c r="A212" s="640"/>
      <c r="B212" s="2081" t="s">
        <v>1764</v>
      </c>
      <c r="C212" s="2081"/>
      <c r="D212" s="2081"/>
      <c r="E212" s="2081"/>
      <c r="F212" s="2081"/>
      <c r="G212" s="2081"/>
      <c r="I212" s="2082" t="s">
        <v>1785</v>
      </c>
      <c r="J212" s="2082"/>
      <c r="K212" s="2082"/>
      <c r="L212" s="1045"/>
      <c r="N212" s="1934" t="s">
        <v>1780</v>
      </c>
      <c r="O212" s="1934"/>
      <c r="P212" s="1934"/>
      <c r="Q212" s="1934"/>
      <c r="R212" s="1934"/>
      <c r="T212" s="1934" t="s">
        <v>1781</v>
      </c>
      <c r="U212" s="1934"/>
      <c r="V212" s="1934"/>
      <c r="W212" s="1934"/>
      <c r="X212" s="1934"/>
      <c r="Y212" s="1934"/>
      <c r="Z212" s="886"/>
      <c r="AA212" s="524"/>
      <c r="AB212" s="1937" t="s">
        <v>1782</v>
      </c>
      <c r="AC212" s="1937"/>
      <c r="AD212" s="1937"/>
      <c r="AE212" s="1937"/>
      <c r="AF212" s="1937"/>
      <c r="AG212" s="1937"/>
      <c r="AH212" s="863"/>
      <c r="AI212" s="863"/>
      <c r="AJ212" s="863"/>
      <c r="AK212" s="645"/>
    </row>
    <row r="213" spans="1:37">
      <c r="A213" s="640"/>
      <c r="B213" s="1936" t="s">
        <v>1327</v>
      </c>
      <c r="C213" s="1936"/>
      <c r="D213" s="1936"/>
      <c r="E213" s="1936"/>
      <c r="F213" s="1936"/>
      <c r="G213" s="1936"/>
      <c r="H213" s="888"/>
      <c r="I213" s="1904"/>
      <c r="J213" s="1904"/>
      <c r="K213" s="1904"/>
      <c r="L213" s="1045"/>
      <c r="N213" s="1901"/>
      <c r="O213" s="1901"/>
      <c r="P213" s="1901"/>
      <c r="Q213" s="1901"/>
      <c r="R213" s="1901"/>
      <c r="T213" s="1900"/>
      <c r="U213" s="1900"/>
      <c r="V213" s="1900"/>
      <c r="W213" s="1900"/>
      <c r="X213" s="1900"/>
      <c r="Y213" s="1900"/>
      <c r="Z213" s="887"/>
      <c r="AA213" s="887"/>
      <c r="AB213" s="1898">
        <f t="shared" ref="AB213:AB222" si="0">MAX(($T213-$N213)*$I213*12,0)</f>
        <v>0</v>
      </c>
      <c r="AC213" s="1898"/>
      <c r="AD213" s="1898"/>
      <c r="AE213" s="1898"/>
      <c r="AF213" s="1898"/>
      <c r="AG213" s="1898"/>
      <c r="AH213" s="863"/>
      <c r="AI213" s="863"/>
      <c r="AJ213" s="863"/>
      <c r="AK213" s="645"/>
    </row>
    <row r="214" spans="1:37">
      <c r="A214" s="640"/>
      <c r="B214" s="1936" t="s">
        <v>1327</v>
      </c>
      <c r="C214" s="1936"/>
      <c r="D214" s="1936"/>
      <c r="E214" s="1936"/>
      <c r="F214" s="1936"/>
      <c r="G214" s="1936"/>
      <c r="I214" s="1904"/>
      <c r="J214" s="1904"/>
      <c r="K214" s="1904"/>
      <c r="L214" s="1045"/>
      <c r="N214" s="1901"/>
      <c r="O214" s="1901"/>
      <c r="P214" s="1901"/>
      <c r="Q214" s="1901"/>
      <c r="R214" s="1901"/>
      <c r="T214" s="1900"/>
      <c r="U214" s="1900"/>
      <c r="V214" s="1900"/>
      <c r="W214" s="1900"/>
      <c r="X214" s="1900"/>
      <c r="Y214" s="1900"/>
      <c r="Z214" s="887"/>
      <c r="AA214" s="887"/>
      <c r="AB214" s="1898">
        <f t="shared" si="0"/>
        <v>0</v>
      </c>
      <c r="AC214" s="1898"/>
      <c r="AD214" s="1898"/>
      <c r="AE214" s="1898"/>
      <c r="AF214" s="1898"/>
      <c r="AG214" s="1898"/>
      <c r="AH214" s="863"/>
      <c r="AI214" s="863"/>
      <c r="AJ214" s="863"/>
      <c r="AK214" s="645"/>
    </row>
    <row r="215" spans="1:37">
      <c r="A215" s="640"/>
      <c r="B215" s="1936" t="s">
        <v>1327</v>
      </c>
      <c r="C215" s="1936"/>
      <c r="D215" s="1936"/>
      <c r="E215" s="1936"/>
      <c r="F215" s="1936"/>
      <c r="G215" s="1936"/>
      <c r="I215" s="1904"/>
      <c r="J215" s="1904"/>
      <c r="K215" s="1904"/>
      <c r="L215" s="1045"/>
      <c r="N215" s="1901"/>
      <c r="O215" s="1901"/>
      <c r="P215" s="1901"/>
      <c r="Q215" s="1901"/>
      <c r="R215" s="1901"/>
      <c r="T215" s="1900"/>
      <c r="U215" s="1900"/>
      <c r="V215" s="1900"/>
      <c r="W215" s="1900"/>
      <c r="X215" s="1900"/>
      <c r="Y215" s="1900"/>
      <c r="Z215" s="887"/>
      <c r="AA215" s="887"/>
      <c r="AB215" s="1898">
        <f t="shared" si="0"/>
        <v>0</v>
      </c>
      <c r="AC215" s="1898"/>
      <c r="AD215" s="1898"/>
      <c r="AE215" s="1898"/>
      <c r="AF215" s="1898"/>
      <c r="AG215" s="1898"/>
      <c r="AH215" s="863"/>
      <c r="AI215" s="863"/>
      <c r="AJ215" s="863"/>
      <c r="AK215" s="645"/>
    </row>
    <row r="216" spans="1:37">
      <c r="A216" s="640"/>
      <c r="B216" s="1936" t="s">
        <v>1327</v>
      </c>
      <c r="C216" s="1936"/>
      <c r="D216" s="1936"/>
      <c r="E216" s="1936"/>
      <c r="F216" s="1936"/>
      <c r="G216" s="1936"/>
      <c r="I216" s="1904"/>
      <c r="J216" s="1904"/>
      <c r="K216" s="1904"/>
      <c r="L216" s="1045"/>
      <c r="N216" s="1901"/>
      <c r="O216" s="1901"/>
      <c r="P216" s="1901"/>
      <c r="Q216" s="1901"/>
      <c r="R216" s="1901"/>
      <c r="T216" s="1900"/>
      <c r="U216" s="1900"/>
      <c r="V216" s="1900"/>
      <c r="W216" s="1900"/>
      <c r="X216" s="1900"/>
      <c r="Y216" s="1900"/>
      <c r="Z216" s="887"/>
      <c r="AA216" s="887"/>
      <c r="AB216" s="1898">
        <f t="shared" si="0"/>
        <v>0</v>
      </c>
      <c r="AC216" s="1898"/>
      <c r="AD216" s="1898"/>
      <c r="AE216" s="1898"/>
      <c r="AF216" s="1898"/>
      <c r="AG216" s="1898"/>
      <c r="AH216" s="863"/>
      <c r="AI216" s="863"/>
      <c r="AJ216" s="863"/>
      <c r="AK216" s="645"/>
    </row>
    <row r="217" spans="1:37">
      <c r="A217" s="640"/>
      <c r="B217" s="1936" t="s">
        <v>1327</v>
      </c>
      <c r="C217" s="1936"/>
      <c r="D217" s="1936"/>
      <c r="E217" s="1936"/>
      <c r="F217" s="1936"/>
      <c r="G217" s="1936"/>
      <c r="I217" s="1904"/>
      <c r="J217" s="1904"/>
      <c r="K217" s="1904"/>
      <c r="L217" s="1052"/>
      <c r="N217" s="1901"/>
      <c r="O217" s="1901"/>
      <c r="P217" s="1901"/>
      <c r="Q217" s="1901"/>
      <c r="R217" s="1901"/>
      <c r="T217" s="1900"/>
      <c r="U217" s="1900"/>
      <c r="V217" s="1900"/>
      <c r="W217" s="1900"/>
      <c r="X217" s="1900"/>
      <c r="Y217" s="1900"/>
      <c r="Z217" s="887"/>
      <c r="AA217" s="887"/>
      <c r="AB217" s="1898">
        <f t="shared" si="0"/>
        <v>0</v>
      </c>
      <c r="AC217" s="1898"/>
      <c r="AD217" s="1898"/>
      <c r="AE217" s="1898"/>
      <c r="AF217" s="1898"/>
      <c r="AG217" s="1898"/>
      <c r="AH217" s="863"/>
      <c r="AI217" s="863"/>
      <c r="AJ217" s="863"/>
      <c r="AK217" s="645"/>
    </row>
    <row r="218" spans="1:37">
      <c r="A218" s="640"/>
      <c r="B218" s="1936" t="s">
        <v>1327</v>
      </c>
      <c r="C218" s="1936"/>
      <c r="D218" s="1936"/>
      <c r="E218" s="1936"/>
      <c r="F218" s="1936"/>
      <c r="G218" s="1936"/>
      <c r="I218" s="1904"/>
      <c r="J218" s="1904"/>
      <c r="K218" s="1904"/>
      <c r="L218" s="1052"/>
      <c r="N218" s="1901"/>
      <c r="O218" s="1901"/>
      <c r="P218" s="1901"/>
      <c r="Q218" s="1901"/>
      <c r="R218" s="1901"/>
      <c r="T218" s="1900"/>
      <c r="U218" s="1900"/>
      <c r="V218" s="1900"/>
      <c r="W218" s="1900"/>
      <c r="X218" s="1900"/>
      <c r="Y218" s="1900"/>
      <c r="Z218" s="887"/>
      <c r="AA218" s="887"/>
      <c r="AB218" s="1898">
        <f t="shared" si="0"/>
        <v>0</v>
      </c>
      <c r="AC218" s="1898"/>
      <c r="AD218" s="1898"/>
      <c r="AE218" s="1898"/>
      <c r="AF218" s="1898"/>
      <c r="AG218" s="1898"/>
      <c r="AH218" s="863"/>
      <c r="AI218" s="863"/>
      <c r="AJ218" s="863"/>
      <c r="AK218" s="645"/>
    </row>
    <row r="219" spans="1:37">
      <c r="A219" s="640"/>
      <c r="B219" s="1936" t="s">
        <v>1327</v>
      </c>
      <c r="C219" s="1936"/>
      <c r="D219" s="1936"/>
      <c r="E219" s="1936"/>
      <c r="F219" s="1936"/>
      <c r="G219" s="1936"/>
      <c r="I219" s="1904"/>
      <c r="J219" s="1904"/>
      <c r="K219" s="1904"/>
      <c r="L219" s="1052"/>
      <c r="N219" s="1901"/>
      <c r="O219" s="1901"/>
      <c r="P219" s="1901"/>
      <c r="Q219" s="1901"/>
      <c r="R219" s="1901"/>
      <c r="T219" s="1900"/>
      <c r="U219" s="1900"/>
      <c r="V219" s="1900"/>
      <c r="W219" s="1900"/>
      <c r="X219" s="1900"/>
      <c r="Y219" s="1900"/>
      <c r="Z219" s="887"/>
      <c r="AA219" s="887"/>
      <c r="AB219" s="1898">
        <f t="shared" si="0"/>
        <v>0</v>
      </c>
      <c r="AC219" s="1898"/>
      <c r="AD219" s="1898"/>
      <c r="AE219" s="1898"/>
      <c r="AF219" s="1898"/>
      <c r="AG219" s="1898"/>
      <c r="AH219" s="863"/>
      <c r="AI219" s="863"/>
      <c r="AJ219" s="863"/>
      <c r="AK219" s="645"/>
    </row>
    <row r="220" spans="1:37">
      <c r="A220" s="640"/>
      <c r="B220" s="1936" t="s">
        <v>1327</v>
      </c>
      <c r="C220" s="1936"/>
      <c r="D220" s="1936"/>
      <c r="E220" s="1936"/>
      <c r="F220" s="1936"/>
      <c r="G220" s="1936"/>
      <c r="I220" s="1904"/>
      <c r="J220" s="1904"/>
      <c r="K220" s="1904"/>
      <c r="L220" s="1052"/>
      <c r="N220" s="1901"/>
      <c r="O220" s="1901"/>
      <c r="P220" s="1901"/>
      <c r="Q220" s="1901"/>
      <c r="R220" s="1901"/>
      <c r="T220" s="1900"/>
      <c r="U220" s="1900"/>
      <c r="V220" s="1900"/>
      <c r="W220" s="1900"/>
      <c r="X220" s="1900"/>
      <c r="Y220" s="1900"/>
      <c r="Z220" s="887"/>
      <c r="AA220" s="887"/>
      <c r="AB220" s="1898">
        <f t="shared" si="0"/>
        <v>0</v>
      </c>
      <c r="AC220" s="1898"/>
      <c r="AD220" s="1898"/>
      <c r="AE220" s="1898"/>
      <c r="AF220" s="1898"/>
      <c r="AG220" s="1898"/>
      <c r="AH220" s="863"/>
      <c r="AI220" s="863"/>
      <c r="AJ220" s="863"/>
      <c r="AK220" s="645"/>
    </row>
    <row r="221" spans="1:37">
      <c r="A221" s="640"/>
      <c r="B221" s="1936" t="s">
        <v>1327</v>
      </c>
      <c r="C221" s="1936"/>
      <c r="D221" s="1936"/>
      <c r="E221" s="1936"/>
      <c r="F221" s="1936"/>
      <c r="G221" s="1936"/>
      <c r="I221" s="1904"/>
      <c r="J221" s="1904"/>
      <c r="K221" s="1904"/>
      <c r="L221" s="1052"/>
      <c r="N221" s="1901"/>
      <c r="O221" s="1901"/>
      <c r="P221" s="1901"/>
      <c r="Q221" s="1901"/>
      <c r="R221" s="1901"/>
      <c r="T221" s="1900"/>
      <c r="U221" s="1900"/>
      <c r="V221" s="1900"/>
      <c r="W221" s="1900"/>
      <c r="X221" s="1900"/>
      <c r="Y221" s="1900"/>
      <c r="Z221" s="887"/>
      <c r="AA221" s="887"/>
      <c r="AB221" s="1898">
        <f t="shared" si="0"/>
        <v>0</v>
      </c>
      <c r="AC221" s="1898"/>
      <c r="AD221" s="1898"/>
      <c r="AE221" s="1898"/>
      <c r="AF221" s="1898"/>
      <c r="AG221" s="1898"/>
      <c r="AH221" s="863"/>
      <c r="AI221" s="863"/>
      <c r="AJ221" s="863"/>
      <c r="AK221" s="645"/>
    </row>
    <row r="222" spans="1:37">
      <c r="A222" s="640"/>
      <c r="B222" s="1936" t="s">
        <v>1327</v>
      </c>
      <c r="C222" s="1936"/>
      <c r="D222" s="1936"/>
      <c r="E222" s="1936"/>
      <c r="F222" s="1936"/>
      <c r="G222" s="1936"/>
      <c r="I222" s="2084"/>
      <c r="J222" s="2084"/>
      <c r="K222" s="2084"/>
      <c r="L222" s="1052"/>
      <c r="N222" s="1901"/>
      <c r="O222" s="1901"/>
      <c r="P222" s="1901"/>
      <c r="Q222" s="1901"/>
      <c r="R222" s="1901"/>
      <c r="T222" s="1900"/>
      <c r="U222" s="1900"/>
      <c r="V222" s="1900"/>
      <c r="W222" s="1900"/>
      <c r="X222" s="1900"/>
      <c r="Y222" s="1900"/>
      <c r="Z222" s="887"/>
      <c r="AA222" s="887"/>
      <c r="AB222" s="1905">
        <f t="shared" si="0"/>
        <v>0</v>
      </c>
      <c r="AC222" s="1905"/>
      <c r="AD222" s="1905"/>
      <c r="AE222" s="1905"/>
      <c r="AF222" s="1905"/>
      <c r="AG222" s="1905"/>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1783</v>
      </c>
      <c r="AA223" s="889"/>
      <c r="AB223" s="1898">
        <f>SUM(AB213:AB222)</f>
        <v>0</v>
      </c>
      <c r="AC223" s="1898"/>
      <c r="AD223" s="1898"/>
      <c r="AE223" s="1898"/>
      <c r="AF223" s="1898"/>
      <c r="AG223" s="1898"/>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1773</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1801</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1799</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1793</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38"/>
      <c r="AC229" s="1938"/>
      <c r="AD229" s="1938"/>
      <c r="AE229" s="1938"/>
      <c r="AF229" s="1938"/>
      <c r="AG229" s="1938"/>
      <c r="AH229" s="645"/>
      <c r="AI229" s="645"/>
      <c r="AJ229" s="645"/>
      <c r="AK229" s="645"/>
    </row>
    <row r="230" spans="1:37">
      <c r="A230" s="640"/>
      <c r="B230" s="873" t="s">
        <v>1798</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1800</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1794</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38"/>
      <c r="AC232" s="1938"/>
      <c r="AD232" s="1938"/>
      <c r="AE232" s="1938"/>
      <c r="AF232" s="1938"/>
      <c r="AG232" s="1938"/>
      <c r="AH232" s="645"/>
      <c r="AI232" s="645"/>
      <c r="AJ232" s="645"/>
      <c r="AK232" s="645"/>
    </row>
    <row r="233" spans="1:37">
      <c r="A233" s="640"/>
      <c r="B233" s="874" t="s">
        <v>1795</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97"/>
      <c r="AC233" s="1897"/>
      <c r="AD233" s="1897"/>
      <c r="AE233" s="1897"/>
      <c r="AF233" s="1897"/>
      <c r="AG233" s="1897"/>
      <c r="AH233" s="645"/>
      <c r="AI233" s="645"/>
      <c r="AJ233" s="645"/>
      <c r="AK233" s="645"/>
    </row>
    <row r="234" spans="1:37">
      <c r="A234" s="640"/>
      <c r="B234" s="874" t="s">
        <v>1796</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906">
        <f>IFERROR(AB232/AB233,0)</f>
        <v>0</v>
      </c>
      <c r="AC234" s="1906"/>
      <c r="AD234" s="1906"/>
      <c r="AE234" s="1906"/>
      <c r="AF234" s="1906"/>
      <c r="AG234" s="1906"/>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1797</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905">
        <f>MAX(AB229,AB234)</f>
        <v>0</v>
      </c>
      <c r="AC236" s="1905"/>
      <c r="AD236" s="1905"/>
      <c r="AE236" s="1905"/>
      <c r="AF236" s="1905"/>
      <c r="AG236" s="1905"/>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1786</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98">
        <f>AB223+AB236</f>
        <v>0</v>
      </c>
      <c r="AC239" s="1898"/>
      <c r="AD239" s="1898"/>
      <c r="AE239" s="1898"/>
      <c r="AF239" s="1898"/>
      <c r="AG239" s="1898"/>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68">
        <v>0.05</v>
      </c>
      <c r="AC240" s="2068"/>
      <c r="AD240" s="2068"/>
      <c r="AE240" s="2068"/>
      <c r="AF240" s="2068"/>
      <c r="AG240" s="2068"/>
      <c r="AH240" s="645"/>
      <c r="AI240" s="645"/>
      <c r="AJ240" s="645"/>
      <c r="AK240" s="645"/>
    </row>
    <row r="241" spans="1:37">
      <c r="A241" s="640"/>
      <c r="B241" s="511" t="s">
        <v>1787</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69">
        <f>AB239-(AB239*AB240)</f>
        <v>0</v>
      </c>
      <c r="AC241" s="2069"/>
      <c r="AD241" s="2069"/>
      <c r="AE241" s="2069"/>
      <c r="AF241" s="2069"/>
      <c r="AG241" s="2069"/>
      <c r="AH241" s="645"/>
      <c r="AI241" s="645"/>
      <c r="AJ241" s="645"/>
      <c r="AK241" s="645"/>
    </row>
    <row r="242" spans="1:37">
      <c r="A242" s="640"/>
      <c r="B242" s="511" t="s">
        <v>1788</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1789</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98">
        <f>AB241/AB247</f>
        <v>0</v>
      </c>
      <c r="AC243" s="1898"/>
      <c r="AD243" s="1898"/>
      <c r="AE243" s="1898"/>
      <c r="AF243" s="1898"/>
      <c r="AG243" s="1898"/>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1790</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80">
        <v>15</v>
      </c>
      <c r="AC245" s="2080"/>
      <c r="AD245" s="2080"/>
      <c r="AE245" s="2080"/>
      <c r="AF245" s="2080"/>
      <c r="AG245" s="2080"/>
      <c r="AH245" s="645"/>
      <c r="AI245" s="645"/>
      <c r="AJ245" s="645"/>
      <c r="AK245" s="645"/>
    </row>
    <row r="246" spans="1:37">
      <c r="A246" s="640"/>
      <c r="B246" s="511" t="s">
        <v>1791</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71">
        <v>0.04</v>
      </c>
      <c r="AC246" s="2071"/>
      <c r="AD246" s="2071"/>
      <c r="AE246" s="2071"/>
      <c r="AF246" s="2071"/>
      <c r="AG246" s="2071"/>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72">
        <v>1.1499999999999999</v>
      </c>
      <c r="AC247" s="2072"/>
      <c r="AD247" s="2072"/>
      <c r="AE247" s="2072"/>
      <c r="AF247" s="2072"/>
      <c r="AG247" s="2072"/>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1792</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61">
        <f>PV(AB246/12,AB245*12,-AB243/12, ,0)</f>
        <v>0</v>
      </c>
      <c r="AC249" s="2062"/>
      <c r="AD249" s="2062"/>
      <c r="AE249" s="2062"/>
      <c r="AF249" s="2062"/>
      <c r="AG249" s="2063"/>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1768</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1771</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1770</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1769</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65">
        <f>IFERROR(('Sources and Uses Budget'!D105/'Sources and Uses Budget'!B105),0)</f>
        <v>0</v>
      </c>
      <c r="AC255" s="2066"/>
      <c r="AD255" s="2066"/>
      <c r="AE255" s="2066"/>
      <c r="AF255" s="2066"/>
      <c r="AG255" s="2067"/>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1545</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12">
        <f>AD200*(1-AB255)</f>
        <v>13726406</v>
      </c>
      <c r="AH257" s="1912"/>
      <c r="AI257" s="1912"/>
      <c r="AJ257" s="1912"/>
      <c r="AK257" s="1912"/>
    </row>
    <row r="258" spans="1:52">
      <c r="A258" s="657"/>
      <c r="B258" s="660" t="s">
        <v>1546</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12">
        <f>'Sources and Uses Budget'!C105</f>
        <v>40935554.133391015</v>
      </c>
      <c r="AH258" s="1912"/>
      <c r="AI258" s="1912"/>
      <c r="AJ258" s="1912"/>
      <c r="AK258" s="1912"/>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57">
        <f>ROUNDDOWN(IF(AND(C281="Yes",AK78=10),((AG257*2)/AG258),AG257/AG258),2)</f>
        <v>0.33</v>
      </c>
      <c r="AH259" s="2057"/>
      <c r="AI259" s="2057"/>
      <c r="AJ259" s="2057"/>
      <c r="AK259" s="2057"/>
    </row>
    <row r="260" spans="1:52">
      <c r="A260" s="657"/>
      <c r="B260" s="1015" t="s">
        <v>2001</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1547</v>
      </c>
      <c r="AK262" s="2046">
        <f>IFERROR(IF(AG259=0,0,IF((AG259*100)&gt;8,8,(AG259*100))),0)</f>
        <v>8</v>
      </c>
      <c r="AL262" s="2046"/>
      <c r="AM262" s="2047"/>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1548</v>
      </c>
      <c r="B265" s="573" t="s">
        <v>1549</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1486</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30" t="s">
        <v>554</v>
      </c>
      <c r="D267" s="1930"/>
      <c r="E267" s="582"/>
      <c r="F267" s="1881" t="s">
        <v>2420</v>
      </c>
      <c r="G267" s="1882"/>
      <c r="H267" s="1882"/>
      <c r="I267" s="1882"/>
      <c r="J267" s="1882"/>
      <c r="K267" s="1882"/>
      <c r="L267" s="1882"/>
      <c r="M267" s="1882"/>
      <c r="N267" s="1882"/>
      <c r="O267" s="1882"/>
      <c r="P267" s="1882"/>
      <c r="Q267" s="1882"/>
      <c r="R267" s="1882"/>
      <c r="S267" s="1882"/>
      <c r="T267" s="1882"/>
      <c r="U267" s="1882"/>
      <c r="V267" s="1882"/>
      <c r="W267" s="1882"/>
      <c r="X267" s="1882"/>
      <c r="Y267" s="1882"/>
      <c r="Z267" s="1882"/>
      <c r="AA267" s="1882"/>
      <c r="AB267" s="1882"/>
      <c r="AC267" s="1882"/>
      <c r="AD267" s="1883"/>
      <c r="AE267" s="585"/>
      <c r="AF267" s="670"/>
      <c r="AG267" s="2055" t="s">
        <v>1535</v>
      </c>
      <c r="AH267" s="2055"/>
      <c r="AI267" s="2055"/>
      <c r="AJ267" s="2055"/>
      <c r="AK267" s="585"/>
      <c r="AL267" s="585"/>
      <c r="AM267" s="585"/>
      <c r="AO267" s="585"/>
    </row>
    <row r="268" spans="1:52" ht="13.7" customHeight="1">
      <c r="A268" s="585"/>
      <c r="B268" s="631"/>
      <c r="C268" s="671"/>
      <c r="D268" s="585"/>
      <c r="E268" s="582"/>
      <c r="F268" s="1884"/>
      <c r="G268" s="1885"/>
      <c r="H268" s="1885"/>
      <c r="I268" s="1885"/>
      <c r="J268" s="1885"/>
      <c r="K268" s="1885"/>
      <c r="L268" s="1885"/>
      <c r="M268" s="1885"/>
      <c r="N268" s="1885"/>
      <c r="O268" s="1885"/>
      <c r="P268" s="1885"/>
      <c r="Q268" s="1885"/>
      <c r="R268" s="1885"/>
      <c r="S268" s="1885"/>
      <c r="T268" s="1885"/>
      <c r="U268" s="1885"/>
      <c r="V268" s="1885"/>
      <c r="W268" s="1885"/>
      <c r="X268" s="1885"/>
      <c r="Y268" s="1885"/>
      <c r="Z268" s="1885"/>
      <c r="AA268" s="1885"/>
      <c r="AB268" s="1885"/>
      <c r="AC268" s="1885"/>
      <c r="AD268" s="1886"/>
      <c r="AE268" s="585"/>
      <c r="AF268" s="670"/>
      <c r="AG268" s="670"/>
      <c r="AH268" s="670"/>
      <c r="AI268" s="670"/>
      <c r="AJ268" s="585"/>
      <c r="AK268" s="585"/>
      <c r="AL268" s="585"/>
      <c r="AM268" s="585"/>
      <c r="AO268" s="585"/>
    </row>
    <row r="269" spans="1:52">
      <c r="A269" s="585"/>
      <c r="B269" s="631"/>
      <c r="C269" s="671"/>
      <c r="D269" s="585"/>
      <c r="E269" s="582"/>
      <c r="F269" s="1884"/>
      <c r="G269" s="1885"/>
      <c r="H269" s="1885"/>
      <c r="I269" s="1885"/>
      <c r="J269" s="1885"/>
      <c r="K269" s="1885"/>
      <c r="L269" s="1885"/>
      <c r="M269" s="1885"/>
      <c r="N269" s="1885"/>
      <c r="O269" s="1885"/>
      <c r="P269" s="1885"/>
      <c r="Q269" s="1885"/>
      <c r="R269" s="1885"/>
      <c r="S269" s="1885"/>
      <c r="T269" s="1885"/>
      <c r="U269" s="1885"/>
      <c r="V269" s="1885"/>
      <c r="W269" s="1885"/>
      <c r="X269" s="1885"/>
      <c r="Y269" s="1885"/>
      <c r="Z269" s="1885"/>
      <c r="AA269" s="1885"/>
      <c r="AB269" s="1885"/>
      <c r="AC269" s="1885"/>
      <c r="AD269" s="1886"/>
      <c r="AE269" s="585"/>
      <c r="AF269" s="670"/>
      <c r="AG269" s="670"/>
      <c r="AH269" s="670"/>
      <c r="AI269" s="670"/>
      <c r="AJ269" s="585"/>
      <c r="AK269" s="585"/>
      <c r="AL269" s="585"/>
      <c r="AM269" s="585"/>
      <c r="AO269" s="585"/>
      <c r="AP269" s="672"/>
    </row>
    <row r="270" spans="1:52">
      <c r="A270" s="585"/>
      <c r="B270" s="631"/>
      <c r="C270" s="671"/>
      <c r="D270" s="585"/>
      <c r="E270" s="582"/>
      <c r="F270" s="1884"/>
      <c r="G270" s="1885"/>
      <c r="H270" s="1885"/>
      <c r="I270" s="1885"/>
      <c r="J270" s="1885"/>
      <c r="K270" s="1885"/>
      <c r="L270" s="1885"/>
      <c r="M270" s="1885"/>
      <c r="N270" s="1885"/>
      <c r="O270" s="1885"/>
      <c r="P270" s="1885"/>
      <c r="Q270" s="1885"/>
      <c r="R270" s="1885"/>
      <c r="S270" s="1885"/>
      <c r="T270" s="1885"/>
      <c r="U270" s="1885"/>
      <c r="V270" s="1885"/>
      <c r="W270" s="1885"/>
      <c r="X270" s="1885"/>
      <c r="Y270" s="1885"/>
      <c r="Z270" s="1885"/>
      <c r="AA270" s="1885"/>
      <c r="AB270" s="1885"/>
      <c r="AC270" s="1885"/>
      <c r="AD270" s="1886"/>
      <c r="AE270" s="585"/>
      <c r="AF270" s="670"/>
      <c r="AG270" s="670"/>
      <c r="AH270" s="670"/>
      <c r="AI270" s="670"/>
      <c r="AJ270" s="585"/>
      <c r="AK270" s="585"/>
      <c r="AL270" s="585"/>
      <c r="AM270" s="585"/>
      <c r="AO270" s="585"/>
      <c r="AP270" s="672"/>
    </row>
    <row r="271" spans="1:52" ht="13.7" customHeight="1">
      <c r="A271" s="585"/>
      <c r="B271" s="631"/>
      <c r="C271" s="2056"/>
      <c r="D271" s="2056"/>
      <c r="E271" s="582"/>
      <c r="F271" s="1887"/>
      <c r="G271" s="1888"/>
      <c r="H271" s="1888"/>
      <c r="I271" s="1888"/>
      <c r="J271" s="1888"/>
      <c r="K271" s="1888"/>
      <c r="L271" s="1888"/>
      <c r="M271" s="1888"/>
      <c r="N271" s="1888"/>
      <c r="O271" s="1888"/>
      <c r="P271" s="1888"/>
      <c r="Q271" s="1888"/>
      <c r="R271" s="1888"/>
      <c r="S271" s="1888"/>
      <c r="T271" s="1888"/>
      <c r="U271" s="1888"/>
      <c r="V271" s="1888"/>
      <c r="W271" s="1888"/>
      <c r="X271" s="1888"/>
      <c r="Y271" s="1888"/>
      <c r="Z271" s="1888"/>
      <c r="AA271" s="1888"/>
      <c r="AB271" s="1888"/>
      <c r="AC271" s="1888"/>
      <c r="AD271" s="1889"/>
      <c r="AE271" s="585"/>
      <c r="AF271" s="670"/>
      <c r="AG271" s="2055"/>
      <c r="AH271" s="2055"/>
      <c r="AI271" s="2055"/>
      <c r="AJ271" s="2055"/>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1551</v>
      </c>
      <c r="AK274" s="2046">
        <f>IF($C$267="yes",10,0)</f>
        <v>10</v>
      </c>
      <c r="AL274" s="2046"/>
      <c r="AM274" s="2047"/>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1552</v>
      </c>
      <c r="B277" s="573" t="s">
        <v>2116</v>
      </c>
      <c r="AH277" s="626" t="s">
        <v>1486</v>
      </c>
    </row>
    <row r="278" spans="1:49" ht="15" customHeight="1">
      <c r="B278" s="574"/>
    </row>
    <row r="279" spans="1:49" ht="15" customHeight="1">
      <c r="B279" s="574" t="s">
        <v>1988</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23" t="s">
        <v>1554</v>
      </c>
      <c r="B281" s="1623"/>
      <c r="C281" s="2023" t="s">
        <v>600</v>
      </c>
      <c r="D281" s="1930"/>
      <c r="E281" s="582"/>
      <c r="F281" s="2048" t="s">
        <v>1555</v>
      </c>
      <c r="G281" s="2049"/>
      <c r="H281" s="2049"/>
      <c r="I281" s="2049"/>
      <c r="J281" s="2049"/>
      <c r="K281" s="2049"/>
      <c r="L281" s="2049"/>
      <c r="M281" s="2049"/>
      <c r="N281" s="2049"/>
      <c r="O281" s="2049"/>
      <c r="P281" s="2049"/>
      <c r="Q281" s="2049"/>
      <c r="R281" s="2049"/>
      <c r="S281" s="2049"/>
      <c r="T281" s="2049"/>
      <c r="U281" s="2049"/>
      <c r="V281" s="2049"/>
      <c r="W281" s="2049"/>
      <c r="X281" s="2049"/>
      <c r="Y281" s="2049"/>
      <c r="Z281" s="2049"/>
      <c r="AA281" s="2049"/>
      <c r="AB281" s="2049"/>
      <c r="AC281" s="2049"/>
      <c r="AD281" s="2050"/>
      <c r="AE281" s="677"/>
      <c r="AF281" s="585"/>
      <c r="AG281" s="2051" t="s">
        <v>2413</v>
      </c>
      <c r="AH281" s="2051"/>
      <c r="AI281" s="2051"/>
      <c r="AJ281" s="2051"/>
      <c r="AK281" s="2051"/>
      <c r="AL281" s="585"/>
      <c r="AM281" s="585"/>
      <c r="AN281" s="73"/>
      <c r="AO281" s="14"/>
      <c r="AP281" s="30"/>
      <c r="AS281" s="605"/>
      <c r="AT281" s="605"/>
      <c r="AU281" s="605"/>
      <c r="AV281" s="32"/>
      <c r="AW281" s="32"/>
    </row>
    <row r="282" spans="1:49">
      <c r="A282" s="675"/>
      <c r="B282" s="631"/>
      <c r="F282" s="1907"/>
      <c r="G282" s="1908"/>
      <c r="H282" s="1908"/>
      <c r="I282" s="1908"/>
      <c r="J282" s="1908"/>
      <c r="K282" s="1908"/>
      <c r="L282" s="1908"/>
      <c r="M282" s="1908"/>
      <c r="N282" s="1908"/>
      <c r="O282" s="1908"/>
      <c r="P282" s="1908"/>
      <c r="Q282" s="1908"/>
      <c r="R282" s="1908"/>
      <c r="S282" s="1908"/>
      <c r="T282" s="1908"/>
      <c r="U282" s="1908"/>
      <c r="V282" s="1908"/>
      <c r="W282" s="1908"/>
      <c r="X282" s="1908"/>
      <c r="Y282" s="1908"/>
      <c r="Z282" s="1908"/>
      <c r="AA282" s="1908"/>
      <c r="AB282" s="1908"/>
      <c r="AC282" s="1908"/>
      <c r="AD282" s="1909"/>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07"/>
      <c r="G283" s="1908"/>
      <c r="H283" s="1908"/>
      <c r="I283" s="1908"/>
      <c r="J283" s="1908"/>
      <c r="K283" s="1908"/>
      <c r="L283" s="1908"/>
      <c r="M283" s="1908"/>
      <c r="N283" s="1908"/>
      <c r="O283" s="1908"/>
      <c r="P283" s="1908"/>
      <c r="Q283" s="1908"/>
      <c r="R283" s="1908"/>
      <c r="S283" s="1908"/>
      <c r="T283" s="1908"/>
      <c r="U283" s="1908"/>
      <c r="V283" s="1908"/>
      <c r="W283" s="1908"/>
      <c r="X283" s="1908"/>
      <c r="Y283" s="1908"/>
      <c r="Z283" s="1908"/>
      <c r="AA283" s="1908"/>
      <c r="AB283" s="1908"/>
      <c r="AC283" s="1908"/>
      <c r="AD283" s="1909"/>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07" t="s">
        <v>2421</v>
      </c>
      <c r="G284" s="1908"/>
      <c r="H284" s="1908"/>
      <c r="I284" s="1908"/>
      <c r="J284" s="1908"/>
      <c r="K284" s="1908"/>
      <c r="L284" s="1908"/>
      <c r="M284" s="1908"/>
      <c r="N284" s="1908"/>
      <c r="O284" s="1908"/>
      <c r="P284" s="1908"/>
      <c r="Q284" s="1908"/>
      <c r="R284" s="1908"/>
      <c r="S284" s="1908"/>
      <c r="T284" s="1908"/>
      <c r="U284" s="1908"/>
      <c r="V284" s="1908"/>
      <c r="W284" s="1908"/>
      <c r="X284" s="1908"/>
      <c r="Y284" s="1908"/>
      <c r="Z284" s="1908"/>
      <c r="AA284" s="1908"/>
      <c r="AB284" s="1908"/>
      <c r="AC284" s="1908"/>
      <c r="AD284" s="1909"/>
      <c r="AE284" s="677"/>
      <c r="AF284" s="586"/>
      <c r="AH284" s="586"/>
      <c r="AI284" s="586"/>
      <c r="AJ284" s="585"/>
      <c r="AK284" s="585"/>
      <c r="AL284" s="585"/>
      <c r="AM284" s="585"/>
      <c r="AN284" s="73"/>
      <c r="AO284" s="14"/>
      <c r="AP284" s="646">
        <f>MAX(AP282,AP283)</f>
        <v>0</v>
      </c>
      <c r="AQ284" s="609" t="s">
        <v>1488</v>
      </c>
      <c r="AS284" s="605"/>
      <c r="AT284" s="605"/>
      <c r="AU284" s="605"/>
      <c r="AV284" s="32"/>
      <c r="AW284" s="32"/>
    </row>
    <row r="285" spans="1:49">
      <c r="A285" s="675"/>
      <c r="B285" s="631"/>
      <c r="F285" s="1907"/>
      <c r="G285" s="1908"/>
      <c r="H285" s="1908"/>
      <c r="I285" s="1908"/>
      <c r="J285" s="1908"/>
      <c r="K285" s="1908"/>
      <c r="L285" s="1908"/>
      <c r="M285" s="1908"/>
      <c r="N285" s="1908"/>
      <c r="O285" s="1908"/>
      <c r="P285" s="1908"/>
      <c r="Q285" s="1908"/>
      <c r="R285" s="1908"/>
      <c r="S285" s="1908"/>
      <c r="T285" s="1908"/>
      <c r="U285" s="1908"/>
      <c r="V285" s="1908"/>
      <c r="W285" s="1908"/>
      <c r="X285" s="1908"/>
      <c r="Y285" s="1908"/>
      <c r="Z285" s="1908"/>
      <c r="AA285" s="1908"/>
      <c r="AB285" s="1908"/>
      <c r="AC285" s="1908"/>
      <c r="AD285" s="1909"/>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07" t="s">
        <v>1556</v>
      </c>
      <c r="G286" s="1908"/>
      <c r="H286" s="1908"/>
      <c r="I286" s="1908"/>
      <c r="J286" s="1908"/>
      <c r="K286" s="1908"/>
      <c r="L286" s="1908"/>
      <c r="M286" s="1908"/>
      <c r="N286" s="1908"/>
      <c r="O286" s="1908"/>
      <c r="P286" s="1908"/>
      <c r="Q286" s="1908"/>
      <c r="R286" s="1908"/>
      <c r="S286" s="1908"/>
      <c r="T286" s="1908"/>
      <c r="U286" s="1908"/>
      <c r="V286" s="1908"/>
      <c r="W286" s="1908"/>
      <c r="X286" s="1908"/>
      <c r="Y286" s="1908"/>
      <c r="Z286" s="1908"/>
      <c r="AA286" s="1908"/>
      <c r="AB286" s="1908"/>
      <c r="AC286" s="1908"/>
      <c r="AD286" s="1909"/>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07"/>
      <c r="G287" s="1908"/>
      <c r="H287" s="1908"/>
      <c r="I287" s="1908"/>
      <c r="J287" s="1908"/>
      <c r="K287" s="1908"/>
      <c r="L287" s="1908"/>
      <c r="M287" s="1908"/>
      <c r="N287" s="1908"/>
      <c r="O287" s="1908"/>
      <c r="P287" s="1908"/>
      <c r="Q287" s="1908"/>
      <c r="R287" s="1908"/>
      <c r="S287" s="1908"/>
      <c r="T287" s="1908"/>
      <c r="U287" s="1908"/>
      <c r="V287" s="1908"/>
      <c r="W287" s="1908"/>
      <c r="X287" s="1908"/>
      <c r="Y287" s="1908"/>
      <c r="Z287" s="1908"/>
      <c r="AA287" s="1908"/>
      <c r="AB287" s="1908"/>
      <c r="AC287" s="1908"/>
      <c r="AD287" s="1909"/>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07" t="s">
        <v>1557</v>
      </c>
      <c r="G288" s="1908"/>
      <c r="H288" s="1908"/>
      <c r="I288" s="1908"/>
      <c r="J288" s="1908"/>
      <c r="K288" s="1908"/>
      <c r="L288" s="1908"/>
      <c r="M288" s="1908"/>
      <c r="N288" s="1908"/>
      <c r="O288" s="1908"/>
      <c r="P288" s="1908"/>
      <c r="Q288" s="1908"/>
      <c r="R288" s="1908"/>
      <c r="S288" s="1908"/>
      <c r="T288" s="1908"/>
      <c r="U288" s="1908"/>
      <c r="V288" s="1908"/>
      <c r="W288" s="1908"/>
      <c r="X288" s="1908"/>
      <c r="Y288" s="1908"/>
      <c r="Z288" s="1908"/>
      <c r="AA288" s="1908"/>
      <c r="AB288" s="1908"/>
      <c r="AC288" s="1908"/>
      <c r="AD288" s="1909"/>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10"/>
      <c r="G289" s="1911"/>
      <c r="H289" s="1911"/>
      <c r="I289" s="1911"/>
      <c r="J289" s="1911"/>
      <c r="K289" s="1911"/>
      <c r="L289" s="1911"/>
      <c r="M289" s="1911"/>
      <c r="N289" s="1911"/>
      <c r="O289" s="1911"/>
      <c r="P289" s="1911"/>
      <c r="Q289" s="1911"/>
      <c r="R289" s="1911"/>
      <c r="S289" s="1911"/>
      <c r="T289" s="1911"/>
      <c r="U289" s="1911"/>
      <c r="V289" s="1911"/>
      <c r="W289" s="1911"/>
      <c r="X289" s="1911"/>
      <c r="Y289" s="1911"/>
      <c r="Z289" s="1911"/>
      <c r="AA289" s="1911"/>
      <c r="AB289" s="1911"/>
      <c r="AC289" s="1911"/>
      <c r="AD289" s="2045"/>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23" t="s">
        <v>1558</v>
      </c>
      <c r="B291" s="1623"/>
      <c r="C291" s="1930" t="s">
        <v>600</v>
      </c>
      <c r="D291" s="1930"/>
      <c r="E291" s="582"/>
      <c r="F291" s="679" t="s">
        <v>2414</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1560</v>
      </c>
      <c r="AH291" s="586"/>
      <c r="AI291" s="586"/>
      <c r="AJ291" s="585"/>
      <c r="AK291" s="585"/>
      <c r="AL291" s="585"/>
      <c r="AM291" s="585"/>
      <c r="AN291" s="682"/>
      <c r="AO291" s="14"/>
    </row>
    <row r="292" spans="1:49">
      <c r="A292" s="585"/>
      <c r="B292" s="586"/>
      <c r="C292" s="585"/>
      <c r="D292" s="586"/>
      <c r="E292" s="585"/>
      <c r="F292" s="2030" t="s">
        <v>2415</v>
      </c>
      <c r="G292" s="2031"/>
      <c r="H292" s="2031"/>
      <c r="I292" s="2031"/>
      <c r="J292" s="2031"/>
      <c r="K292" s="2031"/>
      <c r="L292" s="2031"/>
      <c r="M292" s="2031"/>
      <c r="N292" s="2031"/>
      <c r="O292" s="2031"/>
      <c r="P292" s="2031"/>
      <c r="Q292" s="2031"/>
      <c r="R292" s="2031"/>
      <c r="S292" s="2031"/>
      <c r="T292" s="2031"/>
      <c r="U292" s="2031"/>
      <c r="V292" s="2031"/>
      <c r="W292" s="2031"/>
      <c r="X292" s="2031"/>
      <c r="Y292" s="2031"/>
      <c r="Z292" s="2031"/>
      <c r="AA292" s="2031"/>
      <c r="AB292" s="2031"/>
      <c r="AC292" s="2031"/>
      <c r="AD292" s="2032"/>
      <c r="AE292" s="586"/>
      <c r="AF292" s="586"/>
      <c r="AG292" s="586"/>
      <c r="AH292" s="586"/>
      <c r="AI292" s="586"/>
      <c r="AJ292" s="585"/>
      <c r="AK292" s="585"/>
      <c r="AL292" s="585"/>
      <c r="AM292" s="585"/>
      <c r="AR292" s="683"/>
    </row>
    <row r="293" spans="1:49" ht="15" customHeight="1">
      <c r="A293" s="585"/>
      <c r="B293" s="586"/>
      <c r="C293" s="585"/>
      <c r="D293" s="586"/>
      <c r="E293" s="585"/>
      <c r="F293" s="2030"/>
      <c r="G293" s="2031"/>
      <c r="H293" s="2031"/>
      <c r="I293" s="2031"/>
      <c r="J293" s="2031"/>
      <c r="K293" s="2031"/>
      <c r="L293" s="2031"/>
      <c r="M293" s="2031"/>
      <c r="N293" s="2031"/>
      <c r="O293" s="2031"/>
      <c r="P293" s="2031"/>
      <c r="Q293" s="2031"/>
      <c r="R293" s="2031"/>
      <c r="S293" s="2031"/>
      <c r="T293" s="2031"/>
      <c r="U293" s="2031"/>
      <c r="V293" s="2031"/>
      <c r="W293" s="2031"/>
      <c r="X293" s="2031"/>
      <c r="Y293" s="2031"/>
      <c r="Z293" s="2031"/>
      <c r="AA293" s="2031"/>
      <c r="AB293" s="2031"/>
      <c r="AC293" s="2031"/>
      <c r="AD293" s="2032"/>
      <c r="AE293" s="586"/>
      <c r="AF293" s="586"/>
      <c r="AG293" s="586"/>
      <c r="AH293" s="586"/>
      <c r="AI293" s="586"/>
      <c r="AJ293" s="585"/>
      <c r="AK293" s="585"/>
      <c r="AL293" s="585"/>
      <c r="AM293" s="585"/>
      <c r="AR293" s="683"/>
    </row>
    <row r="294" spans="1:49">
      <c r="A294" s="585"/>
      <c r="B294" s="586"/>
      <c r="C294" s="585"/>
      <c r="D294" s="586"/>
      <c r="E294" s="585"/>
      <c r="F294" s="2030"/>
      <c r="G294" s="2031"/>
      <c r="H294" s="2031"/>
      <c r="I294" s="2031"/>
      <c r="J294" s="2031"/>
      <c r="K294" s="2031"/>
      <c r="L294" s="2031"/>
      <c r="M294" s="2031"/>
      <c r="N294" s="2031"/>
      <c r="O294" s="2031"/>
      <c r="P294" s="2031"/>
      <c r="Q294" s="2031"/>
      <c r="R294" s="2031"/>
      <c r="S294" s="2031"/>
      <c r="T294" s="2031"/>
      <c r="U294" s="2031"/>
      <c r="V294" s="2031"/>
      <c r="W294" s="2031"/>
      <c r="X294" s="2031"/>
      <c r="Y294" s="2031"/>
      <c r="Z294" s="2031"/>
      <c r="AA294" s="2031"/>
      <c r="AB294" s="2031"/>
      <c r="AC294" s="2031"/>
      <c r="AD294" s="2032"/>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52"/>
      <c r="G295" s="2053"/>
      <c r="H295" s="2053"/>
      <c r="I295" s="2053"/>
      <c r="J295" s="2053"/>
      <c r="K295" s="2053"/>
      <c r="L295" s="2053"/>
      <c r="M295" s="2053"/>
      <c r="N295" s="2053"/>
      <c r="O295" s="2053"/>
      <c r="P295" s="2053"/>
      <c r="Q295" s="2053"/>
      <c r="R295" s="2053"/>
      <c r="S295" s="2053"/>
      <c r="T295" s="2053"/>
      <c r="U295" s="2053"/>
      <c r="V295" s="2053"/>
      <c r="W295" s="2053"/>
      <c r="X295" s="2053"/>
      <c r="Y295" s="2053"/>
      <c r="Z295" s="2053"/>
      <c r="AA295" s="2053"/>
      <c r="AB295" s="2053"/>
      <c r="AC295" s="2053"/>
      <c r="AD295" s="2054"/>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23" t="s">
        <v>1561</v>
      </c>
      <c r="B299" s="1623"/>
      <c r="C299" s="1930" t="s">
        <v>600</v>
      </c>
      <c r="D299" s="1930"/>
      <c r="E299" s="582"/>
      <c r="F299" s="679" t="s">
        <v>1559</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1560</v>
      </c>
      <c r="AH299" s="586"/>
      <c r="AI299" s="586"/>
      <c r="AJ299" s="585"/>
      <c r="AK299" s="585"/>
      <c r="AL299" s="585"/>
      <c r="AM299" s="585"/>
      <c r="AN299" s="73"/>
      <c r="AO299" s="14"/>
    </row>
    <row r="300" spans="1:49" hidden="1">
      <c r="A300" s="89"/>
      <c r="B300" s="89"/>
      <c r="C300" s="765"/>
      <c r="D300" s="765"/>
      <c r="E300" s="582"/>
      <c r="F300" s="1907" t="s">
        <v>2422</v>
      </c>
      <c r="G300" s="1908"/>
      <c r="H300" s="1908"/>
      <c r="I300" s="1908"/>
      <c r="J300" s="1908"/>
      <c r="K300" s="1908"/>
      <c r="L300" s="1908"/>
      <c r="M300" s="1908"/>
      <c r="N300" s="1908"/>
      <c r="O300" s="1908"/>
      <c r="P300" s="1908"/>
      <c r="Q300" s="1908"/>
      <c r="R300" s="1908"/>
      <c r="S300" s="1908"/>
      <c r="T300" s="1908"/>
      <c r="U300" s="1908"/>
      <c r="V300" s="1908"/>
      <c r="W300" s="1908"/>
      <c r="X300" s="1908"/>
      <c r="Y300" s="1908"/>
      <c r="Z300" s="1908"/>
      <c r="AA300" s="1908"/>
      <c r="AB300" s="1908"/>
      <c r="AC300" s="1908"/>
      <c r="AD300" s="1909"/>
      <c r="AE300" s="586"/>
      <c r="AF300" s="586"/>
      <c r="AG300" s="574"/>
      <c r="AH300" s="586"/>
      <c r="AI300" s="586"/>
      <c r="AJ300" s="585"/>
      <c r="AK300" s="585"/>
      <c r="AL300" s="585"/>
      <c r="AM300" s="585"/>
      <c r="AN300" s="73"/>
      <c r="AO300" s="14"/>
      <c r="AP300" s="592" t="s">
        <v>1327</v>
      </c>
    </row>
    <row r="301" spans="1:49" hidden="1">
      <c r="F301" s="1907"/>
      <c r="G301" s="1908"/>
      <c r="H301" s="1908"/>
      <c r="I301" s="1908"/>
      <c r="J301" s="1908"/>
      <c r="K301" s="1908"/>
      <c r="L301" s="1908"/>
      <c r="M301" s="1908"/>
      <c r="N301" s="1908"/>
      <c r="O301" s="1908"/>
      <c r="P301" s="1908"/>
      <c r="Q301" s="1908"/>
      <c r="R301" s="1908"/>
      <c r="S301" s="1908"/>
      <c r="T301" s="1908"/>
      <c r="U301" s="1908"/>
      <c r="V301" s="1908"/>
      <c r="W301" s="1908"/>
      <c r="X301" s="1908"/>
      <c r="Y301" s="1908"/>
      <c r="Z301" s="1908"/>
      <c r="AA301" s="1908"/>
      <c r="AB301" s="1908"/>
      <c r="AC301" s="1908"/>
      <c r="AD301" s="1909"/>
      <c r="AE301" s="586"/>
      <c r="AF301" s="586"/>
      <c r="AH301" s="586"/>
      <c r="AI301" s="586"/>
      <c r="AJ301" s="585"/>
      <c r="AK301" s="585"/>
      <c r="AL301" s="585"/>
      <c r="AM301" s="585"/>
      <c r="AN301" s="73"/>
      <c r="AO301" s="14"/>
      <c r="AP301" s="592" t="s">
        <v>1990</v>
      </c>
    </row>
    <row r="302" spans="1:49" hidden="1">
      <c r="A302" s="585"/>
      <c r="B302" s="586"/>
      <c r="C302" s="765"/>
      <c r="D302" s="765"/>
      <c r="E302" s="582"/>
      <c r="F302" s="687" t="s">
        <v>1562</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1992</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2118</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33" t="s">
        <v>1327</v>
      </c>
      <c r="G305" s="2034"/>
      <c r="H305" s="2034"/>
      <c r="I305" s="2034"/>
      <c r="J305" s="2034"/>
      <c r="K305" s="2034"/>
      <c r="L305" s="2034"/>
      <c r="M305" s="2034"/>
      <c r="N305" s="2034"/>
      <c r="O305" s="2034"/>
      <c r="P305" s="2034"/>
      <c r="Q305" s="2034"/>
      <c r="R305" s="2034"/>
      <c r="S305" s="2034"/>
      <c r="T305" s="2034"/>
      <c r="U305" s="2034"/>
      <c r="V305" s="2034"/>
      <c r="W305" s="2034"/>
      <c r="X305" s="2034"/>
      <c r="Y305" s="2034"/>
      <c r="Z305" s="2034"/>
      <c r="AA305" s="2034"/>
      <c r="AB305" s="2034"/>
      <c r="AC305" s="2034"/>
      <c r="AD305" s="2035"/>
      <c r="AE305" s="677"/>
      <c r="AF305" s="677"/>
      <c r="AG305" s="677"/>
      <c r="AH305" s="677"/>
      <c r="AI305" s="677"/>
      <c r="AJ305" s="677"/>
      <c r="AK305" s="677"/>
      <c r="AL305" s="585"/>
      <c r="AM305" s="585"/>
      <c r="AN305" s="73"/>
      <c r="AO305" s="14"/>
      <c r="AP305" s="30"/>
    </row>
    <row r="306" spans="1:42" hidden="1">
      <c r="A306" s="585"/>
      <c r="B306" s="586"/>
      <c r="C306" s="765"/>
      <c r="D306" s="765"/>
      <c r="E306" s="582"/>
      <c r="F306" s="2033"/>
      <c r="G306" s="2034"/>
      <c r="H306" s="2034"/>
      <c r="I306" s="2034"/>
      <c r="J306" s="2034"/>
      <c r="K306" s="2034"/>
      <c r="L306" s="2034"/>
      <c r="M306" s="2034"/>
      <c r="N306" s="2034"/>
      <c r="O306" s="2034"/>
      <c r="P306" s="2034"/>
      <c r="Q306" s="2034"/>
      <c r="R306" s="2034"/>
      <c r="S306" s="2034"/>
      <c r="T306" s="2034"/>
      <c r="U306" s="2034"/>
      <c r="V306" s="2034"/>
      <c r="W306" s="2034"/>
      <c r="X306" s="2034"/>
      <c r="Y306" s="2034"/>
      <c r="Z306" s="2034"/>
      <c r="AA306" s="2034"/>
      <c r="AB306" s="2034"/>
      <c r="AC306" s="2034"/>
      <c r="AD306" s="2035"/>
      <c r="AE306" s="586"/>
      <c r="AF306" s="586"/>
      <c r="AG306" s="574"/>
      <c r="AH306" s="586"/>
      <c r="AI306" s="586"/>
      <c r="AJ306" s="585"/>
      <c r="AK306" s="585"/>
      <c r="AL306" s="585"/>
      <c r="AM306" s="585"/>
      <c r="AN306" s="73"/>
      <c r="AO306" s="14"/>
      <c r="AP306" s="30"/>
    </row>
    <row r="307" spans="1:42" hidden="1">
      <c r="A307" s="585"/>
      <c r="B307" s="586"/>
      <c r="C307" s="765"/>
      <c r="D307" s="765"/>
      <c r="E307" s="582"/>
      <c r="F307" s="2033"/>
      <c r="G307" s="2034"/>
      <c r="H307" s="2034"/>
      <c r="I307" s="2034"/>
      <c r="J307" s="2034"/>
      <c r="K307" s="2034"/>
      <c r="L307" s="2034"/>
      <c r="M307" s="2034"/>
      <c r="N307" s="2034"/>
      <c r="O307" s="2034"/>
      <c r="P307" s="2034"/>
      <c r="Q307" s="2034"/>
      <c r="R307" s="2034"/>
      <c r="S307" s="2034"/>
      <c r="T307" s="2034"/>
      <c r="U307" s="2034"/>
      <c r="V307" s="2034"/>
      <c r="W307" s="2034"/>
      <c r="X307" s="2034"/>
      <c r="Y307" s="2034"/>
      <c r="Z307" s="2034"/>
      <c r="AA307" s="2034"/>
      <c r="AB307" s="2034"/>
      <c r="AC307" s="2034"/>
      <c r="AD307" s="2035"/>
      <c r="AE307" s="586"/>
      <c r="AF307" s="586"/>
      <c r="AG307" s="574"/>
      <c r="AH307" s="586"/>
      <c r="AI307" s="586"/>
      <c r="AJ307" s="585"/>
      <c r="AK307" s="585"/>
      <c r="AL307" s="585"/>
      <c r="AM307" s="585"/>
      <c r="AN307" s="73"/>
      <c r="AO307" s="14"/>
      <c r="AP307" s="30"/>
    </row>
    <row r="308" spans="1:42" hidden="1">
      <c r="A308" s="585"/>
      <c r="B308" s="586"/>
      <c r="C308" s="765"/>
      <c r="D308" s="765"/>
      <c r="E308" s="582"/>
      <c r="F308" s="2033"/>
      <c r="G308" s="2034"/>
      <c r="H308" s="2034"/>
      <c r="I308" s="2034"/>
      <c r="J308" s="2034"/>
      <c r="K308" s="2034"/>
      <c r="L308" s="2034"/>
      <c r="M308" s="2034"/>
      <c r="N308" s="2034"/>
      <c r="O308" s="2034"/>
      <c r="P308" s="2034"/>
      <c r="Q308" s="2034"/>
      <c r="R308" s="2034"/>
      <c r="S308" s="2034"/>
      <c r="T308" s="2034"/>
      <c r="U308" s="2034"/>
      <c r="V308" s="2034"/>
      <c r="W308" s="2034"/>
      <c r="X308" s="2034"/>
      <c r="Y308" s="2034"/>
      <c r="Z308" s="2034"/>
      <c r="AA308" s="2034"/>
      <c r="AB308" s="2034"/>
      <c r="AC308" s="2034"/>
      <c r="AD308" s="2035"/>
      <c r="AE308" s="586"/>
      <c r="AF308" s="586"/>
      <c r="AG308" s="574"/>
      <c r="AH308" s="586"/>
      <c r="AI308" s="586"/>
      <c r="AJ308" s="585"/>
      <c r="AK308" s="585"/>
      <c r="AL308" s="585"/>
      <c r="AM308" s="585"/>
      <c r="AN308" s="73"/>
      <c r="AO308" s="14"/>
      <c r="AP308" s="30"/>
    </row>
    <row r="309" spans="1:42" hidden="1">
      <c r="A309" s="585"/>
      <c r="B309" s="586"/>
      <c r="C309" s="765"/>
      <c r="D309" s="765"/>
      <c r="E309" s="582"/>
      <c r="F309" s="2036"/>
      <c r="G309" s="2037"/>
      <c r="H309" s="2037"/>
      <c r="I309" s="2037"/>
      <c r="J309" s="2037"/>
      <c r="K309" s="2037"/>
      <c r="L309" s="2037"/>
      <c r="M309" s="2037"/>
      <c r="N309" s="2037"/>
      <c r="O309" s="2037"/>
      <c r="P309" s="2037"/>
      <c r="Q309" s="2037"/>
      <c r="R309" s="2037"/>
      <c r="S309" s="2037"/>
      <c r="T309" s="2037"/>
      <c r="U309" s="2037"/>
      <c r="V309" s="2037"/>
      <c r="W309" s="2037"/>
      <c r="X309" s="2037"/>
      <c r="Y309" s="2037"/>
      <c r="Z309" s="2037"/>
      <c r="AA309" s="2037"/>
      <c r="AB309" s="2037"/>
      <c r="AC309" s="2037"/>
      <c r="AD309" s="2038"/>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1991</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1327</v>
      </c>
    </row>
    <row r="313" spans="1:42" ht="12.75" hidden="1" customHeight="1">
      <c r="A313" s="585"/>
      <c r="B313" s="586"/>
      <c r="C313" s="765"/>
      <c r="D313" s="765"/>
      <c r="E313" s="582"/>
      <c r="F313" s="691"/>
      <c r="G313" s="610" t="s">
        <v>697</v>
      </c>
      <c r="H313" s="610"/>
      <c r="I313" s="2039" t="s">
        <v>1327</v>
      </c>
      <c r="J313" s="2039"/>
      <c r="K313" s="2039"/>
      <c r="L313" s="2039"/>
      <c r="M313" s="2039"/>
      <c r="N313" s="2039"/>
      <c r="O313" s="2039"/>
      <c r="P313" s="2039"/>
      <c r="Q313" s="2039"/>
      <c r="R313" s="2039"/>
      <c r="S313" s="2039"/>
      <c r="T313" s="2039"/>
      <c r="U313" s="2039"/>
      <c r="V313" s="2039"/>
      <c r="W313" s="2039"/>
      <c r="X313" s="2039"/>
      <c r="Y313" s="2039"/>
      <c r="Z313" s="2039"/>
      <c r="AA313" s="2039"/>
      <c r="AB313" s="2039"/>
      <c r="AC313" s="2039"/>
      <c r="AD313" s="2040"/>
      <c r="AE313" s="586"/>
      <c r="AF313" s="586"/>
      <c r="AG313" s="574"/>
      <c r="AH313" s="586"/>
      <c r="AI313" s="586"/>
      <c r="AJ313" s="585"/>
      <c r="AK313" s="585"/>
      <c r="AL313" s="585"/>
      <c r="AM313" s="585"/>
      <c r="AN313" s="73"/>
      <c r="AO313" s="14"/>
      <c r="AP313" s="592" t="s">
        <v>1817</v>
      </c>
    </row>
    <row r="314" spans="1:42" hidden="1">
      <c r="A314" s="585"/>
      <c r="B314" s="586"/>
      <c r="C314" s="765"/>
      <c r="D314" s="765"/>
      <c r="E314" s="582"/>
      <c r="F314" s="691"/>
      <c r="G314" s="610"/>
      <c r="H314" s="610"/>
      <c r="I314" s="2039"/>
      <c r="J314" s="2039"/>
      <c r="K314" s="2039"/>
      <c r="L314" s="2039"/>
      <c r="M314" s="2039"/>
      <c r="N314" s="2039"/>
      <c r="O314" s="2039"/>
      <c r="P314" s="2039"/>
      <c r="Q314" s="2039"/>
      <c r="R314" s="2039"/>
      <c r="S314" s="2039"/>
      <c r="T314" s="2039"/>
      <c r="U314" s="2039"/>
      <c r="V314" s="2039"/>
      <c r="W314" s="2039"/>
      <c r="X314" s="2039"/>
      <c r="Y314" s="2039"/>
      <c r="Z314" s="2039"/>
      <c r="AA314" s="2039"/>
      <c r="AB314" s="2039"/>
      <c r="AC314" s="2039"/>
      <c r="AD314" s="2040"/>
      <c r="AE314" s="586"/>
      <c r="AF314" s="586"/>
      <c r="AG314" s="574"/>
      <c r="AH314" s="586"/>
      <c r="AI314" s="586"/>
      <c r="AJ314" s="585"/>
      <c r="AK314" s="585"/>
      <c r="AL314" s="585"/>
      <c r="AM314" s="585"/>
      <c r="AN314" s="73"/>
      <c r="AO314" s="14"/>
      <c r="AP314" s="592" t="s">
        <v>1993</v>
      </c>
    </row>
    <row r="315" spans="1:42" hidden="1">
      <c r="A315" s="585"/>
      <c r="B315" s="586"/>
      <c r="C315" s="686"/>
      <c r="D315" s="686"/>
      <c r="E315" s="582"/>
      <c r="F315" s="691"/>
      <c r="G315" s="610"/>
      <c r="H315" s="610"/>
      <c r="I315" s="2039"/>
      <c r="J315" s="2039"/>
      <c r="K315" s="2039"/>
      <c r="L315" s="2039"/>
      <c r="M315" s="2039"/>
      <c r="N315" s="2039"/>
      <c r="O315" s="2039"/>
      <c r="P315" s="2039"/>
      <c r="Q315" s="2039"/>
      <c r="R315" s="2039"/>
      <c r="S315" s="2039"/>
      <c r="T315" s="2039"/>
      <c r="U315" s="2039"/>
      <c r="V315" s="2039"/>
      <c r="W315" s="2039"/>
      <c r="X315" s="2039"/>
      <c r="Y315" s="2039"/>
      <c r="Z315" s="2039"/>
      <c r="AA315" s="2039"/>
      <c r="AB315" s="2039"/>
      <c r="AC315" s="2039"/>
      <c r="AD315" s="2040"/>
      <c r="AE315" s="586"/>
      <c r="AF315" s="586"/>
      <c r="AG315" s="574"/>
      <c r="AH315" s="586"/>
      <c r="AI315" s="586"/>
      <c r="AJ315" s="585"/>
      <c r="AK315" s="585"/>
      <c r="AL315" s="585"/>
      <c r="AM315" s="585"/>
      <c r="AN315" s="73"/>
      <c r="AO315" s="14"/>
      <c r="AP315" s="592" t="s">
        <v>1995</v>
      </c>
    </row>
    <row r="316" spans="1:42" hidden="1">
      <c r="A316" s="585"/>
      <c r="B316" s="586"/>
      <c r="C316" s="686"/>
      <c r="D316" s="686"/>
      <c r="E316" s="582"/>
      <c r="F316" s="689"/>
      <c r="G316" s="586"/>
      <c r="H316" s="586"/>
      <c r="I316" s="2041"/>
      <c r="J316" s="2041"/>
      <c r="K316" s="2041"/>
      <c r="L316" s="2041"/>
      <c r="M316" s="2041"/>
      <c r="N316" s="2041"/>
      <c r="O316" s="2041"/>
      <c r="P316" s="2041"/>
      <c r="Q316" s="2041"/>
      <c r="R316" s="2041"/>
      <c r="S316" s="2041"/>
      <c r="T316" s="2041"/>
      <c r="U316" s="2041"/>
      <c r="V316" s="2041"/>
      <c r="W316" s="2041"/>
      <c r="X316" s="2041"/>
      <c r="Y316" s="2041"/>
      <c r="Z316" s="2041"/>
      <c r="AA316" s="2041"/>
      <c r="AB316" s="2041"/>
      <c r="AC316" s="2041"/>
      <c r="AD316" s="2042"/>
      <c r="AE316" s="586"/>
      <c r="AF316" s="586"/>
      <c r="AG316" s="574"/>
      <c r="AH316" s="586"/>
      <c r="AI316" s="586"/>
      <c r="AJ316" s="585"/>
      <c r="AK316" s="585"/>
      <c r="AL316" s="585"/>
      <c r="AM316" s="585"/>
      <c r="AN316" s="73"/>
      <c r="AO316" s="14"/>
      <c r="AP316" s="592" t="s">
        <v>1994</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518</v>
      </c>
      <c r="H318" s="586"/>
      <c r="I318" s="2039" t="s">
        <v>1327</v>
      </c>
      <c r="J318" s="2039"/>
      <c r="K318" s="2039"/>
      <c r="L318" s="2039"/>
      <c r="M318" s="2039"/>
      <c r="N318" s="2039"/>
      <c r="O318" s="2039"/>
      <c r="P318" s="2039"/>
      <c r="Q318" s="2039"/>
      <c r="R318" s="2039"/>
      <c r="S318" s="2039"/>
      <c r="T318" s="2039"/>
      <c r="U318" s="2039"/>
      <c r="V318" s="2039"/>
      <c r="W318" s="2039"/>
      <c r="X318" s="2039"/>
      <c r="Y318" s="2039"/>
      <c r="Z318" s="2039"/>
      <c r="AA318" s="2039"/>
      <c r="AB318" s="2039"/>
      <c r="AC318" s="2039"/>
      <c r="AD318" s="2040"/>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39"/>
      <c r="J319" s="2039"/>
      <c r="K319" s="2039"/>
      <c r="L319" s="2039"/>
      <c r="M319" s="2039"/>
      <c r="N319" s="2039"/>
      <c r="O319" s="2039"/>
      <c r="P319" s="2039"/>
      <c r="Q319" s="2039"/>
      <c r="R319" s="2039"/>
      <c r="S319" s="2039"/>
      <c r="T319" s="2039"/>
      <c r="U319" s="2039"/>
      <c r="V319" s="2039"/>
      <c r="W319" s="2039"/>
      <c r="X319" s="2039"/>
      <c r="Y319" s="2039"/>
      <c r="Z319" s="2039"/>
      <c r="AA319" s="2039"/>
      <c r="AB319" s="2039"/>
      <c r="AC319" s="2039"/>
      <c r="AD319" s="2040"/>
      <c r="AE319" s="586"/>
      <c r="AF319" s="586"/>
      <c r="AG319" s="574"/>
      <c r="AH319" s="586"/>
      <c r="AI319" s="586"/>
      <c r="AJ319" s="585"/>
      <c r="AK319" s="585"/>
      <c r="AL319" s="585"/>
      <c r="AM319" s="585"/>
      <c r="AN319" s="73"/>
      <c r="AO319" s="14"/>
      <c r="AP319" s="592" t="s">
        <v>1327</v>
      </c>
    </row>
    <row r="320" spans="1:42" hidden="1">
      <c r="A320" s="585"/>
      <c r="B320" s="586"/>
      <c r="C320" s="686"/>
      <c r="D320" s="686"/>
      <c r="E320" s="582"/>
      <c r="F320" s="692"/>
      <c r="G320" s="693"/>
      <c r="H320" s="693"/>
      <c r="I320" s="2041"/>
      <c r="J320" s="2041"/>
      <c r="K320" s="2041"/>
      <c r="L320" s="2041"/>
      <c r="M320" s="2041"/>
      <c r="N320" s="2041"/>
      <c r="O320" s="2041"/>
      <c r="P320" s="2041"/>
      <c r="Q320" s="2041"/>
      <c r="R320" s="2041"/>
      <c r="S320" s="2041"/>
      <c r="T320" s="2041"/>
      <c r="U320" s="2041"/>
      <c r="V320" s="2041"/>
      <c r="W320" s="2041"/>
      <c r="X320" s="2041"/>
      <c r="Y320" s="2041"/>
      <c r="Z320" s="2041"/>
      <c r="AA320" s="2041"/>
      <c r="AB320" s="2041"/>
      <c r="AC320" s="2041"/>
      <c r="AD320" s="2042"/>
      <c r="AE320" s="586"/>
      <c r="AF320" s="586"/>
      <c r="AG320" s="574"/>
      <c r="AH320" s="586"/>
      <c r="AI320" s="586"/>
      <c r="AJ320" s="585"/>
      <c r="AK320" s="585"/>
      <c r="AL320" s="585"/>
      <c r="AM320" s="585"/>
      <c r="AN320" s="73"/>
      <c r="AO320" s="14"/>
      <c r="AP320" s="592" t="s">
        <v>1563</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1818</v>
      </c>
    </row>
    <row r="322" spans="1:44" ht="12.75" hidden="1" customHeight="1">
      <c r="A322" s="1623" t="s">
        <v>1564</v>
      </c>
      <c r="B322" s="1623"/>
      <c r="C322" s="1930" t="s">
        <v>600</v>
      </c>
      <c r="D322" s="1930"/>
      <c r="E322" s="582"/>
      <c r="F322" s="2027" t="s">
        <v>2423</v>
      </c>
      <c r="G322" s="2028"/>
      <c r="H322" s="2028"/>
      <c r="I322" s="2028"/>
      <c r="J322" s="2028"/>
      <c r="K322" s="2028"/>
      <c r="L322" s="2028"/>
      <c r="M322" s="2028"/>
      <c r="N322" s="2028"/>
      <c r="O322" s="2028"/>
      <c r="P322" s="2028"/>
      <c r="Q322" s="2028"/>
      <c r="R322" s="2028"/>
      <c r="S322" s="2028"/>
      <c r="T322" s="2028"/>
      <c r="U322" s="2028"/>
      <c r="V322" s="2028"/>
      <c r="W322" s="2028"/>
      <c r="X322" s="2028"/>
      <c r="Y322" s="2028"/>
      <c r="Z322" s="2028"/>
      <c r="AA322" s="2028"/>
      <c r="AB322" s="2028"/>
      <c r="AC322" s="2028"/>
      <c r="AD322" s="2029"/>
      <c r="AE322" s="586"/>
      <c r="AF322" s="586"/>
      <c r="AG322" s="574" t="s">
        <v>1560</v>
      </c>
      <c r="AH322" s="586"/>
      <c r="AI322" s="586"/>
      <c r="AJ322" s="585"/>
      <c r="AK322" s="585"/>
      <c r="AL322" s="585"/>
      <c r="AM322" s="585"/>
      <c r="AN322" s="73"/>
      <c r="AO322" s="14"/>
    </row>
    <row r="323" spans="1:44" ht="15" hidden="1" customHeight="1">
      <c r="A323" s="585"/>
      <c r="B323" s="586"/>
      <c r="C323" s="586"/>
      <c r="D323" s="586"/>
      <c r="E323" s="586"/>
      <c r="F323" s="2030"/>
      <c r="G323" s="2031"/>
      <c r="H323" s="2031"/>
      <c r="I323" s="2031"/>
      <c r="J323" s="2031"/>
      <c r="K323" s="2031"/>
      <c r="L323" s="2031"/>
      <c r="M323" s="2031"/>
      <c r="N323" s="2031"/>
      <c r="O323" s="2031"/>
      <c r="P323" s="2031"/>
      <c r="Q323" s="2031"/>
      <c r="R323" s="2031"/>
      <c r="S323" s="2031"/>
      <c r="T323" s="2031"/>
      <c r="U323" s="2031"/>
      <c r="V323" s="2031"/>
      <c r="W323" s="2031"/>
      <c r="X323" s="2031"/>
      <c r="Y323" s="2031"/>
      <c r="Z323" s="2031"/>
      <c r="AA323" s="2031"/>
      <c r="AB323" s="2031"/>
      <c r="AC323" s="2031"/>
      <c r="AD323" s="2032"/>
      <c r="AE323" s="586"/>
      <c r="AF323" s="586"/>
      <c r="AG323" s="586"/>
      <c r="AH323" s="586"/>
      <c r="AI323" s="586"/>
      <c r="AJ323" s="585"/>
      <c r="AK323" s="585"/>
      <c r="AL323" s="585"/>
      <c r="AM323" s="585"/>
      <c r="AN323" s="73"/>
      <c r="AO323" s="14"/>
    </row>
    <row r="324" spans="1:44" ht="15" hidden="1" customHeight="1">
      <c r="A324" s="585"/>
      <c r="B324" s="586"/>
      <c r="C324" s="586"/>
      <c r="D324" s="586"/>
      <c r="E324" s="586"/>
      <c r="F324" s="2030"/>
      <c r="G324" s="2031"/>
      <c r="H324" s="2031"/>
      <c r="I324" s="2031"/>
      <c r="J324" s="2031"/>
      <c r="K324" s="2031"/>
      <c r="L324" s="2031"/>
      <c r="M324" s="2031"/>
      <c r="N324" s="2031"/>
      <c r="O324" s="2031"/>
      <c r="P324" s="2031"/>
      <c r="Q324" s="2031"/>
      <c r="R324" s="2031"/>
      <c r="S324" s="2031"/>
      <c r="T324" s="2031"/>
      <c r="U324" s="2031"/>
      <c r="V324" s="2031"/>
      <c r="W324" s="2031"/>
      <c r="X324" s="2031"/>
      <c r="Y324" s="2031"/>
      <c r="Z324" s="2031"/>
      <c r="AA324" s="2031"/>
      <c r="AB324" s="2031"/>
      <c r="AC324" s="2031"/>
      <c r="AD324" s="2032"/>
      <c r="AE324" s="586"/>
      <c r="AF324" s="586"/>
      <c r="AG324" s="586"/>
      <c r="AH324" s="586"/>
      <c r="AI324" s="586"/>
      <c r="AJ324" s="585"/>
      <c r="AK324" s="585"/>
      <c r="AL324" s="585"/>
      <c r="AM324" s="694"/>
      <c r="AN324" s="14"/>
      <c r="AO324" s="14"/>
    </row>
    <row r="325" spans="1:44" hidden="1">
      <c r="A325" s="585"/>
      <c r="B325" s="586"/>
      <c r="C325" s="585"/>
      <c r="D325" s="586"/>
      <c r="E325" s="585"/>
      <c r="F325" s="695" t="s">
        <v>1565</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1624</v>
      </c>
      <c r="AK327" s="1915">
        <f>IF(NOT(OR(Application!M354="Yes",Application!M355="Yes")),0,AP284)</f>
        <v>0</v>
      </c>
      <c r="AL327" s="1916"/>
      <c r="AM327" s="1917"/>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1625</v>
      </c>
      <c r="B330" s="574" t="s">
        <v>873</v>
      </c>
      <c r="C330" s="571"/>
      <c r="AC330" s="574"/>
      <c r="AE330" s="1921" t="s">
        <v>1486</v>
      </c>
      <c r="AF330" s="1921"/>
      <c r="AG330" s="1921"/>
      <c r="AH330" s="1921"/>
      <c r="AI330" s="1921"/>
      <c r="AJ330" s="1921"/>
      <c r="AK330" s="1921"/>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25" t="s">
        <v>1626</v>
      </c>
      <c r="D332" s="1925"/>
      <c r="E332" s="1925"/>
      <c r="F332" s="1925"/>
      <c r="G332" s="1925"/>
      <c r="H332" s="1925"/>
      <c r="I332" s="1925"/>
      <c r="J332" s="1925"/>
      <c r="K332" s="1925"/>
      <c r="L332" s="1925"/>
      <c r="M332" s="1925"/>
      <c r="N332" s="1925"/>
      <c r="O332" s="1925"/>
      <c r="P332" s="1925"/>
      <c r="Q332" s="1925"/>
      <c r="R332" s="1925"/>
      <c r="S332" s="1925"/>
      <c r="T332" s="1925"/>
      <c r="U332" s="1925"/>
      <c r="V332" s="1925"/>
      <c r="W332" s="1925"/>
      <c r="X332" s="1925"/>
      <c r="Y332" s="1925"/>
      <c r="Z332" s="1925"/>
      <c r="AA332" s="1925"/>
      <c r="AB332" s="1925"/>
      <c r="AC332" s="1925"/>
      <c r="AD332" s="1925"/>
      <c r="AE332" s="1925"/>
      <c r="AF332" s="1925"/>
      <c r="AG332" s="1925"/>
      <c r="AH332" s="1925"/>
      <c r="AI332" s="1925"/>
      <c r="AJ332" s="1925"/>
      <c r="AK332" s="638"/>
      <c r="AL332" s="638"/>
      <c r="AM332" s="638"/>
      <c r="AN332" s="632"/>
    </row>
    <row r="333" spans="1:44" s="585" customFormat="1" ht="12.75" customHeight="1">
      <c r="A333" s="638"/>
      <c r="B333" s="646"/>
      <c r="C333" s="1925"/>
      <c r="D333" s="1925"/>
      <c r="E333" s="1925"/>
      <c r="F333" s="1925"/>
      <c r="G333" s="1925"/>
      <c r="H333" s="1925"/>
      <c r="I333" s="1925"/>
      <c r="J333" s="1925"/>
      <c r="K333" s="1925"/>
      <c r="L333" s="1925"/>
      <c r="M333" s="1925"/>
      <c r="N333" s="1925"/>
      <c r="O333" s="1925"/>
      <c r="P333" s="1925"/>
      <c r="Q333" s="1925"/>
      <c r="R333" s="1925"/>
      <c r="S333" s="1925"/>
      <c r="T333" s="1925"/>
      <c r="U333" s="1925"/>
      <c r="V333" s="1925"/>
      <c r="W333" s="1925"/>
      <c r="X333" s="1925"/>
      <c r="Y333" s="1925"/>
      <c r="Z333" s="1925"/>
      <c r="AA333" s="1925"/>
      <c r="AB333" s="1925"/>
      <c r="AC333" s="1925"/>
      <c r="AD333" s="1925"/>
      <c r="AE333" s="1925"/>
      <c r="AF333" s="1925"/>
      <c r="AG333" s="1925"/>
      <c r="AH333" s="1925"/>
      <c r="AI333" s="1925"/>
      <c r="AJ333" s="1925"/>
      <c r="AK333" s="638"/>
      <c r="AL333" s="638"/>
      <c r="AM333" s="638"/>
      <c r="AN333" s="632"/>
    </row>
    <row r="334" spans="1:44" s="585" customFormat="1" ht="12.75" customHeight="1">
      <c r="A334" s="638"/>
      <c r="B334" s="646"/>
      <c r="C334" s="1925"/>
      <c r="D334" s="1925"/>
      <c r="E334" s="1925"/>
      <c r="F334" s="1925"/>
      <c r="G334" s="1925"/>
      <c r="H334" s="1925"/>
      <c r="I334" s="1925"/>
      <c r="J334" s="1925"/>
      <c r="K334" s="1925"/>
      <c r="L334" s="1925"/>
      <c r="M334" s="1925"/>
      <c r="N334" s="1925"/>
      <c r="O334" s="1925"/>
      <c r="P334" s="1925"/>
      <c r="Q334" s="1925"/>
      <c r="R334" s="1925"/>
      <c r="S334" s="1925"/>
      <c r="T334" s="1925"/>
      <c r="U334" s="1925"/>
      <c r="V334" s="1925"/>
      <c r="W334" s="1925"/>
      <c r="X334" s="1925"/>
      <c r="Y334" s="1925"/>
      <c r="Z334" s="1925"/>
      <c r="AA334" s="1925"/>
      <c r="AB334" s="1925"/>
      <c r="AC334" s="1925"/>
      <c r="AD334" s="1925"/>
      <c r="AE334" s="1925"/>
      <c r="AF334" s="1925"/>
      <c r="AG334" s="1925"/>
      <c r="AH334" s="1925"/>
      <c r="AI334" s="1925"/>
      <c r="AJ334" s="1925"/>
      <c r="AK334" s="638"/>
      <c r="AL334" s="638"/>
      <c r="AM334" s="638"/>
      <c r="AN334" s="632"/>
      <c r="AQ334" s="605"/>
    </row>
    <row r="335" spans="1:44" s="585" customFormat="1" ht="12.75" customHeight="1">
      <c r="A335" s="638"/>
      <c r="B335" s="646"/>
      <c r="C335" s="1925"/>
      <c r="D335" s="1925"/>
      <c r="E335" s="1925"/>
      <c r="F335" s="1925"/>
      <c r="G335" s="1925"/>
      <c r="H335" s="1925"/>
      <c r="I335" s="1925"/>
      <c r="J335" s="1925"/>
      <c r="K335" s="1925"/>
      <c r="L335" s="1925"/>
      <c r="M335" s="1925"/>
      <c r="N335" s="1925"/>
      <c r="O335" s="1925"/>
      <c r="P335" s="1925"/>
      <c r="Q335" s="1925"/>
      <c r="R335" s="1925"/>
      <c r="S335" s="1925"/>
      <c r="T335" s="1925"/>
      <c r="U335" s="1925"/>
      <c r="V335" s="1925"/>
      <c r="W335" s="1925"/>
      <c r="X335" s="1925"/>
      <c r="Y335" s="1925"/>
      <c r="Z335" s="1925"/>
      <c r="AA335" s="1925"/>
      <c r="AB335" s="1925"/>
      <c r="AC335" s="1925"/>
      <c r="AD335" s="1925"/>
      <c r="AE335" s="1925"/>
      <c r="AF335" s="1925"/>
      <c r="AG335" s="1925"/>
      <c r="AH335" s="1925"/>
      <c r="AI335" s="1925"/>
      <c r="AJ335" s="1925"/>
      <c r="AK335" s="638"/>
      <c r="AL335" s="638"/>
      <c r="AM335" s="638"/>
      <c r="AN335" s="632"/>
      <c r="AQ335" s="605"/>
    </row>
    <row r="336" spans="1:44" s="585" customFormat="1" ht="12.4" customHeight="1">
      <c r="A336" s="638"/>
      <c r="B336" s="646"/>
      <c r="C336" s="1925"/>
      <c r="D336" s="1925"/>
      <c r="E336" s="1925"/>
      <c r="F336" s="1925"/>
      <c r="G336" s="1925"/>
      <c r="H336" s="1925"/>
      <c r="I336" s="1925"/>
      <c r="J336" s="1925"/>
      <c r="K336" s="1925"/>
      <c r="L336" s="1925"/>
      <c r="M336" s="1925"/>
      <c r="N336" s="1925"/>
      <c r="O336" s="1925"/>
      <c r="P336" s="1925"/>
      <c r="Q336" s="1925"/>
      <c r="R336" s="1925"/>
      <c r="S336" s="1925"/>
      <c r="T336" s="1925"/>
      <c r="U336" s="1925"/>
      <c r="V336" s="1925"/>
      <c r="W336" s="1925"/>
      <c r="X336" s="1925"/>
      <c r="Y336" s="1925"/>
      <c r="Z336" s="1925"/>
      <c r="AA336" s="1925"/>
      <c r="AB336" s="1925"/>
      <c r="AC336" s="1925"/>
      <c r="AD336" s="1925"/>
      <c r="AE336" s="1925"/>
      <c r="AF336" s="1925"/>
      <c r="AG336" s="1925"/>
      <c r="AH336" s="1925"/>
      <c r="AI336" s="1925"/>
      <c r="AJ336" s="1925"/>
      <c r="AK336" s="638"/>
      <c r="AL336" s="638"/>
      <c r="AM336" s="638"/>
      <c r="AN336" s="632"/>
      <c r="AQ336" s="605"/>
      <c r="AR336" s="605"/>
    </row>
    <row r="337" spans="1:46" s="585" customFormat="1" ht="45.75" customHeight="1">
      <c r="A337" s="638"/>
      <c r="B337" s="646"/>
      <c r="C337" s="1925" t="s">
        <v>2510</v>
      </c>
      <c r="D337" s="1925"/>
      <c r="E337" s="1925"/>
      <c r="F337" s="1925"/>
      <c r="G337" s="1925"/>
      <c r="H337" s="1925"/>
      <c r="I337" s="1925"/>
      <c r="J337" s="1925"/>
      <c r="K337" s="1925"/>
      <c r="L337" s="1925"/>
      <c r="M337" s="1925"/>
      <c r="N337" s="1925"/>
      <c r="O337" s="1925"/>
      <c r="P337" s="1925"/>
      <c r="Q337" s="1925"/>
      <c r="R337" s="1925"/>
      <c r="S337" s="1925"/>
      <c r="T337" s="1925"/>
      <c r="U337" s="1925"/>
      <c r="V337" s="1925"/>
      <c r="W337" s="1925"/>
      <c r="X337" s="1925"/>
      <c r="Y337" s="1925"/>
      <c r="Z337" s="1925"/>
      <c r="AA337" s="1925"/>
      <c r="AB337" s="1925"/>
      <c r="AC337" s="1925"/>
      <c r="AD337" s="1925"/>
      <c r="AE337" s="1925"/>
      <c r="AF337" s="1925"/>
      <c r="AG337" s="1925"/>
      <c r="AH337" s="1925"/>
      <c r="AI337" s="1925"/>
      <c r="AJ337" s="1925"/>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25" t="s">
        <v>2127</v>
      </c>
      <c r="D339" s="1925"/>
      <c r="E339" s="1925"/>
      <c r="F339" s="1925"/>
      <c r="G339" s="1925"/>
      <c r="H339" s="1925"/>
      <c r="I339" s="1925"/>
      <c r="J339" s="1925"/>
      <c r="K339" s="1925"/>
      <c r="L339" s="1925"/>
      <c r="M339" s="1925"/>
      <c r="N339" s="1925"/>
      <c r="O339" s="1925"/>
      <c r="P339" s="1925"/>
      <c r="Q339" s="1925"/>
      <c r="R339" s="1925"/>
      <c r="S339" s="1925"/>
      <c r="T339" s="1925"/>
      <c r="U339" s="1925"/>
      <c r="V339" s="1925"/>
      <c r="W339" s="1925"/>
      <c r="X339" s="1925"/>
      <c r="Y339" s="1925"/>
      <c r="Z339" s="1925"/>
      <c r="AA339" s="1925"/>
      <c r="AB339" s="1925"/>
      <c r="AC339" s="1925"/>
      <c r="AD339" s="1925"/>
      <c r="AE339" s="1925"/>
      <c r="AF339" s="1925"/>
      <c r="AG339" s="1925"/>
      <c r="AH339" s="1925"/>
      <c r="AI339" s="1925"/>
      <c r="AJ339" s="1925"/>
      <c r="AK339" s="638"/>
      <c r="AL339" s="638"/>
      <c r="AM339" s="638"/>
      <c r="AN339" s="632"/>
      <c r="AQ339" s="605"/>
      <c r="AR339" s="605"/>
    </row>
    <row r="340" spans="1:46" s="585" customFormat="1" ht="30" customHeight="1">
      <c r="A340" s="638"/>
      <c r="B340" s="646"/>
      <c r="C340" s="1925"/>
      <c r="D340" s="1925"/>
      <c r="E340" s="1925"/>
      <c r="F340" s="1925"/>
      <c r="G340" s="1925"/>
      <c r="H340" s="1925"/>
      <c r="I340" s="1925"/>
      <c r="J340" s="1925"/>
      <c r="K340" s="1925"/>
      <c r="L340" s="1925"/>
      <c r="M340" s="1925"/>
      <c r="N340" s="1925"/>
      <c r="O340" s="1925"/>
      <c r="P340" s="1925"/>
      <c r="Q340" s="1925"/>
      <c r="R340" s="1925"/>
      <c r="S340" s="1925"/>
      <c r="T340" s="1925"/>
      <c r="U340" s="1925"/>
      <c r="V340" s="1925"/>
      <c r="W340" s="1925"/>
      <c r="X340" s="1925"/>
      <c r="Y340" s="1925"/>
      <c r="Z340" s="1925"/>
      <c r="AA340" s="1925"/>
      <c r="AB340" s="1925"/>
      <c r="AC340" s="1925"/>
      <c r="AD340" s="1925"/>
      <c r="AE340" s="1925"/>
      <c r="AF340" s="1925"/>
      <c r="AG340" s="1925"/>
      <c r="AH340" s="1925"/>
      <c r="AI340" s="1925"/>
      <c r="AJ340" s="1925"/>
      <c r="AK340" s="638"/>
      <c r="AL340" s="638"/>
      <c r="AM340" s="638"/>
      <c r="AN340" s="632"/>
      <c r="AR340" s="605"/>
    </row>
    <row r="341" spans="1:46" s="585" customFormat="1" ht="12.75" customHeight="1">
      <c r="A341" s="638"/>
      <c r="B341" s="646"/>
      <c r="C341" s="1925"/>
      <c r="D341" s="1925"/>
      <c r="E341" s="1925"/>
      <c r="F341" s="1925"/>
      <c r="G341" s="1925"/>
      <c r="H341" s="1925"/>
      <c r="I341" s="1925"/>
      <c r="J341" s="1925"/>
      <c r="K341" s="1925"/>
      <c r="L341" s="1925"/>
      <c r="M341" s="1925"/>
      <c r="N341" s="1925"/>
      <c r="O341" s="1925"/>
      <c r="P341" s="1925"/>
      <c r="Q341" s="1925"/>
      <c r="R341" s="1925"/>
      <c r="S341" s="1925"/>
      <c r="T341" s="1925"/>
      <c r="U341" s="1925"/>
      <c r="V341" s="1925"/>
      <c r="W341" s="1925"/>
      <c r="X341" s="1925"/>
      <c r="Y341" s="1925"/>
      <c r="Z341" s="1925"/>
      <c r="AA341" s="1925"/>
      <c r="AB341" s="1925"/>
      <c r="AC341" s="1925"/>
      <c r="AD341" s="1925"/>
      <c r="AE341" s="1925"/>
      <c r="AF341" s="1925"/>
      <c r="AG341" s="1925"/>
      <c r="AH341" s="1925"/>
      <c r="AI341" s="1925"/>
      <c r="AJ341" s="1925"/>
      <c r="AK341" s="638"/>
      <c r="AL341" s="638"/>
      <c r="AM341" s="638"/>
      <c r="AN341" s="632"/>
      <c r="AR341" s="605"/>
    </row>
    <row r="342" spans="1:46" s="585" customFormat="1" ht="12.75" customHeight="1">
      <c r="A342" s="638"/>
      <c r="B342" s="646"/>
      <c r="C342" s="1925" t="s">
        <v>1627</v>
      </c>
      <c r="D342" s="1925"/>
      <c r="E342" s="1925"/>
      <c r="F342" s="1925"/>
      <c r="G342" s="1925"/>
      <c r="H342" s="1925"/>
      <c r="I342" s="1925"/>
      <c r="J342" s="1925"/>
      <c r="K342" s="1925"/>
      <c r="L342" s="1925"/>
      <c r="M342" s="1925"/>
      <c r="N342" s="1925"/>
      <c r="O342" s="1925"/>
      <c r="P342" s="1925"/>
      <c r="Q342" s="1925"/>
      <c r="R342" s="1925"/>
      <c r="S342" s="1925"/>
      <c r="T342" s="1925"/>
      <c r="U342" s="1925"/>
      <c r="V342" s="1925"/>
      <c r="W342" s="1925"/>
      <c r="X342" s="1925"/>
      <c r="Y342" s="1925"/>
      <c r="Z342" s="1925"/>
      <c r="AA342" s="1925"/>
      <c r="AB342" s="1925"/>
      <c r="AC342" s="1925"/>
      <c r="AD342" s="1925"/>
      <c r="AE342" s="1925"/>
      <c r="AF342" s="1925"/>
      <c r="AG342" s="1925"/>
      <c r="AH342" s="1925"/>
      <c r="AI342" s="1925"/>
      <c r="AJ342" s="1925"/>
      <c r="AK342" s="638"/>
      <c r="AL342" s="638"/>
      <c r="AM342" s="638"/>
      <c r="AN342" s="632"/>
      <c r="AQ342" s="605"/>
      <c r="AR342" s="605"/>
    </row>
    <row r="343" spans="1:46" s="585" customFormat="1" ht="12.75" customHeight="1">
      <c r="A343" s="638"/>
      <c r="B343" s="646"/>
      <c r="C343" s="1925"/>
      <c r="D343" s="1925"/>
      <c r="E343" s="1925"/>
      <c r="F343" s="1925"/>
      <c r="G343" s="1925"/>
      <c r="H343" s="1925"/>
      <c r="I343" s="1925"/>
      <c r="J343" s="1925"/>
      <c r="K343" s="1925"/>
      <c r="L343" s="1925"/>
      <c r="M343" s="1925"/>
      <c r="N343" s="1925"/>
      <c r="O343" s="1925"/>
      <c r="P343" s="1925"/>
      <c r="Q343" s="1925"/>
      <c r="R343" s="1925"/>
      <c r="S343" s="1925"/>
      <c r="T343" s="1925"/>
      <c r="U343" s="1925"/>
      <c r="V343" s="1925"/>
      <c r="W343" s="1925"/>
      <c r="X343" s="1925"/>
      <c r="Y343" s="1925"/>
      <c r="Z343" s="1925"/>
      <c r="AA343" s="1925"/>
      <c r="AB343" s="1925"/>
      <c r="AC343" s="1925"/>
      <c r="AD343" s="1925"/>
      <c r="AE343" s="1925"/>
      <c r="AF343" s="1925"/>
      <c r="AG343" s="1925"/>
      <c r="AH343" s="1925"/>
      <c r="AI343" s="1925"/>
      <c r="AJ343" s="1925"/>
      <c r="AK343" s="638"/>
      <c r="AL343" s="638"/>
      <c r="AM343" s="638"/>
      <c r="AN343" s="632"/>
      <c r="AQ343" s="605"/>
      <c r="AR343" s="605"/>
    </row>
    <row r="344" spans="1:46" s="585" customFormat="1" ht="13.15" customHeight="1">
      <c r="A344" s="638"/>
      <c r="B344" s="646"/>
      <c r="C344" s="1925"/>
      <c r="D344" s="1925"/>
      <c r="E344" s="1925"/>
      <c r="F344" s="1925"/>
      <c r="G344" s="1925"/>
      <c r="H344" s="1925"/>
      <c r="I344" s="1925"/>
      <c r="J344" s="1925"/>
      <c r="K344" s="1925"/>
      <c r="L344" s="1925"/>
      <c r="M344" s="1925"/>
      <c r="N344" s="1925"/>
      <c r="O344" s="1925"/>
      <c r="P344" s="1925"/>
      <c r="Q344" s="1925"/>
      <c r="R344" s="1925"/>
      <c r="S344" s="1925"/>
      <c r="T344" s="1925"/>
      <c r="U344" s="1925"/>
      <c r="V344" s="1925"/>
      <c r="W344" s="1925"/>
      <c r="X344" s="1925"/>
      <c r="Y344" s="1925"/>
      <c r="Z344" s="1925"/>
      <c r="AA344" s="1925"/>
      <c r="AB344" s="1925"/>
      <c r="AC344" s="1925"/>
      <c r="AD344" s="1925"/>
      <c r="AE344" s="1925"/>
      <c r="AF344" s="1925"/>
      <c r="AG344" s="1925"/>
      <c r="AH344" s="1925"/>
      <c r="AI344" s="1925"/>
      <c r="AJ344" s="1925"/>
      <c r="AK344" s="638"/>
      <c r="AL344" s="638"/>
      <c r="AM344" s="638"/>
      <c r="AN344" s="632"/>
      <c r="AQ344" s="605"/>
      <c r="AR344" s="605"/>
    </row>
    <row r="345" spans="1:46" s="585" customFormat="1" ht="12.75" customHeight="1">
      <c r="A345" s="638"/>
      <c r="B345" s="646"/>
      <c r="C345" s="1925"/>
      <c r="D345" s="1925"/>
      <c r="E345" s="1925"/>
      <c r="F345" s="1925"/>
      <c r="G345" s="1925"/>
      <c r="H345" s="1925"/>
      <c r="I345" s="1925"/>
      <c r="J345" s="1925"/>
      <c r="K345" s="1925"/>
      <c r="L345" s="1925"/>
      <c r="M345" s="1925"/>
      <c r="N345" s="1925"/>
      <c r="O345" s="1925"/>
      <c r="P345" s="1925"/>
      <c r="Q345" s="1925"/>
      <c r="R345" s="1925"/>
      <c r="S345" s="1925"/>
      <c r="T345" s="1925"/>
      <c r="U345" s="1925"/>
      <c r="V345" s="1925"/>
      <c r="W345" s="1925"/>
      <c r="X345" s="1925"/>
      <c r="Y345" s="1925"/>
      <c r="Z345" s="1925"/>
      <c r="AA345" s="1925"/>
      <c r="AB345" s="1925"/>
      <c r="AC345" s="1925"/>
      <c r="AD345" s="1925"/>
      <c r="AE345" s="1925"/>
      <c r="AF345" s="1925"/>
      <c r="AG345" s="1925"/>
      <c r="AH345" s="1925"/>
      <c r="AI345" s="1925"/>
      <c r="AJ345" s="1925"/>
      <c r="AK345" s="638"/>
      <c r="AL345" s="638"/>
      <c r="AM345" s="638"/>
      <c r="AN345" s="632"/>
      <c r="AO345" s="729"/>
      <c r="AP345" s="729"/>
      <c r="AQ345" s="605"/>
    </row>
    <row r="346" spans="1:46" s="585" customFormat="1" ht="11.85" customHeight="1">
      <c r="A346" s="638"/>
      <c r="B346" s="646"/>
      <c r="C346" s="1925"/>
      <c r="D346" s="1925"/>
      <c r="E346" s="1925"/>
      <c r="F346" s="1925"/>
      <c r="G346" s="1925"/>
      <c r="H346" s="1925"/>
      <c r="I346" s="1925"/>
      <c r="J346" s="1925"/>
      <c r="K346" s="1925"/>
      <c r="L346" s="1925"/>
      <c r="M346" s="1925"/>
      <c r="N346" s="1925"/>
      <c r="O346" s="1925"/>
      <c r="P346" s="1925"/>
      <c r="Q346" s="1925"/>
      <c r="R346" s="1925"/>
      <c r="S346" s="1925"/>
      <c r="T346" s="1925"/>
      <c r="U346" s="1925"/>
      <c r="V346" s="1925"/>
      <c r="W346" s="1925"/>
      <c r="X346" s="1925"/>
      <c r="Y346" s="1925"/>
      <c r="Z346" s="1925"/>
      <c r="AA346" s="1925"/>
      <c r="AB346" s="1925"/>
      <c r="AC346" s="1925"/>
      <c r="AD346" s="1925"/>
      <c r="AE346" s="1925"/>
      <c r="AF346" s="1925"/>
      <c r="AG346" s="1925"/>
      <c r="AH346" s="1925"/>
      <c r="AI346" s="1925"/>
      <c r="AJ346" s="1925"/>
      <c r="AK346" s="638"/>
      <c r="AL346" s="638"/>
      <c r="AM346" s="638"/>
      <c r="AN346" s="632"/>
      <c r="AO346" s="730" t="s">
        <v>113</v>
      </c>
      <c r="AP346" s="731">
        <f>IF(C370="Yes",5,0)</f>
        <v>5</v>
      </c>
      <c r="AS346" s="574" t="s">
        <v>1628</v>
      </c>
    </row>
    <row r="347" spans="1:46" s="585" customFormat="1" ht="12.75" customHeight="1">
      <c r="A347" s="638"/>
      <c r="B347" s="646"/>
      <c r="C347" s="1925"/>
      <c r="D347" s="1925"/>
      <c r="E347" s="1925"/>
      <c r="F347" s="1925"/>
      <c r="G347" s="1925"/>
      <c r="H347" s="1925"/>
      <c r="I347" s="1925"/>
      <c r="J347" s="1925"/>
      <c r="K347" s="1925"/>
      <c r="L347" s="1925"/>
      <c r="M347" s="1925"/>
      <c r="N347" s="1925"/>
      <c r="O347" s="1925"/>
      <c r="P347" s="1925"/>
      <c r="Q347" s="1925"/>
      <c r="R347" s="1925"/>
      <c r="S347" s="1925"/>
      <c r="T347" s="1925"/>
      <c r="U347" s="1925"/>
      <c r="V347" s="1925"/>
      <c r="W347" s="1925"/>
      <c r="X347" s="1925"/>
      <c r="Y347" s="1925"/>
      <c r="Z347" s="1925"/>
      <c r="AA347" s="1925"/>
      <c r="AB347" s="1925"/>
      <c r="AC347" s="1925"/>
      <c r="AD347" s="1925"/>
      <c r="AE347" s="1925"/>
      <c r="AF347" s="1925"/>
      <c r="AG347" s="1925"/>
      <c r="AH347" s="1925"/>
      <c r="AI347" s="1925"/>
      <c r="AJ347" s="1925"/>
      <c r="AK347" s="638"/>
      <c r="AL347" s="638"/>
      <c r="AM347" s="638"/>
      <c r="AN347" s="632"/>
      <c r="AO347" s="730" t="s">
        <v>114</v>
      </c>
      <c r="AP347" s="731">
        <f>IF(C378="Yes",5,0)</f>
        <v>0</v>
      </c>
      <c r="AS347" s="1890">
        <f>IF(Application!D210="Non-Targeted",(SUM(AQ355+AQ364)),AS351)</f>
        <v>10</v>
      </c>
      <c r="AT347" s="1890"/>
    </row>
    <row r="348" spans="1:46" s="585" customFormat="1" ht="12.75" customHeight="1">
      <c r="A348" s="638"/>
      <c r="B348" s="646"/>
      <c r="C348" s="1925"/>
      <c r="D348" s="1925"/>
      <c r="E348" s="1925"/>
      <c r="F348" s="1925"/>
      <c r="G348" s="1925"/>
      <c r="H348" s="1925"/>
      <c r="I348" s="1925"/>
      <c r="J348" s="1925"/>
      <c r="K348" s="1925"/>
      <c r="L348" s="1925"/>
      <c r="M348" s="1925"/>
      <c r="N348" s="1925"/>
      <c r="O348" s="1925"/>
      <c r="P348" s="1925"/>
      <c r="Q348" s="1925"/>
      <c r="R348" s="1925"/>
      <c r="S348" s="1925"/>
      <c r="T348" s="1925"/>
      <c r="U348" s="1925"/>
      <c r="V348" s="1925"/>
      <c r="W348" s="1925"/>
      <c r="X348" s="1925"/>
      <c r="Y348" s="1925"/>
      <c r="Z348" s="1925"/>
      <c r="AA348" s="1925"/>
      <c r="AB348" s="1925"/>
      <c r="AC348" s="1925"/>
      <c r="AD348" s="1925"/>
      <c r="AE348" s="1925"/>
      <c r="AF348" s="1925"/>
      <c r="AG348" s="1925"/>
      <c r="AH348" s="1925"/>
      <c r="AI348" s="1925"/>
      <c r="AJ348" s="1925"/>
      <c r="AK348" s="638"/>
      <c r="AL348" s="638"/>
      <c r="AM348" s="638"/>
      <c r="AN348" s="632"/>
      <c r="AO348" s="730" t="s">
        <v>120</v>
      </c>
      <c r="AP348" s="731">
        <f>IF(C386="Yes",7,0)</f>
        <v>0</v>
      </c>
      <c r="AS348" s="574" t="s">
        <v>1629</v>
      </c>
    </row>
    <row r="349" spans="1:46" s="585" customFormat="1" ht="12.75" customHeight="1">
      <c r="A349" s="638"/>
      <c r="B349" s="646"/>
      <c r="C349" s="1925"/>
      <c r="D349" s="1925"/>
      <c r="E349" s="1925"/>
      <c r="F349" s="1925"/>
      <c r="G349" s="1925"/>
      <c r="H349" s="1925"/>
      <c r="I349" s="1925"/>
      <c r="J349" s="1925"/>
      <c r="K349" s="1925"/>
      <c r="L349" s="1925"/>
      <c r="M349" s="1925"/>
      <c r="N349" s="1925"/>
      <c r="O349" s="1925"/>
      <c r="P349" s="1925"/>
      <c r="Q349" s="1925"/>
      <c r="R349" s="1925"/>
      <c r="S349" s="1925"/>
      <c r="T349" s="1925"/>
      <c r="U349" s="1925"/>
      <c r="V349" s="1925"/>
      <c r="W349" s="1925"/>
      <c r="X349" s="1925"/>
      <c r="Y349" s="1925"/>
      <c r="Z349" s="1925"/>
      <c r="AA349" s="1925"/>
      <c r="AB349" s="1925"/>
      <c r="AC349" s="1925"/>
      <c r="AD349" s="1925"/>
      <c r="AE349" s="1925"/>
      <c r="AF349" s="1925"/>
      <c r="AG349" s="1925"/>
      <c r="AH349" s="1925"/>
      <c r="AI349" s="1925"/>
      <c r="AJ349" s="1925"/>
      <c r="AK349" s="638"/>
      <c r="AL349" s="638"/>
      <c r="AM349" s="638"/>
      <c r="AN349" s="632"/>
      <c r="AO349" s="632"/>
      <c r="AP349" s="731">
        <f>IF(C388="Yes",5,0)</f>
        <v>5</v>
      </c>
      <c r="AS349" s="1890">
        <f>IF(AND(AQ355&gt;0,AQ364&gt;0),(AQ355+AQ364)/2,0)</f>
        <v>0</v>
      </c>
      <c r="AT349" s="1890"/>
    </row>
    <row r="350" spans="1:46" s="585" customFormat="1" ht="12.75" customHeight="1">
      <c r="A350" s="638"/>
      <c r="B350" s="646"/>
      <c r="C350" s="1925"/>
      <c r="D350" s="1925"/>
      <c r="E350" s="1925"/>
      <c r="F350" s="1925"/>
      <c r="G350" s="1925"/>
      <c r="H350" s="1925"/>
      <c r="I350" s="1925"/>
      <c r="J350" s="1925"/>
      <c r="K350" s="1925"/>
      <c r="L350" s="1925"/>
      <c r="M350" s="1925"/>
      <c r="N350" s="1925"/>
      <c r="O350" s="1925"/>
      <c r="P350" s="1925"/>
      <c r="Q350" s="1925"/>
      <c r="R350" s="1925"/>
      <c r="S350" s="1925"/>
      <c r="T350" s="1925"/>
      <c r="U350" s="1925"/>
      <c r="V350" s="1925"/>
      <c r="W350" s="1925"/>
      <c r="X350" s="1925"/>
      <c r="Y350" s="1925"/>
      <c r="Z350" s="1925"/>
      <c r="AA350" s="1925"/>
      <c r="AB350" s="1925"/>
      <c r="AC350" s="1925"/>
      <c r="AD350" s="1925"/>
      <c r="AE350" s="1925"/>
      <c r="AF350" s="1925"/>
      <c r="AG350" s="1925"/>
      <c r="AH350" s="1925"/>
      <c r="AI350" s="1925"/>
      <c r="AJ350" s="1925"/>
      <c r="AK350" s="638"/>
      <c r="AL350" s="638"/>
      <c r="AM350" s="638"/>
      <c r="AN350" s="632"/>
      <c r="AO350" s="730" t="s">
        <v>590</v>
      </c>
      <c r="AP350" s="731">
        <f>IF(C396="Yes",5,0)</f>
        <v>0</v>
      </c>
      <c r="AS350" s="574" t="s">
        <v>2144</v>
      </c>
    </row>
    <row r="351" spans="1:46" s="585" customFormat="1" ht="12.75" customHeight="1">
      <c r="A351" s="638"/>
      <c r="B351" s="646"/>
      <c r="C351" s="2019" t="s">
        <v>1630</v>
      </c>
      <c r="D351" s="2019"/>
      <c r="E351" s="2019"/>
      <c r="F351" s="2019"/>
      <c r="G351" s="2019"/>
      <c r="H351" s="2019"/>
      <c r="I351" s="2019"/>
      <c r="J351" s="2019"/>
      <c r="K351" s="2019"/>
      <c r="L351" s="2019"/>
      <c r="M351" s="2019"/>
      <c r="N351" s="2019"/>
      <c r="O351" s="2019"/>
      <c r="P351" s="2019"/>
      <c r="Q351" s="2019"/>
      <c r="R351" s="2019"/>
      <c r="S351" s="2019"/>
      <c r="T351" s="2019"/>
      <c r="U351" s="2019"/>
      <c r="V351" s="2019"/>
      <c r="W351" s="2019"/>
      <c r="X351" s="2019"/>
      <c r="Y351" s="2019"/>
      <c r="Z351" s="2019"/>
      <c r="AA351" s="2019"/>
      <c r="AB351" s="2019"/>
      <c r="AC351" s="2019"/>
      <c r="AD351" s="2019"/>
      <c r="AE351" s="2019"/>
      <c r="AF351" s="2019"/>
      <c r="AG351" s="2019"/>
      <c r="AH351" s="2019"/>
      <c r="AI351" s="2019"/>
      <c r="AJ351" s="2019"/>
      <c r="AK351" s="638"/>
      <c r="AL351" s="638"/>
      <c r="AM351" s="638"/>
      <c r="AN351" s="632"/>
      <c r="AO351" s="632"/>
      <c r="AP351" s="731">
        <f>IF(C398="Yes",3,0)</f>
        <v>0</v>
      </c>
      <c r="AS351" s="1890">
        <f>IF(AQ355=0,AQ364,AQ355)</f>
        <v>10</v>
      </c>
      <c r="AT351" s="1890"/>
    </row>
    <row r="352" spans="1:46" s="585" customFormat="1" ht="12.75" customHeight="1">
      <c r="A352" s="638"/>
      <c r="B352" s="646"/>
      <c r="C352" s="2019"/>
      <c r="D352" s="2019"/>
      <c r="E352" s="2019"/>
      <c r="F352" s="2019"/>
      <c r="G352" s="2019"/>
      <c r="H352" s="2019"/>
      <c r="I352" s="2019"/>
      <c r="J352" s="2019"/>
      <c r="K352" s="2019"/>
      <c r="L352" s="2019"/>
      <c r="M352" s="2019"/>
      <c r="N352" s="2019"/>
      <c r="O352" s="2019"/>
      <c r="P352" s="2019"/>
      <c r="Q352" s="2019"/>
      <c r="R352" s="2019"/>
      <c r="S352" s="2019"/>
      <c r="T352" s="2019"/>
      <c r="U352" s="2019"/>
      <c r="V352" s="2019"/>
      <c r="W352" s="2019"/>
      <c r="X352" s="2019"/>
      <c r="Y352" s="2019"/>
      <c r="Z352" s="2019"/>
      <c r="AA352" s="2019"/>
      <c r="AB352" s="2019"/>
      <c r="AC352" s="2019"/>
      <c r="AD352" s="2019"/>
      <c r="AE352" s="2019"/>
      <c r="AF352" s="2019"/>
      <c r="AG352" s="2019"/>
      <c r="AH352" s="2019"/>
      <c r="AI352" s="2019"/>
      <c r="AJ352" s="2019"/>
      <c r="AK352" s="638"/>
      <c r="AL352" s="638"/>
      <c r="AM352" s="638"/>
      <c r="AN352" s="632"/>
      <c r="AO352" s="730" t="s">
        <v>787</v>
      </c>
      <c r="AP352" s="731">
        <f>IF(C401="Yes",5,0)</f>
        <v>0</v>
      </c>
    </row>
    <row r="353" spans="1:81" s="585" customFormat="1" ht="12.75" customHeight="1">
      <c r="A353" s="638"/>
      <c r="B353" s="646"/>
      <c r="C353" s="2019"/>
      <c r="D353" s="2019"/>
      <c r="E353" s="2019"/>
      <c r="F353" s="2019"/>
      <c r="G353" s="2019"/>
      <c r="H353" s="2019"/>
      <c r="I353" s="2019"/>
      <c r="J353" s="2019"/>
      <c r="K353" s="2019"/>
      <c r="L353" s="2019"/>
      <c r="M353" s="2019"/>
      <c r="N353" s="2019"/>
      <c r="O353" s="2019"/>
      <c r="P353" s="2019"/>
      <c r="Q353" s="2019"/>
      <c r="R353" s="2019"/>
      <c r="S353" s="2019"/>
      <c r="T353" s="2019"/>
      <c r="U353" s="2019"/>
      <c r="V353" s="2019"/>
      <c r="W353" s="2019"/>
      <c r="X353" s="2019"/>
      <c r="Y353" s="2019"/>
      <c r="Z353" s="2019"/>
      <c r="AA353" s="2019"/>
      <c r="AB353" s="2019"/>
      <c r="AC353" s="2019"/>
      <c r="AD353" s="2019"/>
      <c r="AE353" s="2019"/>
      <c r="AF353" s="2019"/>
      <c r="AG353" s="2019"/>
      <c r="AH353" s="2019"/>
      <c r="AI353" s="2019"/>
      <c r="AJ353" s="2019"/>
      <c r="AK353" s="638"/>
      <c r="AL353" s="638"/>
      <c r="AM353" s="638"/>
      <c r="AN353" s="632"/>
      <c r="AO353" s="730" t="s">
        <v>593</v>
      </c>
      <c r="AP353" s="731">
        <f>IF(C410="Yes",5,0)</f>
        <v>0</v>
      </c>
    </row>
    <row r="354" spans="1:81" s="585" customFormat="1" ht="11.85" customHeight="1">
      <c r="A354" s="638"/>
      <c r="B354" s="646"/>
      <c r="C354" s="2019"/>
      <c r="D354" s="2019"/>
      <c r="E354" s="2019"/>
      <c r="F354" s="2019"/>
      <c r="G354" s="2019"/>
      <c r="H354" s="2019"/>
      <c r="I354" s="2019"/>
      <c r="J354" s="2019"/>
      <c r="K354" s="2019"/>
      <c r="L354" s="2019"/>
      <c r="M354" s="2019"/>
      <c r="N354" s="2019"/>
      <c r="O354" s="2019"/>
      <c r="P354" s="2019"/>
      <c r="Q354" s="2019"/>
      <c r="R354" s="2019"/>
      <c r="S354" s="2019"/>
      <c r="T354" s="2019"/>
      <c r="U354" s="2019"/>
      <c r="V354" s="2019"/>
      <c r="W354" s="2019"/>
      <c r="X354" s="2019"/>
      <c r="Y354" s="2019"/>
      <c r="Z354" s="2019"/>
      <c r="AA354" s="2019"/>
      <c r="AB354" s="2019"/>
      <c r="AC354" s="2019"/>
      <c r="AD354" s="2019"/>
      <c r="AE354" s="2019"/>
      <c r="AF354" s="2019"/>
      <c r="AG354" s="2019"/>
      <c r="AH354" s="2019"/>
      <c r="AI354" s="2019"/>
      <c r="AJ354" s="2019"/>
      <c r="AK354" s="638"/>
      <c r="AL354" s="638"/>
      <c r="AM354" s="638"/>
      <c r="AN354" s="632"/>
      <c r="AO354" s="732"/>
      <c r="AP354" s="733">
        <f>IF(C412="Yes",3,0)</f>
        <v>0</v>
      </c>
    </row>
    <row r="355" spans="1:81" s="585" customFormat="1" ht="12.4" customHeight="1">
      <c r="A355" s="638"/>
      <c r="B355" s="646"/>
      <c r="C355" s="2019"/>
      <c r="D355" s="2019"/>
      <c r="E355" s="2019"/>
      <c r="F355" s="2019"/>
      <c r="G355" s="2019"/>
      <c r="H355" s="2019"/>
      <c r="I355" s="2019"/>
      <c r="J355" s="2019"/>
      <c r="K355" s="2019"/>
      <c r="L355" s="2019"/>
      <c r="M355" s="2019"/>
      <c r="N355" s="2019"/>
      <c r="O355" s="2019"/>
      <c r="P355" s="2019"/>
      <c r="Q355" s="2019"/>
      <c r="R355" s="2019"/>
      <c r="S355" s="2019"/>
      <c r="T355" s="2019"/>
      <c r="U355" s="2019"/>
      <c r="V355" s="2019"/>
      <c r="W355" s="2019"/>
      <c r="X355" s="2019"/>
      <c r="Y355" s="2019"/>
      <c r="Z355" s="2019"/>
      <c r="AA355" s="2019"/>
      <c r="AB355" s="2019"/>
      <c r="AC355" s="2019"/>
      <c r="AD355" s="2019"/>
      <c r="AE355" s="2019"/>
      <c r="AF355" s="2019"/>
      <c r="AG355" s="2019"/>
      <c r="AH355" s="2019"/>
      <c r="AI355" s="2019"/>
      <c r="AJ355" s="2019"/>
      <c r="AK355" s="638"/>
      <c r="AL355" s="638"/>
      <c r="AM355" s="638"/>
      <c r="AN355" s="632"/>
      <c r="AO355" s="734" t="s">
        <v>229</v>
      </c>
      <c r="AP355" s="735">
        <f>SUM(AP346:AP354)</f>
        <v>10</v>
      </c>
      <c r="AQ355" s="1928">
        <f>IF(AP355&gt;0,AP355,0)</f>
        <v>10</v>
      </c>
      <c r="AR355" s="1928"/>
    </row>
    <row r="356" spans="1:81" s="585" customFormat="1" ht="12.75" customHeight="1">
      <c r="A356" s="638"/>
      <c r="B356" s="646"/>
      <c r="C356" s="2019"/>
      <c r="D356" s="2019"/>
      <c r="E356" s="2019"/>
      <c r="F356" s="2019"/>
      <c r="G356" s="2019"/>
      <c r="H356" s="2019"/>
      <c r="I356" s="2019"/>
      <c r="J356" s="2019"/>
      <c r="K356" s="2019"/>
      <c r="L356" s="2019"/>
      <c r="M356" s="2019"/>
      <c r="N356" s="2019"/>
      <c r="O356" s="2019"/>
      <c r="P356" s="2019"/>
      <c r="Q356" s="2019"/>
      <c r="R356" s="2019"/>
      <c r="S356" s="2019"/>
      <c r="T356" s="2019"/>
      <c r="U356" s="2019"/>
      <c r="V356" s="2019"/>
      <c r="W356" s="2019"/>
      <c r="X356" s="2019"/>
      <c r="Y356" s="2019"/>
      <c r="Z356" s="2019"/>
      <c r="AA356" s="2019"/>
      <c r="AB356" s="2019"/>
      <c r="AC356" s="2019"/>
      <c r="AD356" s="2019"/>
      <c r="AE356" s="2019"/>
      <c r="AF356" s="2019"/>
      <c r="AG356" s="2019"/>
      <c r="AH356" s="2019"/>
      <c r="AI356" s="2019"/>
      <c r="AJ356" s="2019"/>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1925" t="s">
        <v>1631</v>
      </c>
      <c r="D358" s="1925"/>
      <c r="E358" s="1925"/>
      <c r="F358" s="1925"/>
      <c r="G358" s="1925"/>
      <c r="H358" s="1925"/>
      <c r="I358" s="1925"/>
      <c r="J358" s="1925"/>
      <c r="K358" s="1925"/>
      <c r="L358" s="1925"/>
      <c r="M358" s="1925"/>
      <c r="N358" s="1925"/>
      <c r="O358" s="1925"/>
      <c r="P358" s="1925"/>
      <c r="Q358" s="1925"/>
      <c r="R358" s="1925"/>
      <c r="S358" s="1925"/>
      <c r="T358" s="1925"/>
      <c r="U358" s="1925"/>
      <c r="V358" s="1925"/>
      <c r="W358" s="1925"/>
      <c r="X358" s="1925"/>
      <c r="Y358" s="1925"/>
      <c r="Z358" s="1925"/>
      <c r="AA358" s="1925"/>
      <c r="AB358" s="1925"/>
      <c r="AC358" s="1925"/>
      <c r="AD358" s="1925"/>
      <c r="AE358" s="1925"/>
      <c r="AF358" s="1925"/>
      <c r="AG358" s="1925"/>
      <c r="AH358" s="1925"/>
      <c r="AI358" s="1925"/>
      <c r="AJ358" s="1925"/>
      <c r="AK358" s="638"/>
      <c r="AL358" s="638"/>
      <c r="AM358" s="638"/>
      <c r="AN358" s="632"/>
      <c r="AO358" s="730" t="s">
        <v>465</v>
      </c>
      <c r="AP358" s="731">
        <f>IF(C431="Yes",5,0)</f>
        <v>0</v>
      </c>
    </row>
    <row r="359" spans="1:81" s="585" customFormat="1" ht="12.75" customHeight="1">
      <c r="A359" s="638"/>
      <c r="B359" s="646"/>
      <c r="C359" s="1925"/>
      <c r="D359" s="1925"/>
      <c r="E359" s="1925"/>
      <c r="F359" s="1925"/>
      <c r="G359" s="1925"/>
      <c r="H359" s="1925"/>
      <c r="I359" s="1925"/>
      <c r="J359" s="1925"/>
      <c r="K359" s="1925"/>
      <c r="L359" s="1925"/>
      <c r="M359" s="1925"/>
      <c r="N359" s="1925"/>
      <c r="O359" s="1925"/>
      <c r="P359" s="1925"/>
      <c r="Q359" s="1925"/>
      <c r="R359" s="1925"/>
      <c r="S359" s="1925"/>
      <c r="T359" s="1925"/>
      <c r="U359" s="1925"/>
      <c r="V359" s="1925"/>
      <c r="W359" s="1925"/>
      <c r="X359" s="1925"/>
      <c r="Y359" s="1925"/>
      <c r="Z359" s="1925"/>
      <c r="AA359" s="1925"/>
      <c r="AB359" s="1925"/>
      <c r="AC359" s="1925"/>
      <c r="AD359" s="1925"/>
      <c r="AE359" s="1925"/>
      <c r="AF359" s="1925"/>
      <c r="AG359" s="1925"/>
      <c r="AH359" s="1925"/>
      <c r="AI359" s="1925"/>
      <c r="AJ359" s="1925"/>
      <c r="AK359" s="638"/>
      <c r="AL359" s="638"/>
      <c r="AM359" s="638"/>
      <c r="AN359" s="632"/>
      <c r="AO359" s="730" t="s">
        <v>470</v>
      </c>
      <c r="AP359" s="731">
        <f>IF(C438="Yes",5,0)</f>
        <v>0</v>
      </c>
    </row>
    <row r="360" spans="1:81" s="585" customFormat="1" ht="68.099999999999994" customHeight="1">
      <c r="A360" s="638"/>
      <c r="B360" s="646"/>
      <c r="C360" s="1925"/>
      <c r="D360" s="1925"/>
      <c r="E360" s="1925"/>
      <c r="F360" s="1925"/>
      <c r="G360" s="1925"/>
      <c r="H360" s="1925"/>
      <c r="I360" s="1925"/>
      <c r="J360" s="1925"/>
      <c r="K360" s="1925"/>
      <c r="L360" s="1925"/>
      <c r="M360" s="1925"/>
      <c r="N360" s="1925"/>
      <c r="O360" s="1925"/>
      <c r="P360" s="1925"/>
      <c r="Q360" s="1925"/>
      <c r="R360" s="1925"/>
      <c r="S360" s="1925"/>
      <c r="T360" s="1925"/>
      <c r="U360" s="1925"/>
      <c r="V360" s="1925"/>
      <c r="W360" s="1925"/>
      <c r="X360" s="1925"/>
      <c r="Y360" s="1925"/>
      <c r="Z360" s="1925"/>
      <c r="AA360" s="1925"/>
      <c r="AB360" s="1925"/>
      <c r="AC360" s="1925"/>
      <c r="AD360" s="1925"/>
      <c r="AE360" s="1925"/>
      <c r="AF360" s="1925"/>
      <c r="AG360" s="1925"/>
      <c r="AH360" s="1925"/>
      <c r="AI360" s="1925"/>
      <c r="AJ360" s="1925"/>
      <c r="AK360" s="638"/>
      <c r="AL360" s="638"/>
      <c r="AM360" s="638"/>
      <c r="AN360" s="632"/>
      <c r="AO360" s="730" t="s">
        <v>655</v>
      </c>
      <c r="AP360" s="736">
        <f>IF(C442="Yes",5,0)</f>
        <v>0</v>
      </c>
    </row>
    <row r="361" spans="1:81" s="585" customFormat="1" ht="12.4" customHeight="1">
      <c r="A361" s="638"/>
      <c r="B361" s="646"/>
      <c r="C361" s="585" t="s">
        <v>1632</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1633</v>
      </c>
      <c r="D362" s="738"/>
      <c r="E362" s="738"/>
      <c r="F362" s="738"/>
      <c r="G362" s="738"/>
      <c r="H362" s="738"/>
      <c r="I362" s="738"/>
      <c r="J362" s="738"/>
      <c r="K362" s="738"/>
      <c r="L362" s="738"/>
      <c r="M362" s="702"/>
      <c r="N362" s="702"/>
      <c r="O362" s="739"/>
      <c r="P362" s="738"/>
      <c r="Q362" s="738"/>
      <c r="R362" s="702"/>
      <c r="S362" s="702"/>
      <c r="T362" s="738"/>
      <c r="U362" s="1926">
        <f>Application!CS649-U363</f>
        <v>173</v>
      </c>
      <c r="V362" s="1926"/>
      <c r="W362" s="1926"/>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1634</v>
      </c>
      <c r="D363" s="729"/>
      <c r="E363" s="729"/>
      <c r="F363" s="729"/>
      <c r="G363" s="729"/>
      <c r="H363" s="729"/>
      <c r="I363" s="729"/>
      <c r="J363" s="729"/>
      <c r="K363" s="729"/>
      <c r="L363" s="729"/>
      <c r="M363" s="729"/>
      <c r="N363" s="729"/>
      <c r="O363" s="729"/>
      <c r="P363" s="729"/>
      <c r="Q363" s="729"/>
      <c r="R363" s="729"/>
      <c r="S363" s="729"/>
      <c r="T363" s="729"/>
      <c r="U363" s="1927">
        <f>Application!AG742</f>
        <v>0</v>
      </c>
      <c r="V363" s="1927"/>
      <c r="W363" s="1927"/>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28">
        <f>IF(AP364&gt;0,AP364,0)</f>
        <v>0</v>
      </c>
      <c r="AR364" s="1928"/>
    </row>
    <row r="365" spans="1:81" s="585" customFormat="1" ht="12.75" customHeight="1">
      <c r="A365" s="638"/>
      <c r="B365" s="14"/>
      <c r="C365" s="747" t="s">
        <v>1635</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1487</v>
      </c>
      <c r="F366" s="1919" t="s">
        <v>1636</v>
      </c>
      <c r="G366" s="1919"/>
      <c r="H366" s="1919"/>
      <c r="I366" s="1919"/>
      <c r="J366" s="1919"/>
      <c r="K366" s="1919"/>
      <c r="L366" s="1919"/>
      <c r="M366" s="1919"/>
      <c r="N366" s="1919"/>
      <c r="O366" s="1919"/>
      <c r="P366" s="1919"/>
      <c r="Q366" s="1919"/>
      <c r="R366" s="1919"/>
      <c r="S366" s="1919"/>
      <c r="T366" s="1919"/>
      <c r="U366" s="1919"/>
      <c r="V366" s="1919"/>
      <c r="W366" s="1919"/>
      <c r="X366" s="1919"/>
      <c r="Y366" s="1919"/>
      <c r="Z366" s="1919"/>
      <c r="AA366" s="1919"/>
      <c r="AB366" s="1919"/>
      <c r="AC366" s="1919"/>
      <c r="AD366" s="1919"/>
      <c r="AE366" s="1919"/>
      <c r="AF366" s="1919"/>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20"/>
      <c r="G367" s="1920"/>
      <c r="H367" s="1920"/>
      <c r="I367" s="1920"/>
      <c r="J367" s="1920"/>
      <c r="K367" s="1920"/>
      <c r="L367" s="1920"/>
      <c r="M367" s="1920"/>
      <c r="N367" s="1920"/>
      <c r="O367" s="1920"/>
      <c r="P367" s="1920"/>
      <c r="Q367" s="1920"/>
      <c r="R367" s="1920"/>
      <c r="S367" s="1920"/>
      <c r="T367" s="1920"/>
      <c r="U367" s="1920"/>
      <c r="V367" s="1920"/>
      <c r="W367" s="1920"/>
      <c r="X367" s="1920"/>
      <c r="Y367" s="1920"/>
      <c r="Z367" s="1920"/>
      <c r="AA367" s="1920"/>
      <c r="AB367" s="1920"/>
      <c r="AC367" s="1920"/>
      <c r="AD367" s="1920"/>
      <c r="AE367" s="1920"/>
      <c r="AF367" s="1920"/>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20"/>
      <c r="G368" s="1920"/>
      <c r="H368" s="1920"/>
      <c r="I368" s="1920"/>
      <c r="J368" s="1920"/>
      <c r="K368" s="1920"/>
      <c r="L368" s="1920"/>
      <c r="M368" s="1920"/>
      <c r="N368" s="1920"/>
      <c r="O368" s="1920"/>
      <c r="P368" s="1920"/>
      <c r="Q368" s="1920"/>
      <c r="R368" s="1920"/>
      <c r="S368" s="1920"/>
      <c r="T368" s="1920"/>
      <c r="U368" s="1920"/>
      <c r="V368" s="1920"/>
      <c r="W368" s="1920"/>
      <c r="X368" s="1920"/>
      <c r="Y368" s="1920"/>
      <c r="Z368" s="1920"/>
      <c r="AA368" s="1920"/>
      <c r="AB368" s="1920"/>
      <c r="AC368" s="1920"/>
      <c r="AD368" s="1920"/>
      <c r="AE368" s="1920"/>
      <c r="AF368" s="1920"/>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20"/>
      <c r="G369" s="1920"/>
      <c r="H369" s="1920"/>
      <c r="I369" s="1920"/>
      <c r="J369" s="1920"/>
      <c r="K369" s="1920"/>
      <c r="L369" s="1920"/>
      <c r="M369" s="1920"/>
      <c r="N369" s="1920"/>
      <c r="O369" s="1920"/>
      <c r="P369" s="1920"/>
      <c r="Q369" s="1920"/>
      <c r="R369" s="1920"/>
      <c r="S369" s="1920"/>
      <c r="T369" s="1920"/>
      <c r="U369" s="1920"/>
      <c r="V369" s="1920"/>
      <c r="W369" s="1920"/>
      <c r="X369" s="1920"/>
      <c r="Y369" s="1920"/>
      <c r="Z369" s="1920"/>
      <c r="AA369" s="1920"/>
      <c r="AB369" s="1920"/>
      <c r="AC369" s="1920"/>
      <c r="AD369" s="1920"/>
      <c r="AE369" s="1920"/>
      <c r="AF369" s="1920"/>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29" t="s">
        <v>554</v>
      </c>
      <c r="D370" s="1930"/>
      <c r="E370" s="754"/>
      <c r="F370" s="756" t="s">
        <v>1637</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18" t="s">
        <v>1638</v>
      </c>
      <c r="AG370" s="1918"/>
      <c r="AH370" s="1918"/>
      <c r="AI370" s="1918"/>
      <c r="AJ370" s="1918"/>
      <c r="AK370" s="1918"/>
      <c r="AL370" s="1931"/>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1489</v>
      </c>
      <c r="F373" s="1919" t="s">
        <v>1639</v>
      </c>
      <c r="G373" s="1919"/>
      <c r="H373" s="1919"/>
      <c r="I373" s="1919"/>
      <c r="J373" s="1919"/>
      <c r="K373" s="1919"/>
      <c r="L373" s="1919"/>
      <c r="M373" s="1919"/>
      <c r="N373" s="1919"/>
      <c r="O373" s="1919"/>
      <c r="P373" s="1919"/>
      <c r="Q373" s="1919"/>
      <c r="R373" s="1919"/>
      <c r="S373" s="1919"/>
      <c r="T373" s="1919"/>
      <c r="U373" s="1919"/>
      <c r="V373" s="1919"/>
      <c r="W373" s="1919"/>
      <c r="X373" s="1919"/>
      <c r="Y373" s="1919"/>
      <c r="Z373" s="1919"/>
      <c r="AA373" s="1919"/>
      <c r="AB373" s="1919"/>
      <c r="AC373" s="1919"/>
      <c r="AD373" s="1919"/>
      <c r="AE373" s="1919"/>
      <c r="AF373" s="1919"/>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20"/>
      <c r="G374" s="1920"/>
      <c r="H374" s="1920"/>
      <c r="I374" s="1920"/>
      <c r="J374" s="1920"/>
      <c r="K374" s="1920"/>
      <c r="L374" s="1920"/>
      <c r="M374" s="1920"/>
      <c r="N374" s="1920"/>
      <c r="O374" s="1920"/>
      <c r="P374" s="1920"/>
      <c r="Q374" s="1920"/>
      <c r="R374" s="1920"/>
      <c r="S374" s="1920"/>
      <c r="T374" s="1920"/>
      <c r="U374" s="1920"/>
      <c r="V374" s="1920"/>
      <c r="W374" s="1920"/>
      <c r="X374" s="1920"/>
      <c r="Y374" s="1920"/>
      <c r="Z374" s="1920"/>
      <c r="AA374" s="1920"/>
      <c r="AB374" s="1920"/>
      <c r="AC374" s="1920"/>
      <c r="AD374" s="1920"/>
      <c r="AE374" s="1920"/>
      <c r="AF374" s="1920"/>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20"/>
      <c r="G375" s="1920"/>
      <c r="H375" s="1920"/>
      <c r="I375" s="1920"/>
      <c r="J375" s="1920"/>
      <c r="K375" s="1920"/>
      <c r="L375" s="1920"/>
      <c r="M375" s="1920"/>
      <c r="N375" s="1920"/>
      <c r="O375" s="1920"/>
      <c r="P375" s="1920"/>
      <c r="Q375" s="1920"/>
      <c r="R375" s="1920"/>
      <c r="S375" s="1920"/>
      <c r="T375" s="1920"/>
      <c r="U375" s="1920"/>
      <c r="V375" s="1920"/>
      <c r="W375" s="1920"/>
      <c r="X375" s="1920"/>
      <c r="Y375" s="1920"/>
      <c r="Z375" s="1920"/>
      <c r="AA375" s="1920"/>
      <c r="AB375" s="1920"/>
      <c r="AC375" s="1920"/>
      <c r="AD375" s="1920"/>
      <c r="AE375" s="1920"/>
      <c r="AF375" s="1920"/>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20"/>
      <c r="G376" s="1920"/>
      <c r="H376" s="1920"/>
      <c r="I376" s="1920"/>
      <c r="J376" s="1920"/>
      <c r="K376" s="1920"/>
      <c r="L376" s="1920"/>
      <c r="M376" s="1920"/>
      <c r="N376" s="1920"/>
      <c r="O376" s="1920"/>
      <c r="P376" s="1920"/>
      <c r="Q376" s="1920"/>
      <c r="R376" s="1920"/>
      <c r="S376" s="1920"/>
      <c r="T376" s="1920"/>
      <c r="U376" s="1920"/>
      <c r="V376" s="1920"/>
      <c r="W376" s="1920"/>
      <c r="X376" s="1920"/>
      <c r="Y376" s="1920"/>
      <c r="Z376" s="1920"/>
      <c r="AA376" s="1920"/>
      <c r="AB376" s="1920"/>
      <c r="AC376" s="1920"/>
      <c r="AD376" s="1920"/>
      <c r="AE376" s="1920"/>
      <c r="AF376" s="1920"/>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20"/>
      <c r="G377" s="1920"/>
      <c r="H377" s="1920"/>
      <c r="I377" s="1920"/>
      <c r="J377" s="1920"/>
      <c r="K377" s="1920"/>
      <c r="L377" s="1920"/>
      <c r="M377" s="1920"/>
      <c r="N377" s="1920"/>
      <c r="O377" s="1920"/>
      <c r="P377" s="1920"/>
      <c r="Q377" s="1920"/>
      <c r="R377" s="1920"/>
      <c r="S377" s="1920"/>
      <c r="T377" s="1920"/>
      <c r="U377" s="1920"/>
      <c r="V377" s="1920"/>
      <c r="W377" s="1920"/>
      <c r="X377" s="1920"/>
      <c r="Y377" s="1920"/>
      <c r="Z377" s="1920"/>
      <c r="AA377" s="1920"/>
      <c r="AB377" s="1920"/>
      <c r="AC377" s="1920"/>
      <c r="AD377" s="1920"/>
      <c r="AE377" s="1920"/>
      <c r="AF377" s="1920"/>
      <c r="AL377" s="767"/>
      <c r="AN377" s="632"/>
      <c r="BS377" s="30"/>
      <c r="BT377" s="30"/>
      <c r="BU377" s="14"/>
      <c r="BV377" s="14"/>
      <c r="BW377" s="14"/>
      <c r="BX377" s="14"/>
      <c r="BY377" s="14"/>
      <c r="BZ377" s="14"/>
      <c r="CA377" s="14"/>
      <c r="CB377" s="14"/>
      <c r="CC377" s="14"/>
    </row>
    <row r="378" spans="1:81" s="585" customFormat="1" ht="12.75" customHeight="1">
      <c r="A378" s="571"/>
      <c r="B378" s="14"/>
      <c r="C378" s="1929" t="s">
        <v>600</v>
      </c>
      <c r="D378" s="1930"/>
      <c r="E378" s="726"/>
      <c r="F378" s="756" t="s">
        <v>1640</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18" t="s">
        <v>1638</v>
      </c>
      <c r="AG378" s="1918"/>
      <c r="AH378" s="1918"/>
      <c r="AI378" s="1918"/>
      <c r="AJ378" s="1918"/>
      <c r="AK378" s="1918"/>
      <c r="AL378" s="1931"/>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1492</v>
      </c>
      <c r="F381" s="1919" t="s">
        <v>1641</v>
      </c>
      <c r="G381" s="1919"/>
      <c r="H381" s="1919"/>
      <c r="I381" s="1919"/>
      <c r="J381" s="1919"/>
      <c r="K381" s="1919"/>
      <c r="L381" s="1919"/>
      <c r="M381" s="1919"/>
      <c r="N381" s="1919"/>
      <c r="O381" s="1919"/>
      <c r="P381" s="1919"/>
      <c r="Q381" s="1919"/>
      <c r="R381" s="1919"/>
      <c r="S381" s="1919"/>
      <c r="T381" s="1919"/>
      <c r="U381" s="1919"/>
      <c r="V381" s="1919"/>
      <c r="W381" s="1919"/>
      <c r="X381" s="1919"/>
      <c r="Y381" s="1919"/>
      <c r="Z381" s="1919"/>
      <c r="AA381" s="1919"/>
      <c r="AB381" s="1919"/>
      <c r="AC381" s="1919"/>
      <c r="AD381" s="1919"/>
      <c r="AE381" s="1919"/>
      <c r="AF381" s="1919"/>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20"/>
      <c r="G382" s="1920"/>
      <c r="H382" s="1920"/>
      <c r="I382" s="1920"/>
      <c r="J382" s="1920"/>
      <c r="K382" s="1920"/>
      <c r="L382" s="1920"/>
      <c r="M382" s="1920"/>
      <c r="N382" s="1920"/>
      <c r="O382" s="1920"/>
      <c r="P382" s="1920"/>
      <c r="Q382" s="1920"/>
      <c r="R382" s="1920"/>
      <c r="S382" s="1920"/>
      <c r="T382" s="1920"/>
      <c r="U382" s="1920"/>
      <c r="V382" s="1920"/>
      <c r="W382" s="1920"/>
      <c r="X382" s="1920"/>
      <c r="Y382" s="1920"/>
      <c r="Z382" s="1920"/>
      <c r="AA382" s="1920"/>
      <c r="AB382" s="1920"/>
      <c r="AC382" s="1920"/>
      <c r="AD382" s="1920"/>
      <c r="AE382" s="1920"/>
      <c r="AF382" s="1920"/>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20"/>
      <c r="G383" s="1920"/>
      <c r="H383" s="1920"/>
      <c r="I383" s="1920"/>
      <c r="J383" s="1920"/>
      <c r="K383" s="1920"/>
      <c r="L383" s="1920"/>
      <c r="M383" s="1920"/>
      <c r="N383" s="1920"/>
      <c r="O383" s="1920"/>
      <c r="P383" s="1920"/>
      <c r="Q383" s="1920"/>
      <c r="R383" s="1920"/>
      <c r="S383" s="1920"/>
      <c r="T383" s="1920"/>
      <c r="U383" s="1920"/>
      <c r="V383" s="1920"/>
      <c r="W383" s="1920"/>
      <c r="X383" s="1920"/>
      <c r="Y383" s="1920"/>
      <c r="Z383" s="1920"/>
      <c r="AA383" s="1920"/>
      <c r="AB383" s="1920"/>
      <c r="AC383" s="1920"/>
      <c r="AD383" s="1920"/>
      <c r="AE383" s="1920"/>
      <c r="AF383" s="1920"/>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20"/>
      <c r="G384" s="1920"/>
      <c r="H384" s="1920"/>
      <c r="I384" s="1920"/>
      <c r="J384" s="1920"/>
      <c r="K384" s="1920"/>
      <c r="L384" s="1920"/>
      <c r="M384" s="1920"/>
      <c r="N384" s="1920"/>
      <c r="O384" s="1920"/>
      <c r="P384" s="1920"/>
      <c r="Q384" s="1920"/>
      <c r="R384" s="1920"/>
      <c r="S384" s="1920"/>
      <c r="T384" s="1920"/>
      <c r="U384" s="1920"/>
      <c r="V384" s="1920"/>
      <c r="W384" s="1920"/>
      <c r="X384" s="1920"/>
      <c r="Y384" s="1920"/>
      <c r="Z384" s="1920"/>
      <c r="AA384" s="1920"/>
      <c r="AB384" s="1920"/>
      <c r="AC384" s="1920"/>
      <c r="AD384" s="1920"/>
      <c r="AE384" s="1920"/>
      <c r="AF384" s="1920"/>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20"/>
      <c r="G385" s="1920"/>
      <c r="H385" s="1920"/>
      <c r="I385" s="1920"/>
      <c r="J385" s="1920"/>
      <c r="K385" s="1920"/>
      <c r="L385" s="1920"/>
      <c r="M385" s="1920"/>
      <c r="N385" s="1920"/>
      <c r="O385" s="1920"/>
      <c r="P385" s="1920"/>
      <c r="Q385" s="1920"/>
      <c r="R385" s="1920"/>
      <c r="S385" s="1920"/>
      <c r="T385" s="1920"/>
      <c r="U385" s="1920"/>
      <c r="V385" s="1920"/>
      <c r="W385" s="1920"/>
      <c r="X385" s="1920"/>
      <c r="Y385" s="1920"/>
      <c r="Z385" s="1920"/>
      <c r="AA385" s="1920"/>
      <c r="AB385" s="1920"/>
      <c r="AC385" s="1920"/>
      <c r="AD385" s="1920"/>
      <c r="AE385" s="1920"/>
      <c r="AF385" s="1920"/>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29" t="s">
        <v>600</v>
      </c>
      <c r="D386" s="1930"/>
      <c r="E386" s="726"/>
      <c r="F386" s="756" t="s">
        <v>1642</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18" t="s">
        <v>1643</v>
      </c>
      <c r="AG386" s="1918"/>
      <c r="AH386" s="1918"/>
      <c r="AI386" s="1918"/>
      <c r="AJ386" s="1918"/>
      <c r="AK386" s="1918"/>
      <c r="AL386" s="1931"/>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29" t="s">
        <v>554</v>
      </c>
      <c r="D388" s="1930"/>
      <c r="E388" s="726"/>
      <c r="F388" s="773" t="s">
        <v>1644</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18" t="s">
        <v>1638</v>
      </c>
      <c r="AG388" s="1918"/>
      <c r="AH388" s="1918"/>
      <c r="AI388" s="1918"/>
      <c r="AJ388" s="1918"/>
      <c r="AK388" s="1918"/>
      <c r="AL388" s="1931"/>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1645</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1646</v>
      </c>
      <c r="F392" s="1919" t="s">
        <v>1647</v>
      </c>
      <c r="G392" s="1919"/>
      <c r="H392" s="1919"/>
      <c r="I392" s="1919"/>
      <c r="J392" s="1919"/>
      <c r="K392" s="1919"/>
      <c r="L392" s="1919"/>
      <c r="M392" s="1919"/>
      <c r="N392" s="1919"/>
      <c r="O392" s="1919"/>
      <c r="P392" s="1919"/>
      <c r="Q392" s="1919"/>
      <c r="R392" s="1919"/>
      <c r="S392" s="1919"/>
      <c r="T392" s="1919"/>
      <c r="U392" s="1919"/>
      <c r="V392" s="1919"/>
      <c r="W392" s="1919"/>
      <c r="X392" s="1919"/>
      <c r="Y392" s="1919"/>
      <c r="Z392" s="1919"/>
      <c r="AA392" s="1919"/>
      <c r="AB392" s="1919"/>
      <c r="AC392" s="1919"/>
      <c r="AD392" s="1919"/>
      <c r="AE392" s="1919"/>
      <c r="AF392" s="1919"/>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20"/>
      <c r="G393" s="1920"/>
      <c r="H393" s="1920"/>
      <c r="I393" s="1920"/>
      <c r="J393" s="1920"/>
      <c r="K393" s="1920"/>
      <c r="L393" s="1920"/>
      <c r="M393" s="1920"/>
      <c r="N393" s="1920"/>
      <c r="O393" s="1920"/>
      <c r="P393" s="1920"/>
      <c r="Q393" s="1920"/>
      <c r="R393" s="1920"/>
      <c r="S393" s="1920"/>
      <c r="T393" s="1920"/>
      <c r="U393" s="1920"/>
      <c r="V393" s="1920"/>
      <c r="W393" s="1920"/>
      <c r="X393" s="1920"/>
      <c r="Y393" s="1920"/>
      <c r="Z393" s="1920"/>
      <c r="AA393" s="1920"/>
      <c r="AB393" s="1920"/>
      <c r="AC393" s="1920"/>
      <c r="AD393" s="1920"/>
      <c r="AE393" s="1920"/>
      <c r="AF393" s="1920"/>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20"/>
      <c r="G394" s="1920"/>
      <c r="H394" s="1920"/>
      <c r="I394" s="1920"/>
      <c r="J394" s="1920"/>
      <c r="K394" s="1920"/>
      <c r="L394" s="1920"/>
      <c r="M394" s="1920"/>
      <c r="N394" s="1920"/>
      <c r="O394" s="1920"/>
      <c r="P394" s="1920"/>
      <c r="Q394" s="1920"/>
      <c r="R394" s="1920"/>
      <c r="S394" s="1920"/>
      <c r="T394" s="1920"/>
      <c r="U394" s="1920"/>
      <c r="V394" s="1920"/>
      <c r="W394" s="1920"/>
      <c r="X394" s="1920"/>
      <c r="Y394" s="1920"/>
      <c r="Z394" s="1920"/>
      <c r="AA394" s="1920"/>
      <c r="AB394" s="1920"/>
      <c r="AC394" s="1920"/>
      <c r="AD394" s="1920"/>
      <c r="AE394" s="1920"/>
      <c r="AF394" s="1920"/>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20"/>
      <c r="G395" s="1920"/>
      <c r="H395" s="1920"/>
      <c r="I395" s="1920"/>
      <c r="J395" s="1920"/>
      <c r="K395" s="1920"/>
      <c r="L395" s="1920"/>
      <c r="M395" s="1920"/>
      <c r="N395" s="1920"/>
      <c r="O395" s="1920"/>
      <c r="P395" s="1920"/>
      <c r="Q395" s="1920"/>
      <c r="R395" s="1920"/>
      <c r="S395" s="1920"/>
      <c r="T395" s="1920"/>
      <c r="U395" s="1920"/>
      <c r="V395" s="1920"/>
      <c r="W395" s="1920"/>
      <c r="X395" s="1920"/>
      <c r="Y395" s="1920"/>
      <c r="Z395" s="1920"/>
      <c r="AA395" s="1920"/>
      <c r="AB395" s="1920"/>
      <c r="AC395" s="1920"/>
      <c r="AD395" s="1920"/>
      <c r="AE395" s="1920"/>
      <c r="AF395" s="1920"/>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29" t="s">
        <v>600</v>
      </c>
      <c r="D396" s="1930"/>
      <c r="E396" s="726"/>
      <c r="F396" s="756" t="s">
        <v>1648</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18" t="s">
        <v>1638</v>
      </c>
      <c r="AG396" s="1918"/>
      <c r="AH396" s="1918"/>
      <c r="AI396" s="1918"/>
      <c r="AJ396" s="1918"/>
      <c r="AK396" s="1918"/>
      <c r="AL396" s="1931"/>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29" t="s">
        <v>600</v>
      </c>
      <c r="D398" s="1930"/>
      <c r="E398" s="754"/>
      <c r="F398" s="756" t="s">
        <v>1649</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18" t="s">
        <v>1650</v>
      </c>
      <c r="AG398" s="1918"/>
      <c r="AH398" s="1918"/>
      <c r="AI398" s="1918"/>
      <c r="AJ398" s="1918"/>
      <c r="AK398" s="1918"/>
      <c r="AL398" s="1931"/>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29" t="s">
        <v>600</v>
      </c>
      <c r="D401" s="1930"/>
      <c r="E401" s="750" t="s">
        <v>1651</v>
      </c>
      <c r="F401" s="1919" t="s">
        <v>1652</v>
      </c>
      <c r="G401" s="1919"/>
      <c r="H401" s="1919"/>
      <c r="I401" s="1919"/>
      <c r="J401" s="1919"/>
      <c r="K401" s="1919"/>
      <c r="L401" s="1919"/>
      <c r="M401" s="1919"/>
      <c r="N401" s="1919"/>
      <c r="O401" s="1919"/>
      <c r="P401" s="1919"/>
      <c r="Q401" s="1919"/>
      <c r="R401" s="1919"/>
      <c r="S401" s="1919"/>
      <c r="T401" s="1919"/>
      <c r="U401" s="1919"/>
      <c r="V401" s="1919"/>
      <c r="W401" s="1919"/>
      <c r="X401" s="1919"/>
      <c r="Y401" s="1919"/>
      <c r="Z401" s="1919"/>
      <c r="AA401" s="1919"/>
      <c r="AB401" s="1919"/>
      <c r="AC401" s="1919"/>
      <c r="AD401" s="1919"/>
      <c r="AE401" s="1919"/>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20"/>
      <c r="G402" s="1920"/>
      <c r="H402" s="1920"/>
      <c r="I402" s="1920"/>
      <c r="J402" s="1920"/>
      <c r="K402" s="1920"/>
      <c r="L402" s="1920"/>
      <c r="M402" s="1920"/>
      <c r="N402" s="1920"/>
      <c r="O402" s="1920"/>
      <c r="P402" s="1920"/>
      <c r="Q402" s="1920"/>
      <c r="R402" s="1920"/>
      <c r="S402" s="1920"/>
      <c r="T402" s="1920"/>
      <c r="U402" s="1920"/>
      <c r="V402" s="1920"/>
      <c r="W402" s="1920"/>
      <c r="X402" s="1920"/>
      <c r="Y402" s="1920"/>
      <c r="Z402" s="1920"/>
      <c r="AA402" s="1920"/>
      <c r="AB402" s="1920"/>
      <c r="AC402" s="1920"/>
      <c r="AD402" s="1920"/>
      <c r="AE402" s="1920"/>
      <c r="AF402" s="1988" t="s">
        <v>1638</v>
      </c>
      <c r="AG402" s="1988"/>
      <c r="AH402" s="1988"/>
      <c r="AI402" s="1988"/>
      <c r="AJ402" s="1988"/>
      <c r="AK402" s="1988"/>
      <c r="AL402" s="2018"/>
      <c r="AM402" s="605"/>
      <c r="AN402" s="632"/>
      <c r="BS402" s="605"/>
      <c r="BT402" s="605"/>
      <c r="BY402" s="605"/>
      <c r="BZ402" s="605"/>
      <c r="CA402" s="605"/>
      <c r="CB402" s="605"/>
      <c r="CC402" s="605"/>
    </row>
    <row r="403" spans="1:81" s="585" customFormat="1" ht="12.75" customHeight="1">
      <c r="A403" s="571"/>
      <c r="B403" s="14"/>
      <c r="C403" s="766"/>
      <c r="D403" s="14"/>
      <c r="E403" s="726"/>
      <c r="F403" s="1920"/>
      <c r="G403" s="1920"/>
      <c r="H403" s="1920"/>
      <c r="I403" s="1920"/>
      <c r="J403" s="1920"/>
      <c r="K403" s="1920"/>
      <c r="L403" s="1920"/>
      <c r="M403" s="1920"/>
      <c r="N403" s="1920"/>
      <c r="O403" s="1920"/>
      <c r="P403" s="1920"/>
      <c r="Q403" s="1920"/>
      <c r="R403" s="1920"/>
      <c r="S403" s="1920"/>
      <c r="T403" s="1920"/>
      <c r="U403" s="1920"/>
      <c r="V403" s="1920"/>
      <c r="W403" s="1920"/>
      <c r="X403" s="1920"/>
      <c r="Y403" s="1920"/>
      <c r="Z403" s="1920"/>
      <c r="AA403" s="1920"/>
      <c r="AB403" s="1920"/>
      <c r="AC403" s="1920"/>
      <c r="AD403" s="1920"/>
      <c r="AE403" s="1920"/>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02"/>
      <c r="G404" s="2002"/>
      <c r="H404" s="2002"/>
      <c r="I404" s="2002"/>
      <c r="J404" s="2002"/>
      <c r="K404" s="2002"/>
      <c r="L404" s="2002"/>
      <c r="M404" s="2002"/>
      <c r="N404" s="2002"/>
      <c r="O404" s="2002"/>
      <c r="P404" s="2002"/>
      <c r="Q404" s="2002"/>
      <c r="R404" s="2002"/>
      <c r="S404" s="2002"/>
      <c r="T404" s="2002"/>
      <c r="U404" s="2002"/>
      <c r="V404" s="2002"/>
      <c r="W404" s="2002"/>
      <c r="X404" s="2002"/>
      <c r="Y404" s="2002"/>
      <c r="Z404" s="2002"/>
      <c r="AA404" s="2002"/>
      <c r="AB404" s="2002"/>
      <c r="AC404" s="2002"/>
      <c r="AD404" s="2002"/>
      <c r="AE404" s="2002"/>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1653</v>
      </c>
      <c r="F406" s="1919" t="s">
        <v>1654</v>
      </c>
      <c r="G406" s="1919"/>
      <c r="H406" s="1919"/>
      <c r="I406" s="1919"/>
      <c r="J406" s="1919"/>
      <c r="K406" s="1919"/>
      <c r="L406" s="1919"/>
      <c r="M406" s="1919"/>
      <c r="N406" s="1919"/>
      <c r="O406" s="1919"/>
      <c r="P406" s="1919"/>
      <c r="Q406" s="1919"/>
      <c r="R406" s="1919"/>
      <c r="S406" s="1919"/>
      <c r="T406" s="1919"/>
      <c r="U406" s="1919"/>
      <c r="V406" s="1919"/>
      <c r="W406" s="1919"/>
      <c r="X406" s="1919"/>
      <c r="Y406" s="1919"/>
      <c r="Z406" s="1919"/>
      <c r="AA406" s="1919"/>
      <c r="AB406" s="1919"/>
      <c r="AC406" s="1919"/>
      <c r="AD406" s="1919"/>
      <c r="AE406" s="1919"/>
      <c r="AF406" s="782"/>
      <c r="AG406" s="782"/>
      <c r="AH406" s="782"/>
      <c r="AI406" s="782"/>
      <c r="AJ406" s="782"/>
      <c r="AK406" s="782"/>
      <c r="AL406" s="783"/>
      <c r="AM406" s="605"/>
    </row>
    <row r="407" spans="1:81">
      <c r="A407" s="571"/>
      <c r="C407" s="766"/>
      <c r="E407" s="726"/>
      <c r="F407" s="1920"/>
      <c r="G407" s="1920"/>
      <c r="H407" s="1920"/>
      <c r="I407" s="1920"/>
      <c r="J407" s="1920"/>
      <c r="K407" s="1920"/>
      <c r="L407" s="1920"/>
      <c r="M407" s="1920"/>
      <c r="N407" s="1920"/>
      <c r="O407" s="1920"/>
      <c r="P407" s="1920"/>
      <c r="Q407" s="1920"/>
      <c r="R407" s="1920"/>
      <c r="S407" s="1920"/>
      <c r="T407" s="1920"/>
      <c r="U407" s="1920"/>
      <c r="V407" s="1920"/>
      <c r="W407" s="1920"/>
      <c r="X407" s="1920"/>
      <c r="Y407" s="1920"/>
      <c r="Z407" s="1920"/>
      <c r="AA407" s="1920"/>
      <c r="AB407" s="1920"/>
      <c r="AC407" s="1920"/>
      <c r="AD407" s="1920"/>
      <c r="AE407" s="1920"/>
      <c r="AF407" s="574"/>
      <c r="AG407" s="571"/>
      <c r="AH407" s="585"/>
      <c r="AI407" s="585"/>
      <c r="AJ407" s="585"/>
      <c r="AK407" s="585"/>
      <c r="AL407" s="767"/>
      <c r="AM407" s="605"/>
    </row>
    <row r="408" spans="1:81" s="585" customFormat="1" ht="12.75" customHeight="1">
      <c r="A408" s="571"/>
      <c r="B408" s="14"/>
      <c r="C408" s="766"/>
      <c r="D408" s="14"/>
      <c r="E408" s="726"/>
      <c r="F408" s="1920"/>
      <c r="G408" s="1920"/>
      <c r="H408" s="1920"/>
      <c r="I408" s="1920"/>
      <c r="J408" s="1920"/>
      <c r="K408" s="1920"/>
      <c r="L408" s="1920"/>
      <c r="M408" s="1920"/>
      <c r="N408" s="1920"/>
      <c r="O408" s="1920"/>
      <c r="P408" s="1920"/>
      <c r="Q408" s="1920"/>
      <c r="R408" s="1920"/>
      <c r="S408" s="1920"/>
      <c r="T408" s="1920"/>
      <c r="U408" s="1920"/>
      <c r="V408" s="1920"/>
      <c r="W408" s="1920"/>
      <c r="X408" s="1920"/>
      <c r="Y408" s="1920"/>
      <c r="Z408" s="1920"/>
      <c r="AA408" s="1920"/>
      <c r="AB408" s="1920"/>
      <c r="AC408" s="1920"/>
      <c r="AD408" s="1920"/>
      <c r="AE408" s="1920"/>
      <c r="AL408" s="767"/>
      <c r="AM408" s="605"/>
      <c r="AN408" s="632"/>
    </row>
    <row r="409" spans="1:81" s="585" customFormat="1" ht="12.75" customHeight="1">
      <c r="A409" s="571"/>
      <c r="B409" s="14"/>
      <c r="C409" s="774"/>
      <c r="F409" s="1920"/>
      <c r="G409" s="1920"/>
      <c r="H409" s="1920"/>
      <c r="I409" s="1920"/>
      <c r="J409" s="1920"/>
      <c r="K409" s="1920"/>
      <c r="L409" s="1920"/>
      <c r="M409" s="1920"/>
      <c r="N409" s="1920"/>
      <c r="O409" s="1920"/>
      <c r="P409" s="1920"/>
      <c r="Q409" s="1920"/>
      <c r="R409" s="1920"/>
      <c r="S409" s="1920"/>
      <c r="T409" s="1920"/>
      <c r="U409" s="1920"/>
      <c r="V409" s="1920"/>
      <c r="W409" s="1920"/>
      <c r="X409" s="1920"/>
      <c r="Y409" s="1920"/>
      <c r="Z409" s="1920"/>
      <c r="AA409" s="1920"/>
      <c r="AB409" s="1920"/>
      <c r="AC409" s="1920"/>
      <c r="AD409" s="1920"/>
      <c r="AE409" s="1920"/>
      <c r="AL409" s="767"/>
      <c r="AM409" s="605"/>
      <c r="AN409" s="632"/>
    </row>
    <row r="410" spans="1:81" s="585" customFormat="1" ht="12.75" customHeight="1">
      <c r="A410" s="571"/>
      <c r="B410" s="14"/>
      <c r="C410" s="1929" t="s">
        <v>600</v>
      </c>
      <c r="D410" s="1930"/>
      <c r="E410" s="726"/>
      <c r="F410" s="756" t="s">
        <v>1655</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88" t="s">
        <v>1638</v>
      </c>
      <c r="AG410" s="1988"/>
      <c r="AH410" s="1988"/>
      <c r="AI410" s="1988"/>
      <c r="AJ410" s="1988"/>
      <c r="AK410" s="1988"/>
      <c r="AL410" s="2018"/>
      <c r="AM410" s="605"/>
      <c r="AN410" s="632"/>
    </row>
    <row r="411" spans="1:81" s="585" customFormat="1" ht="12.75" customHeight="1">
      <c r="A411" s="571"/>
      <c r="B411" s="14"/>
      <c r="C411" s="774"/>
      <c r="AL411" s="767"/>
      <c r="AM411" s="605"/>
      <c r="AN411" s="632"/>
    </row>
    <row r="412" spans="1:81" s="585" customFormat="1" ht="12.75" customHeight="1">
      <c r="A412" s="571"/>
      <c r="B412" s="14"/>
      <c r="C412" s="1929" t="s">
        <v>600</v>
      </c>
      <c r="D412" s="1930"/>
      <c r="E412" s="754"/>
      <c r="F412" s="756" t="s">
        <v>1656</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88" t="s">
        <v>1650</v>
      </c>
      <c r="AG412" s="1988"/>
      <c r="AH412" s="1988"/>
      <c r="AI412" s="1988"/>
      <c r="AJ412" s="1988"/>
      <c r="AK412" s="1988"/>
      <c r="AL412" s="2018"/>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1657</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1658</v>
      </c>
      <c r="F416" s="1919" t="s">
        <v>1659</v>
      </c>
      <c r="G416" s="1919"/>
      <c r="H416" s="1919"/>
      <c r="I416" s="1919"/>
      <c r="J416" s="1919"/>
      <c r="K416" s="1919"/>
      <c r="L416" s="1919"/>
      <c r="M416" s="1919"/>
      <c r="N416" s="1919"/>
      <c r="O416" s="1919"/>
      <c r="P416" s="1919"/>
      <c r="Q416" s="1919"/>
      <c r="R416" s="1919"/>
      <c r="S416" s="1919"/>
      <c r="T416" s="1919"/>
      <c r="U416" s="1919"/>
      <c r="V416" s="1919"/>
      <c r="W416" s="1919"/>
      <c r="X416" s="1919"/>
      <c r="Y416" s="1919"/>
      <c r="Z416" s="1919"/>
      <c r="AA416" s="1919"/>
      <c r="AB416" s="1919"/>
      <c r="AC416" s="1919"/>
      <c r="AD416" s="1919"/>
      <c r="AE416" s="1919"/>
      <c r="AF416" s="749"/>
      <c r="AG416" s="749"/>
      <c r="AH416" s="749"/>
      <c r="AI416" s="749"/>
      <c r="AJ416" s="749"/>
      <c r="AK416" s="749"/>
      <c r="AL416" s="780"/>
      <c r="AM416" s="605"/>
      <c r="AN416" s="632"/>
    </row>
    <row r="417" spans="1:60" s="585" customFormat="1" ht="12.75" customHeight="1">
      <c r="A417" s="571"/>
      <c r="B417" s="14"/>
      <c r="C417" s="766"/>
      <c r="D417" s="14"/>
      <c r="E417" s="726"/>
      <c r="F417" s="1920"/>
      <c r="G417" s="1920"/>
      <c r="H417" s="1920"/>
      <c r="I417" s="1920"/>
      <c r="J417" s="1920"/>
      <c r="K417" s="1920"/>
      <c r="L417" s="1920"/>
      <c r="M417" s="1920"/>
      <c r="N417" s="1920"/>
      <c r="O417" s="1920"/>
      <c r="P417" s="1920"/>
      <c r="Q417" s="1920"/>
      <c r="R417" s="1920"/>
      <c r="S417" s="1920"/>
      <c r="T417" s="1920"/>
      <c r="U417" s="1920"/>
      <c r="V417" s="1920"/>
      <c r="W417" s="1920"/>
      <c r="X417" s="1920"/>
      <c r="Y417" s="1920"/>
      <c r="Z417" s="1920"/>
      <c r="AA417" s="1920"/>
      <c r="AB417" s="1920"/>
      <c r="AC417" s="1920"/>
      <c r="AD417" s="1920"/>
      <c r="AE417" s="1920"/>
      <c r="AF417" s="574"/>
      <c r="AG417" s="571"/>
      <c r="AL417" s="767"/>
      <c r="AM417" s="605"/>
      <c r="AN417" s="632"/>
    </row>
    <row r="418" spans="1:60" s="585" customFormat="1" ht="12.4" customHeight="1">
      <c r="A418" s="571"/>
      <c r="B418" s="14"/>
      <c r="C418" s="766"/>
      <c r="D418" s="14"/>
      <c r="E418" s="726"/>
      <c r="F418" s="1920"/>
      <c r="G418" s="1920"/>
      <c r="H418" s="1920"/>
      <c r="I418" s="1920"/>
      <c r="J418" s="1920"/>
      <c r="K418" s="1920"/>
      <c r="L418" s="1920"/>
      <c r="M418" s="1920"/>
      <c r="N418" s="1920"/>
      <c r="O418" s="1920"/>
      <c r="P418" s="1920"/>
      <c r="Q418" s="1920"/>
      <c r="R418" s="1920"/>
      <c r="S418" s="1920"/>
      <c r="T418" s="1920"/>
      <c r="U418" s="1920"/>
      <c r="V418" s="1920"/>
      <c r="W418" s="1920"/>
      <c r="X418" s="1920"/>
      <c r="Y418" s="1920"/>
      <c r="Z418" s="1920"/>
      <c r="AA418" s="1920"/>
      <c r="AB418" s="1920"/>
      <c r="AC418" s="1920"/>
      <c r="AD418" s="1920"/>
      <c r="AE418" s="1920"/>
      <c r="AL418" s="767"/>
      <c r="AM418" s="605"/>
      <c r="AN418" s="632"/>
    </row>
    <row r="419" spans="1:60" s="585" customFormat="1" ht="12.75" customHeight="1">
      <c r="A419" s="571"/>
      <c r="B419" s="14"/>
      <c r="C419" s="1929" t="s">
        <v>600</v>
      </c>
      <c r="D419" s="1930"/>
      <c r="E419" s="726"/>
      <c r="F419" s="756" t="s">
        <v>1660</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88" t="s">
        <v>1638</v>
      </c>
      <c r="AG419" s="1988"/>
      <c r="AH419" s="1988"/>
      <c r="AI419" s="1988"/>
      <c r="AJ419" s="1988"/>
      <c r="AK419" s="1988"/>
      <c r="AL419" s="2018"/>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1661</v>
      </c>
      <c r="F422" s="1919" t="s">
        <v>1662</v>
      </c>
      <c r="G422" s="1919"/>
      <c r="H422" s="1919"/>
      <c r="I422" s="1919"/>
      <c r="J422" s="1919"/>
      <c r="K422" s="1919"/>
      <c r="L422" s="1919"/>
      <c r="M422" s="1919"/>
      <c r="N422" s="1919"/>
      <c r="O422" s="1919"/>
      <c r="P422" s="1919"/>
      <c r="Q422" s="1919"/>
      <c r="R422" s="1919"/>
      <c r="S422" s="1919"/>
      <c r="T422" s="1919"/>
      <c r="U422" s="1919"/>
      <c r="V422" s="1919"/>
      <c r="W422" s="1919"/>
      <c r="X422" s="1919"/>
      <c r="Y422" s="1919"/>
      <c r="Z422" s="1919"/>
      <c r="AA422" s="1919"/>
      <c r="AB422" s="1919"/>
      <c r="AC422" s="1919"/>
      <c r="AD422" s="1919"/>
      <c r="AE422" s="1919"/>
      <c r="AF422" s="782"/>
      <c r="AG422" s="782"/>
      <c r="AH422" s="782"/>
      <c r="AI422" s="782"/>
      <c r="AJ422" s="782"/>
      <c r="AK422" s="782"/>
      <c r="AL422" s="783"/>
      <c r="AM422" s="605"/>
      <c r="AO422" s="585"/>
      <c r="AP422" s="585"/>
      <c r="BD422" s="14"/>
      <c r="BE422" s="14"/>
      <c r="BF422" s="14"/>
      <c r="BG422" s="14"/>
      <c r="BH422" s="14"/>
    </row>
    <row r="423" spans="1:60">
      <c r="A423" s="571"/>
      <c r="C423" s="766"/>
      <c r="E423" s="726"/>
      <c r="F423" s="1920"/>
      <c r="G423" s="1920"/>
      <c r="H423" s="1920"/>
      <c r="I423" s="1920"/>
      <c r="J423" s="1920"/>
      <c r="K423" s="1920"/>
      <c r="L423" s="1920"/>
      <c r="M423" s="1920"/>
      <c r="N423" s="1920"/>
      <c r="O423" s="1920"/>
      <c r="P423" s="1920"/>
      <c r="Q423" s="1920"/>
      <c r="R423" s="1920"/>
      <c r="S423" s="1920"/>
      <c r="T423" s="1920"/>
      <c r="U423" s="1920"/>
      <c r="V423" s="1920"/>
      <c r="W423" s="1920"/>
      <c r="X423" s="1920"/>
      <c r="Y423" s="1920"/>
      <c r="Z423" s="1920"/>
      <c r="AA423" s="1920"/>
      <c r="AB423" s="1920"/>
      <c r="AC423" s="1920"/>
      <c r="AD423" s="1920"/>
      <c r="AE423" s="1920"/>
      <c r="AF423" s="629"/>
      <c r="AG423" s="629"/>
      <c r="AH423" s="629"/>
      <c r="AI423" s="629"/>
      <c r="AJ423" s="629"/>
      <c r="AK423" s="629"/>
      <c r="AL423" s="786"/>
      <c r="AM423" s="605"/>
      <c r="AO423" s="585"/>
      <c r="AP423" s="585"/>
    </row>
    <row r="424" spans="1:60" s="585" customFormat="1" ht="12.75" customHeight="1">
      <c r="A424" s="571"/>
      <c r="B424" s="14"/>
      <c r="C424" s="766"/>
      <c r="D424" s="14"/>
      <c r="E424" s="726"/>
      <c r="F424" s="1920"/>
      <c r="G424" s="1920"/>
      <c r="H424" s="1920"/>
      <c r="I424" s="1920"/>
      <c r="J424" s="1920"/>
      <c r="K424" s="1920"/>
      <c r="L424" s="1920"/>
      <c r="M424" s="1920"/>
      <c r="N424" s="1920"/>
      <c r="O424" s="1920"/>
      <c r="P424" s="1920"/>
      <c r="Q424" s="1920"/>
      <c r="R424" s="1920"/>
      <c r="S424" s="1920"/>
      <c r="T424" s="1920"/>
      <c r="U424" s="1920"/>
      <c r="V424" s="1920"/>
      <c r="W424" s="1920"/>
      <c r="X424" s="1920"/>
      <c r="Y424" s="1920"/>
      <c r="Z424" s="1920"/>
      <c r="AA424" s="1920"/>
      <c r="AB424" s="1920"/>
      <c r="AC424" s="1920"/>
      <c r="AD424" s="1920"/>
      <c r="AE424" s="1920"/>
      <c r="AF424" s="629"/>
      <c r="AG424" s="629"/>
      <c r="AH424" s="629"/>
      <c r="AI424" s="629"/>
      <c r="AJ424" s="629"/>
      <c r="AK424" s="629"/>
      <c r="AL424" s="786"/>
      <c r="AM424" s="605"/>
      <c r="AN424" s="632"/>
    </row>
    <row r="425" spans="1:60" s="585" customFormat="1" ht="12.75" customHeight="1">
      <c r="A425" s="571"/>
      <c r="B425" s="14"/>
      <c r="C425" s="787"/>
      <c r="D425" s="765"/>
      <c r="E425" s="754"/>
      <c r="F425" s="1920"/>
      <c r="G425" s="1920"/>
      <c r="H425" s="1920"/>
      <c r="I425" s="1920"/>
      <c r="J425" s="1920"/>
      <c r="K425" s="1920"/>
      <c r="L425" s="1920"/>
      <c r="M425" s="1920"/>
      <c r="N425" s="1920"/>
      <c r="O425" s="1920"/>
      <c r="P425" s="1920"/>
      <c r="Q425" s="1920"/>
      <c r="R425" s="1920"/>
      <c r="S425" s="1920"/>
      <c r="T425" s="1920"/>
      <c r="U425" s="1920"/>
      <c r="V425" s="1920"/>
      <c r="W425" s="1920"/>
      <c r="X425" s="1920"/>
      <c r="Y425" s="1920"/>
      <c r="Z425" s="1920"/>
      <c r="AA425" s="1920"/>
      <c r="AB425" s="1920"/>
      <c r="AC425" s="1920"/>
      <c r="AD425" s="1920"/>
      <c r="AE425" s="1920"/>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20"/>
      <c r="G426" s="1920"/>
      <c r="H426" s="1920"/>
      <c r="I426" s="1920"/>
      <c r="J426" s="1920"/>
      <c r="K426" s="1920"/>
      <c r="L426" s="1920"/>
      <c r="M426" s="1920"/>
      <c r="N426" s="1920"/>
      <c r="O426" s="1920"/>
      <c r="P426" s="1920"/>
      <c r="Q426" s="1920"/>
      <c r="R426" s="1920"/>
      <c r="S426" s="1920"/>
      <c r="T426" s="1920"/>
      <c r="U426" s="1920"/>
      <c r="V426" s="1920"/>
      <c r="W426" s="1920"/>
      <c r="X426" s="1920"/>
      <c r="Y426" s="1920"/>
      <c r="Z426" s="1920"/>
      <c r="AA426" s="1920"/>
      <c r="AB426" s="1920"/>
      <c r="AC426" s="1920"/>
      <c r="AD426" s="1920"/>
      <c r="AE426" s="1920"/>
      <c r="AF426" s="629"/>
      <c r="AG426" s="629"/>
      <c r="AH426" s="629"/>
      <c r="AI426" s="629"/>
      <c r="AJ426" s="629"/>
      <c r="AK426" s="629"/>
      <c r="AL426" s="786"/>
      <c r="AM426" s="605"/>
      <c r="AN426" s="632"/>
    </row>
    <row r="427" spans="1:60" s="585" customFormat="1" ht="12.75" customHeight="1">
      <c r="A427" s="571"/>
      <c r="B427" s="14"/>
      <c r="C427" s="787"/>
      <c r="D427" s="765"/>
      <c r="E427" s="754"/>
      <c r="F427" s="1920"/>
      <c r="G427" s="1920"/>
      <c r="H427" s="1920"/>
      <c r="I427" s="1920"/>
      <c r="J427" s="1920"/>
      <c r="K427" s="1920"/>
      <c r="L427" s="1920"/>
      <c r="M427" s="1920"/>
      <c r="N427" s="1920"/>
      <c r="O427" s="1920"/>
      <c r="P427" s="1920"/>
      <c r="Q427" s="1920"/>
      <c r="R427" s="1920"/>
      <c r="S427" s="1920"/>
      <c r="T427" s="1920"/>
      <c r="U427" s="1920"/>
      <c r="V427" s="1920"/>
      <c r="W427" s="1920"/>
      <c r="X427" s="1920"/>
      <c r="Y427" s="1920"/>
      <c r="Z427" s="1920"/>
      <c r="AA427" s="1920"/>
      <c r="AB427" s="1920"/>
      <c r="AC427" s="1920"/>
      <c r="AD427" s="1920"/>
      <c r="AE427" s="1920"/>
      <c r="AF427" s="629"/>
      <c r="AG427" s="629"/>
      <c r="AH427" s="629"/>
      <c r="AI427" s="629"/>
      <c r="AJ427" s="629"/>
      <c r="AK427" s="629"/>
      <c r="AL427" s="786"/>
      <c r="AM427" s="605"/>
      <c r="AN427" s="632"/>
    </row>
    <row r="428" spans="1:60" s="585" customFormat="1" ht="12.75" customHeight="1">
      <c r="A428" s="571"/>
      <c r="B428" s="14"/>
      <c r="C428" s="787"/>
      <c r="D428" s="765"/>
      <c r="E428" s="754"/>
      <c r="F428" s="1920"/>
      <c r="G428" s="1920"/>
      <c r="H428" s="1920"/>
      <c r="I428" s="1920"/>
      <c r="J428" s="1920"/>
      <c r="K428" s="1920"/>
      <c r="L428" s="1920"/>
      <c r="M428" s="1920"/>
      <c r="N428" s="1920"/>
      <c r="O428" s="1920"/>
      <c r="P428" s="1920"/>
      <c r="Q428" s="1920"/>
      <c r="R428" s="1920"/>
      <c r="S428" s="1920"/>
      <c r="T428" s="1920"/>
      <c r="U428" s="1920"/>
      <c r="V428" s="1920"/>
      <c r="W428" s="1920"/>
      <c r="X428" s="1920"/>
      <c r="Y428" s="1920"/>
      <c r="Z428" s="1920"/>
      <c r="AA428" s="1920"/>
      <c r="AB428" s="1920"/>
      <c r="AC428" s="1920"/>
      <c r="AD428" s="1920"/>
      <c r="AE428" s="1920"/>
      <c r="AF428" s="629"/>
      <c r="AG428" s="629"/>
      <c r="AH428" s="629"/>
      <c r="AI428" s="629"/>
      <c r="AJ428" s="629"/>
      <c r="AK428" s="629"/>
      <c r="AL428" s="786"/>
      <c r="AM428" s="605"/>
      <c r="AN428" s="632"/>
    </row>
    <row r="429" spans="1:60" s="585" customFormat="1" ht="12.75" customHeight="1">
      <c r="A429" s="571"/>
      <c r="B429" s="14"/>
      <c r="C429" s="787"/>
      <c r="D429" s="765"/>
      <c r="E429" s="754"/>
      <c r="F429" s="1920"/>
      <c r="G429" s="1920"/>
      <c r="H429" s="1920"/>
      <c r="I429" s="1920"/>
      <c r="J429" s="1920"/>
      <c r="K429" s="1920"/>
      <c r="L429" s="1920"/>
      <c r="M429" s="1920"/>
      <c r="N429" s="1920"/>
      <c r="O429" s="1920"/>
      <c r="P429" s="1920"/>
      <c r="Q429" s="1920"/>
      <c r="R429" s="1920"/>
      <c r="S429" s="1920"/>
      <c r="T429" s="1920"/>
      <c r="U429" s="1920"/>
      <c r="V429" s="1920"/>
      <c r="W429" s="1920"/>
      <c r="X429" s="1920"/>
      <c r="Y429" s="1920"/>
      <c r="Z429" s="1920"/>
      <c r="AA429" s="1920"/>
      <c r="AB429" s="1920"/>
      <c r="AC429" s="1920"/>
      <c r="AD429" s="1920"/>
      <c r="AE429" s="1920"/>
      <c r="AF429" s="629"/>
      <c r="AG429" s="629"/>
      <c r="AH429" s="629"/>
      <c r="AI429" s="629"/>
      <c r="AJ429" s="629"/>
      <c r="AK429" s="629"/>
      <c r="AL429" s="786"/>
      <c r="AM429" s="605"/>
      <c r="AN429" s="632"/>
    </row>
    <row r="430" spans="1:60" s="585" customFormat="1" ht="17.25" customHeight="1">
      <c r="A430" s="571"/>
      <c r="B430" s="14"/>
      <c r="C430" s="787"/>
      <c r="D430" s="765"/>
      <c r="E430" s="754"/>
      <c r="F430" s="1920"/>
      <c r="G430" s="1920"/>
      <c r="H430" s="1920"/>
      <c r="I430" s="1920"/>
      <c r="J430" s="1920"/>
      <c r="K430" s="1920"/>
      <c r="L430" s="1920"/>
      <c r="M430" s="1920"/>
      <c r="N430" s="1920"/>
      <c r="O430" s="1920"/>
      <c r="P430" s="1920"/>
      <c r="Q430" s="1920"/>
      <c r="R430" s="1920"/>
      <c r="S430" s="1920"/>
      <c r="T430" s="1920"/>
      <c r="U430" s="1920"/>
      <c r="V430" s="1920"/>
      <c r="W430" s="1920"/>
      <c r="X430" s="1920"/>
      <c r="Y430" s="1920"/>
      <c r="Z430" s="1920"/>
      <c r="AA430" s="1920"/>
      <c r="AB430" s="1920"/>
      <c r="AC430" s="1920"/>
      <c r="AD430" s="1920"/>
      <c r="AE430" s="1920"/>
      <c r="AL430" s="767"/>
      <c r="AM430" s="605"/>
      <c r="AN430" s="632"/>
    </row>
    <row r="431" spans="1:60" s="585" customFormat="1" ht="12.75" customHeight="1">
      <c r="A431" s="571"/>
      <c r="B431" s="14"/>
      <c r="C431" s="1929" t="s">
        <v>600</v>
      </c>
      <c r="D431" s="1930"/>
      <c r="E431" s="754"/>
      <c r="F431" s="631" t="s">
        <v>1663</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88" t="s">
        <v>1638</v>
      </c>
      <c r="AG431" s="1988"/>
      <c r="AH431" s="1988"/>
      <c r="AI431" s="1988"/>
      <c r="AJ431" s="1988"/>
      <c r="AK431" s="1988"/>
      <c r="AL431" s="2018"/>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1664</v>
      </c>
      <c r="F434" s="1919" t="s">
        <v>1665</v>
      </c>
      <c r="G434" s="1919"/>
      <c r="H434" s="1919"/>
      <c r="I434" s="1919"/>
      <c r="J434" s="1919"/>
      <c r="K434" s="1919"/>
      <c r="L434" s="1919"/>
      <c r="M434" s="1919"/>
      <c r="N434" s="1919"/>
      <c r="O434" s="1919"/>
      <c r="P434" s="1919"/>
      <c r="Q434" s="1919"/>
      <c r="R434" s="1919"/>
      <c r="S434" s="1919"/>
      <c r="T434" s="1919"/>
      <c r="U434" s="1919"/>
      <c r="V434" s="1919"/>
      <c r="W434" s="1919"/>
      <c r="X434" s="1919"/>
      <c r="Y434" s="1919"/>
      <c r="Z434" s="1919"/>
      <c r="AA434" s="1919"/>
      <c r="AB434" s="1919"/>
      <c r="AC434" s="1919"/>
      <c r="AD434" s="1919"/>
      <c r="AE434" s="1919"/>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1920"/>
      <c r="G435" s="1920"/>
      <c r="H435" s="1920"/>
      <c r="I435" s="1920"/>
      <c r="J435" s="1920"/>
      <c r="K435" s="1920"/>
      <c r="L435" s="1920"/>
      <c r="M435" s="1920"/>
      <c r="N435" s="1920"/>
      <c r="O435" s="1920"/>
      <c r="P435" s="1920"/>
      <c r="Q435" s="1920"/>
      <c r="R435" s="1920"/>
      <c r="S435" s="1920"/>
      <c r="T435" s="1920"/>
      <c r="U435" s="1920"/>
      <c r="V435" s="1920"/>
      <c r="W435" s="1920"/>
      <c r="X435" s="1920"/>
      <c r="Y435" s="1920"/>
      <c r="Z435" s="1920"/>
      <c r="AA435" s="1920"/>
      <c r="AB435" s="1920"/>
      <c r="AC435" s="1920"/>
      <c r="AD435" s="1920"/>
      <c r="AE435" s="1920"/>
      <c r="AF435" s="626"/>
      <c r="AG435" s="626"/>
      <c r="AH435" s="626"/>
      <c r="AI435" s="626"/>
      <c r="AJ435" s="626"/>
      <c r="AK435" s="626"/>
      <c r="AL435" s="755"/>
      <c r="AM435" s="605"/>
      <c r="AN435" s="632"/>
      <c r="AO435" s="585" t="s">
        <v>1666</v>
      </c>
      <c r="AP435" s="585">
        <v>5</v>
      </c>
      <c r="AQ435" s="788"/>
    </row>
    <row r="436" spans="1:54" s="585" customFormat="1" ht="12.75" customHeight="1">
      <c r="A436" s="571"/>
      <c r="B436" s="14"/>
      <c r="C436" s="787"/>
      <c r="D436" s="765"/>
      <c r="E436" s="754"/>
      <c r="F436" s="1920"/>
      <c r="G436" s="1920"/>
      <c r="H436" s="1920"/>
      <c r="I436" s="1920"/>
      <c r="J436" s="1920"/>
      <c r="K436" s="1920"/>
      <c r="L436" s="1920"/>
      <c r="M436" s="1920"/>
      <c r="N436" s="1920"/>
      <c r="O436" s="1920"/>
      <c r="P436" s="1920"/>
      <c r="Q436" s="1920"/>
      <c r="R436" s="1920"/>
      <c r="S436" s="1920"/>
      <c r="T436" s="1920"/>
      <c r="U436" s="1920"/>
      <c r="V436" s="1920"/>
      <c r="W436" s="1920"/>
      <c r="X436" s="1920"/>
      <c r="Y436" s="1920"/>
      <c r="Z436" s="1920"/>
      <c r="AA436" s="1920"/>
      <c r="AB436" s="1920"/>
      <c r="AC436" s="1920"/>
      <c r="AD436" s="1920"/>
      <c r="AE436" s="1920"/>
      <c r="AF436" s="626"/>
      <c r="AG436" s="626"/>
      <c r="AH436" s="626"/>
      <c r="AI436" s="626"/>
      <c r="AJ436" s="626"/>
      <c r="AK436" s="626"/>
      <c r="AL436" s="755"/>
      <c r="AM436" s="605"/>
      <c r="AN436" s="632"/>
      <c r="AO436" s="585" t="s">
        <v>1667</v>
      </c>
      <c r="AP436" s="585">
        <v>5</v>
      </c>
      <c r="AQ436" s="788"/>
    </row>
    <row r="437" spans="1:54" s="585" customFormat="1" ht="12.75" customHeight="1">
      <c r="A437" s="571"/>
      <c r="B437" s="14"/>
      <c r="C437" s="787"/>
      <c r="D437" s="765"/>
      <c r="E437" s="754"/>
      <c r="F437" s="1920"/>
      <c r="G437" s="1920"/>
      <c r="H437" s="1920"/>
      <c r="I437" s="1920"/>
      <c r="J437" s="1920"/>
      <c r="K437" s="1920"/>
      <c r="L437" s="1920"/>
      <c r="M437" s="1920"/>
      <c r="N437" s="1920"/>
      <c r="O437" s="1920"/>
      <c r="P437" s="1920"/>
      <c r="Q437" s="1920"/>
      <c r="R437" s="1920"/>
      <c r="S437" s="1920"/>
      <c r="T437" s="1920"/>
      <c r="U437" s="1920"/>
      <c r="V437" s="1920"/>
      <c r="W437" s="1920"/>
      <c r="X437" s="1920"/>
      <c r="Y437" s="1920"/>
      <c r="Z437" s="1920"/>
      <c r="AA437" s="1920"/>
      <c r="AB437" s="1920"/>
      <c r="AC437" s="1920"/>
      <c r="AD437" s="1920"/>
      <c r="AE437" s="1920"/>
      <c r="AL437" s="767"/>
      <c r="AM437" s="605"/>
      <c r="AN437" s="632"/>
      <c r="AO437" s="585" t="s">
        <v>1668</v>
      </c>
      <c r="AP437" s="585">
        <v>5</v>
      </c>
      <c r="AQ437" s="571"/>
    </row>
    <row r="438" spans="1:54" s="585" customFormat="1" ht="12.75" customHeight="1">
      <c r="A438" s="571"/>
      <c r="B438" s="14"/>
      <c r="C438" s="1929" t="s">
        <v>600</v>
      </c>
      <c r="D438" s="1930"/>
      <c r="E438" s="754"/>
      <c r="F438" s="756" t="s">
        <v>1669</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88" t="s">
        <v>1638</v>
      </c>
      <c r="AG438" s="1988"/>
      <c r="AH438" s="1988"/>
      <c r="AI438" s="1988"/>
      <c r="AJ438" s="1988"/>
      <c r="AK438" s="1988"/>
      <c r="AL438" s="2018"/>
      <c r="AM438" s="605"/>
      <c r="AN438" s="789"/>
      <c r="AO438" s="585" t="s">
        <v>1670</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1671</v>
      </c>
      <c r="AP439" s="585">
        <v>5</v>
      </c>
    </row>
    <row r="440" spans="1:54" s="585" customFormat="1" ht="12.75" customHeight="1">
      <c r="A440" s="571"/>
      <c r="B440" s="14"/>
      <c r="C440" s="775"/>
      <c r="D440" s="768"/>
      <c r="E440" s="769"/>
      <c r="F440" s="762" t="s">
        <v>1645</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1672</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1673</v>
      </c>
      <c r="AP441" s="585">
        <v>5</v>
      </c>
    </row>
    <row r="442" spans="1:54" s="585" customFormat="1" ht="12.75" customHeight="1">
      <c r="A442" s="571"/>
      <c r="B442" s="14"/>
      <c r="C442" s="2043" t="s">
        <v>600</v>
      </c>
      <c r="D442" s="2044"/>
      <c r="E442" s="750" t="s">
        <v>1674</v>
      </c>
      <c r="F442" s="1919" t="s">
        <v>1675</v>
      </c>
      <c r="G442" s="1919"/>
      <c r="H442" s="1919"/>
      <c r="I442" s="1919"/>
      <c r="J442" s="1919"/>
      <c r="K442" s="1919"/>
      <c r="L442" s="1919"/>
      <c r="M442" s="1919"/>
      <c r="N442" s="1919"/>
      <c r="O442" s="1919"/>
      <c r="P442" s="1919"/>
      <c r="Q442" s="1919"/>
      <c r="R442" s="1919"/>
      <c r="S442" s="1919"/>
      <c r="T442" s="1919"/>
      <c r="U442" s="1919"/>
      <c r="V442" s="1919"/>
      <c r="W442" s="1919"/>
      <c r="X442" s="1919"/>
      <c r="Y442" s="1919"/>
      <c r="Z442" s="1919"/>
      <c r="AA442" s="1919"/>
      <c r="AB442" s="1919"/>
      <c r="AC442" s="1919"/>
      <c r="AD442" s="1919"/>
      <c r="AE442" s="1919"/>
      <c r="AF442" s="2014" t="s">
        <v>1638</v>
      </c>
      <c r="AG442" s="2014"/>
      <c r="AH442" s="2014"/>
      <c r="AI442" s="2014"/>
      <c r="AJ442" s="2014"/>
      <c r="AK442" s="2014"/>
      <c r="AL442" s="2015"/>
      <c r="AM442" s="605"/>
      <c r="AN442" s="789"/>
      <c r="AO442" s="585" t="s">
        <v>1676</v>
      </c>
      <c r="AP442" s="585">
        <v>1</v>
      </c>
    </row>
    <row r="443" spans="1:54" s="585" customFormat="1" ht="12.75" customHeight="1">
      <c r="A443" s="571"/>
      <c r="B443" s="14"/>
      <c r="C443" s="787"/>
      <c r="D443" s="765"/>
      <c r="E443" s="754"/>
      <c r="F443" s="1920"/>
      <c r="G443" s="1920"/>
      <c r="H443" s="1920"/>
      <c r="I443" s="1920"/>
      <c r="J443" s="1920"/>
      <c r="K443" s="1920"/>
      <c r="L443" s="1920"/>
      <c r="M443" s="1920"/>
      <c r="N443" s="1920"/>
      <c r="O443" s="1920"/>
      <c r="P443" s="1920"/>
      <c r="Q443" s="1920"/>
      <c r="R443" s="1920"/>
      <c r="S443" s="1920"/>
      <c r="T443" s="1920"/>
      <c r="U443" s="1920"/>
      <c r="V443" s="1920"/>
      <c r="W443" s="1920"/>
      <c r="X443" s="1920"/>
      <c r="Y443" s="1920"/>
      <c r="Z443" s="1920"/>
      <c r="AA443" s="1920"/>
      <c r="AB443" s="1920"/>
      <c r="AC443" s="1920"/>
      <c r="AD443" s="1920"/>
      <c r="AE443" s="1920"/>
      <c r="AF443" s="626"/>
      <c r="AG443" s="626"/>
      <c r="AH443" s="626"/>
      <c r="AI443" s="626"/>
      <c r="AJ443" s="626"/>
      <c r="AK443" s="626"/>
      <c r="AL443" s="755"/>
      <c r="AM443" s="605"/>
      <c r="AN443" s="790"/>
      <c r="AS443" s="791"/>
      <c r="AW443" s="791" t="s">
        <v>1677</v>
      </c>
      <c r="BA443" s="791" t="s">
        <v>1678</v>
      </c>
    </row>
    <row r="444" spans="1:54" s="585" customFormat="1" ht="17.649999999999999" customHeight="1">
      <c r="A444" s="571"/>
      <c r="B444" s="14"/>
      <c r="C444" s="792"/>
      <c r="D444" s="758"/>
      <c r="E444" s="759"/>
      <c r="F444" s="2002"/>
      <c r="G444" s="2002"/>
      <c r="H444" s="2002"/>
      <c r="I444" s="2002"/>
      <c r="J444" s="2002"/>
      <c r="K444" s="2002"/>
      <c r="L444" s="2002"/>
      <c r="M444" s="2002"/>
      <c r="N444" s="2002"/>
      <c r="O444" s="2002"/>
      <c r="P444" s="2002"/>
      <c r="Q444" s="2002"/>
      <c r="R444" s="2002"/>
      <c r="S444" s="2002"/>
      <c r="T444" s="2002"/>
      <c r="U444" s="2002"/>
      <c r="V444" s="2002"/>
      <c r="W444" s="2002"/>
      <c r="X444" s="2002"/>
      <c r="Y444" s="2002"/>
      <c r="Z444" s="2002"/>
      <c r="AA444" s="2002"/>
      <c r="AB444" s="2002"/>
      <c r="AC444" s="2002"/>
      <c r="AD444" s="2002"/>
      <c r="AE444" s="2002"/>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1679</v>
      </c>
      <c r="AS445" s="672">
        <v>3</v>
      </c>
      <c r="AT445" s="628"/>
      <c r="AW445" s="794">
        <v>0.4</v>
      </c>
      <c r="AX445" s="628">
        <v>3</v>
      </c>
      <c r="BA445" s="794">
        <v>0.4</v>
      </c>
      <c r="BB445" s="628">
        <v>4</v>
      </c>
    </row>
    <row r="446" spans="1:54" s="585" customFormat="1" ht="12.75" customHeight="1">
      <c r="A446" s="571"/>
      <c r="B446" s="14"/>
      <c r="C446" s="1929" t="s">
        <v>600</v>
      </c>
      <c r="D446" s="1930"/>
      <c r="E446" s="750" t="s">
        <v>1680</v>
      </c>
      <c r="F446" s="1919" t="s">
        <v>1681</v>
      </c>
      <c r="G446" s="1919"/>
      <c r="H446" s="1919"/>
      <c r="I446" s="1919"/>
      <c r="J446" s="1919"/>
      <c r="K446" s="1919"/>
      <c r="L446" s="1919"/>
      <c r="M446" s="1919"/>
      <c r="N446" s="1919"/>
      <c r="O446" s="1919"/>
      <c r="P446" s="1919"/>
      <c r="Q446" s="1919"/>
      <c r="R446" s="1919"/>
      <c r="S446" s="1919"/>
      <c r="T446" s="1919"/>
      <c r="U446" s="1919"/>
      <c r="V446" s="1919"/>
      <c r="W446" s="1919"/>
      <c r="X446" s="1919"/>
      <c r="Y446" s="1919"/>
      <c r="Z446" s="1919"/>
      <c r="AA446" s="1919"/>
      <c r="AB446" s="1919"/>
      <c r="AC446" s="1919"/>
      <c r="AD446" s="1919"/>
      <c r="AE446" s="1919"/>
      <c r="AF446" s="2014" t="s">
        <v>1638</v>
      </c>
      <c r="AG446" s="2014"/>
      <c r="AH446" s="2014"/>
      <c r="AI446" s="2014"/>
      <c r="AJ446" s="2014"/>
      <c r="AK446" s="2014"/>
      <c r="AL446" s="2015"/>
      <c r="AM446" s="605"/>
      <c r="AN446" s="570"/>
      <c r="AO446" s="794">
        <v>0.12</v>
      </c>
      <c r="AP446" s="672">
        <v>5</v>
      </c>
      <c r="AR446" s="585" t="s">
        <v>1682</v>
      </c>
      <c r="AS446" s="672">
        <v>5</v>
      </c>
      <c r="AT446" s="628"/>
      <c r="AW446" s="794">
        <v>0.6</v>
      </c>
      <c r="AX446" s="628">
        <v>4</v>
      </c>
      <c r="BA446" s="794">
        <v>0.6</v>
      </c>
      <c r="BB446" s="628">
        <v>5</v>
      </c>
    </row>
    <row r="447" spans="1:54" s="585" customFormat="1" ht="12.75" customHeight="1">
      <c r="A447" s="571"/>
      <c r="B447" s="14"/>
      <c r="C447" s="766"/>
      <c r="D447" s="14"/>
      <c r="E447" s="726"/>
      <c r="F447" s="1920"/>
      <c r="G447" s="1920"/>
      <c r="H447" s="1920"/>
      <c r="I447" s="1920"/>
      <c r="J447" s="1920"/>
      <c r="K447" s="1920"/>
      <c r="L447" s="1920"/>
      <c r="M447" s="1920"/>
      <c r="N447" s="1920"/>
      <c r="O447" s="1920"/>
      <c r="P447" s="1920"/>
      <c r="Q447" s="1920"/>
      <c r="R447" s="1920"/>
      <c r="S447" s="1920"/>
      <c r="T447" s="1920"/>
      <c r="U447" s="1920"/>
      <c r="V447" s="1920"/>
      <c r="W447" s="1920"/>
      <c r="X447" s="1920"/>
      <c r="Y447" s="1920"/>
      <c r="Z447" s="1920"/>
      <c r="AA447" s="1920"/>
      <c r="AB447" s="1920"/>
      <c r="AC447" s="1920"/>
      <c r="AD447" s="1920"/>
      <c r="AE447" s="1920"/>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20"/>
      <c r="G448" s="1920"/>
      <c r="H448" s="1920"/>
      <c r="I448" s="1920"/>
      <c r="J448" s="1920"/>
      <c r="K448" s="1920"/>
      <c r="L448" s="1920"/>
      <c r="M448" s="1920"/>
      <c r="N448" s="1920"/>
      <c r="O448" s="1920"/>
      <c r="P448" s="1920"/>
      <c r="Q448" s="1920"/>
      <c r="R448" s="1920"/>
      <c r="S448" s="1920"/>
      <c r="T448" s="1920"/>
      <c r="U448" s="1920"/>
      <c r="V448" s="1920"/>
      <c r="W448" s="1920"/>
      <c r="X448" s="1920"/>
      <c r="Y448" s="1920"/>
      <c r="Z448" s="1920"/>
      <c r="AA448" s="1920"/>
      <c r="AB448" s="1920"/>
      <c r="AC448" s="1920"/>
      <c r="AD448" s="1920"/>
      <c r="AE448" s="1920"/>
      <c r="AF448" s="574"/>
      <c r="AG448" s="571"/>
      <c r="AL448" s="767"/>
      <c r="AM448" s="605"/>
      <c r="AN448" s="570"/>
      <c r="AO448" s="585" t="s">
        <v>600</v>
      </c>
      <c r="AP448" s="672">
        <v>0</v>
      </c>
      <c r="AW448" s="794"/>
      <c r="AX448" s="628"/>
    </row>
    <row r="449" spans="1:49" s="585" customFormat="1" ht="12.75" customHeight="1">
      <c r="A449" s="571"/>
      <c r="B449" s="14"/>
      <c r="C449" s="792"/>
      <c r="D449" s="758"/>
      <c r="E449" s="759"/>
      <c r="F449" s="2002"/>
      <c r="G449" s="2002"/>
      <c r="H449" s="2002"/>
      <c r="I449" s="2002"/>
      <c r="J449" s="2002"/>
      <c r="K449" s="2002"/>
      <c r="L449" s="2002"/>
      <c r="M449" s="2002"/>
      <c r="N449" s="2002"/>
      <c r="O449" s="2002"/>
      <c r="P449" s="2002"/>
      <c r="Q449" s="2002"/>
      <c r="R449" s="2002"/>
      <c r="S449" s="2002"/>
      <c r="T449" s="2002"/>
      <c r="U449" s="2002"/>
      <c r="V449" s="2002"/>
      <c r="W449" s="2002"/>
      <c r="X449" s="2002"/>
      <c r="Y449" s="2002"/>
      <c r="Z449" s="2002"/>
      <c r="AA449" s="2002"/>
      <c r="AB449" s="2002"/>
      <c r="AC449" s="2002"/>
      <c r="AD449" s="2002"/>
      <c r="AE449" s="2002"/>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1683</v>
      </c>
      <c r="F451" s="1919" t="s">
        <v>1684</v>
      </c>
      <c r="G451" s="1919"/>
      <c r="H451" s="1919"/>
      <c r="I451" s="1919"/>
      <c r="J451" s="1919"/>
      <c r="K451" s="1919"/>
      <c r="L451" s="1919"/>
      <c r="M451" s="1919"/>
      <c r="N451" s="1919"/>
      <c r="O451" s="1919"/>
      <c r="P451" s="1919"/>
      <c r="Q451" s="1919"/>
      <c r="R451" s="1919"/>
      <c r="S451" s="1919"/>
      <c r="T451" s="1919"/>
      <c r="U451" s="1919"/>
      <c r="V451" s="1919"/>
      <c r="W451" s="1919"/>
      <c r="X451" s="1919"/>
      <c r="Y451" s="1919"/>
      <c r="Z451" s="1919"/>
      <c r="AA451" s="1919"/>
      <c r="AB451" s="1919"/>
      <c r="AC451" s="1919"/>
      <c r="AD451" s="1919"/>
      <c r="AE451" s="1919"/>
      <c r="AF451" s="1919"/>
      <c r="AG451" s="779"/>
      <c r="AH451" s="749"/>
      <c r="AI451" s="749"/>
      <c r="AJ451" s="749"/>
      <c r="AK451" s="749"/>
      <c r="AL451" s="780"/>
      <c r="AM451" s="605"/>
      <c r="AN451" s="632"/>
    </row>
    <row r="452" spans="1:49" s="585" customFormat="1" ht="12.75" customHeight="1">
      <c r="A452" s="571"/>
      <c r="B452" s="14"/>
      <c r="C452" s="766"/>
      <c r="D452" s="14"/>
      <c r="E452" s="726"/>
      <c r="F452" s="1920"/>
      <c r="G452" s="1920"/>
      <c r="H452" s="1920"/>
      <c r="I452" s="1920"/>
      <c r="J452" s="1920"/>
      <c r="K452" s="1920"/>
      <c r="L452" s="1920"/>
      <c r="M452" s="1920"/>
      <c r="N452" s="1920"/>
      <c r="O452" s="1920"/>
      <c r="P452" s="1920"/>
      <c r="Q452" s="1920"/>
      <c r="R452" s="1920"/>
      <c r="S452" s="1920"/>
      <c r="T452" s="1920"/>
      <c r="U452" s="1920"/>
      <c r="V452" s="1920"/>
      <c r="W452" s="1920"/>
      <c r="X452" s="1920"/>
      <c r="Y452" s="1920"/>
      <c r="Z452" s="1920"/>
      <c r="AA452" s="1920"/>
      <c r="AB452" s="1920"/>
      <c r="AC452" s="1920"/>
      <c r="AD452" s="1920"/>
      <c r="AE452" s="1920"/>
      <c r="AF452" s="1920"/>
      <c r="AL452" s="767"/>
      <c r="AM452" s="605"/>
      <c r="AN452" s="632"/>
    </row>
    <row r="453" spans="1:49" s="585" customFormat="1" ht="12.75" customHeight="1">
      <c r="A453" s="571"/>
      <c r="B453" s="14"/>
      <c r="C453" s="774"/>
      <c r="F453" s="1920"/>
      <c r="G453" s="1920"/>
      <c r="H453" s="1920"/>
      <c r="I453" s="1920"/>
      <c r="J453" s="1920"/>
      <c r="K453" s="1920"/>
      <c r="L453" s="1920"/>
      <c r="M453" s="1920"/>
      <c r="N453" s="1920"/>
      <c r="O453" s="1920"/>
      <c r="P453" s="1920"/>
      <c r="Q453" s="1920"/>
      <c r="R453" s="1920"/>
      <c r="S453" s="1920"/>
      <c r="T453" s="1920"/>
      <c r="U453" s="1920"/>
      <c r="V453" s="1920"/>
      <c r="W453" s="1920"/>
      <c r="X453" s="1920"/>
      <c r="Y453" s="1920"/>
      <c r="Z453" s="1920"/>
      <c r="AA453" s="1920"/>
      <c r="AB453" s="1920"/>
      <c r="AC453" s="1920"/>
      <c r="AD453" s="1920"/>
      <c r="AE453" s="1920"/>
      <c r="AF453" s="1920"/>
      <c r="AL453" s="767"/>
      <c r="AM453" s="605"/>
      <c r="AN453" s="632"/>
    </row>
    <row r="454" spans="1:49" s="585" customFormat="1" ht="12.75" customHeight="1">
      <c r="A454" s="571"/>
      <c r="B454" s="14"/>
      <c r="C454" s="774"/>
      <c r="F454" s="1920"/>
      <c r="G454" s="1920"/>
      <c r="H454" s="1920"/>
      <c r="I454" s="1920"/>
      <c r="J454" s="1920"/>
      <c r="K454" s="1920"/>
      <c r="L454" s="1920"/>
      <c r="M454" s="1920"/>
      <c r="N454" s="1920"/>
      <c r="O454" s="1920"/>
      <c r="P454" s="1920"/>
      <c r="Q454" s="1920"/>
      <c r="R454" s="1920"/>
      <c r="S454" s="1920"/>
      <c r="T454" s="1920"/>
      <c r="U454" s="1920"/>
      <c r="V454" s="1920"/>
      <c r="W454" s="1920"/>
      <c r="X454" s="1920"/>
      <c r="Y454" s="1920"/>
      <c r="Z454" s="1920"/>
      <c r="AA454" s="1920"/>
      <c r="AB454" s="1920"/>
      <c r="AC454" s="1920"/>
      <c r="AD454" s="1920"/>
      <c r="AE454" s="1920"/>
      <c r="AF454" s="1920"/>
      <c r="AL454" s="767"/>
      <c r="AM454" s="605"/>
      <c r="AN454" s="632"/>
    </row>
    <row r="455" spans="1:49" s="585" customFormat="1" ht="12.75" customHeight="1">
      <c r="A455" s="571"/>
      <c r="B455" s="14"/>
      <c r="C455" s="1929" t="s">
        <v>600</v>
      </c>
      <c r="D455" s="1930"/>
      <c r="E455" s="754"/>
      <c r="F455" s="756" t="s">
        <v>1655</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18" t="s">
        <v>1638</v>
      </c>
      <c r="AG455" s="1918"/>
      <c r="AH455" s="1918"/>
      <c r="AI455" s="1918"/>
      <c r="AJ455" s="1918"/>
      <c r="AK455" s="1918"/>
      <c r="AL455" s="1931"/>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1685</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1686</v>
      </c>
      <c r="AK458" s="1915">
        <f>IF(Application!D213="N/A",AS347,AS349)</f>
        <v>10</v>
      </c>
      <c r="AL458" s="1916"/>
      <c r="AM458" s="1917"/>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1687</v>
      </c>
      <c r="C461" s="574"/>
      <c r="E461" s="631"/>
      <c r="AE461" s="1918" t="s">
        <v>1688</v>
      </c>
      <c r="AF461" s="1918"/>
      <c r="AG461" s="1918"/>
      <c r="AH461" s="1918"/>
      <c r="AI461" s="1918"/>
      <c r="AJ461" s="1918"/>
      <c r="AK461" s="1918"/>
      <c r="AL461" s="626"/>
      <c r="AN461" s="632"/>
      <c r="AO461" s="585" t="s">
        <v>1666</v>
      </c>
      <c r="AP461" s="585">
        <v>5</v>
      </c>
    </row>
    <row r="462" spans="1:49" s="585" customFormat="1" ht="12.75" hidden="1" customHeight="1">
      <c r="A462" s="574"/>
      <c r="B462" s="571" t="s">
        <v>1689</v>
      </c>
      <c r="C462" s="574"/>
      <c r="E462" s="631"/>
      <c r="AE462" s="626"/>
      <c r="AF462" s="626"/>
      <c r="AG462" s="626"/>
      <c r="AH462" s="626"/>
      <c r="AI462" s="626"/>
      <c r="AJ462" s="626"/>
      <c r="AK462" s="626"/>
      <c r="AL462" s="626"/>
      <c r="AN462" s="632"/>
      <c r="AO462" s="585" t="s">
        <v>1690</v>
      </c>
      <c r="AP462" s="585">
        <v>5</v>
      </c>
    </row>
    <row r="463" spans="1:49" s="585" customFormat="1" ht="12.75" hidden="1" customHeight="1">
      <c r="A463" s="574"/>
      <c r="B463" s="574" t="s">
        <v>1691</v>
      </c>
      <c r="C463" s="574"/>
      <c r="E463" s="631"/>
      <c r="AE463" s="626"/>
      <c r="AF463" s="626"/>
      <c r="AG463" s="626"/>
      <c r="AH463" s="626"/>
      <c r="AI463" s="626"/>
      <c r="AJ463" s="626"/>
      <c r="AK463" s="626"/>
      <c r="AL463" s="626"/>
      <c r="AN463" s="632"/>
      <c r="AO463" s="585" t="s">
        <v>1668</v>
      </c>
      <c r="AP463" s="585">
        <v>5</v>
      </c>
      <c r="AQ463" s="574"/>
      <c r="AR463" s="574"/>
      <c r="AS463" s="791"/>
      <c r="AW463" s="791"/>
    </row>
    <row r="464" spans="1:49" s="585" customFormat="1" ht="12.75" hidden="1" customHeight="1">
      <c r="A464" s="574"/>
      <c r="B464" s="574" t="s">
        <v>1692</v>
      </c>
      <c r="C464" s="574"/>
      <c r="E464" s="631"/>
      <c r="AE464" s="626"/>
      <c r="AF464" s="626"/>
      <c r="AG464" s="626"/>
      <c r="AH464" s="626"/>
      <c r="AI464" s="626"/>
      <c r="AJ464" s="626"/>
      <c r="AK464" s="626"/>
      <c r="AL464" s="626"/>
      <c r="AN464" s="632"/>
      <c r="AO464" s="585" t="s">
        <v>1670</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1671</v>
      </c>
      <c r="AP465" s="585">
        <v>5</v>
      </c>
      <c r="AQ465" s="574"/>
      <c r="AR465" s="574"/>
      <c r="AW465" s="714"/>
    </row>
    <row r="466" spans="1:50" s="585" customFormat="1" ht="12.75" hidden="1" customHeight="1">
      <c r="A466" s="574"/>
      <c r="C466" s="747" t="s">
        <v>1693</v>
      </c>
      <c r="D466" s="605"/>
      <c r="AE466" s="626"/>
      <c r="AF466" s="626"/>
      <c r="AG466" s="631"/>
      <c r="AH466" s="631"/>
      <c r="AI466" s="631"/>
      <c r="AJ466" s="631"/>
      <c r="AK466" s="631"/>
      <c r="AL466" s="631"/>
      <c r="AN466" s="632"/>
      <c r="AO466" s="585" t="s">
        <v>1672</v>
      </c>
      <c r="AP466" s="585">
        <v>5</v>
      </c>
      <c r="AW466" s="714"/>
    </row>
    <row r="467" spans="1:50" s="585" customFormat="1" ht="12.75" hidden="1" customHeight="1">
      <c r="A467" s="574"/>
      <c r="C467" s="1995" t="s">
        <v>600</v>
      </c>
      <c r="D467" s="1996"/>
      <c r="E467" s="797" t="s">
        <v>516</v>
      </c>
      <c r="F467" s="2016" t="s">
        <v>1694</v>
      </c>
      <c r="G467" s="2016"/>
      <c r="H467" s="2016"/>
      <c r="I467" s="2016"/>
      <c r="J467" s="2016"/>
      <c r="K467" s="2016"/>
      <c r="L467" s="2016"/>
      <c r="M467" s="2016"/>
      <c r="N467" s="2016"/>
      <c r="O467" s="2016"/>
      <c r="P467" s="2016"/>
      <c r="Q467" s="2016"/>
      <c r="R467" s="2016"/>
      <c r="S467" s="2016"/>
      <c r="T467" s="2016"/>
      <c r="U467" s="2016"/>
      <c r="V467" s="2016"/>
      <c r="W467" s="2016"/>
      <c r="X467" s="2016"/>
      <c r="Y467" s="2016"/>
      <c r="Z467" s="2016"/>
      <c r="AA467" s="2016"/>
      <c r="AB467" s="2016"/>
      <c r="AC467" s="2016"/>
      <c r="AD467" s="2016"/>
      <c r="AE467" s="2016"/>
      <c r="AF467" s="749"/>
      <c r="AG467" s="749"/>
      <c r="AH467" s="749"/>
      <c r="AI467" s="749"/>
      <c r="AJ467" s="749"/>
      <c r="AK467" s="780"/>
      <c r="AN467" s="632"/>
      <c r="AO467" s="585" t="s">
        <v>1695</v>
      </c>
      <c r="AP467" s="585">
        <v>5</v>
      </c>
      <c r="AS467" s="794"/>
      <c r="AT467" s="628"/>
      <c r="AW467" s="714"/>
      <c r="AX467" s="672"/>
    </row>
    <row r="468" spans="1:50" s="585" customFormat="1" ht="12.75" hidden="1" customHeight="1">
      <c r="C468" s="798"/>
      <c r="E468" s="799"/>
      <c r="F468" s="2017"/>
      <c r="G468" s="2017"/>
      <c r="H468" s="2017"/>
      <c r="I468" s="2017"/>
      <c r="J468" s="2017"/>
      <c r="K468" s="2017"/>
      <c r="L468" s="2017"/>
      <c r="M468" s="2017"/>
      <c r="N468" s="2017"/>
      <c r="O468" s="2017"/>
      <c r="P468" s="2017"/>
      <c r="Q468" s="2017"/>
      <c r="R468" s="2017"/>
      <c r="S468" s="2017"/>
      <c r="T468" s="2017"/>
      <c r="U468" s="2017"/>
      <c r="V468" s="2017"/>
      <c r="W468" s="2017"/>
      <c r="X468" s="2017"/>
      <c r="Y468" s="2017"/>
      <c r="Z468" s="2017"/>
      <c r="AA468" s="2017"/>
      <c r="AB468" s="2017"/>
      <c r="AC468" s="2017"/>
      <c r="AD468" s="2017"/>
      <c r="AE468" s="2017"/>
      <c r="AG468" s="586"/>
      <c r="AH468" s="586"/>
      <c r="AI468" s="586"/>
      <c r="AJ468" s="586"/>
      <c r="AK468" s="767"/>
      <c r="AN468" s="632"/>
      <c r="AO468" s="585" t="s">
        <v>1676</v>
      </c>
      <c r="AP468" s="585">
        <v>1</v>
      </c>
    </row>
    <row r="469" spans="1:50" s="585" customFormat="1" ht="12.75" hidden="1" customHeight="1">
      <c r="C469" s="800"/>
      <c r="D469" s="762"/>
      <c r="E469" s="801"/>
      <c r="F469" s="2011" t="s">
        <v>600</v>
      </c>
      <c r="G469" s="2011"/>
      <c r="H469" s="2011"/>
      <c r="I469" s="2011"/>
      <c r="J469" s="2011"/>
      <c r="K469" s="2011"/>
      <c r="L469" s="2011"/>
      <c r="M469" s="2011"/>
      <c r="N469" s="2011"/>
      <c r="O469" s="2011"/>
      <c r="P469" s="2011"/>
      <c r="Q469" s="2011"/>
      <c r="R469" s="2011"/>
      <c r="S469" s="2011"/>
      <c r="T469" s="2011"/>
      <c r="U469" s="2011"/>
      <c r="V469" s="2011"/>
      <c r="W469" s="2011"/>
      <c r="X469" s="2011"/>
      <c r="Y469" s="2011"/>
      <c r="Z469" s="2011"/>
      <c r="AA469" s="802"/>
      <c r="AB469" s="693"/>
      <c r="AC469" s="693"/>
      <c r="AD469" s="762"/>
      <c r="AE469" s="762"/>
      <c r="AF469" s="762"/>
      <c r="AG469" s="803">
        <f>IF($C$467="Yes",(VLOOKUP($F$469,$AO$434:$AP$442,2,FALSE)),0)</f>
        <v>0</v>
      </c>
      <c r="AH469" s="804" t="s">
        <v>1500</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2012" t="s">
        <v>554</v>
      </c>
      <c r="D471" s="2013"/>
      <c r="E471" s="797" t="s">
        <v>769</v>
      </c>
      <c r="F471" s="805" t="s">
        <v>1696</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1697</v>
      </c>
      <c r="F472" s="807" t="s">
        <v>1698</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1699</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1700</v>
      </c>
      <c r="G474" s="585"/>
      <c r="H474" s="585"/>
      <c r="I474" s="807"/>
      <c r="J474" s="807"/>
      <c r="K474" s="807"/>
      <c r="L474" s="807"/>
      <c r="M474" s="807"/>
      <c r="N474" s="807"/>
      <c r="O474" s="807"/>
      <c r="P474" s="807"/>
      <c r="Q474" s="807"/>
      <c r="R474" s="807"/>
      <c r="S474" s="807"/>
      <c r="T474" s="807"/>
      <c r="U474" s="807"/>
      <c r="V474" s="1924" t="s">
        <v>600</v>
      </c>
      <c r="W474" s="1924"/>
      <c r="X474" s="1924"/>
      <c r="Y474" s="807"/>
      <c r="Z474" s="807"/>
      <c r="AA474" s="807"/>
      <c r="AB474" s="807"/>
      <c r="AC474" s="807"/>
      <c r="AD474" s="644"/>
      <c r="AE474" s="644"/>
      <c r="AF474" s="644"/>
      <c r="AG474" s="648">
        <f>IF(AND($C$471="Yes",$V$476="N/A",$V$481="N/A",$V$485="N/A",$V$487="N/A"),(VLOOKUP(V474,$AR$444:$AS$446,2,FALSE)),0)</f>
        <v>0</v>
      </c>
      <c r="AH474" s="675" t="s">
        <v>1500</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1701</v>
      </c>
      <c r="G476" s="585"/>
      <c r="H476" s="585"/>
      <c r="I476" s="807"/>
      <c r="J476" s="807"/>
      <c r="K476" s="807"/>
      <c r="L476" s="807"/>
      <c r="M476" s="807"/>
      <c r="N476" s="807"/>
      <c r="O476" s="807"/>
      <c r="P476" s="807"/>
      <c r="Q476" s="807"/>
      <c r="R476" s="807"/>
      <c r="S476" s="807"/>
      <c r="T476" s="807"/>
      <c r="U476" s="807"/>
      <c r="V476" s="1924" t="s">
        <v>600</v>
      </c>
      <c r="W476" s="1924"/>
      <c r="X476" s="1924"/>
      <c r="Y476" s="807"/>
      <c r="Z476" s="807"/>
      <c r="AA476" s="807"/>
      <c r="AB476" s="807"/>
      <c r="AC476" s="807"/>
      <c r="AD476" s="644"/>
      <c r="AE476" s="644"/>
      <c r="AF476" s="644"/>
      <c r="AG476" s="648">
        <f>IF(AND($C$471="Yes",$V$474="N/A", $V$481="N/A",$V$485="N/A",$V$487="N/A"),(VLOOKUP(V476,$AO$444:$AP$446,2,FALSE)),0)</f>
        <v>0</v>
      </c>
      <c r="AH476" s="675" t="s">
        <v>1500</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1702</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1703</v>
      </c>
      <c r="AP478" s="672">
        <v>2</v>
      </c>
    </row>
    <row r="479" spans="1:50" s="585" customFormat="1" ht="12.75" hidden="1" customHeight="1">
      <c r="C479" s="798"/>
      <c r="F479" s="644" t="s">
        <v>1704</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1705</v>
      </c>
      <c r="AP479" s="585">
        <v>2</v>
      </c>
    </row>
    <row r="480" spans="1:50" s="631" customFormat="1" ht="12.75" hidden="1" customHeight="1">
      <c r="A480" s="585"/>
      <c r="B480" s="585"/>
      <c r="C480" s="774"/>
      <c r="D480" s="605"/>
      <c r="E480" s="605"/>
      <c r="F480" s="644" t="s">
        <v>1706</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1707</v>
      </c>
      <c r="AP480" s="585">
        <v>2</v>
      </c>
    </row>
    <row r="481" spans="1:81" s="585" customFormat="1" ht="12.75" hidden="1" customHeight="1">
      <c r="C481" s="813"/>
      <c r="F481" s="811" t="s">
        <v>1708</v>
      </c>
      <c r="M481" s="799"/>
      <c r="N481" s="799"/>
      <c r="O481" s="799"/>
      <c r="P481" s="799"/>
      <c r="Q481" s="586"/>
      <c r="R481" s="586"/>
      <c r="S481" s="586"/>
      <c r="T481" s="586"/>
      <c r="U481" s="586"/>
      <c r="V481" s="1924" t="s">
        <v>600</v>
      </c>
      <c r="W481" s="1924"/>
      <c r="X481" s="1924"/>
      <c r="Y481" s="586"/>
      <c r="Z481" s="586"/>
      <c r="AA481" s="586"/>
      <c r="AB481" s="586"/>
      <c r="AC481" s="586"/>
      <c r="AG481" s="648">
        <f>IF(AND($C$471="Yes",$V$474="N/A",$V$476="N/A", $V$485="N/A",$V$487="N/A"),(VLOOKUP($V$481,$AO$448:$AP$450,2,FALSE)),0)</f>
        <v>0</v>
      </c>
      <c r="AH481" s="675" t="s">
        <v>1500</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1709</v>
      </c>
      <c r="D483" s="749"/>
      <c r="E483" s="749"/>
      <c r="F483" s="816" t="s">
        <v>1710</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1998"/>
      <c r="E484" s="1998"/>
      <c r="F484" s="807" t="s">
        <v>1711</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1712</v>
      </c>
      <c r="AP484" s="672">
        <v>5</v>
      </c>
      <c r="AQ484" s="574"/>
    </row>
    <row r="485" spans="1:81" s="605" customFormat="1" ht="12.75" hidden="1" customHeight="1">
      <c r="A485" s="714"/>
      <c r="B485" s="585"/>
      <c r="C485" s="798"/>
      <c r="D485" s="585"/>
      <c r="E485" s="585"/>
      <c r="F485" s="818" t="s">
        <v>1700</v>
      </c>
      <c r="G485" s="585"/>
      <c r="H485" s="585"/>
      <c r="I485" s="585"/>
      <c r="J485" s="585"/>
      <c r="K485" s="585"/>
      <c r="L485" s="585"/>
      <c r="M485" s="585"/>
      <c r="N485" s="585"/>
      <c r="O485" s="585"/>
      <c r="P485" s="585"/>
      <c r="Q485" s="585"/>
      <c r="R485" s="585"/>
      <c r="S485" s="585"/>
      <c r="T485" s="585"/>
      <c r="U485" s="585"/>
      <c r="V485" s="1924" t="s">
        <v>600</v>
      </c>
      <c r="W485" s="1924"/>
      <c r="X485" s="1924"/>
      <c r="Y485" s="585"/>
      <c r="Z485" s="585"/>
      <c r="AA485" s="585"/>
      <c r="AB485" s="585"/>
      <c r="AC485" s="585"/>
      <c r="AD485" s="585"/>
      <c r="AE485" s="585"/>
      <c r="AF485" s="585"/>
      <c r="AG485" s="648">
        <f>IF(AND($C$471="Yes",$V$474="N/A",V476="N/A",$V$481="N/A",$V$487="N/A"),(VLOOKUP($V$485,$AW$444:$AX$447,2,FALSE)),0)</f>
        <v>0</v>
      </c>
      <c r="AH485" s="675" t="s">
        <v>1500</v>
      </c>
      <c r="AI485" s="586"/>
      <c r="AJ485" s="585"/>
      <c r="AK485" s="767"/>
      <c r="AL485" s="585"/>
      <c r="AM485" s="585"/>
      <c r="AN485" s="719"/>
      <c r="AO485" s="585" t="s">
        <v>1713</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1714</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1701</v>
      </c>
      <c r="G487" s="802"/>
      <c r="H487" s="802"/>
      <c r="I487" s="762"/>
      <c r="J487" s="762"/>
      <c r="K487" s="762"/>
      <c r="L487" s="762"/>
      <c r="M487" s="762"/>
      <c r="N487" s="762"/>
      <c r="O487" s="762"/>
      <c r="P487" s="762"/>
      <c r="Q487" s="762"/>
      <c r="R487" s="762"/>
      <c r="S487" s="762"/>
      <c r="T487" s="762"/>
      <c r="U487" s="762"/>
      <c r="V487" s="1924" t="s">
        <v>600</v>
      </c>
      <c r="W487" s="1924"/>
      <c r="X487" s="1924"/>
      <c r="Y487" s="762"/>
      <c r="Z487" s="762"/>
      <c r="AA487" s="762"/>
      <c r="AB487" s="762"/>
      <c r="AC487" s="762"/>
      <c r="AD487" s="762"/>
      <c r="AE487" s="762"/>
      <c r="AF487" s="762"/>
      <c r="AG487" s="819">
        <f>IF(AND($C$471="Yes",$V$474="N/A",$V$476="N/A",$V$481="N/A",$V$485="N/A"),(VLOOKUP($V$487,$BA$444:$BB$446,2,FALSE)),0)</f>
        <v>0</v>
      </c>
      <c r="AH487" s="804" t="s">
        <v>1500</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1715</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95" t="s">
        <v>600</v>
      </c>
      <c r="D490" s="1996"/>
      <c r="E490" s="797" t="s">
        <v>516</v>
      </c>
      <c r="F490" s="2016" t="s">
        <v>1694</v>
      </c>
      <c r="G490" s="2016"/>
      <c r="H490" s="2016"/>
      <c r="I490" s="2016"/>
      <c r="J490" s="2016"/>
      <c r="K490" s="2016"/>
      <c r="L490" s="2016"/>
      <c r="M490" s="2016"/>
      <c r="N490" s="2016"/>
      <c r="O490" s="2016"/>
      <c r="P490" s="2016"/>
      <c r="Q490" s="2016"/>
      <c r="R490" s="2016"/>
      <c r="S490" s="2016"/>
      <c r="T490" s="2016"/>
      <c r="U490" s="2016"/>
      <c r="V490" s="2016"/>
      <c r="W490" s="2016"/>
      <c r="X490" s="2016"/>
      <c r="Y490" s="2016"/>
      <c r="Z490" s="2016"/>
      <c r="AA490" s="2016"/>
      <c r="AB490" s="2016"/>
      <c r="AC490" s="2016"/>
      <c r="AD490" s="2016"/>
      <c r="AE490" s="2016"/>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17"/>
      <c r="G491" s="2017"/>
      <c r="H491" s="2017"/>
      <c r="I491" s="2017"/>
      <c r="J491" s="2017"/>
      <c r="K491" s="2017"/>
      <c r="L491" s="2017"/>
      <c r="M491" s="2017"/>
      <c r="N491" s="2017"/>
      <c r="O491" s="2017"/>
      <c r="P491" s="2017"/>
      <c r="Q491" s="2017"/>
      <c r="R491" s="2017"/>
      <c r="S491" s="2017"/>
      <c r="T491" s="2017"/>
      <c r="U491" s="2017"/>
      <c r="V491" s="2017"/>
      <c r="W491" s="2017"/>
      <c r="X491" s="2017"/>
      <c r="Y491" s="2017"/>
      <c r="Z491" s="2017"/>
      <c r="AA491" s="2017"/>
      <c r="AB491" s="2017"/>
      <c r="AC491" s="2017"/>
      <c r="AD491" s="2017"/>
      <c r="AE491" s="2017"/>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03" t="s">
        <v>600</v>
      </c>
      <c r="G492" s="2003"/>
      <c r="H492" s="2003"/>
      <c r="I492" s="2003"/>
      <c r="J492" s="2003"/>
      <c r="K492" s="2003"/>
      <c r="L492" s="2003"/>
      <c r="M492" s="2003"/>
      <c r="N492" s="2003"/>
      <c r="O492" s="2003"/>
      <c r="P492" s="2003"/>
      <c r="Q492" s="2003"/>
      <c r="R492" s="2003"/>
      <c r="S492" s="2003"/>
      <c r="T492" s="2003"/>
      <c r="U492" s="2003"/>
      <c r="V492" s="2003"/>
      <c r="W492" s="2003"/>
      <c r="X492" s="2003"/>
      <c r="Y492" s="2003"/>
      <c r="Z492" s="2003"/>
      <c r="AA492" s="802"/>
      <c r="AB492" s="693"/>
      <c r="AC492" s="693"/>
      <c r="AD492" s="762"/>
      <c r="AE492" s="762"/>
      <c r="AF492" s="762"/>
      <c r="AG492" s="803">
        <f>IF($C$490="Yes",(VLOOKUP($F$492,$AO$460:$AP$468,2,FALSE)),0)</f>
        <v>0</v>
      </c>
      <c r="AH492" s="804" t="s">
        <v>1500</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95" t="s">
        <v>600</v>
      </c>
      <c r="D494" s="1996"/>
      <c r="E494" s="797" t="s">
        <v>769</v>
      </c>
      <c r="F494" s="2004" t="s">
        <v>1716</v>
      </c>
      <c r="G494" s="2004"/>
      <c r="H494" s="2004"/>
      <c r="I494" s="2004"/>
      <c r="J494" s="2004"/>
      <c r="K494" s="2004"/>
      <c r="L494" s="2004"/>
      <c r="M494" s="2004"/>
      <c r="N494" s="2004"/>
      <c r="O494" s="2004"/>
      <c r="P494" s="2004"/>
      <c r="Q494" s="2004"/>
      <c r="R494" s="2004"/>
      <c r="S494" s="2004"/>
      <c r="T494" s="2004"/>
      <c r="U494" s="2004"/>
      <c r="V494" s="2004"/>
      <c r="W494" s="2004"/>
      <c r="X494" s="2004"/>
      <c r="Y494" s="2004"/>
      <c r="Z494" s="2004"/>
      <c r="AA494" s="2004"/>
      <c r="AB494" s="2004"/>
      <c r="AC494" s="2004"/>
      <c r="AD494" s="2004"/>
      <c r="AE494" s="2004"/>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05"/>
      <c r="G495" s="2005"/>
      <c r="H495" s="2005"/>
      <c r="I495" s="2005"/>
      <c r="J495" s="2005"/>
      <c r="K495" s="2005"/>
      <c r="L495" s="2005"/>
      <c r="M495" s="2005"/>
      <c r="N495" s="2005"/>
      <c r="O495" s="2005"/>
      <c r="P495" s="2005"/>
      <c r="Q495" s="2005"/>
      <c r="R495" s="2005"/>
      <c r="S495" s="2005"/>
      <c r="T495" s="2005"/>
      <c r="U495" s="2005"/>
      <c r="V495" s="2005"/>
      <c r="W495" s="2005"/>
      <c r="X495" s="2005"/>
      <c r="Y495" s="2005"/>
      <c r="Z495" s="2005"/>
      <c r="AA495" s="2005"/>
      <c r="AB495" s="2005"/>
      <c r="AC495" s="2005"/>
      <c r="AD495" s="2005"/>
      <c r="AE495" s="2005"/>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1717</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06" t="s">
        <v>600</v>
      </c>
      <c r="G497" s="2006"/>
      <c r="H497" s="2006"/>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1500</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1995" t="s">
        <v>600</v>
      </c>
      <c r="D499" s="1996"/>
      <c r="E499" s="797" t="s">
        <v>1718</v>
      </c>
      <c r="F499" s="816" t="s">
        <v>1719</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1997"/>
      <c r="D501" s="1998"/>
      <c r="E501" s="808"/>
      <c r="F501" s="586" t="s">
        <v>1720</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1500</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1999" t="s">
        <v>600</v>
      </c>
      <c r="H502" s="1999"/>
      <c r="I502" s="1999"/>
      <c r="J502" s="1999"/>
      <c r="K502" s="1999"/>
      <c r="L502" s="1999"/>
      <c r="M502" s="1999"/>
      <c r="N502" s="1999"/>
      <c r="O502" s="1999"/>
      <c r="P502" s="1999"/>
      <c r="Q502" s="1999"/>
      <c r="R502" s="1999"/>
      <c r="S502" s="1999"/>
      <c r="T502" s="1999"/>
      <c r="U502" s="1999"/>
      <c r="V502" s="1999"/>
      <c r="W502" s="1999"/>
      <c r="X502" s="1999"/>
      <c r="Y502" s="1999"/>
      <c r="Z502" s="1999"/>
      <c r="AA502" s="1999"/>
      <c r="AB502" s="1999"/>
      <c r="AC502" s="1999"/>
      <c r="AD502" s="1999"/>
      <c r="AE502" s="1999"/>
      <c r="AF502" s="1999"/>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00" t="s">
        <v>600</v>
      </c>
      <c r="D504" s="2001"/>
      <c r="F504" s="586" t="s">
        <v>1721</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1500</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1722</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1723</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00" t="s">
        <v>600</v>
      </c>
      <c r="D508" s="2001"/>
      <c r="F508" s="831" t="s">
        <v>1724</v>
      </c>
      <c r="G508" s="1920" t="s">
        <v>1725</v>
      </c>
      <c r="H508" s="1920"/>
      <c r="I508" s="1920"/>
      <c r="J508" s="1920"/>
      <c r="K508" s="1920"/>
      <c r="L508" s="1920"/>
      <c r="M508" s="1920"/>
      <c r="N508" s="1920"/>
      <c r="O508" s="1920"/>
      <c r="P508" s="1920"/>
      <c r="Q508" s="1920"/>
      <c r="R508" s="1920"/>
      <c r="S508" s="1920"/>
      <c r="T508" s="1920"/>
      <c r="U508" s="1920"/>
      <c r="V508" s="1920"/>
      <c r="W508" s="1920"/>
      <c r="X508" s="1920"/>
      <c r="Y508" s="1920"/>
      <c r="Z508" s="1920"/>
      <c r="AA508" s="1920"/>
      <c r="AB508" s="1920"/>
      <c r="AC508" s="1920"/>
      <c r="AD508" s="1920"/>
      <c r="AE508" s="1920"/>
      <c r="AF508" s="1920"/>
      <c r="AG508" s="648">
        <f>IF(AND($C$508="Yes",$C$499="Yes"),2,0)</f>
        <v>0</v>
      </c>
      <c r="AH508" s="675" t="s">
        <v>1500</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02"/>
      <c r="H509" s="2002"/>
      <c r="I509" s="2002"/>
      <c r="J509" s="2002"/>
      <c r="K509" s="2002"/>
      <c r="L509" s="2002"/>
      <c r="M509" s="2002"/>
      <c r="N509" s="2002"/>
      <c r="O509" s="2002"/>
      <c r="P509" s="2002"/>
      <c r="Q509" s="2002"/>
      <c r="R509" s="2002"/>
      <c r="S509" s="2002"/>
      <c r="T509" s="2002"/>
      <c r="U509" s="2002"/>
      <c r="V509" s="2002"/>
      <c r="W509" s="2002"/>
      <c r="X509" s="2002"/>
      <c r="Y509" s="2002"/>
      <c r="Z509" s="2002"/>
      <c r="AA509" s="2002"/>
      <c r="AB509" s="2002"/>
      <c r="AC509" s="2002"/>
      <c r="AD509" s="2002"/>
      <c r="AE509" s="2002"/>
      <c r="AF509" s="2002"/>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1726</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07" t="s">
        <v>600</v>
      </c>
      <c r="D512" s="2008"/>
      <c r="E512" s="838" t="s">
        <v>1727</v>
      </c>
      <c r="F512" s="807" t="s">
        <v>1728</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1500</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09" t="s">
        <v>600</v>
      </c>
      <c r="G513" s="2009"/>
      <c r="H513" s="2009"/>
      <c r="I513" s="2009"/>
      <c r="J513" s="2009"/>
      <c r="K513" s="2009"/>
      <c r="L513" s="2009"/>
      <c r="M513" s="2009"/>
      <c r="N513" s="2009"/>
      <c r="O513" s="2009"/>
      <c r="P513" s="2009"/>
      <c r="Q513" s="2009"/>
      <c r="R513" s="2009"/>
      <c r="S513" s="2009"/>
      <c r="T513" s="2009"/>
      <c r="U513" s="2009"/>
      <c r="V513" s="2009"/>
      <c r="W513" s="2009"/>
      <c r="X513" s="2009"/>
      <c r="Y513" s="2009"/>
      <c r="Z513" s="2009"/>
      <c r="AA513" s="2009"/>
      <c r="AB513" s="2009"/>
      <c r="AC513" s="2009"/>
      <c r="AD513" s="2009"/>
      <c r="AE513" s="2009"/>
      <c r="AF513" s="2009"/>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10"/>
      <c r="G514" s="2010"/>
      <c r="H514" s="2010"/>
      <c r="I514" s="2010"/>
      <c r="J514" s="2010"/>
      <c r="K514" s="2010"/>
      <c r="L514" s="2010"/>
      <c r="M514" s="2010"/>
      <c r="N514" s="2010"/>
      <c r="O514" s="2010"/>
      <c r="P514" s="2010"/>
      <c r="Q514" s="2010"/>
      <c r="R514" s="2010"/>
      <c r="S514" s="2010"/>
      <c r="T514" s="2010"/>
      <c r="U514" s="2010"/>
      <c r="V514" s="2010"/>
      <c r="W514" s="2010"/>
      <c r="X514" s="2010"/>
      <c r="Y514" s="2010"/>
      <c r="Z514" s="2010"/>
      <c r="AA514" s="2010"/>
      <c r="AB514" s="2010"/>
      <c r="AC514" s="2010"/>
      <c r="AD514" s="2010"/>
      <c r="AE514" s="2010"/>
      <c r="AF514" s="2010"/>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1729</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1730</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2424</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1731</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2425</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1732</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1733</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1734</v>
      </c>
      <c r="AK524" s="1915">
        <f>SUM(AG468:AG513)</f>
        <v>0</v>
      </c>
      <c r="AL524" s="1916"/>
      <c r="AM524" s="1917"/>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1735</v>
      </c>
      <c r="B527" s="574" t="s">
        <v>1736</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21" t="s">
        <v>1737</v>
      </c>
      <c r="AF527" s="1921"/>
      <c r="AG527" s="1921"/>
      <c r="AH527" s="1921"/>
      <c r="AI527" s="1921"/>
      <c r="AJ527" s="1921"/>
      <c r="AK527" s="1921"/>
      <c r="AL527" s="630"/>
      <c r="AM527" s="630"/>
      <c r="AN527" s="632"/>
    </row>
    <row r="528" spans="1:81" s="585" customFormat="1" ht="12.75" customHeight="1">
      <c r="A528" s="574"/>
      <c r="B528" s="574" t="s">
        <v>1496</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30" t="s">
        <v>554</v>
      </c>
      <c r="D530" s="1930"/>
      <c r="E530" s="586"/>
      <c r="F530" s="1989" t="s">
        <v>1738</v>
      </c>
      <c r="G530" s="1990"/>
      <c r="H530" s="1990"/>
      <c r="I530" s="1990"/>
      <c r="J530" s="1990"/>
      <c r="K530" s="1990"/>
      <c r="L530" s="1990"/>
      <c r="M530" s="1990"/>
      <c r="N530" s="1990"/>
      <c r="O530" s="1990"/>
      <c r="P530" s="1990"/>
      <c r="Q530" s="1990"/>
      <c r="R530" s="1990"/>
      <c r="S530" s="1990"/>
      <c r="T530" s="1990"/>
      <c r="U530" s="1990"/>
      <c r="V530" s="1990"/>
      <c r="W530" s="1990"/>
      <c r="X530" s="1990"/>
      <c r="Y530" s="1990"/>
      <c r="Z530" s="1990"/>
      <c r="AA530" s="1990"/>
      <c r="AB530" s="1990"/>
      <c r="AC530" s="1990"/>
      <c r="AD530" s="1990"/>
      <c r="AE530" s="1990"/>
      <c r="AF530" s="1990"/>
      <c r="AG530" s="1990"/>
      <c r="AH530" s="1990"/>
      <c r="AI530" s="1990"/>
      <c r="AJ530" s="1990"/>
      <c r="AK530" s="1990"/>
      <c r="AL530" s="1991"/>
      <c r="AM530" s="630"/>
      <c r="AN530" s="632"/>
    </row>
    <row r="531" spans="1:49" s="585" customFormat="1" ht="12.75" customHeight="1">
      <c r="A531" s="574"/>
      <c r="B531" s="574"/>
      <c r="C531" s="586"/>
      <c r="D531" s="586"/>
      <c r="E531" s="586"/>
      <c r="F531" s="1992"/>
      <c r="G531" s="1993"/>
      <c r="H531" s="1993"/>
      <c r="I531" s="1993"/>
      <c r="J531" s="1993"/>
      <c r="K531" s="1993"/>
      <c r="L531" s="1993"/>
      <c r="M531" s="1993"/>
      <c r="N531" s="1993"/>
      <c r="O531" s="1993"/>
      <c r="P531" s="1993"/>
      <c r="Q531" s="1993"/>
      <c r="R531" s="1993"/>
      <c r="S531" s="1993"/>
      <c r="T531" s="1993"/>
      <c r="U531" s="1993"/>
      <c r="V531" s="1993"/>
      <c r="W531" s="1993"/>
      <c r="X531" s="1993"/>
      <c r="Y531" s="1993"/>
      <c r="Z531" s="1993"/>
      <c r="AA531" s="1993"/>
      <c r="AB531" s="1993"/>
      <c r="AC531" s="1993"/>
      <c r="AD531" s="1993"/>
      <c r="AE531" s="1993"/>
      <c r="AF531" s="1993"/>
      <c r="AG531" s="1993"/>
      <c r="AH531" s="1993"/>
      <c r="AI531" s="1993"/>
      <c r="AJ531" s="1993"/>
      <c r="AK531" s="1993"/>
      <c r="AL531" s="1994"/>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30" t="s">
        <v>600</v>
      </c>
      <c r="D533" s="1930"/>
      <c r="E533" s="842"/>
      <c r="F533" s="679" t="s">
        <v>1739</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07" t="s">
        <v>1740</v>
      </c>
      <c r="G534" s="1908"/>
      <c r="H534" s="1908"/>
      <c r="I534" s="1908"/>
      <c r="J534" s="1908"/>
      <c r="K534" s="1908"/>
      <c r="L534" s="1908"/>
      <c r="M534" s="1908"/>
      <c r="N534" s="1908"/>
      <c r="O534" s="1908"/>
      <c r="P534" s="1908"/>
      <c r="Q534" s="1908"/>
      <c r="R534" s="1908"/>
      <c r="S534" s="1908"/>
      <c r="T534" s="1908"/>
      <c r="U534" s="1908"/>
      <c r="V534" s="1908"/>
      <c r="W534" s="1908"/>
      <c r="X534" s="1908"/>
      <c r="Y534" s="1908"/>
      <c r="Z534" s="1908"/>
      <c r="AA534" s="1908"/>
      <c r="AB534" s="1908"/>
      <c r="AC534" s="1908"/>
      <c r="AD534" s="1908"/>
      <c r="AE534" s="1908"/>
      <c r="AF534" s="1908"/>
      <c r="AG534" s="1908"/>
      <c r="AH534" s="1908"/>
      <c r="AI534" s="1908"/>
      <c r="AJ534" s="1908"/>
      <c r="AK534" s="1908"/>
      <c r="AL534" s="1909"/>
      <c r="AM534" s="630"/>
      <c r="AN534" s="632"/>
      <c r="AS534" s="906"/>
      <c r="AT534" s="906"/>
      <c r="AU534" s="906"/>
      <c r="AV534" s="906"/>
      <c r="AW534" s="906"/>
    </row>
    <row r="535" spans="1:49" s="585" customFormat="1" ht="12.75" customHeight="1">
      <c r="B535" s="842"/>
      <c r="C535" s="842"/>
      <c r="D535" s="842"/>
      <c r="E535" s="842"/>
      <c r="F535" s="1907"/>
      <c r="G535" s="1908"/>
      <c r="H535" s="1908"/>
      <c r="I535" s="1908"/>
      <c r="J535" s="1908"/>
      <c r="K535" s="1908"/>
      <c r="L535" s="1908"/>
      <c r="M535" s="1908"/>
      <c r="N535" s="1908"/>
      <c r="O535" s="1908"/>
      <c r="P535" s="1908"/>
      <c r="Q535" s="1908"/>
      <c r="R535" s="1908"/>
      <c r="S535" s="1908"/>
      <c r="T535" s="1908"/>
      <c r="U535" s="1908"/>
      <c r="V535" s="1908"/>
      <c r="W535" s="1908"/>
      <c r="X535" s="1908"/>
      <c r="Y535" s="1908"/>
      <c r="Z535" s="1908"/>
      <c r="AA535" s="1908"/>
      <c r="AB535" s="1908"/>
      <c r="AC535" s="1908"/>
      <c r="AD535" s="1908"/>
      <c r="AE535" s="1908"/>
      <c r="AF535" s="1908"/>
      <c r="AG535" s="1908"/>
      <c r="AH535" s="1908"/>
      <c r="AI535" s="1908"/>
      <c r="AJ535" s="1908"/>
      <c r="AK535" s="1908"/>
      <c r="AL535" s="1909"/>
      <c r="AM535" s="630"/>
      <c r="AN535" s="632"/>
    </row>
    <row r="536" spans="1:49" s="585" customFormat="1" ht="12.75" customHeight="1">
      <c r="B536" s="842"/>
      <c r="C536" s="842"/>
      <c r="D536" s="842"/>
      <c r="E536" s="842"/>
      <c r="F536" s="847" t="s">
        <v>2426</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07" t="s">
        <v>1741</v>
      </c>
      <c r="G537" s="1908"/>
      <c r="H537" s="1908"/>
      <c r="I537" s="1908"/>
      <c r="J537" s="1908"/>
      <c r="K537" s="1908"/>
      <c r="L537" s="1908"/>
      <c r="M537" s="1908"/>
      <c r="N537" s="1908"/>
      <c r="O537" s="1908"/>
      <c r="P537" s="1908"/>
      <c r="Q537" s="1908"/>
      <c r="R537" s="1908"/>
      <c r="S537" s="1908"/>
      <c r="T537" s="1908"/>
      <c r="U537" s="1908"/>
      <c r="V537" s="1908"/>
      <c r="W537" s="1908"/>
      <c r="X537" s="1908"/>
      <c r="Y537" s="1908"/>
      <c r="Z537" s="1908"/>
      <c r="AA537" s="1908"/>
      <c r="AB537" s="1908"/>
      <c r="AC537" s="1908"/>
      <c r="AD537" s="1908"/>
      <c r="AE537" s="1908"/>
      <c r="AF537" s="1908"/>
      <c r="AG537" s="1908"/>
      <c r="AH537" s="1908"/>
      <c r="AI537" s="1908"/>
      <c r="AJ537" s="1908"/>
      <c r="AK537" s="1908"/>
      <c r="AL537" s="849"/>
      <c r="AM537" s="630"/>
      <c r="AN537" s="632"/>
    </row>
    <row r="538" spans="1:49" s="585" customFormat="1" ht="12.75" customHeight="1">
      <c r="B538" s="842"/>
      <c r="C538" s="842"/>
      <c r="D538" s="842"/>
      <c r="E538" s="842"/>
      <c r="F538" s="1910"/>
      <c r="G538" s="1911"/>
      <c r="H538" s="1911"/>
      <c r="I538" s="1911"/>
      <c r="J538" s="1911"/>
      <c r="K538" s="1911"/>
      <c r="L538" s="1911"/>
      <c r="M538" s="1911"/>
      <c r="N538" s="1911"/>
      <c r="O538" s="1911"/>
      <c r="P538" s="1911"/>
      <c r="Q538" s="1911"/>
      <c r="R538" s="1911"/>
      <c r="S538" s="1911"/>
      <c r="T538" s="1911"/>
      <c r="U538" s="1911"/>
      <c r="V538" s="1911"/>
      <c r="W538" s="1911"/>
      <c r="X538" s="1911"/>
      <c r="Y538" s="1911"/>
      <c r="Z538" s="1911"/>
      <c r="AA538" s="1911"/>
      <c r="AB538" s="1911"/>
      <c r="AC538" s="1911"/>
      <c r="AD538" s="1911"/>
      <c r="AE538" s="1911"/>
      <c r="AF538" s="1911"/>
      <c r="AG538" s="1911"/>
      <c r="AH538" s="1911"/>
      <c r="AI538" s="1911"/>
      <c r="AJ538" s="1911"/>
      <c r="AK538" s="1911"/>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902">
        <f>Application!AJ961</f>
        <v>45661440</v>
      </c>
      <c r="AQ539" s="1902"/>
      <c r="AR539" s="1902"/>
    </row>
    <row r="540" spans="1:49" s="585" customFormat="1" ht="12.75" customHeight="1">
      <c r="A540" s="533"/>
      <c r="B540" s="482" t="s">
        <v>1742</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12">
        <f>'Sources and Uses Budget'!S107+'Sources and Uses Budget'!T107</f>
        <v>37249338.899999999</v>
      </c>
      <c r="AG540" s="1912"/>
      <c r="AH540" s="1912"/>
      <c r="AI540" s="1912"/>
      <c r="AJ540" s="1912"/>
      <c r="AK540" s="630"/>
      <c r="AL540" s="630"/>
      <c r="AM540" s="630"/>
      <c r="AN540" s="632"/>
    </row>
    <row r="541" spans="1:49" s="585" customFormat="1" ht="12.75" customHeight="1">
      <c r="A541" s="660"/>
      <c r="B541" s="660" t="s">
        <v>1743</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13">
        <f>IFERROR(AP548,0)</f>
        <v>82190592</v>
      </c>
      <c r="AG541" s="1913"/>
      <c r="AH541" s="1913"/>
      <c r="AI541" s="1913"/>
      <c r="AJ541" s="1913"/>
      <c r="AK541" s="630"/>
      <c r="AL541" s="630"/>
      <c r="AM541" s="630"/>
      <c r="AN541" s="632"/>
      <c r="AP541" s="1902">
        <f>Application!AJ1010</f>
        <v>32876236.799999997</v>
      </c>
      <c r="AQ541" s="1902"/>
      <c r="AR541" s="1902"/>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14">
        <f>IFERROR(ROUNDDOWN(IF(C533="YES",((1-(AF540/AF541))*2),(1-(AF540/AF541))),2),0)</f>
        <v>0.54</v>
      </c>
      <c r="AG542" s="1914"/>
      <c r="AH542" s="1914"/>
      <c r="AI542" s="1914"/>
      <c r="AJ542" s="1914"/>
      <c r="AK542" s="630"/>
      <c r="AL542" s="630"/>
      <c r="AM542" s="630"/>
      <c r="AN542" s="632"/>
      <c r="AP542" s="1903">
        <f>Application!AJ1014</f>
        <v>9132288</v>
      </c>
      <c r="AQ542" s="1903"/>
      <c r="AR542" s="1903"/>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22">
        <f>IF(((AP541+AP542)/AP539)&gt;0.8,0.8,((AP541+AP542)/AP539))</f>
        <v>0.8</v>
      </c>
      <c r="AQ543" s="1922"/>
      <c r="AR543" s="1922"/>
    </row>
    <row r="544" spans="1:49" s="585" customFormat="1" ht="12.75" customHeight="1">
      <c r="A544" s="659"/>
      <c r="B544" s="1968" t="s">
        <v>2427</v>
      </c>
      <c r="C544" s="1969"/>
      <c r="D544" s="1969"/>
      <c r="E544" s="1969"/>
      <c r="F544" s="1969"/>
      <c r="G544" s="1969"/>
      <c r="H544" s="1969"/>
      <c r="I544" s="1969"/>
      <c r="J544" s="1969"/>
      <c r="K544" s="1969"/>
      <c r="L544" s="1969"/>
      <c r="M544" s="1969"/>
      <c r="N544" s="1969"/>
      <c r="O544" s="1969"/>
      <c r="P544" s="1969"/>
      <c r="Q544" s="1969"/>
      <c r="R544" s="1969"/>
      <c r="S544" s="1969"/>
      <c r="T544" s="1969"/>
      <c r="U544" s="1969"/>
      <c r="V544" s="1969"/>
      <c r="W544" s="1969"/>
      <c r="X544" s="1969"/>
      <c r="Y544" s="1969"/>
      <c r="Z544" s="1969"/>
      <c r="AA544" s="1969"/>
      <c r="AB544" s="1969"/>
      <c r="AC544" s="1969"/>
      <c r="AD544" s="1969"/>
      <c r="AE544" s="1969"/>
      <c r="AF544" s="1969"/>
      <c r="AG544" s="1969"/>
      <c r="AH544" s="1969"/>
      <c r="AI544" s="1969"/>
      <c r="AJ544" s="1970"/>
      <c r="AK544" s="630"/>
      <c r="AL544" s="630"/>
      <c r="AM544" s="630"/>
      <c r="AN544" s="632"/>
    </row>
    <row r="545" spans="1:44" s="585" customFormat="1" ht="12.75" customHeight="1">
      <c r="A545" s="659"/>
      <c r="B545" s="1971"/>
      <c r="C545" s="1972"/>
      <c r="D545" s="1972"/>
      <c r="E545" s="1972"/>
      <c r="F545" s="1972"/>
      <c r="G545" s="1972"/>
      <c r="H545" s="1972"/>
      <c r="I545" s="1972"/>
      <c r="J545" s="1972"/>
      <c r="K545" s="1972"/>
      <c r="L545" s="1972"/>
      <c r="M545" s="1972"/>
      <c r="N545" s="1972"/>
      <c r="O545" s="1972"/>
      <c r="P545" s="1972"/>
      <c r="Q545" s="1972"/>
      <c r="R545" s="1972"/>
      <c r="S545" s="1972"/>
      <c r="T545" s="1972"/>
      <c r="U545" s="1972"/>
      <c r="V545" s="1972"/>
      <c r="W545" s="1972"/>
      <c r="X545" s="1972"/>
      <c r="Y545" s="1972"/>
      <c r="Z545" s="1972"/>
      <c r="AA545" s="1972"/>
      <c r="AB545" s="1972"/>
      <c r="AC545" s="1972"/>
      <c r="AD545" s="1972"/>
      <c r="AE545" s="1972"/>
      <c r="AF545" s="1972"/>
      <c r="AG545" s="1972"/>
      <c r="AH545" s="1972"/>
      <c r="AI545" s="1972"/>
      <c r="AJ545" s="1973"/>
      <c r="AK545" s="630"/>
      <c r="AL545" s="630"/>
      <c r="AM545" s="630"/>
      <c r="AN545" s="632"/>
      <c r="AP545" s="1902">
        <f>AP546-AP541-AP542</f>
        <v>45661440</v>
      </c>
      <c r="AQ545" s="1923"/>
      <c r="AR545" s="1923"/>
    </row>
    <row r="546" spans="1:44" s="585" customFormat="1" ht="12.75" customHeight="1">
      <c r="A546" s="659"/>
      <c r="B546" s="1974"/>
      <c r="C546" s="1975"/>
      <c r="D546" s="1975"/>
      <c r="E546" s="1975"/>
      <c r="F546" s="1975"/>
      <c r="G546" s="1975"/>
      <c r="H546" s="1975"/>
      <c r="I546" s="1975"/>
      <c r="J546" s="1975"/>
      <c r="K546" s="1975"/>
      <c r="L546" s="1975"/>
      <c r="M546" s="1975"/>
      <c r="N546" s="1975"/>
      <c r="O546" s="1975"/>
      <c r="P546" s="1975"/>
      <c r="Q546" s="1975"/>
      <c r="R546" s="1975"/>
      <c r="S546" s="1975"/>
      <c r="T546" s="1975"/>
      <c r="U546" s="1975"/>
      <c r="V546" s="1975"/>
      <c r="W546" s="1975"/>
      <c r="X546" s="1975"/>
      <c r="Y546" s="1975"/>
      <c r="Z546" s="1975"/>
      <c r="AA546" s="1975"/>
      <c r="AB546" s="1975"/>
      <c r="AC546" s="1975"/>
      <c r="AD546" s="1975"/>
      <c r="AE546" s="1975"/>
      <c r="AF546" s="1975"/>
      <c r="AG546" s="1975"/>
      <c r="AH546" s="1975"/>
      <c r="AI546" s="1975"/>
      <c r="AJ546" s="1976"/>
      <c r="AK546" s="630"/>
      <c r="AL546" s="630"/>
      <c r="AM546" s="630"/>
      <c r="AN546" s="632"/>
      <c r="AP546" s="1902">
        <f>Application!AJ1018</f>
        <v>87669964.799999997</v>
      </c>
      <c r="AQ546" s="1902"/>
      <c r="AR546" s="1902"/>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1744</v>
      </c>
      <c r="AK548" s="1977">
        <f>IFERROR(IF(AND(C530="N/A",C533="N/A"),0,IF(AF542=0,0,IF((AF542*100)&gt;12,12,(AF542*100)))),0)</f>
        <v>12</v>
      </c>
      <c r="AL548" s="1977"/>
      <c r="AM548" s="1978"/>
      <c r="AN548" s="632"/>
      <c r="AP548" s="1891">
        <f>AP545+(AP539*AP543)</f>
        <v>82190592</v>
      </c>
      <c r="AQ548" s="1892"/>
      <c r="AR548" s="1893"/>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2417</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21" t="s">
        <v>1486</v>
      </c>
      <c r="AF551" s="1921"/>
      <c r="AG551" s="1921"/>
      <c r="AH551" s="1921"/>
      <c r="AI551" s="1921"/>
      <c r="AJ551" s="1921"/>
      <c r="AK551" s="1921"/>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08" t="s">
        <v>2418</v>
      </c>
      <c r="C553" s="1908"/>
      <c r="D553" s="1908"/>
      <c r="E553" s="1908"/>
      <c r="F553" s="1908"/>
      <c r="G553" s="1908"/>
      <c r="H553" s="1908"/>
      <c r="I553" s="1908"/>
      <c r="J553" s="1908"/>
      <c r="K553" s="1908"/>
      <c r="L553" s="1908"/>
      <c r="M553" s="1908"/>
      <c r="N553" s="1908"/>
      <c r="O553" s="1908"/>
      <c r="P553" s="1908"/>
      <c r="Q553" s="1908"/>
      <c r="R553" s="1908"/>
      <c r="S553" s="1908"/>
      <c r="T553" s="1908"/>
      <c r="U553" s="1908"/>
      <c r="V553" s="1908"/>
      <c r="W553" s="1908"/>
      <c r="X553" s="1908"/>
      <c r="Y553" s="1908"/>
      <c r="Z553" s="1908"/>
      <c r="AA553" s="1908"/>
      <c r="AB553" s="1908"/>
      <c r="AC553" s="1908"/>
      <c r="AD553" s="1908"/>
      <c r="AE553" s="1908"/>
      <c r="AF553" s="1908"/>
      <c r="AG553" s="1908"/>
      <c r="AH553" s="1908"/>
      <c r="AI553" s="1908"/>
      <c r="AJ553" s="1908"/>
      <c r="AK553" s="677"/>
      <c r="AL553" s="608"/>
      <c r="AM553" s="638"/>
      <c r="AN553" s="632"/>
    </row>
    <row r="554" spans="1:44" s="585" customFormat="1" ht="12.75" customHeight="1">
      <c r="A554" s="638"/>
      <c r="B554" s="1908"/>
      <c r="C554" s="1908"/>
      <c r="D554" s="1908"/>
      <c r="E554" s="1908"/>
      <c r="F554" s="1908"/>
      <c r="G554" s="1908"/>
      <c r="H554" s="1908"/>
      <c r="I554" s="1908"/>
      <c r="J554" s="1908"/>
      <c r="K554" s="1908"/>
      <c r="L554" s="1908"/>
      <c r="M554" s="1908"/>
      <c r="N554" s="1908"/>
      <c r="O554" s="1908"/>
      <c r="P554" s="1908"/>
      <c r="Q554" s="1908"/>
      <c r="R554" s="1908"/>
      <c r="S554" s="1908"/>
      <c r="T554" s="1908"/>
      <c r="U554" s="1908"/>
      <c r="V554" s="1908"/>
      <c r="W554" s="1908"/>
      <c r="X554" s="1908"/>
      <c r="Y554" s="1908"/>
      <c r="Z554" s="1908"/>
      <c r="AA554" s="1908"/>
      <c r="AB554" s="1908"/>
      <c r="AC554" s="1908"/>
      <c r="AD554" s="1908"/>
      <c r="AE554" s="1908"/>
      <c r="AF554" s="1908"/>
      <c r="AG554" s="1908"/>
      <c r="AH554" s="1908"/>
      <c r="AI554" s="1908"/>
      <c r="AJ554" s="1908"/>
      <c r="AK554" s="677"/>
      <c r="AL554" s="608"/>
      <c r="AM554" s="638"/>
      <c r="AN554" s="632"/>
    </row>
    <row r="555" spans="1:44" s="585" customFormat="1" ht="12.75" customHeight="1">
      <c r="A555" s="638"/>
      <c r="B555" s="1908"/>
      <c r="C555" s="1908"/>
      <c r="D555" s="1908"/>
      <c r="E555" s="1908"/>
      <c r="F555" s="1908"/>
      <c r="G555" s="1908"/>
      <c r="H555" s="1908"/>
      <c r="I555" s="1908"/>
      <c r="J555" s="1908"/>
      <c r="K555" s="1908"/>
      <c r="L555" s="1908"/>
      <c r="M555" s="1908"/>
      <c r="N555" s="1908"/>
      <c r="O555" s="1908"/>
      <c r="P555" s="1908"/>
      <c r="Q555" s="1908"/>
      <c r="R555" s="1908"/>
      <c r="S555" s="1908"/>
      <c r="T555" s="1908"/>
      <c r="U555" s="1908"/>
      <c r="V555" s="1908"/>
      <c r="W555" s="1908"/>
      <c r="X555" s="1908"/>
      <c r="Y555" s="1908"/>
      <c r="Z555" s="1908"/>
      <c r="AA555" s="1908"/>
      <c r="AB555" s="1908"/>
      <c r="AC555" s="1908"/>
      <c r="AD555" s="1908"/>
      <c r="AE555" s="1908"/>
      <c r="AF555" s="1908"/>
      <c r="AG555" s="1908"/>
      <c r="AH555" s="1908"/>
      <c r="AI555" s="1908"/>
      <c r="AJ555" s="1908"/>
      <c r="AK555" s="677"/>
      <c r="AL555" s="608"/>
      <c r="AM555" s="638"/>
      <c r="AN555" s="632"/>
    </row>
    <row r="556" spans="1:44" s="585" customFormat="1" ht="12.75" customHeight="1">
      <c r="A556" s="638"/>
      <c r="B556" s="1908"/>
      <c r="C556" s="1908"/>
      <c r="D556" s="1908"/>
      <c r="E556" s="1908"/>
      <c r="F556" s="1908"/>
      <c r="G556" s="1908"/>
      <c r="H556" s="1908"/>
      <c r="I556" s="1908"/>
      <c r="J556" s="1908"/>
      <c r="K556" s="1908"/>
      <c r="L556" s="1908"/>
      <c r="M556" s="1908"/>
      <c r="N556" s="1908"/>
      <c r="O556" s="1908"/>
      <c r="P556" s="1908"/>
      <c r="Q556" s="1908"/>
      <c r="R556" s="1908"/>
      <c r="S556" s="1908"/>
      <c r="T556" s="1908"/>
      <c r="U556" s="1908"/>
      <c r="V556" s="1908"/>
      <c r="W556" s="1908"/>
      <c r="X556" s="1908"/>
      <c r="Y556" s="1908"/>
      <c r="Z556" s="1908"/>
      <c r="AA556" s="1908"/>
      <c r="AB556" s="1908"/>
      <c r="AC556" s="1908"/>
      <c r="AD556" s="1908"/>
      <c r="AE556" s="1908"/>
      <c r="AF556" s="1908"/>
      <c r="AG556" s="1908"/>
      <c r="AH556" s="1908"/>
      <c r="AI556" s="1908"/>
      <c r="AJ556" s="1908"/>
      <c r="AK556" s="677"/>
      <c r="AL556" s="608"/>
      <c r="AM556" s="638"/>
      <c r="AN556" s="632"/>
    </row>
    <row r="557" spans="1:44" s="585" customFormat="1" ht="12.75" customHeight="1">
      <c r="A557" s="638"/>
      <c r="B557" s="1908"/>
      <c r="C557" s="1908"/>
      <c r="D557" s="1908"/>
      <c r="E557" s="1908"/>
      <c r="F557" s="1908"/>
      <c r="G557" s="1908"/>
      <c r="H557" s="1908"/>
      <c r="I557" s="1908"/>
      <c r="J557" s="1908"/>
      <c r="K557" s="1908"/>
      <c r="L557" s="1908"/>
      <c r="M557" s="1908"/>
      <c r="N557" s="1908"/>
      <c r="O557" s="1908"/>
      <c r="P557" s="1908"/>
      <c r="Q557" s="1908"/>
      <c r="R557" s="1908"/>
      <c r="S557" s="1908"/>
      <c r="T557" s="1908"/>
      <c r="U557" s="1908"/>
      <c r="V557" s="1908"/>
      <c r="W557" s="1908"/>
      <c r="X557" s="1908"/>
      <c r="Y557" s="1908"/>
      <c r="Z557" s="1908"/>
      <c r="AA557" s="1908"/>
      <c r="AB557" s="1908"/>
      <c r="AC557" s="1908"/>
      <c r="AD557" s="1908"/>
      <c r="AE557" s="1908"/>
      <c r="AF557" s="1908"/>
      <c r="AG557" s="1908"/>
      <c r="AH557" s="1908"/>
      <c r="AI557" s="1908"/>
      <c r="AJ557" s="1908"/>
      <c r="AK557" s="677"/>
      <c r="AL557" s="608"/>
      <c r="AM557" s="638"/>
      <c r="AN557" s="632"/>
    </row>
    <row r="558" spans="1:44" s="585" customFormat="1" ht="12.75" customHeight="1">
      <c r="A558" s="638"/>
      <c r="B558" s="1908"/>
      <c r="C558" s="1908"/>
      <c r="D558" s="1908"/>
      <c r="E558" s="1908"/>
      <c r="F558" s="1908"/>
      <c r="G558" s="1908"/>
      <c r="H558" s="1908"/>
      <c r="I558" s="1908"/>
      <c r="J558" s="1908"/>
      <c r="K558" s="1908"/>
      <c r="L558" s="1908"/>
      <c r="M558" s="1908"/>
      <c r="N558" s="1908"/>
      <c r="O558" s="1908"/>
      <c r="P558" s="1908"/>
      <c r="Q558" s="1908"/>
      <c r="R558" s="1908"/>
      <c r="S558" s="1908"/>
      <c r="T558" s="1908"/>
      <c r="U558" s="1908"/>
      <c r="V558" s="1908"/>
      <c r="W558" s="1908"/>
      <c r="X558" s="1908"/>
      <c r="Y558" s="1908"/>
      <c r="Z558" s="1908"/>
      <c r="AA558" s="1908"/>
      <c r="AB558" s="1908"/>
      <c r="AC558" s="1908"/>
      <c r="AD558" s="1908"/>
      <c r="AE558" s="1908"/>
      <c r="AF558" s="1908"/>
      <c r="AG558" s="1908"/>
      <c r="AH558" s="1908"/>
      <c r="AI558" s="1908"/>
      <c r="AJ558" s="1908"/>
      <c r="AK558" s="677"/>
      <c r="AL558" s="608"/>
      <c r="AM558" s="638"/>
      <c r="AN558" s="632"/>
    </row>
    <row r="559" spans="1:44" s="585" customFormat="1" ht="12.75" customHeight="1">
      <c r="A559" s="638"/>
      <c r="B559" s="1908"/>
      <c r="C559" s="1908"/>
      <c r="D559" s="1908"/>
      <c r="E559" s="1908"/>
      <c r="F559" s="1908"/>
      <c r="G559" s="1908"/>
      <c r="H559" s="1908"/>
      <c r="I559" s="1908"/>
      <c r="J559" s="1908"/>
      <c r="K559" s="1908"/>
      <c r="L559" s="1908"/>
      <c r="M559" s="1908"/>
      <c r="N559" s="1908"/>
      <c r="O559" s="1908"/>
      <c r="P559" s="1908"/>
      <c r="Q559" s="1908"/>
      <c r="R559" s="1908"/>
      <c r="S559" s="1908"/>
      <c r="T559" s="1908"/>
      <c r="U559" s="1908"/>
      <c r="V559" s="1908"/>
      <c r="W559" s="1908"/>
      <c r="X559" s="1908"/>
      <c r="Y559" s="1908"/>
      <c r="Z559" s="1908"/>
      <c r="AA559" s="1908"/>
      <c r="AB559" s="1908"/>
      <c r="AC559" s="1908"/>
      <c r="AD559" s="1908"/>
      <c r="AE559" s="1908"/>
      <c r="AF559" s="1908"/>
      <c r="AG559" s="1908"/>
      <c r="AH559" s="1908"/>
      <c r="AI559" s="1908"/>
      <c r="AJ559" s="1908"/>
      <c r="AK559" s="677"/>
      <c r="AL559" s="608"/>
      <c r="AM559" s="638"/>
      <c r="AN559" s="632"/>
    </row>
    <row r="560" spans="1:44" ht="12.75" customHeight="1">
      <c r="A560" s="638"/>
      <c r="B560" s="1908"/>
      <c r="C560" s="1908"/>
      <c r="D560" s="1908"/>
      <c r="E560" s="1908"/>
      <c r="F560" s="1908"/>
      <c r="G560" s="1908"/>
      <c r="H560" s="1908"/>
      <c r="I560" s="1908"/>
      <c r="J560" s="1908"/>
      <c r="K560" s="1908"/>
      <c r="L560" s="1908"/>
      <c r="M560" s="1908"/>
      <c r="N560" s="1908"/>
      <c r="O560" s="1908"/>
      <c r="P560" s="1908"/>
      <c r="Q560" s="1908"/>
      <c r="R560" s="1908"/>
      <c r="S560" s="1908"/>
      <c r="T560" s="1908"/>
      <c r="U560" s="1908"/>
      <c r="V560" s="1908"/>
      <c r="W560" s="1908"/>
      <c r="X560" s="1908"/>
      <c r="Y560" s="1908"/>
      <c r="Z560" s="1908"/>
      <c r="AA560" s="1908"/>
      <c r="AB560" s="1908"/>
      <c r="AC560" s="1908"/>
      <c r="AD560" s="1908"/>
      <c r="AE560" s="1908"/>
      <c r="AF560" s="1908"/>
      <c r="AG560" s="1908"/>
      <c r="AH560" s="1908"/>
      <c r="AI560" s="1908"/>
      <c r="AJ560" s="1908"/>
      <c r="AK560" s="677"/>
      <c r="AL560" s="608"/>
      <c r="AM560" s="638"/>
    </row>
    <row r="561" spans="1:42" s="585" customFormat="1" ht="12.75" customHeight="1">
      <c r="B561" s="1908"/>
      <c r="C561" s="1908"/>
      <c r="D561" s="1908"/>
      <c r="E561" s="1908"/>
      <c r="F561" s="1908"/>
      <c r="G561" s="1908"/>
      <c r="H561" s="1908"/>
      <c r="I561" s="1908"/>
      <c r="J561" s="1908"/>
      <c r="K561" s="1908"/>
      <c r="L561" s="1908"/>
      <c r="M561" s="1908"/>
      <c r="N561" s="1908"/>
      <c r="O561" s="1908"/>
      <c r="P561" s="1908"/>
      <c r="Q561" s="1908"/>
      <c r="R561" s="1908"/>
      <c r="S561" s="1908"/>
      <c r="T561" s="1908"/>
      <c r="U561" s="1908"/>
      <c r="V561" s="1908"/>
      <c r="W561" s="1908"/>
      <c r="X561" s="1908"/>
      <c r="Y561" s="1908"/>
      <c r="Z561" s="1908"/>
      <c r="AA561" s="1908"/>
      <c r="AB561" s="1908"/>
      <c r="AC561" s="1908"/>
      <c r="AD561" s="1908"/>
      <c r="AE561" s="1908"/>
      <c r="AF561" s="1908"/>
      <c r="AG561" s="1908"/>
      <c r="AH561" s="1908"/>
      <c r="AI561" s="1908"/>
      <c r="AJ561" s="1908"/>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1566</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1567</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1958</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88" t="s">
        <v>1510</v>
      </c>
      <c r="AG567" s="1988"/>
      <c r="AH567" s="1988"/>
      <c r="AI567" s="1988"/>
      <c r="AJ567" s="1988"/>
      <c r="AK567" s="1988"/>
      <c r="AL567" s="1988"/>
      <c r="AN567" s="632"/>
    </row>
    <row r="568" spans="1:42" s="585" customFormat="1" ht="12.75" customHeight="1">
      <c r="B568" s="571"/>
      <c r="C568" s="651"/>
      <c r="D568" s="698"/>
      <c r="E568" s="874" t="s">
        <v>1959</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1960</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1961</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1962</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1963</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1964</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88" t="s">
        <v>1568</v>
      </c>
      <c r="AG574" s="1988"/>
      <c r="AH574" s="1988"/>
      <c r="AI574" s="1988"/>
      <c r="AJ574" s="1988"/>
      <c r="AK574" s="1988"/>
      <c r="AL574" s="1988"/>
      <c r="AN574" s="632"/>
    </row>
    <row r="575" spans="1:42" s="585" customFormat="1" ht="12.75" customHeight="1">
      <c r="B575" s="571"/>
      <c r="C575" s="970"/>
      <c r="D575" s="698"/>
      <c r="E575" s="874" t="s">
        <v>1965</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1966</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1968</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1967</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1569</v>
      </c>
      <c r="AP579" s="585">
        <v>4</v>
      </c>
    </row>
    <row r="580" spans="1:53" s="585" customFormat="1" ht="12.75" customHeight="1">
      <c r="B580" s="571"/>
      <c r="C580" s="968"/>
      <c r="D580" s="698" t="s">
        <v>280</v>
      </c>
      <c r="E580" s="874" t="s">
        <v>1969</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88" t="s">
        <v>1550</v>
      </c>
      <c r="AG580" s="1988"/>
      <c r="AH580" s="1988"/>
      <c r="AI580" s="1988"/>
      <c r="AJ580" s="1988"/>
      <c r="AK580" s="1988"/>
      <c r="AL580" s="1988"/>
      <c r="AN580" s="632"/>
      <c r="AO580" s="646" t="s">
        <v>1570</v>
      </c>
      <c r="AP580" s="585">
        <v>3</v>
      </c>
    </row>
    <row r="581" spans="1:53" s="585" customFormat="1" ht="12.75" customHeight="1">
      <c r="B581" s="571"/>
      <c r="C581" s="970"/>
      <c r="D581" s="698"/>
      <c r="E581" s="874" t="s">
        <v>1965</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1966</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1968</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1967</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1569</v>
      </c>
      <c r="E586" s="874" t="s">
        <v>1970</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88" t="s">
        <v>1571</v>
      </c>
      <c r="AG586" s="1988"/>
      <c r="AH586" s="1988"/>
      <c r="AI586" s="1988"/>
      <c r="AJ586" s="1988"/>
      <c r="AK586" s="1988"/>
      <c r="AL586" s="1988"/>
      <c r="AN586" s="632"/>
      <c r="AO586" s="585" t="str">
        <f>X623</f>
        <v>N/A</v>
      </c>
    </row>
    <row r="587" spans="1:53" s="585" customFormat="1" ht="12.75" customHeight="1">
      <c r="B587" s="571"/>
      <c r="C587" s="970"/>
      <c r="D587" s="698"/>
      <c r="E587" s="874" t="s">
        <v>1971</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1972</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2130</v>
      </c>
      <c r="O590" s="2026" t="s">
        <v>1327</v>
      </c>
      <c r="P590" s="2026"/>
      <c r="Q590" s="2026"/>
      <c r="R590" s="2026"/>
      <c r="S590" s="2026"/>
      <c r="T590" s="2026"/>
      <c r="U590" s="2026"/>
      <c r="V590" s="2026"/>
      <c r="W590" s="2026"/>
      <c r="X590" s="2026"/>
      <c r="Y590" s="2026"/>
      <c r="Z590" s="2026"/>
      <c r="AA590" s="2026"/>
      <c r="AB590" s="2026"/>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1570</v>
      </c>
      <c r="E592" s="874" t="s">
        <v>1974</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88" t="s">
        <v>1524</v>
      </c>
      <c r="AG592" s="1988"/>
      <c r="AH592" s="1988"/>
      <c r="AI592" s="1988"/>
      <c r="AJ592" s="1988"/>
      <c r="AK592" s="1988"/>
      <c r="AL592" s="1988"/>
      <c r="AN592" s="632"/>
    </row>
    <row r="593" spans="2:47" s="585" customFormat="1" ht="12.75" customHeight="1">
      <c r="B593" s="571"/>
      <c r="C593" s="968"/>
      <c r="D593" s="698"/>
      <c r="E593" s="874" t="s">
        <v>1973</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1572</v>
      </c>
      <c r="E595" s="973"/>
      <c r="F595" s="973"/>
      <c r="G595" s="973"/>
      <c r="H595" s="1932" t="s">
        <v>697</v>
      </c>
      <c r="I595" s="1932"/>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1975</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1976</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1977</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1978</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1572</v>
      </c>
      <c r="F603" s="973"/>
      <c r="G603" s="973"/>
      <c r="I603" s="2025" t="s">
        <v>600</v>
      </c>
      <c r="J603" s="2025"/>
      <c r="K603" s="2025"/>
      <c r="L603" s="2025"/>
      <c r="M603" s="2025"/>
      <c r="N603" s="2025"/>
      <c r="O603" s="2025"/>
      <c r="P603" s="2025"/>
      <c r="Q603" s="2025"/>
      <c r="R603" s="2025"/>
      <c r="S603" s="2025"/>
      <c r="T603" s="2025"/>
      <c r="U603" s="2025"/>
      <c r="V603" s="2025"/>
      <c r="W603" s="2025"/>
      <c r="X603" s="2025"/>
      <c r="Y603" s="2025"/>
      <c r="Z603" s="2025"/>
      <c r="AA603" s="2025"/>
      <c r="AB603" s="2025"/>
      <c r="AC603" s="2025"/>
      <c r="AD603" s="2025"/>
      <c r="AE603" s="2025"/>
      <c r="AF603" s="571"/>
      <c r="AG603" s="571"/>
      <c r="AH603" s="571"/>
      <c r="AI603" s="571"/>
      <c r="AJ603" s="571"/>
      <c r="AK603" s="571"/>
      <c r="AL603" s="571"/>
      <c r="AN603" s="632"/>
      <c r="AO603" s="585" t="s">
        <v>1573</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1574</v>
      </c>
      <c r="AP604" s="585">
        <v>2</v>
      </c>
    </row>
    <row r="605" spans="2:47" s="585" customFormat="1" ht="12.75" customHeight="1">
      <c r="B605" s="2023" t="s">
        <v>600</v>
      </c>
      <c r="C605" s="2023"/>
      <c r="D605" s="677"/>
      <c r="E605" s="1908" t="s">
        <v>1575</v>
      </c>
      <c r="F605" s="1908"/>
      <c r="G605" s="1908"/>
      <c r="H605" s="1908"/>
      <c r="I605" s="1908"/>
      <c r="J605" s="1908"/>
      <c r="K605" s="1908"/>
      <c r="L605" s="1908"/>
      <c r="M605" s="1908"/>
      <c r="N605" s="1908"/>
      <c r="O605" s="1908"/>
      <c r="P605" s="1908"/>
      <c r="Q605" s="1908"/>
      <c r="R605" s="1908"/>
      <c r="S605" s="1908"/>
      <c r="T605" s="1908"/>
      <c r="U605" s="1908"/>
      <c r="V605" s="1908"/>
      <c r="W605" s="1908"/>
      <c r="X605" s="1908"/>
      <c r="Y605" s="1908"/>
      <c r="Z605" s="1908"/>
      <c r="AA605" s="1908"/>
      <c r="AB605" s="1908"/>
      <c r="AC605" s="1908"/>
      <c r="AD605" s="1908"/>
      <c r="AE605" s="1908"/>
      <c r="AF605" s="1908"/>
      <c r="AG605" s="1908"/>
      <c r="AH605" s="677"/>
      <c r="AI605" s="677"/>
      <c r="AJ605" s="677"/>
      <c r="AK605" s="677"/>
      <c r="AL605" s="677"/>
      <c r="AN605" s="632"/>
    </row>
    <row r="606" spans="2:47" s="585" customFormat="1" ht="12.75" customHeight="1">
      <c r="B606" s="571"/>
      <c r="C606" s="970"/>
      <c r="D606" s="677"/>
      <c r="E606" s="1908"/>
      <c r="F606" s="1908"/>
      <c r="G606" s="1908"/>
      <c r="H606" s="1908"/>
      <c r="I606" s="1908"/>
      <c r="J606" s="1908"/>
      <c r="K606" s="1908"/>
      <c r="L606" s="1908"/>
      <c r="M606" s="1908"/>
      <c r="N606" s="1908"/>
      <c r="O606" s="1908"/>
      <c r="P606" s="1908"/>
      <c r="Q606" s="1908"/>
      <c r="R606" s="1908"/>
      <c r="S606" s="1908"/>
      <c r="T606" s="1908"/>
      <c r="U606" s="1908"/>
      <c r="V606" s="1908"/>
      <c r="W606" s="1908"/>
      <c r="X606" s="1908"/>
      <c r="Y606" s="1908"/>
      <c r="Z606" s="1908"/>
      <c r="AA606" s="1908"/>
      <c r="AB606" s="1908"/>
      <c r="AC606" s="1908"/>
      <c r="AD606" s="1908"/>
      <c r="AE606" s="1908"/>
      <c r="AF606" s="1908"/>
      <c r="AG606" s="1908"/>
      <c r="AH606" s="677"/>
      <c r="AI606" s="677"/>
      <c r="AJ606" s="677"/>
      <c r="AK606" s="677"/>
      <c r="AL606" s="677"/>
      <c r="AN606" s="632"/>
    </row>
    <row r="607" spans="2:47" s="585" customFormat="1" ht="12.75" customHeight="1">
      <c r="B607" s="571"/>
      <c r="C607" s="970"/>
      <c r="D607" s="677"/>
      <c r="E607" s="1908"/>
      <c r="F607" s="1908"/>
      <c r="G607" s="1908"/>
      <c r="H607" s="1908"/>
      <c r="I607" s="1908"/>
      <c r="J607" s="1908"/>
      <c r="K607" s="1908"/>
      <c r="L607" s="1908"/>
      <c r="M607" s="1908"/>
      <c r="N607" s="1908"/>
      <c r="O607" s="1908"/>
      <c r="P607" s="1908"/>
      <c r="Q607" s="1908"/>
      <c r="R607" s="1908"/>
      <c r="S607" s="1908"/>
      <c r="T607" s="1908"/>
      <c r="U607" s="1908"/>
      <c r="V607" s="1908"/>
      <c r="W607" s="1908"/>
      <c r="X607" s="1908"/>
      <c r="Y607" s="1908"/>
      <c r="Z607" s="1908"/>
      <c r="AA607" s="1908"/>
      <c r="AB607" s="1908"/>
      <c r="AC607" s="1908"/>
      <c r="AD607" s="1908"/>
      <c r="AE607" s="1908"/>
      <c r="AF607" s="1908"/>
      <c r="AG607" s="1908"/>
      <c r="AH607" s="677"/>
      <c r="AI607" s="677"/>
      <c r="AJ607" s="677"/>
      <c r="AK607" s="677"/>
      <c r="AL607" s="677"/>
      <c r="AN607" s="632"/>
    </row>
    <row r="608" spans="2:47" s="585" customFormat="1" ht="12.75" customHeight="1">
      <c r="B608" s="571"/>
      <c r="C608" s="970"/>
      <c r="D608" s="677"/>
      <c r="E608" s="1908"/>
      <c r="F608" s="1908"/>
      <c r="G608" s="1908"/>
      <c r="H608" s="1908"/>
      <c r="I608" s="1908"/>
      <c r="J608" s="1908"/>
      <c r="K608" s="1908"/>
      <c r="L608" s="1908"/>
      <c r="M608" s="1908"/>
      <c r="N608" s="1908"/>
      <c r="O608" s="1908"/>
      <c r="P608" s="1908"/>
      <c r="Q608" s="1908"/>
      <c r="R608" s="1908"/>
      <c r="S608" s="1908"/>
      <c r="T608" s="1908"/>
      <c r="U608" s="1908"/>
      <c r="V608" s="1908"/>
      <c r="W608" s="1908"/>
      <c r="X608" s="1908"/>
      <c r="Y608" s="1908"/>
      <c r="Z608" s="1908"/>
      <c r="AA608" s="1908"/>
      <c r="AB608" s="1908"/>
      <c r="AC608" s="1908"/>
      <c r="AD608" s="1908"/>
      <c r="AE608" s="1908"/>
      <c r="AF608" s="1908"/>
      <c r="AG608" s="1908"/>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1576</v>
      </c>
      <c r="AJ610" s="1915">
        <f>VLOOKUP($H$595,$AO$575:$AP$580,2,FALSE)+VLOOKUP($I$603,$AO$602:$AP$604,2,FALSE)</f>
        <v>7</v>
      </c>
      <c r="AK610" s="1917"/>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1577</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2024" t="s">
        <v>1954</v>
      </c>
      <c r="F614" s="2024"/>
      <c r="G614" s="2024"/>
      <c r="H614" s="2024"/>
      <c r="I614" s="2024"/>
      <c r="J614" s="2024"/>
      <c r="K614" s="2024"/>
      <c r="L614" s="2024"/>
      <c r="M614" s="2024"/>
      <c r="N614" s="2024"/>
      <c r="O614" s="2024"/>
      <c r="P614" s="2024"/>
      <c r="Q614" s="2024"/>
      <c r="R614" s="2024"/>
      <c r="S614" s="2024"/>
      <c r="T614" s="2024"/>
      <c r="U614" s="2024"/>
      <c r="V614" s="2024"/>
      <c r="W614" s="2024"/>
      <c r="X614" s="2024"/>
      <c r="Y614" s="2024"/>
      <c r="Z614" s="2024"/>
      <c r="AA614" s="2024"/>
      <c r="AB614" s="2024"/>
      <c r="AC614" s="2024"/>
      <c r="AD614" s="2024"/>
      <c r="AE614" s="574"/>
      <c r="AF614" s="1988" t="s">
        <v>1524</v>
      </c>
      <c r="AG614" s="1988"/>
      <c r="AH614" s="1988"/>
      <c r="AI614" s="1988"/>
      <c r="AJ614" s="1988"/>
      <c r="AK614" s="1988"/>
      <c r="AL614" s="1988"/>
      <c r="AM614" s="585"/>
      <c r="AN614" s="713"/>
    </row>
    <row r="615" spans="1:42" s="585" customFormat="1" ht="12.75" customHeight="1">
      <c r="A615" s="714"/>
      <c r="B615" s="571"/>
      <c r="C615" s="970"/>
      <c r="D615" s="698"/>
      <c r="E615" s="2024"/>
      <c r="F615" s="2024"/>
      <c r="G615" s="2024"/>
      <c r="H615" s="2024"/>
      <c r="I615" s="2024"/>
      <c r="J615" s="2024"/>
      <c r="K615" s="2024"/>
      <c r="L615" s="2024"/>
      <c r="M615" s="2024"/>
      <c r="N615" s="2024"/>
      <c r="O615" s="2024"/>
      <c r="P615" s="2024"/>
      <c r="Q615" s="2024"/>
      <c r="R615" s="2024"/>
      <c r="S615" s="2024"/>
      <c r="T615" s="2024"/>
      <c r="U615" s="2024"/>
      <c r="V615" s="2024"/>
      <c r="W615" s="2024"/>
      <c r="X615" s="2024"/>
      <c r="Y615" s="2024"/>
      <c r="Z615" s="2024"/>
      <c r="AA615" s="2024"/>
      <c r="AB615" s="2024"/>
      <c r="AC615" s="2024"/>
      <c r="AD615" s="2024"/>
      <c r="AE615" s="571"/>
      <c r="AF615" s="571"/>
      <c r="AG615" s="571"/>
      <c r="AH615" s="571"/>
      <c r="AI615" s="571"/>
      <c r="AJ615" s="571"/>
      <c r="AK615" s="571"/>
      <c r="AL615" s="571"/>
      <c r="AN615" s="632"/>
    </row>
    <row r="616" spans="1:42" s="585" customFormat="1" ht="12.75" customHeight="1">
      <c r="B616" s="571"/>
      <c r="C616" s="968"/>
      <c r="D616" s="698"/>
      <c r="E616" s="2024"/>
      <c r="F616" s="2024"/>
      <c r="G616" s="2024"/>
      <c r="H616" s="2024"/>
      <c r="I616" s="2024"/>
      <c r="J616" s="2024"/>
      <c r="K616" s="2024"/>
      <c r="L616" s="2024"/>
      <c r="M616" s="2024"/>
      <c r="N616" s="2024"/>
      <c r="O616" s="2024"/>
      <c r="P616" s="2024"/>
      <c r="Q616" s="2024"/>
      <c r="R616" s="2024"/>
      <c r="S616" s="2024"/>
      <c r="T616" s="2024"/>
      <c r="U616" s="2024"/>
      <c r="V616" s="2024"/>
      <c r="W616" s="2024"/>
      <c r="X616" s="2024"/>
      <c r="Y616" s="2024"/>
      <c r="Z616" s="2024"/>
      <c r="AA616" s="2024"/>
      <c r="AB616" s="2024"/>
      <c r="AC616" s="2024"/>
      <c r="AD616" s="2024"/>
      <c r="AE616" s="571"/>
      <c r="AF616" s="571"/>
      <c r="AG616" s="571"/>
      <c r="AH616" s="571"/>
      <c r="AI616" s="571"/>
      <c r="AJ616" s="571"/>
      <c r="AK616" s="571"/>
      <c r="AL616" s="571"/>
      <c r="AN616" s="632"/>
    </row>
    <row r="617" spans="1:42" s="585" customFormat="1" ht="12.75" customHeight="1">
      <c r="B617" s="571"/>
      <c r="C617" s="968"/>
      <c r="D617" s="698"/>
      <c r="E617" s="2024"/>
      <c r="F617" s="2024"/>
      <c r="G617" s="2024"/>
      <c r="H617" s="2024"/>
      <c r="I617" s="2024"/>
      <c r="J617" s="2024"/>
      <c r="K617" s="2024"/>
      <c r="L617" s="2024"/>
      <c r="M617" s="2024"/>
      <c r="N617" s="2024"/>
      <c r="O617" s="2024"/>
      <c r="P617" s="2024"/>
      <c r="Q617" s="2024"/>
      <c r="R617" s="2024"/>
      <c r="S617" s="2024"/>
      <c r="T617" s="2024"/>
      <c r="U617" s="2024"/>
      <c r="V617" s="2024"/>
      <c r="W617" s="2024"/>
      <c r="X617" s="2024"/>
      <c r="Y617" s="2024"/>
      <c r="Z617" s="2024"/>
      <c r="AA617" s="2024"/>
      <c r="AB617" s="2024"/>
      <c r="AC617" s="2024"/>
      <c r="AD617" s="2024"/>
      <c r="AE617" s="571"/>
      <c r="AF617" s="571"/>
      <c r="AG617" s="571"/>
      <c r="AH617" s="571"/>
      <c r="AI617" s="571"/>
      <c r="AJ617" s="571"/>
      <c r="AK617" s="571"/>
      <c r="AL617" s="571"/>
      <c r="AN617" s="632"/>
    </row>
    <row r="618" spans="1:42" s="585" customFormat="1" ht="12.75" customHeight="1">
      <c r="B618" s="571"/>
      <c r="C618" s="968"/>
      <c r="D618" s="698"/>
      <c r="E618" s="2024"/>
      <c r="F618" s="2024"/>
      <c r="G618" s="2024"/>
      <c r="H618" s="2024"/>
      <c r="I618" s="2024"/>
      <c r="J618" s="2024"/>
      <c r="K618" s="2024"/>
      <c r="L618" s="2024"/>
      <c r="M618" s="2024"/>
      <c r="N618" s="2024"/>
      <c r="O618" s="2024"/>
      <c r="P618" s="2024"/>
      <c r="Q618" s="2024"/>
      <c r="R618" s="2024"/>
      <c r="S618" s="2024"/>
      <c r="T618" s="2024"/>
      <c r="U618" s="2024"/>
      <c r="V618" s="2024"/>
      <c r="W618" s="2024"/>
      <c r="X618" s="2024"/>
      <c r="Y618" s="2024"/>
      <c r="Z618" s="2024"/>
      <c r="AA618" s="2024"/>
      <c r="AB618" s="2024"/>
      <c r="AC618" s="2024"/>
      <c r="AD618" s="2024"/>
      <c r="AE618" s="571"/>
      <c r="AF618" s="571"/>
      <c r="AG618" s="571"/>
      <c r="AH618" s="571"/>
      <c r="AI618" s="571"/>
      <c r="AJ618" s="571"/>
      <c r="AK618" s="571"/>
      <c r="AL618" s="571"/>
      <c r="AN618" s="632"/>
    </row>
    <row r="619" spans="1:42" s="585" customFormat="1" ht="12.75" customHeight="1">
      <c r="B619" s="571"/>
      <c r="C619" s="968"/>
      <c r="D619" s="698"/>
      <c r="E619" s="2024"/>
      <c r="F619" s="2024"/>
      <c r="G619" s="2024"/>
      <c r="H619" s="2024"/>
      <c r="I619" s="2024"/>
      <c r="J619" s="2024"/>
      <c r="K619" s="2024"/>
      <c r="L619" s="2024"/>
      <c r="M619" s="2024"/>
      <c r="N619" s="2024"/>
      <c r="O619" s="2024"/>
      <c r="P619" s="2024"/>
      <c r="Q619" s="2024"/>
      <c r="R619" s="2024"/>
      <c r="S619" s="2024"/>
      <c r="T619" s="2024"/>
      <c r="U619" s="2024"/>
      <c r="V619" s="2024"/>
      <c r="W619" s="2024"/>
      <c r="X619" s="2024"/>
      <c r="Y619" s="2024"/>
      <c r="Z619" s="2024"/>
      <c r="AA619" s="2024"/>
      <c r="AB619" s="2024"/>
      <c r="AC619" s="2024"/>
      <c r="AD619" s="2024"/>
      <c r="AE619" s="571"/>
      <c r="AF619" s="571"/>
      <c r="AG619" s="571"/>
      <c r="AH619" s="571"/>
      <c r="AI619" s="571"/>
      <c r="AJ619" s="571"/>
      <c r="AK619" s="571"/>
      <c r="AL619" s="571"/>
      <c r="AN619" s="632"/>
    </row>
    <row r="620" spans="1:42" s="585" customFormat="1" ht="12.75" customHeight="1">
      <c r="A620" s="672"/>
      <c r="B620" s="651"/>
      <c r="C620" s="977"/>
      <c r="D620" s="698"/>
      <c r="E620" s="2024"/>
      <c r="F620" s="2024"/>
      <c r="G620" s="2024"/>
      <c r="H620" s="2024"/>
      <c r="I620" s="2024"/>
      <c r="J620" s="2024"/>
      <c r="K620" s="2024"/>
      <c r="L620" s="2024"/>
      <c r="M620" s="2024"/>
      <c r="N620" s="2024"/>
      <c r="O620" s="2024"/>
      <c r="P620" s="2024"/>
      <c r="Q620" s="2024"/>
      <c r="R620" s="2024"/>
      <c r="S620" s="2024"/>
      <c r="T620" s="2024"/>
      <c r="U620" s="2024"/>
      <c r="V620" s="2024"/>
      <c r="W620" s="2024"/>
      <c r="X620" s="2024"/>
      <c r="Y620" s="2024"/>
      <c r="Z620" s="2024"/>
      <c r="AA620" s="2024"/>
      <c r="AB620" s="2024"/>
      <c r="AC620" s="2024"/>
      <c r="AD620" s="2024"/>
      <c r="AE620" s="651"/>
      <c r="AF620" s="651"/>
      <c r="AG620" s="651"/>
      <c r="AH620" s="651"/>
      <c r="AI620" s="651"/>
      <c r="AJ620" s="651"/>
      <c r="AK620" s="571"/>
      <c r="AL620" s="571"/>
      <c r="AN620" s="632"/>
    </row>
    <row r="621" spans="1:42" s="585" customFormat="1" ht="12.75" customHeight="1">
      <c r="B621" s="651"/>
      <c r="C621" s="977"/>
      <c r="D621" s="698"/>
      <c r="E621" s="2024"/>
      <c r="F621" s="2024"/>
      <c r="G621" s="2024"/>
      <c r="H621" s="2024"/>
      <c r="I621" s="2024"/>
      <c r="J621" s="2024"/>
      <c r="K621" s="2024"/>
      <c r="L621" s="2024"/>
      <c r="M621" s="2024"/>
      <c r="N621" s="2024"/>
      <c r="O621" s="2024"/>
      <c r="P621" s="2024"/>
      <c r="Q621" s="2024"/>
      <c r="R621" s="2024"/>
      <c r="S621" s="2024"/>
      <c r="T621" s="2024"/>
      <c r="U621" s="2024"/>
      <c r="V621" s="2024"/>
      <c r="W621" s="2024"/>
      <c r="X621" s="2024"/>
      <c r="Y621" s="2024"/>
      <c r="Z621" s="2024"/>
      <c r="AA621" s="2024"/>
      <c r="AB621" s="2024"/>
      <c r="AC621" s="2024"/>
      <c r="AD621" s="2024"/>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1578</v>
      </c>
      <c r="F623" s="978"/>
      <c r="G623" s="978"/>
      <c r="H623" s="978"/>
      <c r="I623" s="978"/>
      <c r="J623" s="978"/>
      <c r="K623" s="978"/>
      <c r="L623" s="978"/>
      <c r="M623" s="978"/>
      <c r="N623" s="978"/>
      <c r="O623" s="978"/>
      <c r="P623" s="978"/>
      <c r="Q623" s="978"/>
      <c r="R623" s="978"/>
      <c r="U623" s="978"/>
      <c r="V623" s="978"/>
      <c r="W623" s="978"/>
      <c r="X623" s="2023" t="s">
        <v>600</v>
      </c>
      <c r="Y623" s="2023"/>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1579</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88" t="s">
        <v>1580</v>
      </c>
      <c r="AG625" s="1988"/>
      <c r="AH625" s="1988"/>
      <c r="AI625" s="1988"/>
      <c r="AJ625" s="1988"/>
      <c r="AK625" s="1988"/>
      <c r="AL625" s="1988"/>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1569</v>
      </c>
      <c r="AP626" s="715">
        <v>4</v>
      </c>
    </row>
    <row r="627" spans="1:42" s="585" customFormat="1" ht="12.75" customHeight="1">
      <c r="B627" s="571"/>
      <c r="C627" s="968"/>
      <c r="D627" s="571" t="s">
        <v>1572</v>
      </c>
      <c r="E627" s="973"/>
      <c r="F627" s="973"/>
      <c r="G627" s="973"/>
      <c r="H627" s="1932" t="s">
        <v>697</v>
      </c>
      <c r="I627" s="1932"/>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1570</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1581</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1582</v>
      </c>
      <c r="AJ629" s="1915">
        <f>VLOOKUP($H$627,$AO$594:$AP$596,2,FALSE)</f>
        <v>3</v>
      </c>
      <c r="AK629" s="1917"/>
      <c r="AL629" s="630"/>
      <c r="AN629" s="632"/>
      <c r="AO629" s="646" t="s">
        <v>1583</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1584</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908" t="s">
        <v>2518</v>
      </c>
      <c r="F633" s="1908"/>
      <c r="G633" s="1908"/>
      <c r="H633" s="1908"/>
      <c r="I633" s="1908"/>
      <c r="J633" s="1908"/>
      <c r="K633" s="1908"/>
      <c r="L633" s="1908"/>
      <c r="M633" s="1908"/>
      <c r="N633" s="1908"/>
      <c r="O633" s="1908"/>
      <c r="P633" s="1908"/>
      <c r="Q633" s="1908"/>
      <c r="R633" s="1908"/>
      <c r="S633" s="1908"/>
      <c r="T633" s="1908"/>
      <c r="U633" s="1908"/>
      <c r="V633" s="1908"/>
      <c r="W633" s="1908"/>
      <c r="X633" s="1908"/>
      <c r="Y633" s="1908"/>
      <c r="Z633" s="1908"/>
      <c r="AA633" s="1908"/>
      <c r="AB633" s="1908"/>
      <c r="AC633" s="1908"/>
      <c r="AD633" s="1908"/>
      <c r="AE633" s="571"/>
      <c r="AF633" s="1988" t="s">
        <v>1524</v>
      </c>
      <c r="AG633" s="1988"/>
      <c r="AH633" s="1988"/>
      <c r="AI633" s="1988"/>
      <c r="AJ633" s="1988"/>
      <c r="AK633" s="1988"/>
      <c r="AL633" s="1988"/>
      <c r="AN633" s="632"/>
    </row>
    <row r="634" spans="1:42" s="585" customFormat="1" ht="12.75" customHeight="1">
      <c r="B634" s="571"/>
      <c r="C634" s="571"/>
      <c r="D634" s="698"/>
      <c r="E634" s="1908"/>
      <c r="F634" s="1908"/>
      <c r="G634" s="1908"/>
      <c r="H634" s="1908"/>
      <c r="I634" s="1908"/>
      <c r="J634" s="1908"/>
      <c r="K634" s="1908"/>
      <c r="L634" s="1908"/>
      <c r="M634" s="1908"/>
      <c r="N634" s="1908"/>
      <c r="O634" s="1908"/>
      <c r="P634" s="1908"/>
      <c r="Q634" s="1908"/>
      <c r="R634" s="1908"/>
      <c r="S634" s="1908"/>
      <c r="T634" s="1908"/>
      <c r="U634" s="1908"/>
      <c r="V634" s="1908"/>
      <c r="W634" s="1908"/>
      <c r="X634" s="1908"/>
      <c r="Y634" s="1908"/>
      <c r="Z634" s="1908"/>
      <c r="AA634" s="1908"/>
      <c r="AB634" s="1908"/>
      <c r="AC634" s="1908"/>
      <c r="AD634" s="1908"/>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1585</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88" t="s">
        <v>1580</v>
      </c>
      <c r="AG636" s="1988"/>
      <c r="AH636" s="1988"/>
      <c r="AI636" s="1988"/>
      <c r="AJ636" s="1988"/>
      <c r="AK636" s="1988"/>
      <c r="AL636" s="1988"/>
      <c r="AN636" s="632"/>
    </row>
    <row r="637" spans="1:42" s="585" customFormat="1" ht="12.75" customHeight="1">
      <c r="B637" s="571"/>
      <c r="C637" s="968"/>
      <c r="D637" s="698"/>
      <c r="E637" s="651" t="s">
        <v>1586</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1572</v>
      </c>
      <c r="E639" s="973"/>
      <c r="F639" s="973"/>
      <c r="G639" s="973"/>
      <c r="H639" s="1932" t="s">
        <v>697</v>
      </c>
      <c r="I639" s="1932"/>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1587</v>
      </c>
      <c r="AJ641" s="1915">
        <f>VLOOKUP(H639,AT594:AU596,2,FALSE)</f>
        <v>3</v>
      </c>
      <c r="AK641" s="1917"/>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1588</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1589</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908" t="s">
        <v>1590</v>
      </c>
      <c r="F646" s="1908"/>
      <c r="G646" s="1908"/>
      <c r="H646" s="1908"/>
      <c r="I646" s="1908"/>
      <c r="J646" s="1908"/>
      <c r="K646" s="1908"/>
      <c r="L646" s="1908"/>
      <c r="M646" s="1908"/>
      <c r="N646" s="1908"/>
      <c r="O646" s="1908"/>
      <c r="P646" s="1908"/>
      <c r="Q646" s="1908"/>
      <c r="R646" s="1908"/>
      <c r="S646" s="1908"/>
      <c r="T646" s="1908"/>
      <c r="U646" s="1908"/>
      <c r="V646" s="1908"/>
      <c r="W646" s="1908"/>
      <c r="X646" s="1908"/>
      <c r="Y646" s="1908"/>
      <c r="Z646" s="1908"/>
      <c r="AA646" s="1908"/>
      <c r="AB646" s="1908"/>
      <c r="AC646" s="1908"/>
      <c r="AD646" s="571"/>
      <c r="AE646" s="571"/>
      <c r="AF646" s="1988" t="s">
        <v>1550</v>
      </c>
      <c r="AG646" s="1988"/>
      <c r="AH646" s="1988"/>
      <c r="AI646" s="1988"/>
      <c r="AJ646" s="1988"/>
      <c r="AK646" s="1988"/>
      <c r="AL646" s="1988"/>
      <c r="AN646" s="632"/>
    </row>
    <row r="647" spans="1:42" s="585" customFormat="1" ht="12.75" customHeight="1">
      <c r="B647" s="571"/>
      <c r="C647" s="574"/>
      <c r="D647" s="571"/>
      <c r="E647" s="1908"/>
      <c r="F647" s="1908"/>
      <c r="G647" s="1908"/>
      <c r="H647" s="1908"/>
      <c r="I647" s="1908"/>
      <c r="J647" s="1908"/>
      <c r="K647" s="1908"/>
      <c r="L647" s="1908"/>
      <c r="M647" s="1908"/>
      <c r="N647" s="1908"/>
      <c r="O647" s="1908"/>
      <c r="P647" s="1908"/>
      <c r="Q647" s="1908"/>
      <c r="R647" s="1908"/>
      <c r="S647" s="1908"/>
      <c r="T647" s="1908"/>
      <c r="U647" s="1908"/>
      <c r="V647" s="1908"/>
      <c r="W647" s="1908"/>
      <c r="X647" s="1908"/>
      <c r="Y647" s="1908"/>
      <c r="Z647" s="1908"/>
      <c r="AA647" s="1908"/>
      <c r="AB647" s="1908"/>
      <c r="AC647" s="1908"/>
      <c r="AD647" s="571"/>
      <c r="AE647" s="571"/>
      <c r="AF647" s="571"/>
      <c r="AG647" s="571"/>
      <c r="AH647" s="571"/>
      <c r="AI647" s="571"/>
      <c r="AJ647" s="571"/>
      <c r="AK647" s="571"/>
      <c r="AL647" s="571"/>
      <c r="AN647" s="632"/>
    </row>
    <row r="648" spans="1:42" s="585" customFormat="1" ht="12.75" customHeight="1">
      <c r="B648" s="571"/>
      <c r="C648" s="574"/>
      <c r="D648" s="698"/>
      <c r="E648" s="1908"/>
      <c r="F648" s="1908"/>
      <c r="G648" s="1908"/>
      <c r="H648" s="1908"/>
      <c r="I648" s="1908"/>
      <c r="J648" s="1908"/>
      <c r="K648" s="1908"/>
      <c r="L648" s="1908"/>
      <c r="M648" s="1908"/>
      <c r="N648" s="1908"/>
      <c r="O648" s="1908"/>
      <c r="P648" s="1908"/>
      <c r="Q648" s="1908"/>
      <c r="R648" s="1908"/>
      <c r="S648" s="1908"/>
      <c r="T648" s="1908"/>
      <c r="U648" s="1908"/>
      <c r="V648" s="1908"/>
      <c r="W648" s="1908"/>
      <c r="X648" s="1908"/>
      <c r="Y648" s="1908"/>
      <c r="Z648" s="1908"/>
      <c r="AA648" s="1908"/>
      <c r="AB648" s="1908"/>
      <c r="AC648" s="1908"/>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908" t="s">
        <v>1591</v>
      </c>
      <c r="F650" s="1908"/>
      <c r="G650" s="1908"/>
      <c r="H650" s="1908"/>
      <c r="I650" s="1908"/>
      <c r="J650" s="1908"/>
      <c r="K650" s="1908"/>
      <c r="L650" s="1908"/>
      <c r="M650" s="1908"/>
      <c r="N650" s="1908"/>
      <c r="O650" s="1908"/>
      <c r="P650" s="1908"/>
      <c r="Q650" s="1908"/>
      <c r="R650" s="1908"/>
      <c r="S650" s="1908"/>
      <c r="T650" s="1908"/>
      <c r="U650" s="1908"/>
      <c r="V650" s="1908"/>
      <c r="W650" s="1908"/>
      <c r="X650" s="1908"/>
      <c r="Y650" s="1908"/>
      <c r="Z650" s="1908"/>
      <c r="AA650" s="1908"/>
      <c r="AB650" s="1908"/>
      <c r="AC650" s="1908"/>
      <c r="AD650" s="571"/>
      <c r="AE650" s="571"/>
      <c r="AF650" s="1988" t="s">
        <v>1571</v>
      </c>
      <c r="AG650" s="1988"/>
      <c r="AH650" s="1988"/>
      <c r="AI650" s="1988"/>
      <c r="AJ650" s="1988"/>
      <c r="AK650" s="1988"/>
      <c r="AL650" s="1988"/>
      <c r="AN650" s="632"/>
    </row>
    <row r="651" spans="1:42" s="585" customFormat="1" ht="12.75" customHeight="1">
      <c r="B651" s="571"/>
      <c r="C651" s="574"/>
      <c r="D651" s="571"/>
      <c r="E651" s="1908"/>
      <c r="F651" s="1908"/>
      <c r="G651" s="1908"/>
      <c r="H651" s="1908"/>
      <c r="I651" s="1908"/>
      <c r="J651" s="1908"/>
      <c r="K651" s="1908"/>
      <c r="L651" s="1908"/>
      <c r="M651" s="1908"/>
      <c r="N651" s="1908"/>
      <c r="O651" s="1908"/>
      <c r="P651" s="1908"/>
      <c r="Q651" s="1908"/>
      <c r="R651" s="1908"/>
      <c r="S651" s="1908"/>
      <c r="T651" s="1908"/>
      <c r="U651" s="1908"/>
      <c r="V651" s="1908"/>
      <c r="W651" s="1908"/>
      <c r="X651" s="1908"/>
      <c r="Y651" s="1908"/>
      <c r="Z651" s="1908"/>
      <c r="AA651" s="1908"/>
      <c r="AB651" s="1908"/>
      <c r="AC651" s="1908"/>
      <c r="AD651" s="571"/>
      <c r="AE651" s="571"/>
      <c r="AF651" s="571"/>
      <c r="AG651" s="571"/>
      <c r="AH651" s="571"/>
      <c r="AI651" s="571"/>
      <c r="AJ651" s="571"/>
      <c r="AK651" s="571"/>
      <c r="AL651" s="571"/>
      <c r="AN651" s="632"/>
    </row>
    <row r="652" spans="1:42" s="585" customFormat="1" ht="15" customHeight="1">
      <c r="B652" s="571"/>
      <c r="C652" s="574"/>
      <c r="D652" s="698"/>
      <c r="E652" s="1908"/>
      <c r="F652" s="1908"/>
      <c r="G652" s="1908"/>
      <c r="H652" s="1908"/>
      <c r="I652" s="1908"/>
      <c r="J652" s="1908"/>
      <c r="K652" s="1908"/>
      <c r="L652" s="1908"/>
      <c r="M652" s="1908"/>
      <c r="N652" s="1908"/>
      <c r="O652" s="1908"/>
      <c r="P652" s="1908"/>
      <c r="Q652" s="1908"/>
      <c r="R652" s="1908"/>
      <c r="S652" s="1908"/>
      <c r="T652" s="1908"/>
      <c r="U652" s="1908"/>
      <c r="V652" s="1908"/>
      <c r="W652" s="1908"/>
      <c r="X652" s="1908"/>
      <c r="Y652" s="1908"/>
      <c r="Z652" s="1908"/>
      <c r="AA652" s="1908"/>
      <c r="AB652" s="1908"/>
      <c r="AC652" s="1908"/>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08" t="s">
        <v>1592</v>
      </c>
      <c r="F654" s="1908"/>
      <c r="G654" s="1908"/>
      <c r="H654" s="1908"/>
      <c r="I654" s="1908"/>
      <c r="J654" s="1908"/>
      <c r="K654" s="1908"/>
      <c r="L654" s="1908"/>
      <c r="M654" s="1908"/>
      <c r="N654" s="1908"/>
      <c r="O654" s="1908"/>
      <c r="P654" s="1908"/>
      <c r="Q654" s="1908"/>
      <c r="R654" s="1908"/>
      <c r="S654" s="1908"/>
      <c r="T654" s="1908"/>
      <c r="U654" s="1908"/>
      <c r="V654" s="1908"/>
      <c r="W654" s="1908"/>
      <c r="X654" s="1908"/>
      <c r="Y654" s="1908"/>
      <c r="Z654" s="1908"/>
      <c r="AA654" s="1908"/>
      <c r="AB654" s="1908"/>
      <c r="AC654" s="1908"/>
      <c r="AD654" s="571"/>
      <c r="AE654" s="571"/>
      <c r="AF654" s="1988" t="s">
        <v>1524</v>
      </c>
      <c r="AG654" s="1988"/>
      <c r="AH654" s="1988"/>
      <c r="AI654" s="1988"/>
      <c r="AJ654" s="1988"/>
      <c r="AK654" s="1988"/>
      <c r="AL654" s="1988"/>
      <c r="AN654" s="632"/>
    </row>
    <row r="655" spans="1:42" s="585" customFormat="1" ht="12.75" customHeight="1">
      <c r="B655" s="571"/>
      <c r="C655" s="968"/>
      <c r="D655" s="571"/>
      <c r="E655" s="1908"/>
      <c r="F655" s="1908"/>
      <c r="G655" s="1908"/>
      <c r="H655" s="1908"/>
      <c r="I655" s="1908"/>
      <c r="J655" s="1908"/>
      <c r="K655" s="1908"/>
      <c r="L655" s="1908"/>
      <c r="M655" s="1908"/>
      <c r="N655" s="1908"/>
      <c r="O655" s="1908"/>
      <c r="P655" s="1908"/>
      <c r="Q655" s="1908"/>
      <c r="R655" s="1908"/>
      <c r="S655" s="1908"/>
      <c r="T655" s="1908"/>
      <c r="U655" s="1908"/>
      <c r="V655" s="1908"/>
      <c r="W655" s="1908"/>
      <c r="X655" s="1908"/>
      <c r="Y655" s="1908"/>
      <c r="Z655" s="1908"/>
      <c r="AA655" s="1908"/>
      <c r="AB655" s="1908"/>
      <c r="AC655" s="1908"/>
      <c r="AD655" s="571"/>
      <c r="AE655" s="1988"/>
      <c r="AF655" s="1988"/>
      <c r="AG655" s="1988"/>
      <c r="AH655" s="1988"/>
      <c r="AI655" s="1988"/>
      <c r="AJ655" s="1988"/>
      <c r="AK655" s="1988"/>
      <c r="AL655" s="629"/>
      <c r="AN655" s="632"/>
      <c r="AO655" s="585" t="s">
        <v>600</v>
      </c>
      <c r="AP655" s="708">
        <v>0</v>
      </c>
    </row>
    <row r="656" spans="1:42" s="585" customFormat="1" ht="12.75" customHeight="1">
      <c r="A656" s="714"/>
      <c r="B656" s="571"/>
      <c r="C656" s="571"/>
      <c r="D656" s="698"/>
      <c r="E656" s="1908"/>
      <c r="F656" s="1908"/>
      <c r="G656" s="1908"/>
      <c r="H656" s="1908"/>
      <c r="I656" s="1908"/>
      <c r="J656" s="1908"/>
      <c r="K656" s="1908"/>
      <c r="L656" s="1908"/>
      <c r="M656" s="1908"/>
      <c r="N656" s="1908"/>
      <c r="O656" s="1908"/>
      <c r="P656" s="1908"/>
      <c r="Q656" s="1908"/>
      <c r="R656" s="1908"/>
      <c r="S656" s="1908"/>
      <c r="T656" s="1908"/>
      <c r="U656" s="1908"/>
      <c r="V656" s="1908"/>
      <c r="W656" s="1908"/>
      <c r="X656" s="1908"/>
      <c r="Y656" s="1908"/>
      <c r="Z656" s="1908"/>
      <c r="AA656" s="1908"/>
      <c r="AB656" s="1908"/>
      <c r="AC656" s="1908"/>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1569</v>
      </c>
      <c r="E658" s="1908" t="s">
        <v>1593</v>
      </c>
      <c r="F658" s="1908"/>
      <c r="G658" s="1908"/>
      <c r="H658" s="1908"/>
      <c r="I658" s="1908"/>
      <c r="J658" s="1908"/>
      <c r="K658" s="1908"/>
      <c r="L658" s="1908"/>
      <c r="M658" s="1908"/>
      <c r="N658" s="1908"/>
      <c r="O658" s="1908"/>
      <c r="P658" s="1908"/>
      <c r="Q658" s="1908"/>
      <c r="R658" s="1908"/>
      <c r="S658" s="1908"/>
      <c r="T658" s="1908"/>
      <c r="U658" s="1908"/>
      <c r="V658" s="1908"/>
      <c r="W658" s="1908"/>
      <c r="X658" s="1908"/>
      <c r="Y658" s="1908"/>
      <c r="Z658" s="1908"/>
      <c r="AA658" s="1908"/>
      <c r="AB658" s="1908"/>
      <c r="AC658" s="1908"/>
      <c r="AD658" s="571"/>
      <c r="AE658" s="571"/>
      <c r="AF658" s="1988" t="s">
        <v>1571</v>
      </c>
      <c r="AG658" s="1988"/>
      <c r="AH658" s="1988"/>
      <c r="AI658" s="1988"/>
      <c r="AJ658" s="1988"/>
      <c r="AK658" s="1988"/>
      <c r="AL658" s="1988"/>
      <c r="AN658" s="632"/>
    </row>
    <row r="659" spans="1:42" s="585" customFormat="1" ht="12.75" customHeight="1">
      <c r="A659" s="705"/>
      <c r="B659" s="571"/>
      <c r="C659" s="984"/>
      <c r="D659" s="698"/>
      <c r="E659" s="1908"/>
      <c r="F659" s="1908"/>
      <c r="G659" s="1908"/>
      <c r="H659" s="1908"/>
      <c r="I659" s="1908"/>
      <c r="J659" s="1908"/>
      <c r="K659" s="1908"/>
      <c r="L659" s="1908"/>
      <c r="M659" s="1908"/>
      <c r="N659" s="1908"/>
      <c r="O659" s="1908"/>
      <c r="P659" s="1908"/>
      <c r="Q659" s="1908"/>
      <c r="R659" s="1908"/>
      <c r="S659" s="1908"/>
      <c r="T659" s="1908"/>
      <c r="U659" s="1908"/>
      <c r="V659" s="1908"/>
      <c r="W659" s="1908"/>
      <c r="X659" s="1908"/>
      <c r="Y659" s="1908"/>
      <c r="Z659" s="1908"/>
      <c r="AA659" s="1908"/>
      <c r="AB659" s="1908"/>
      <c r="AC659" s="1908"/>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08"/>
      <c r="F660" s="1908"/>
      <c r="G660" s="1908"/>
      <c r="H660" s="1908"/>
      <c r="I660" s="1908"/>
      <c r="J660" s="1908"/>
      <c r="K660" s="1908"/>
      <c r="L660" s="1908"/>
      <c r="M660" s="1908"/>
      <c r="N660" s="1908"/>
      <c r="O660" s="1908"/>
      <c r="P660" s="1908"/>
      <c r="Q660" s="1908"/>
      <c r="R660" s="1908"/>
      <c r="S660" s="1908"/>
      <c r="T660" s="1908"/>
      <c r="U660" s="1908"/>
      <c r="V660" s="1908"/>
      <c r="W660" s="1908"/>
      <c r="X660" s="1908"/>
      <c r="Y660" s="1908"/>
      <c r="Z660" s="1908"/>
      <c r="AA660" s="1908"/>
      <c r="AB660" s="1908"/>
      <c r="AC660" s="1908"/>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1570</v>
      </c>
      <c r="E662" s="1908" t="s">
        <v>1594</v>
      </c>
      <c r="F662" s="1908"/>
      <c r="G662" s="1908"/>
      <c r="H662" s="1908"/>
      <c r="I662" s="1908"/>
      <c r="J662" s="1908"/>
      <c r="K662" s="1908"/>
      <c r="L662" s="1908"/>
      <c r="M662" s="1908"/>
      <c r="N662" s="1908"/>
      <c r="O662" s="1908"/>
      <c r="P662" s="1908"/>
      <c r="Q662" s="1908"/>
      <c r="R662" s="1908"/>
      <c r="S662" s="1908"/>
      <c r="T662" s="1908"/>
      <c r="U662" s="1908"/>
      <c r="V662" s="1908"/>
      <c r="W662" s="1908"/>
      <c r="X662" s="1908"/>
      <c r="Y662" s="1908"/>
      <c r="Z662" s="1908"/>
      <c r="AA662" s="1908"/>
      <c r="AB662" s="1908"/>
      <c r="AC662" s="1908"/>
      <c r="AD662" s="571"/>
      <c r="AE662" s="571"/>
      <c r="AF662" s="1988" t="s">
        <v>1524</v>
      </c>
      <c r="AG662" s="1988"/>
      <c r="AH662" s="1988"/>
      <c r="AI662" s="1988"/>
      <c r="AJ662" s="1988"/>
      <c r="AK662" s="1988"/>
      <c r="AL662" s="1988"/>
      <c r="AM662" s="631"/>
      <c r="AN662" s="632"/>
    </row>
    <row r="663" spans="1:42" s="585" customFormat="1" ht="12.75" customHeight="1">
      <c r="B663" s="571"/>
      <c r="C663" s="968"/>
      <c r="D663" s="698"/>
      <c r="E663" s="1908"/>
      <c r="F663" s="1908"/>
      <c r="G663" s="1908"/>
      <c r="H663" s="1908"/>
      <c r="I663" s="1908"/>
      <c r="J663" s="1908"/>
      <c r="K663" s="1908"/>
      <c r="L663" s="1908"/>
      <c r="M663" s="1908"/>
      <c r="N663" s="1908"/>
      <c r="O663" s="1908"/>
      <c r="P663" s="1908"/>
      <c r="Q663" s="1908"/>
      <c r="R663" s="1908"/>
      <c r="S663" s="1908"/>
      <c r="T663" s="1908"/>
      <c r="U663" s="1908"/>
      <c r="V663" s="1908"/>
      <c r="W663" s="1908"/>
      <c r="X663" s="1908"/>
      <c r="Y663" s="1908"/>
      <c r="Z663" s="1908"/>
      <c r="AA663" s="1908"/>
      <c r="AB663" s="1908"/>
      <c r="AC663" s="1908"/>
      <c r="AD663" s="571"/>
      <c r="AE663" s="571"/>
      <c r="AF663" s="571"/>
      <c r="AG663" s="571"/>
      <c r="AH663" s="571"/>
      <c r="AI663" s="571"/>
      <c r="AJ663" s="571"/>
      <c r="AK663" s="571"/>
      <c r="AL663" s="571"/>
      <c r="AM663" s="631"/>
      <c r="AN663" s="632"/>
    </row>
    <row r="664" spans="1:42" s="585" customFormat="1" ht="12.75" customHeight="1">
      <c r="B664" s="571"/>
      <c r="C664" s="968"/>
      <c r="D664" s="698"/>
      <c r="E664" s="1908"/>
      <c r="F664" s="1908"/>
      <c r="G664" s="1908"/>
      <c r="H664" s="1908"/>
      <c r="I664" s="1908"/>
      <c r="J664" s="1908"/>
      <c r="K664" s="1908"/>
      <c r="L664" s="1908"/>
      <c r="M664" s="1908"/>
      <c r="N664" s="1908"/>
      <c r="O664" s="1908"/>
      <c r="P664" s="1908"/>
      <c r="Q664" s="1908"/>
      <c r="R664" s="1908"/>
      <c r="S664" s="1908"/>
      <c r="T664" s="1908"/>
      <c r="U664" s="1908"/>
      <c r="V664" s="1908"/>
      <c r="W664" s="1908"/>
      <c r="X664" s="1908"/>
      <c r="Y664" s="1908"/>
      <c r="Z664" s="1908"/>
      <c r="AA664" s="1908"/>
      <c r="AB664" s="1908"/>
      <c r="AC664" s="1908"/>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1581</v>
      </c>
      <c r="E666" s="1908" t="s">
        <v>1595</v>
      </c>
      <c r="F666" s="1908"/>
      <c r="G666" s="1908"/>
      <c r="H666" s="1908"/>
      <c r="I666" s="1908"/>
      <c r="J666" s="1908"/>
      <c r="K666" s="1908"/>
      <c r="L666" s="1908"/>
      <c r="M666" s="1908"/>
      <c r="N666" s="1908"/>
      <c r="O666" s="1908"/>
      <c r="P666" s="1908"/>
      <c r="Q666" s="1908"/>
      <c r="R666" s="1908"/>
      <c r="S666" s="1908"/>
      <c r="T666" s="1908"/>
      <c r="U666" s="1908"/>
      <c r="V666" s="1908"/>
      <c r="W666" s="1908"/>
      <c r="X666" s="1908"/>
      <c r="Y666" s="1908"/>
      <c r="Z666" s="1908"/>
      <c r="AA666" s="1908"/>
      <c r="AB666" s="1908"/>
      <c r="AC666" s="1908"/>
      <c r="AD666" s="571"/>
      <c r="AE666" s="571"/>
      <c r="AF666" s="1988" t="s">
        <v>1580</v>
      </c>
      <c r="AG666" s="1988"/>
      <c r="AH666" s="1988"/>
      <c r="AI666" s="1988"/>
      <c r="AJ666" s="1988"/>
      <c r="AK666" s="1988"/>
      <c r="AL666" s="1988"/>
      <c r="AM666" s="631"/>
      <c r="AN666" s="632"/>
    </row>
    <row r="667" spans="1:42" s="585" customFormat="1" ht="12.75" customHeight="1">
      <c r="A667" s="714"/>
      <c r="B667" s="571"/>
      <c r="C667" s="968"/>
      <c r="D667" s="698"/>
      <c r="E667" s="1908"/>
      <c r="F667" s="1908"/>
      <c r="G667" s="1908"/>
      <c r="H667" s="1908"/>
      <c r="I667" s="1908"/>
      <c r="J667" s="1908"/>
      <c r="K667" s="1908"/>
      <c r="L667" s="1908"/>
      <c r="M667" s="1908"/>
      <c r="N667" s="1908"/>
      <c r="O667" s="1908"/>
      <c r="P667" s="1908"/>
      <c r="Q667" s="1908"/>
      <c r="R667" s="1908"/>
      <c r="S667" s="1908"/>
      <c r="T667" s="1908"/>
      <c r="U667" s="1908"/>
      <c r="V667" s="1908"/>
      <c r="W667" s="1908"/>
      <c r="X667" s="1908"/>
      <c r="Y667" s="1908"/>
      <c r="Z667" s="1908"/>
      <c r="AA667" s="1908"/>
      <c r="AB667" s="1908"/>
      <c r="AC667" s="1908"/>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08"/>
      <c r="F668" s="1908"/>
      <c r="G668" s="1908"/>
      <c r="H668" s="1908"/>
      <c r="I668" s="1908"/>
      <c r="J668" s="1908"/>
      <c r="K668" s="1908"/>
      <c r="L668" s="1908"/>
      <c r="M668" s="1908"/>
      <c r="N668" s="1908"/>
      <c r="O668" s="1908"/>
      <c r="P668" s="1908"/>
      <c r="Q668" s="1908"/>
      <c r="R668" s="1908"/>
      <c r="S668" s="1908"/>
      <c r="T668" s="1908"/>
      <c r="U668" s="1908"/>
      <c r="V668" s="1908"/>
      <c r="W668" s="1908"/>
      <c r="X668" s="1908"/>
      <c r="Y668" s="1908"/>
      <c r="Z668" s="1908"/>
      <c r="AA668" s="1908"/>
      <c r="AB668" s="1908"/>
      <c r="AC668" s="1908"/>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1583</v>
      </c>
      <c r="E670" s="1908" t="s">
        <v>1596</v>
      </c>
      <c r="F670" s="1908"/>
      <c r="G670" s="1908"/>
      <c r="H670" s="1908"/>
      <c r="I670" s="1908"/>
      <c r="J670" s="1908"/>
      <c r="K670" s="1908"/>
      <c r="L670" s="1908"/>
      <c r="M670" s="1908"/>
      <c r="N670" s="1908"/>
      <c r="O670" s="1908"/>
      <c r="P670" s="1908"/>
      <c r="Q670" s="1908"/>
      <c r="R670" s="1908"/>
      <c r="S670" s="1908"/>
      <c r="T670" s="1908"/>
      <c r="U670" s="1908"/>
      <c r="V670" s="1908"/>
      <c r="W670" s="1908"/>
      <c r="X670" s="1908"/>
      <c r="Y670" s="1908"/>
      <c r="Z670" s="1908"/>
      <c r="AA670" s="1908"/>
      <c r="AB670" s="1908"/>
      <c r="AC670" s="1908"/>
      <c r="AD670" s="571"/>
      <c r="AE670" s="571"/>
      <c r="AF670" s="1988" t="s">
        <v>1597</v>
      </c>
      <c r="AG670" s="1988"/>
      <c r="AH670" s="1988"/>
      <c r="AI670" s="1988"/>
      <c r="AJ670" s="1988"/>
      <c r="AK670" s="1988"/>
      <c r="AL670" s="1988"/>
      <c r="AM670" s="631"/>
      <c r="AN670" s="632"/>
      <c r="AO670" s="646" t="s">
        <v>697</v>
      </c>
      <c r="AP670" s="585">
        <v>3</v>
      </c>
    </row>
    <row r="671" spans="1:42" s="585" customFormat="1" ht="12.75" customHeight="1">
      <c r="A671" s="714"/>
      <c r="B671" s="571"/>
      <c r="C671" s="968"/>
      <c r="D671" s="698"/>
      <c r="E671" s="1908"/>
      <c r="F671" s="1908"/>
      <c r="G671" s="1908"/>
      <c r="H671" s="1908"/>
      <c r="I671" s="1908"/>
      <c r="J671" s="1908"/>
      <c r="K671" s="1908"/>
      <c r="L671" s="1908"/>
      <c r="M671" s="1908"/>
      <c r="N671" s="1908"/>
      <c r="O671" s="1908"/>
      <c r="P671" s="1908"/>
      <c r="Q671" s="1908"/>
      <c r="R671" s="1908"/>
      <c r="S671" s="1908"/>
      <c r="T671" s="1908"/>
      <c r="U671" s="1908"/>
      <c r="V671" s="1908"/>
      <c r="W671" s="1908"/>
      <c r="X671" s="1908"/>
      <c r="Y671" s="1908"/>
      <c r="Z671" s="1908"/>
      <c r="AA671" s="1908"/>
      <c r="AB671" s="1908"/>
      <c r="AC671" s="1908"/>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908"/>
      <c r="F672" s="1908"/>
      <c r="G672" s="1908"/>
      <c r="H672" s="1908"/>
      <c r="I672" s="1908"/>
      <c r="J672" s="1908"/>
      <c r="K672" s="1908"/>
      <c r="L672" s="1908"/>
      <c r="M672" s="1908"/>
      <c r="N672" s="1908"/>
      <c r="O672" s="1908"/>
      <c r="P672" s="1908"/>
      <c r="Q672" s="1908"/>
      <c r="R672" s="1908"/>
      <c r="S672" s="1908"/>
      <c r="T672" s="1908"/>
      <c r="U672" s="1908"/>
      <c r="V672" s="1908"/>
      <c r="W672" s="1908"/>
      <c r="X672" s="1908"/>
      <c r="Y672" s="1908"/>
      <c r="Z672" s="1908"/>
      <c r="AA672" s="1908"/>
      <c r="AB672" s="1908"/>
      <c r="AC672" s="1908"/>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1572</v>
      </c>
      <c r="E674" s="973"/>
      <c r="F674" s="973"/>
      <c r="G674" s="973"/>
      <c r="H674" s="1932" t="s">
        <v>697</v>
      </c>
      <c r="I674" s="1932"/>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1598</v>
      </c>
      <c r="AJ676" s="1915">
        <f>VLOOKUP($H$674,$AO$622:$AP$629,2,FALSE)</f>
        <v>5</v>
      </c>
      <c r="AK676" s="1917"/>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2557</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908" t="s">
        <v>2555</v>
      </c>
      <c r="F680" s="1908"/>
      <c r="G680" s="1908"/>
      <c r="H680" s="1908"/>
      <c r="I680" s="1908"/>
      <c r="J680" s="1908"/>
      <c r="K680" s="1908"/>
      <c r="L680" s="1908"/>
      <c r="M680" s="1908"/>
      <c r="N680" s="1908"/>
      <c r="O680" s="1908"/>
      <c r="P680" s="1908"/>
      <c r="Q680" s="1908"/>
      <c r="R680" s="1908"/>
      <c r="S680" s="1908"/>
      <c r="T680" s="1908"/>
      <c r="U680" s="1908"/>
      <c r="V680" s="1908"/>
      <c r="W680" s="1908"/>
      <c r="X680" s="1908"/>
      <c r="Y680" s="1908"/>
      <c r="Z680" s="1908"/>
      <c r="AA680" s="1908"/>
      <c r="AB680" s="1908"/>
      <c r="AC680" s="571"/>
      <c r="AD680" s="571"/>
      <c r="AE680" s="571"/>
      <c r="AF680" s="1988" t="s">
        <v>1524</v>
      </c>
      <c r="AG680" s="1988"/>
      <c r="AH680" s="1988"/>
      <c r="AI680" s="1988"/>
      <c r="AJ680" s="1988"/>
      <c r="AK680" s="1988"/>
      <c r="AL680" s="1988"/>
      <c r="AN680" s="632"/>
    </row>
    <row r="681" spans="1:42" s="585" customFormat="1" ht="12.75" customHeight="1">
      <c r="B681" s="571"/>
      <c r="C681" s="977"/>
      <c r="D681" s="698"/>
      <c r="E681" s="1908"/>
      <c r="F681" s="1908"/>
      <c r="G681" s="1908"/>
      <c r="H681" s="1908"/>
      <c r="I681" s="1908"/>
      <c r="J681" s="1908"/>
      <c r="K681" s="1908"/>
      <c r="L681" s="1908"/>
      <c r="M681" s="1908"/>
      <c r="N681" s="1908"/>
      <c r="O681" s="1908"/>
      <c r="P681" s="1908"/>
      <c r="Q681" s="1908"/>
      <c r="R681" s="1908"/>
      <c r="S681" s="1908"/>
      <c r="T681" s="1908"/>
      <c r="U681" s="1908"/>
      <c r="V681" s="1908"/>
      <c r="W681" s="1908"/>
      <c r="X681" s="1908"/>
      <c r="Y681" s="1908"/>
      <c r="Z681" s="1908"/>
      <c r="AA681" s="1908"/>
      <c r="AB681" s="1908"/>
      <c r="AC681" s="571"/>
      <c r="AD681" s="571"/>
      <c r="AE681" s="651"/>
      <c r="AF681" s="571"/>
      <c r="AG681" s="571"/>
      <c r="AH681" s="571"/>
      <c r="AI681" s="571"/>
      <c r="AJ681" s="571"/>
      <c r="AK681" s="571"/>
      <c r="AL681" s="571"/>
      <c r="AN681" s="632"/>
      <c r="AO681" s="1923"/>
      <c r="AP681" s="1923"/>
    </row>
    <row r="682" spans="1:42" s="585" customFormat="1" ht="12.75" customHeight="1">
      <c r="B682" s="571"/>
      <c r="C682" s="977"/>
      <c r="D682" s="698"/>
      <c r="E682" s="1908"/>
      <c r="F682" s="1908"/>
      <c r="G682" s="1908"/>
      <c r="H682" s="1908"/>
      <c r="I682" s="1908"/>
      <c r="J682" s="1908"/>
      <c r="K682" s="1908"/>
      <c r="L682" s="1908"/>
      <c r="M682" s="1908"/>
      <c r="N682" s="1908"/>
      <c r="O682" s="1908"/>
      <c r="P682" s="1908"/>
      <c r="Q682" s="1908"/>
      <c r="R682" s="1908"/>
      <c r="S682" s="1908"/>
      <c r="T682" s="1908"/>
      <c r="U682" s="1908"/>
      <c r="V682" s="1908"/>
      <c r="W682" s="1908"/>
      <c r="X682" s="1908"/>
      <c r="Y682" s="1908"/>
      <c r="Z682" s="1908"/>
      <c r="AA682" s="1908"/>
      <c r="AB682" s="1908"/>
      <c r="AC682" s="571"/>
      <c r="AD682" s="571"/>
      <c r="AE682" s="651"/>
      <c r="AF682" s="651"/>
      <c r="AG682" s="651"/>
      <c r="AH682" s="651"/>
      <c r="AI682" s="651"/>
      <c r="AJ682" s="651"/>
      <c r="AK682" s="651"/>
      <c r="AL682" s="651"/>
      <c r="AN682" s="632"/>
    </row>
    <row r="683" spans="1:42" s="585" customFormat="1" ht="28.5" customHeight="1">
      <c r="B683" s="571"/>
      <c r="C683" s="977"/>
      <c r="D683" s="698"/>
      <c r="E683" s="1908"/>
      <c r="F683" s="1908"/>
      <c r="G683" s="1908"/>
      <c r="H683" s="1908"/>
      <c r="I683" s="1908"/>
      <c r="J683" s="1908"/>
      <c r="K683" s="1908"/>
      <c r="L683" s="1908"/>
      <c r="M683" s="1908"/>
      <c r="N683" s="1908"/>
      <c r="O683" s="1908"/>
      <c r="P683" s="1908"/>
      <c r="Q683" s="1908"/>
      <c r="R683" s="1908"/>
      <c r="S683" s="1908"/>
      <c r="T683" s="1908"/>
      <c r="U683" s="1908"/>
      <c r="V683" s="1908"/>
      <c r="W683" s="1908"/>
      <c r="X683" s="1908"/>
      <c r="Y683" s="1908"/>
      <c r="Z683" s="1908"/>
      <c r="AA683" s="1908"/>
      <c r="AB683" s="1908"/>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518</v>
      </c>
      <c r="E685" s="1908" t="s">
        <v>2556</v>
      </c>
      <c r="F685" s="1908"/>
      <c r="G685" s="1908"/>
      <c r="H685" s="1908"/>
      <c r="I685" s="1908"/>
      <c r="J685" s="1908"/>
      <c r="K685" s="1908"/>
      <c r="L685" s="1908"/>
      <c r="M685" s="1908"/>
      <c r="N685" s="1908"/>
      <c r="O685" s="1908"/>
      <c r="P685" s="1908"/>
      <c r="Q685" s="1908"/>
      <c r="R685" s="1908"/>
      <c r="S685" s="1908"/>
      <c r="T685" s="1908"/>
      <c r="U685" s="1908"/>
      <c r="V685" s="1908"/>
      <c r="W685" s="1908"/>
      <c r="X685" s="1908"/>
      <c r="Y685" s="1908"/>
      <c r="Z685" s="1908"/>
      <c r="AA685" s="1908"/>
      <c r="AB685" s="1908"/>
      <c r="AC685" s="571"/>
      <c r="AD685" s="571"/>
      <c r="AE685" s="571"/>
      <c r="AF685" s="1988" t="s">
        <v>1580</v>
      </c>
      <c r="AG685" s="1988"/>
      <c r="AH685" s="1988"/>
      <c r="AI685" s="1988"/>
      <c r="AJ685" s="1988"/>
      <c r="AK685" s="1988"/>
      <c r="AL685" s="1988"/>
      <c r="AN685" s="632"/>
      <c r="AO685" s="646" t="s">
        <v>518</v>
      </c>
      <c r="AP685" s="585">
        <v>1</v>
      </c>
    </row>
    <row r="686" spans="1:42" s="585" customFormat="1" ht="12" customHeight="1">
      <c r="B686" s="571"/>
      <c r="C686" s="968"/>
      <c r="D686" s="571"/>
      <c r="E686" s="1908"/>
      <c r="F686" s="1908"/>
      <c r="G686" s="1908"/>
      <c r="H686" s="1908"/>
      <c r="I686" s="1908"/>
      <c r="J686" s="1908"/>
      <c r="K686" s="1908"/>
      <c r="L686" s="1908"/>
      <c r="M686" s="1908"/>
      <c r="N686" s="1908"/>
      <c r="O686" s="1908"/>
      <c r="P686" s="1908"/>
      <c r="Q686" s="1908"/>
      <c r="R686" s="1908"/>
      <c r="S686" s="1908"/>
      <c r="T686" s="1908"/>
      <c r="U686" s="1908"/>
      <c r="V686" s="1908"/>
      <c r="W686" s="1908"/>
      <c r="X686" s="1908"/>
      <c r="Y686" s="1908"/>
      <c r="Z686" s="1908"/>
      <c r="AA686" s="1908"/>
      <c r="AB686" s="1908"/>
      <c r="AC686" s="571"/>
      <c r="AD686" s="571"/>
      <c r="AE686" s="651"/>
      <c r="AF686" s="571"/>
      <c r="AG686" s="571"/>
      <c r="AH686" s="571"/>
      <c r="AI686" s="571"/>
      <c r="AJ686" s="571"/>
      <c r="AK686" s="571"/>
      <c r="AL686" s="571"/>
      <c r="AN686" s="632"/>
    </row>
    <row r="687" spans="1:42" s="585" customFormat="1" ht="12" customHeight="1">
      <c r="B687" s="571"/>
      <c r="C687" s="968"/>
      <c r="D687" s="571"/>
      <c r="E687" s="1908"/>
      <c r="F687" s="1908"/>
      <c r="G687" s="1908"/>
      <c r="H687" s="1908"/>
      <c r="I687" s="1908"/>
      <c r="J687" s="1908"/>
      <c r="K687" s="1908"/>
      <c r="L687" s="1908"/>
      <c r="M687" s="1908"/>
      <c r="N687" s="1908"/>
      <c r="O687" s="1908"/>
      <c r="P687" s="1908"/>
      <c r="Q687" s="1908"/>
      <c r="R687" s="1908"/>
      <c r="S687" s="1908"/>
      <c r="T687" s="1908"/>
      <c r="U687" s="1908"/>
      <c r="V687" s="1908"/>
      <c r="W687" s="1908"/>
      <c r="X687" s="1908"/>
      <c r="Y687" s="1908"/>
      <c r="Z687" s="1908"/>
      <c r="AA687" s="1908"/>
      <c r="AB687" s="1908"/>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08"/>
      <c r="F688" s="1908"/>
      <c r="G688" s="1908"/>
      <c r="H688" s="1908"/>
      <c r="I688" s="1908"/>
      <c r="J688" s="1908"/>
      <c r="K688" s="1908"/>
      <c r="L688" s="1908"/>
      <c r="M688" s="1908"/>
      <c r="N688" s="1908"/>
      <c r="O688" s="1908"/>
      <c r="P688" s="1908"/>
      <c r="Q688" s="1908"/>
      <c r="R688" s="1908"/>
      <c r="S688" s="1908"/>
      <c r="T688" s="1908"/>
      <c r="U688" s="1908"/>
      <c r="V688" s="1908"/>
      <c r="W688" s="1908"/>
      <c r="X688" s="1908"/>
      <c r="Y688" s="1908"/>
      <c r="Z688" s="1908"/>
      <c r="AA688" s="1908"/>
      <c r="AB688" s="1908"/>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08" t="s">
        <v>1953</v>
      </c>
      <c r="F690" s="1908"/>
      <c r="G690" s="1908"/>
      <c r="H690" s="1908"/>
      <c r="I690" s="1908"/>
      <c r="J690" s="1908"/>
      <c r="K690" s="1908"/>
      <c r="L690" s="1908"/>
      <c r="M690" s="1908"/>
      <c r="N690" s="1908"/>
      <c r="O690" s="1908"/>
      <c r="P690" s="1908"/>
      <c r="Q690" s="1908"/>
      <c r="R690" s="1908"/>
      <c r="S690" s="1908"/>
      <c r="T690" s="1908"/>
      <c r="U690" s="1908"/>
      <c r="V690" s="1908"/>
      <c r="W690" s="1908"/>
      <c r="X690" s="1908"/>
      <c r="Y690" s="1908"/>
      <c r="Z690" s="1908"/>
      <c r="AA690" s="1908"/>
      <c r="AB690" s="1908"/>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08"/>
      <c r="F691" s="1908"/>
      <c r="G691" s="1908"/>
      <c r="H691" s="1908"/>
      <c r="I691" s="1908"/>
      <c r="J691" s="1908"/>
      <c r="K691" s="1908"/>
      <c r="L691" s="1908"/>
      <c r="M691" s="1908"/>
      <c r="N691" s="1908"/>
      <c r="O691" s="1908"/>
      <c r="P691" s="1908"/>
      <c r="Q691" s="1908"/>
      <c r="R691" s="1908"/>
      <c r="S691" s="1908"/>
      <c r="T691" s="1908"/>
      <c r="U691" s="1908"/>
      <c r="V691" s="1908"/>
      <c r="W691" s="1908"/>
      <c r="X691" s="1908"/>
      <c r="Y691" s="1908"/>
      <c r="Z691" s="1908"/>
      <c r="AA691" s="1908"/>
      <c r="AB691" s="1908"/>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08"/>
      <c r="F692" s="1908"/>
      <c r="G692" s="1908"/>
      <c r="H692" s="1908"/>
      <c r="I692" s="1908"/>
      <c r="J692" s="1908"/>
      <c r="K692" s="1908"/>
      <c r="L692" s="1908"/>
      <c r="M692" s="1908"/>
      <c r="N692" s="1908"/>
      <c r="O692" s="1908"/>
      <c r="P692" s="1908"/>
      <c r="Q692" s="1908"/>
      <c r="R692" s="1908"/>
      <c r="S692" s="1908"/>
      <c r="T692" s="1908"/>
      <c r="U692" s="1908"/>
      <c r="V692" s="1908"/>
      <c r="W692" s="1908"/>
      <c r="X692" s="1908"/>
      <c r="Y692" s="1908"/>
      <c r="Z692" s="1908"/>
      <c r="AA692" s="1908"/>
      <c r="AB692" s="1908"/>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1572</v>
      </c>
      <c r="E694" s="973"/>
      <c r="F694" s="973"/>
      <c r="G694" s="973"/>
      <c r="H694" s="1932" t="s">
        <v>697</v>
      </c>
      <c r="I694" s="1932"/>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1599</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1577</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2558</v>
      </c>
      <c r="AJ696" s="1915">
        <f>VLOOKUP($H$694,$AO$641:$AP$643,2,FALSE)</f>
        <v>3</v>
      </c>
      <c r="AK696" s="1917"/>
      <c r="AL696" s="630"/>
      <c r="AM696" s="585"/>
      <c r="AN696" s="719"/>
      <c r="AP696" s="605" t="s">
        <v>1584</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1600</v>
      </c>
    </row>
    <row r="698" spans="1:42" s="605" customFormat="1" ht="12.75" customHeight="1">
      <c r="A698" s="585"/>
      <c r="B698" s="571"/>
      <c r="C698" s="574" t="s">
        <v>1601</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1602</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1603</v>
      </c>
    </row>
    <row r="700" spans="1:42" s="605" customFormat="1" ht="12.75" customHeight="1">
      <c r="A700" s="672"/>
      <c r="B700" s="571"/>
      <c r="C700" s="968"/>
      <c r="D700" s="698" t="s">
        <v>697</v>
      </c>
      <c r="E700" s="2021" t="s">
        <v>1955</v>
      </c>
      <c r="F700" s="2021"/>
      <c r="G700" s="2021"/>
      <c r="H700" s="2021"/>
      <c r="I700" s="2021"/>
      <c r="J700" s="2021"/>
      <c r="K700" s="2021"/>
      <c r="L700" s="2021"/>
      <c r="M700" s="2021"/>
      <c r="N700" s="2021"/>
      <c r="O700" s="2021"/>
      <c r="P700" s="2021"/>
      <c r="Q700" s="2021"/>
      <c r="R700" s="2021"/>
      <c r="S700" s="2021"/>
      <c r="T700" s="2021"/>
      <c r="U700" s="2021"/>
      <c r="V700" s="2021"/>
      <c r="W700" s="2021"/>
      <c r="X700" s="2021"/>
      <c r="Y700" s="2021"/>
      <c r="Z700" s="2021"/>
      <c r="AA700" s="2021"/>
      <c r="AB700" s="2021"/>
      <c r="AC700" s="571"/>
      <c r="AD700" s="571"/>
      <c r="AE700" s="571"/>
      <c r="AF700" s="1988" t="s">
        <v>1524</v>
      </c>
      <c r="AG700" s="1988"/>
      <c r="AH700" s="1988"/>
      <c r="AI700" s="1988"/>
      <c r="AJ700" s="1988"/>
      <c r="AK700" s="1988"/>
      <c r="AL700" s="1988"/>
      <c r="AM700" s="585"/>
      <c r="AN700" s="719"/>
      <c r="AP700" s="605" t="s">
        <v>1604</v>
      </c>
    </row>
    <row r="701" spans="1:42" s="605" customFormat="1" ht="11.85" customHeight="1">
      <c r="A701" s="585"/>
      <c r="B701" s="571"/>
      <c r="C701" s="970"/>
      <c r="D701" s="698"/>
      <c r="E701" s="2021"/>
      <c r="F701" s="2021"/>
      <c r="G701" s="2021"/>
      <c r="H701" s="2021"/>
      <c r="I701" s="2021"/>
      <c r="J701" s="2021"/>
      <c r="K701" s="2021"/>
      <c r="L701" s="2021"/>
      <c r="M701" s="2021"/>
      <c r="N701" s="2021"/>
      <c r="O701" s="2021"/>
      <c r="P701" s="2021"/>
      <c r="Q701" s="2021"/>
      <c r="R701" s="2021"/>
      <c r="S701" s="2021"/>
      <c r="T701" s="2021"/>
      <c r="U701" s="2021"/>
      <c r="V701" s="2021"/>
      <c r="W701" s="2021"/>
      <c r="X701" s="2021"/>
      <c r="Y701" s="2021"/>
      <c r="Z701" s="2021"/>
      <c r="AA701" s="2021"/>
      <c r="AB701" s="2021"/>
      <c r="AC701" s="571"/>
      <c r="AD701" s="571"/>
      <c r="AE701" s="571"/>
      <c r="AF701" s="571"/>
      <c r="AG701" s="571"/>
      <c r="AH701" s="571"/>
      <c r="AI701" s="571"/>
      <c r="AJ701" s="571"/>
      <c r="AK701" s="571"/>
      <c r="AL701" s="571"/>
      <c r="AM701" s="585"/>
      <c r="AN701" s="719"/>
      <c r="AP701" s="605" t="s">
        <v>1605</v>
      </c>
    </row>
    <row r="702" spans="1:42" s="605" customFormat="1" ht="13.9" customHeight="1">
      <c r="A702" s="585"/>
      <c r="B702" s="645"/>
      <c r="C702" s="968"/>
      <c r="D702" s="698"/>
      <c r="E702" s="2021"/>
      <c r="F702" s="2021"/>
      <c r="G702" s="2021"/>
      <c r="H702" s="2021"/>
      <c r="I702" s="2021"/>
      <c r="J702" s="2021"/>
      <c r="K702" s="2021"/>
      <c r="L702" s="2021"/>
      <c r="M702" s="2021"/>
      <c r="N702" s="2021"/>
      <c r="O702" s="2021"/>
      <c r="P702" s="2021"/>
      <c r="Q702" s="2021"/>
      <c r="R702" s="2021"/>
      <c r="S702" s="2021"/>
      <c r="T702" s="2021"/>
      <c r="U702" s="2021"/>
      <c r="V702" s="2021"/>
      <c r="W702" s="2021"/>
      <c r="X702" s="2021"/>
      <c r="Y702" s="2021"/>
      <c r="Z702" s="2021"/>
      <c r="AA702" s="2021"/>
      <c r="AB702" s="2021"/>
      <c r="AC702" s="571"/>
      <c r="AD702" s="571"/>
      <c r="AE702" s="651"/>
      <c r="AF702" s="571"/>
      <c r="AG702" s="571"/>
      <c r="AH702" s="571"/>
      <c r="AI702" s="571"/>
      <c r="AJ702" s="571"/>
      <c r="AK702" s="571"/>
      <c r="AL702" s="571"/>
      <c r="AM702" s="585"/>
      <c r="AN702" s="719"/>
      <c r="AP702" s="605" t="s">
        <v>1606</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1608</v>
      </c>
    </row>
    <row r="704" spans="1:42" s="605" customFormat="1" ht="13.9" customHeight="1">
      <c r="A704" s="585"/>
      <c r="B704" s="571"/>
      <c r="C704" s="968"/>
      <c r="D704" s="698" t="s">
        <v>518</v>
      </c>
      <c r="E704" s="2022" t="s">
        <v>1607</v>
      </c>
      <c r="F704" s="2022"/>
      <c r="G704" s="2022"/>
      <c r="H704" s="2022"/>
      <c r="I704" s="2022"/>
      <c r="J704" s="2022"/>
      <c r="K704" s="2022"/>
      <c r="L704" s="2022"/>
      <c r="M704" s="2022"/>
      <c r="N704" s="2022"/>
      <c r="O704" s="2022"/>
      <c r="P704" s="2022"/>
      <c r="Q704" s="2022"/>
      <c r="R704" s="2022"/>
      <c r="S704" s="2022"/>
      <c r="T704" s="2022"/>
      <c r="U704" s="2022"/>
      <c r="V704" s="2022"/>
      <c r="W704" s="2022"/>
      <c r="X704" s="2022"/>
      <c r="Y704" s="2022"/>
      <c r="Z704" s="2022"/>
      <c r="AA704" s="2022"/>
      <c r="AB704" s="2022"/>
      <c r="AC704" s="571"/>
      <c r="AD704" s="571"/>
      <c r="AE704" s="571"/>
      <c r="AF704" s="1988" t="s">
        <v>1580</v>
      </c>
      <c r="AG704" s="1988"/>
      <c r="AH704" s="1988"/>
      <c r="AI704" s="1988"/>
      <c r="AJ704" s="1988"/>
      <c r="AK704" s="1988"/>
      <c r="AL704" s="1988"/>
      <c r="AM704" s="585"/>
      <c r="AN704" s="720"/>
    </row>
    <row r="705" spans="1:52" s="605" customFormat="1" ht="12.75" customHeight="1">
      <c r="A705" s="585"/>
      <c r="B705" s="571"/>
      <c r="C705" s="970"/>
      <c r="D705" s="571"/>
      <c r="E705" s="2022"/>
      <c r="F705" s="2022"/>
      <c r="G705" s="2022"/>
      <c r="H705" s="2022"/>
      <c r="I705" s="2022"/>
      <c r="J705" s="2022"/>
      <c r="K705" s="2022"/>
      <c r="L705" s="2022"/>
      <c r="M705" s="2022"/>
      <c r="N705" s="2022"/>
      <c r="O705" s="2022"/>
      <c r="P705" s="2022"/>
      <c r="Q705" s="2022"/>
      <c r="R705" s="2022"/>
      <c r="S705" s="2022"/>
      <c r="T705" s="2022"/>
      <c r="U705" s="2022"/>
      <c r="V705" s="2022"/>
      <c r="W705" s="2022"/>
      <c r="X705" s="2022"/>
      <c r="Y705" s="2022"/>
      <c r="Z705" s="2022"/>
      <c r="AA705" s="2022"/>
      <c r="AB705" s="2022"/>
      <c r="AC705" s="571"/>
      <c r="AD705" s="571"/>
      <c r="AE705" s="571"/>
      <c r="AF705" s="571"/>
      <c r="AG705" s="571"/>
      <c r="AH705" s="571"/>
      <c r="AI705" s="571"/>
      <c r="AJ705" s="571"/>
      <c r="AK705" s="571"/>
      <c r="AL705" s="571"/>
      <c r="AM705" s="585"/>
      <c r="AN705" s="719"/>
      <c r="AP705" s="585" t="s">
        <v>600</v>
      </c>
      <c r="AQ705" s="708">
        <v>0</v>
      </c>
    </row>
    <row r="706" spans="1:52" s="605" customFormat="1" ht="13.9" customHeight="1">
      <c r="A706" s="585"/>
      <c r="B706" s="571"/>
      <c r="C706" s="970"/>
      <c r="D706" s="571"/>
      <c r="E706" s="2022"/>
      <c r="F706" s="2022"/>
      <c r="G706" s="2022"/>
      <c r="H706" s="2022"/>
      <c r="I706" s="2022"/>
      <c r="J706" s="2022"/>
      <c r="K706" s="2022"/>
      <c r="L706" s="2022"/>
      <c r="M706" s="2022"/>
      <c r="N706" s="2022"/>
      <c r="O706" s="2022"/>
      <c r="P706" s="2022"/>
      <c r="Q706" s="2022"/>
      <c r="R706" s="2022"/>
      <c r="S706" s="2022"/>
      <c r="T706" s="2022"/>
      <c r="U706" s="2022"/>
      <c r="V706" s="2022"/>
      <c r="W706" s="2022"/>
      <c r="X706" s="2022"/>
      <c r="Y706" s="2022"/>
      <c r="Z706" s="2022"/>
      <c r="AA706" s="2022"/>
      <c r="AB706" s="2022"/>
      <c r="AC706" s="571"/>
      <c r="AD706" s="571"/>
      <c r="AE706" s="571"/>
      <c r="AF706" s="571"/>
      <c r="AG706" s="571"/>
      <c r="AH706" s="571"/>
      <c r="AI706" s="571"/>
      <c r="AJ706" s="571"/>
      <c r="AK706" s="571"/>
      <c r="AL706" s="571"/>
      <c r="AM706" s="585"/>
      <c r="AN706" s="719"/>
      <c r="AP706" s="646" t="s">
        <v>697</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3.9" customHeight="1">
      <c r="A708" s="585"/>
      <c r="B708" s="571"/>
      <c r="C708" s="970"/>
      <c r="D708" s="571" t="s">
        <v>1572</v>
      </c>
      <c r="E708" s="973"/>
      <c r="F708" s="973"/>
      <c r="G708" s="973"/>
      <c r="H708" s="1932" t="s">
        <v>600</v>
      </c>
      <c r="I708" s="1932"/>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1609</v>
      </c>
      <c r="AJ710" s="1915">
        <f>VLOOKUP($H$708,$AO$641:$AP$643,2,FALSE)</f>
        <v>0</v>
      </c>
      <c r="AK710" s="1917"/>
      <c r="AL710" s="630"/>
      <c r="AM710" s="585"/>
      <c r="AN710" s="719"/>
      <c r="AP710" s="1915"/>
      <c r="AQ710" s="1917"/>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1610</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697</v>
      </c>
      <c r="E714" s="1908" t="s">
        <v>1956</v>
      </c>
      <c r="F714" s="1908"/>
      <c r="G714" s="1908"/>
      <c r="H714" s="1908"/>
      <c r="I714" s="1908"/>
      <c r="J714" s="1908"/>
      <c r="K714" s="1908"/>
      <c r="L714" s="1908"/>
      <c r="M714" s="1908"/>
      <c r="N714" s="1908"/>
      <c r="O714" s="1908"/>
      <c r="P714" s="1908"/>
      <c r="Q714" s="1908"/>
      <c r="R714" s="1908"/>
      <c r="S714" s="1908"/>
      <c r="T714" s="1908"/>
      <c r="U714" s="1908"/>
      <c r="V714" s="1908"/>
      <c r="W714" s="1908"/>
      <c r="X714" s="1908"/>
      <c r="Y714" s="1908"/>
      <c r="Z714" s="1908"/>
      <c r="AA714" s="1908"/>
      <c r="AB714" s="1908"/>
      <c r="AC714" s="571"/>
      <c r="AD714" s="571"/>
      <c r="AE714" s="571"/>
      <c r="AF714" s="1988" t="s">
        <v>1524</v>
      </c>
      <c r="AG714" s="1988"/>
      <c r="AH714" s="1988"/>
      <c r="AI714" s="1988"/>
      <c r="AJ714" s="1988"/>
      <c r="AK714" s="1988"/>
      <c r="AL714" s="1988"/>
      <c r="AM714" s="585"/>
      <c r="AN714" s="719"/>
      <c r="AT714" s="14"/>
      <c r="AU714" s="14"/>
      <c r="AV714" s="14"/>
      <c r="AW714" s="14"/>
      <c r="AX714" s="14"/>
      <c r="AY714" s="14"/>
      <c r="AZ714" s="14"/>
    </row>
    <row r="715" spans="1:52" s="605" customFormat="1">
      <c r="A715" s="585"/>
      <c r="B715" s="571"/>
      <c r="C715" s="970"/>
      <c r="D715" s="698"/>
      <c r="E715" s="1908"/>
      <c r="F715" s="1908"/>
      <c r="G715" s="1908"/>
      <c r="H715" s="1908"/>
      <c r="I715" s="1908"/>
      <c r="J715" s="1908"/>
      <c r="K715" s="1908"/>
      <c r="L715" s="1908"/>
      <c r="M715" s="1908"/>
      <c r="N715" s="1908"/>
      <c r="O715" s="1908"/>
      <c r="P715" s="1908"/>
      <c r="Q715" s="1908"/>
      <c r="R715" s="1908"/>
      <c r="S715" s="1908"/>
      <c r="T715" s="1908"/>
      <c r="U715" s="1908"/>
      <c r="V715" s="1908"/>
      <c r="W715" s="1908"/>
      <c r="X715" s="1908"/>
      <c r="Y715" s="1908"/>
      <c r="Z715" s="1908"/>
      <c r="AA715" s="1908"/>
      <c r="AB715" s="1908"/>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908" t="s">
        <v>1611</v>
      </c>
      <c r="F717" s="1908"/>
      <c r="G717" s="1908"/>
      <c r="H717" s="1908"/>
      <c r="I717" s="1908"/>
      <c r="J717" s="1908"/>
      <c r="K717" s="1908"/>
      <c r="L717" s="1908"/>
      <c r="M717" s="1908"/>
      <c r="N717" s="1908"/>
      <c r="O717" s="1908"/>
      <c r="P717" s="1908"/>
      <c r="Q717" s="1908"/>
      <c r="R717" s="1908"/>
      <c r="S717" s="1908"/>
      <c r="T717" s="1908"/>
      <c r="U717" s="1908"/>
      <c r="V717" s="1908"/>
      <c r="W717" s="1908"/>
      <c r="X717" s="1908"/>
      <c r="Y717" s="1908"/>
      <c r="Z717" s="1908"/>
      <c r="AA717" s="1908"/>
      <c r="AB717" s="1908"/>
      <c r="AC717" s="571"/>
      <c r="AD717" s="571"/>
      <c r="AE717" s="571"/>
      <c r="AF717" s="1988" t="s">
        <v>1580</v>
      </c>
      <c r="AG717" s="1988"/>
      <c r="AH717" s="1988"/>
      <c r="AI717" s="1988"/>
      <c r="AJ717" s="1988"/>
      <c r="AK717" s="1988"/>
      <c r="AL717" s="1988"/>
      <c r="AM717" s="585"/>
      <c r="AN717" s="719"/>
      <c r="AT717" s="14"/>
      <c r="AU717" s="14"/>
      <c r="AV717" s="14"/>
      <c r="AW717" s="14"/>
      <c r="AX717" s="14"/>
      <c r="AY717" s="14"/>
      <c r="AZ717" s="14"/>
    </row>
    <row r="718" spans="1:52" s="605" customFormat="1">
      <c r="A718" s="585"/>
      <c r="B718" s="571"/>
      <c r="C718" s="970"/>
      <c r="D718" s="571"/>
      <c r="E718" s="1908"/>
      <c r="F718" s="1908"/>
      <c r="G718" s="1908"/>
      <c r="H718" s="1908"/>
      <c r="I718" s="1908"/>
      <c r="J718" s="1908"/>
      <c r="K718" s="1908"/>
      <c r="L718" s="1908"/>
      <c r="M718" s="1908"/>
      <c r="N718" s="1908"/>
      <c r="O718" s="1908"/>
      <c r="P718" s="1908"/>
      <c r="Q718" s="1908"/>
      <c r="R718" s="1908"/>
      <c r="S718" s="1908"/>
      <c r="T718" s="1908"/>
      <c r="U718" s="1908"/>
      <c r="V718" s="1908"/>
      <c r="W718" s="1908"/>
      <c r="X718" s="1908"/>
      <c r="Y718" s="1908"/>
      <c r="Z718" s="1908"/>
      <c r="AA718" s="1908"/>
      <c r="AB718" s="1908"/>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1572</v>
      </c>
      <c r="E720" s="973"/>
      <c r="F720" s="973"/>
      <c r="G720" s="973"/>
      <c r="H720" s="1932" t="s">
        <v>600</v>
      </c>
      <c r="I720" s="1932"/>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1612</v>
      </c>
      <c r="AJ722" s="1915">
        <f>VLOOKUP($H$720,$AO$655:$AP$657,2,FALSE)</f>
        <v>0</v>
      </c>
      <c r="AK722" s="1917"/>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1613</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697</v>
      </c>
      <c r="E726" s="1908" t="s">
        <v>1614</v>
      </c>
      <c r="F726" s="1908"/>
      <c r="G726" s="1908"/>
      <c r="H726" s="1908"/>
      <c r="I726" s="1908"/>
      <c r="J726" s="1908"/>
      <c r="K726" s="1908"/>
      <c r="L726" s="1908"/>
      <c r="M726" s="1908"/>
      <c r="N726" s="1908"/>
      <c r="O726" s="1908"/>
      <c r="P726" s="1908"/>
      <c r="Q726" s="1908"/>
      <c r="R726" s="1908"/>
      <c r="S726" s="1908"/>
      <c r="T726" s="1908"/>
      <c r="U726" s="1908"/>
      <c r="V726" s="1908"/>
      <c r="W726" s="1908"/>
      <c r="X726" s="1908"/>
      <c r="Y726" s="1908"/>
      <c r="Z726" s="1908"/>
      <c r="AA726" s="1908"/>
      <c r="AB726" s="1908"/>
      <c r="AC726" s="571"/>
      <c r="AD726" s="571"/>
      <c r="AE726" s="571"/>
      <c r="AF726" s="1988" t="s">
        <v>1524</v>
      </c>
      <c r="AG726" s="1988"/>
      <c r="AH726" s="1988"/>
      <c r="AI726" s="1988"/>
      <c r="AJ726" s="1988"/>
      <c r="AK726" s="1988"/>
      <c r="AL726" s="1988"/>
      <c r="AM726" s="585"/>
      <c r="AN726" s="719"/>
      <c r="AT726" s="14"/>
      <c r="AU726" s="14"/>
      <c r="AV726" s="14"/>
      <c r="AW726" s="14"/>
      <c r="AX726" s="14"/>
      <c r="AY726" s="14"/>
      <c r="AZ726" s="14"/>
    </row>
    <row r="727" spans="1:81" s="605" customFormat="1">
      <c r="A727" s="585"/>
      <c r="B727" s="571"/>
      <c r="C727" s="968"/>
      <c r="D727" s="698"/>
      <c r="E727" s="1908"/>
      <c r="F727" s="1908"/>
      <c r="G727" s="1908"/>
      <c r="H727" s="1908"/>
      <c r="I727" s="1908"/>
      <c r="J727" s="1908"/>
      <c r="K727" s="1908"/>
      <c r="L727" s="1908"/>
      <c r="M727" s="1908"/>
      <c r="N727" s="1908"/>
      <c r="O727" s="1908"/>
      <c r="P727" s="1908"/>
      <c r="Q727" s="1908"/>
      <c r="R727" s="1908"/>
      <c r="S727" s="1908"/>
      <c r="T727" s="1908"/>
      <c r="U727" s="1908"/>
      <c r="V727" s="1908"/>
      <c r="W727" s="1908"/>
      <c r="X727" s="1908"/>
      <c r="Y727" s="1908"/>
      <c r="Z727" s="1908"/>
      <c r="AA727" s="1908"/>
      <c r="AB727" s="1908"/>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08"/>
      <c r="F728" s="1908"/>
      <c r="G728" s="1908"/>
      <c r="H728" s="1908"/>
      <c r="I728" s="1908"/>
      <c r="J728" s="1908"/>
      <c r="K728" s="1908"/>
      <c r="L728" s="1908"/>
      <c r="M728" s="1908"/>
      <c r="N728" s="1908"/>
      <c r="O728" s="1908"/>
      <c r="P728" s="1908"/>
      <c r="Q728" s="1908"/>
      <c r="R728" s="1908"/>
      <c r="S728" s="1908"/>
      <c r="T728" s="1908"/>
      <c r="U728" s="1908"/>
      <c r="V728" s="1908"/>
      <c r="W728" s="1908"/>
      <c r="X728" s="1908"/>
      <c r="Y728" s="1908"/>
      <c r="Z728" s="1908"/>
      <c r="AA728" s="1908"/>
      <c r="AB728" s="1908"/>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08"/>
      <c r="F729" s="1908"/>
      <c r="G729" s="1908"/>
      <c r="H729" s="1908"/>
      <c r="I729" s="1908"/>
      <c r="J729" s="1908"/>
      <c r="K729" s="1908"/>
      <c r="L729" s="1908"/>
      <c r="M729" s="1908"/>
      <c r="N729" s="1908"/>
      <c r="O729" s="1908"/>
      <c r="P729" s="1908"/>
      <c r="Q729" s="1908"/>
      <c r="R729" s="1908"/>
      <c r="S729" s="1908"/>
      <c r="T729" s="1908"/>
      <c r="U729" s="1908"/>
      <c r="V729" s="1908"/>
      <c r="W729" s="1908"/>
      <c r="X729" s="1908"/>
      <c r="Y729" s="1908"/>
      <c r="Z729" s="1908"/>
      <c r="AA729" s="1908"/>
      <c r="AB729" s="1908"/>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518</v>
      </c>
      <c r="E731" s="1908" t="s">
        <v>1615</v>
      </c>
      <c r="F731" s="1908"/>
      <c r="G731" s="1908"/>
      <c r="H731" s="1908"/>
      <c r="I731" s="1908"/>
      <c r="J731" s="1908"/>
      <c r="K731" s="1908"/>
      <c r="L731" s="1908"/>
      <c r="M731" s="1908"/>
      <c r="N731" s="1908"/>
      <c r="O731" s="1908"/>
      <c r="P731" s="1908"/>
      <c r="Q731" s="1908"/>
      <c r="R731" s="1908"/>
      <c r="S731" s="1908"/>
      <c r="T731" s="1908"/>
      <c r="U731" s="1908"/>
      <c r="V731" s="1908"/>
      <c r="W731" s="1908"/>
      <c r="X731" s="1908"/>
      <c r="Y731" s="1908"/>
      <c r="Z731" s="1908"/>
      <c r="AA731" s="1908"/>
      <c r="AB731" s="610"/>
      <c r="AC731" s="571"/>
      <c r="AD731" s="571"/>
      <c r="AE731" s="571"/>
      <c r="AF731" s="1988" t="s">
        <v>1580</v>
      </c>
      <c r="AG731" s="1988"/>
      <c r="AH731" s="1988"/>
      <c r="AI731" s="1988"/>
      <c r="AJ731" s="1988"/>
      <c r="AK731" s="1988"/>
      <c r="AL731" s="1988"/>
      <c r="AM731" s="585"/>
      <c r="AN731" s="719"/>
      <c r="AO731" s="30"/>
      <c r="AP731" s="14"/>
    </row>
    <row r="732" spans="1:81" s="605" customFormat="1">
      <c r="A732" s="585"/>
      <c r="B732" s="571"/>
      <c r="C732" s="968"/>
      <c r="D732" s="698"/>
      <c r="E732" s="1908"/>
      <c r="F732" s="1908"/>
      <c r="G732" s="1908"/>
      <c r="H732" s="1908"/>
      <c r="I732" s="1908"/>
      <c r="J732" s="1908"/>
      <c r="K732" s="1908"/>
      <c r="L732" s="1908"/>
      <c r="M732" s="1908"/>
      <c r="N732" s="1908"/>
      <c r="O732" s="1908"/>
      <c r="P732" s="1908"/>
      <c r="Q732" s="1908"/>
      <c r="R732" s="1908"/>
      <c r="S732" s="1908"/>
      <c r="T732" s="1908"/>
      <c r="U732" s="1908"/>
      <c r="V732" s="1908"/>
      <c r="W732" s="1908"/>
      <c r="X732" s="1908"/>
      <c r="Y732" s="1908"/>
      <c r="Z732" s="1908"/>
      <c r="AA732" s="1908"/>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08"/>
      <c r="F733" s="1908"/>
      <c r="G733" s="1908"/>
      <c r="H733" s="1908"/>
      <c r="I733" s="1908"/>
      <c r="J733" s="1908"/>
      <c r="K733" s="1908"/>
      <c r="L733" s="1908"/>
      <c r="M733" s="1908"/>
      <c r="N733" s="1908"/>
      <c r="O733" s="1908"/>
      <c r="P733" s="1908"/>
      <c r="Q733" s="1908"/>
      <c r="R733" s="1908"/>
      <c r="S733" s="1908"/>
      <c r="T733" s="1908"/>
      <c r="U733" s="1908"/>
      <c r="V733" s="1908"/>
      <c r="W733" s="1908"/>
      <c r="X733" s="1908"/>
      <c r="Y733" s="1908"/>
      <c r="Z733" s="1908"/>
      <c r="AA733" s="1908"/>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08"/>
      <c r="F734" s="1908"/>
      <c r="G734" s="1908"/>
      <c r="H734" s="1908"/>
      <c r="I734" s="1908"/>
      <c r="J734" s="1908"/>
      <c r="K734" s="1908"/>
      <c r="L734" s="1908"/>
      <c r="M734" s="1908"/>
      <c r="N734" s="1908"/>
      <c r="O734" s="1908"/>
      <c r="P734" s="1908"/>
      <c r="Q734" s="1908"/>
      <c r="R734" s="1908"/>
      <c r="S734" s="1908"/>
      <c r="T734" s="1908"/>
      <c r="U734" s="1908"/>
      <c r="V734" s="1908"/>
      <c r="W734" s="1908"/>
      <c r="X734" s="1908"/>
      <c r="Y734" s="1908"/>
      <c r="Z734" s="1908"/>
      <c r="AA734" s="1908"/>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1572</v>
      </c>
      <c r="E736" s="973"/>
      <c r="F736" s="973"/>
      <c r="G736" s="973"/>
      <c r="H736" s="1932" t="s">
        <v>697</v>
      </c>
      <c r="I736" s="1932"/>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1616</v>
      </c>
      <c r="AJ738" s="1915">
        <f>VLOOKUP($H$736,$AO$669:$AP$671,2,FALSE)</f>
        <v>3</v>
      </c>
      <c r="AK738" s="1917"/>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1606</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697</v>
      </c>
      <c r="E742" s="1908" t="s">
        <v>1617</v>
      </c>
      <c r="F742" s="1908"/>
      <c r="G742" s="1908"/>
      <c r="H742" s="1908"/>
      <c r="I742" s="1908"/>
      <c r="J742" s="1908"/>
      <c r="K742" s="1908"/>
      <c r="L742" s="1908"/>
      <c r="M742" s="1908"/>
      <c r="N742" s="1908"/>
      <c r="O742" s="1908"/>
      <c r="P742" s="1908"/>
      <c r="Q742" s="1908"/>
      <c r="R742" s="1908"/>
      <c r="S742" s="1908"/>
      <c r="T742" s="1908"/>
      <c r="U742" s="1908"/>
      <c r="V742" s="1908"/>
      <c r="W742" s="1908"/>
      <c r="X742" s="1908"/>
      <c r="Y742" s="1908"/>
      <c r="Z742" s="1908"/>
      <c r="AA742" s="1908"/>
      <c r="AB742" s="1908"/>
      <c r="AC742" s="571"/>
      <c r="AD742" s="571"/>
      <c r="AE742" s="571"/>
      <c r="AF742" s="1988" t="s">
        <v>1580</v>
      </c>
      <c r="AG742" s="1988"/>
      <c r="AH742" s="1988"/>
      <c r="AI742" s="1988"/>
      <c r="AJ742" s="1988"/>
      <c r="AK742" s="1988"/>
      <c r="AL742" s="1988"/>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08"/>
      <c r="F743" s="1908"/>
      <c r="G743" s="1908"/>
      <c r="H743" s="1908"/>
      <c r="I743" s="1908"/>
      <c r="J743" s="1908"/>
      <c r="K743" s="1908"/>
      <c r="L743" s="1908"/>
      <c r="M743" s="1908"/>
      <c r="N743" s="1908"/>
      <c r="O743" s="1908"/>
      <c r="P743" s="1908"/>
      <c r="Q743" s="1908"/>
      <c r="R743" s="1908"/>
      <c r="S743" s="1908"/>
      <c r="T743" s="1908"/>
      <c r="U743" s="1908"/>
      <c r="V743" s="1908"/>
      <c r="W743" s="1908"/>
      <c r="X743" s="1908"/>
      <c r="Y743" s="1908"/>
      <c r="Z743" s="1908"/>
      <c r="AA743" s="1908"/>
      <c r="AB743" s="1908"/>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518</v>
      </c>
      <c r="E745" s="1908" t="s">
        <v>1618</v>
      </c>
      <c r="F745" s="1908"/>
      <c r="G745" s="1908"/>
      <c r="H745" s="1908"/>
      <c r="I745" s="1908"/>
      <c r="J745" s="1908"/>
      <c r="K745" s="1908"/>
      <c r="L745" s="1908"/>
      <c r="M745" s="1908"/>
      <c r="N745" s="1908"/>
      <c r="O745" s="1908"/>
      <c r="P745" s="1908"/>
      <c r="Q745" s="1908"/>
      <c r="R745" s="1908"/>
      <c r="S745" s="1908"/>
      <c r="T745" s="1908"/>
      <c r="U745" s="1908"/>
      <c r="V745" s="1908"/>
      <c r="W745" s="1908"/>
      <c r="X745" s="1908"/>
      <c r="Y745" s="1908"/>
      <c r="Z745" s="1908"/>
      <c r="AA745" s="1908"/>
      <c r="AB745" s="1908"/>
      <c r="AC745" s="571"/>
      <c r="AD745" s="571"/>
      <c r="AE745" s="571"/>
      <c r="AF745" s="1988" t="s">
        <v>1597</v>
      </c>
      <c r="AG745" s="1988"/>
      <c r="AH745" s="1988"/>
      <c r="AI745" s="1988"/>
      <c r="AJ745" s="1988"/>
      <c r="AK745" s="1988"/>
      <c r="AL745" s="1988"/>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08"/>
      <c r="F746" s="1908"/>
      <c r="G746" s="1908"/>
      <c r="H746" s="1908"/>
      <c r="I746" s="1908"/>
      <c r="J746" s="1908"/>
      <c r="K746" s="1908"/>
      <c r="L746" s="1908"/>
      <c r="M746" s="1908"/>
      <c r="N746" s="1908"/>
      <c r="O746" s="1908"/>
      <c r="P746" s="1908"/>
      <c r="Q746" s="1908"/>
      <c r="R746" s="1908"/>
      <c r="S746" s="1908"/>
      <c r="T746" s="1908"/>
      <c r="U746" s="1908"/>
      <c r="V746" s="1908"/>
      <c r="W746" s="1908"/>
      <c r="X746" s="1908"/>
      <c r="Y746" s="1908"/>
      <c r="Z746" s="1908"/>
      <c r="AA746" s="1908"/>
      <c r="AB746" s="1908"/>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1572</v>
      </c>
      <c r="E748" s="973"/>
      <c r="F748" s="973"/>
      <c r="G748" s="973"/>
      <c r="H748" s="1932" t="s">
        <v>697</v>
      </c>
      <c r="I748" s="1932"/>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1619</v>
      </c>
      <c r="AJ750" s="1915">
        <f>VLOOKUP($H$748,$AO$683:$AP$685,2,FALSE)</f>
        <v>2</v>
      </c>
      <c r="AK750" s="1917"/>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1608</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697</v>
      </c>
      <c r="E754" s="1908" t="s">
        <v>1952</v>
      </c>
      <c r="F754" s="1908"/>
      <c r="G754" s="1908"/>
      <c r="H754" s="1908"/>
      <c r="I754" s="1908"/>
      <c r="J754" s="1908"/>
      <c r="K754" s="1908"/>
      <c r="L754" s="1908"/>
      <c r="M754" s="1908"/>
      <c r="N754" s="1908"/>
      <c r="O754" s="1908"/>
      <c r="P754" s="1908"/>
      <c r="Q754" s="1908"/>
      <c r="R754" s="1908"/>
      <c r="S754" s="1908"/>
      <c r="T754" s="1908"/>
      <c r="U754" s="1908"/>
      <c r="V754" s="1908"/>
      <c r="W754" s="1908"/>
      <c r="X754" s="1908"/>
      <c r="Y754" s="1908"/>
      <c r="Z754" s="1908"/>
      <c r="AA754" s="1908"/>
      <c r="AB754" s="1908"/>
      <c r="AC754" s="1908"/>
      <c r="AD754" s="1908"/>
      <c r="AE754" s="571"/>
      <c r="AF754" s="1988" t="s">
        <v>1580</v>
      </c>
      <c r="AG754" s="1988"/>
      <c r="AH754" s="1988"/>
      <c r="AI754" s="1988"/>
      <c r="AJ754" s="1988"/>
      <c r="AK754" s="1988"/>
      <c r="AL754" s="1988"/>
      <c r="AM754" s="648"/>
      <c r="AN754" s="719"/>
    </row>
    <row r="755" spans="1:81" s="605" customFormat="1" ht="13.7" customHeight="1">
      <c r="A755" s="585"/>
      <c r="B755" s="651"/>
      <c r="C755" s="977"/>
      <c r="D755" s="698"/>
      <c r="E755" s="1908"/>
      <c r="F755" s="1908"/>
      <c r="G755" s="1908"/>
      <c r="H755" s="1908"/>
      <c r="I755" s="1908"/>
      <c r="J755" s="1908"/>
      <c r="K755" s="1908"/>
      <c r="L755" s="1908"/>
      <c r="M755" s="1908"/>
      <c r="N755" s="1908"/>
      <c r="O755" s="1908"/>
      <c r="P755" s="1908"/>
      <c r="Q755" s="1908"/>
      <c r="R755" s="1908"/>
      <c r="S755" s="1908"/>
      <c r="T755" s="1908"/>
      <c r="U755" s="1908"/>
      <c r="V755" s="1908"/>
      <c r="W755" s="1908"/>
      <c r="X755" s="1908"/>
      <c r="Y755" s="1908"/>
      <c r="Z755" s="1908"/>
      <c r="AA755" s="1908"/>
      <c r="AB755" s="1908"/>
      <c r="AC755" s="1908"/>
      <c r="AD755" s="1908"/>
      <c r="AE755" s="571"/>
      <c r="AF755" s="629"/>
      <c r="AG755" s="629"/>
      <c r="AH755" s="629"/>
      <c r="AI755" s="629"/>
      <c r="AJ755" s="629"/>
      <c r="AK755" s="629"/>
      <c r="AL755" s="629"/>
      <c r="AM755" s="648"/>
      <c r="AN755" s="719"/>
    </row>
    <row r="756" spans="1:81" s="605" customFormat="1">
      <c r="A756" s="585"/>
      <c r="B756" s="651"/>
      <c r="C756" s="977"/>
      <c r="D756" s="698"/>
      <c r="E756" s="1908"/>
      <c r="F756" s="1908"/>
      <c r="G756" s="1908"/>
      <c r="H756" s="1908"/>
      <c r="I756" s="1908"/>
      <c r="J756" s="1908"/>
      <c r="K756" s="1908"/>
      <c r="L756" s="1908"/>
      <c r="M756" s="1908"/>
      <c r="N756" s="1908"/>
      <c r="O756" s="1908"/>
      <c r="P756" s="1908"/>
      <c r="Q756" s="1908"/>
      <c r="R756" s="1908"/>
      <c r="S756" s="1908"/>
      <c r="T756" s="1908"/>
      <c r="U756" s="1908"/>
      <c r="V756" s="1908"/>
      <c r="W756" s="1908"/>
      <c r="X756" s="1908"/>
      <c r="Y756" s="1908"/>
      <c r="Z756" s="1908"/>
      <c r="AA756" s="1908"/>
      <c r="AB756" s="1908"/>
      <c r="AC756" s="1908"/>
      <c r="AD756" s="1908"/>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908"/>
      <c r="F757" s="1908"/>
      <c r="G757" s="1908"/>
      <c r="H757" s="1908"/>
      <c r="I757" s="1908"/>
      <c r="J757" s="1908"/>
      <c r="K757" s="1908"/>
      <c r="L757" s="1908"/>
      <c r="M757" s="1908"/>
      <c r="N757" s="1908"/>
      <c r="O757" s="1908"/>
      <c r="P757" s="1908"/>
      <c r="Q757" s="1908"/>
      <c r="R757" s="1908"/>
      <c r="S757" s="1908"/>
      <c r="T757" s="1908"/>
      <c r="U757" s="1908"/>
      <c r="V757" s="1908"/>
      <c r="W757" s="1908"/>
      <c r="X757" s="1908"/>
      <c r="Y757" s="1908"/>
      <c r="Z757" s="1908"/>
      <c r="AA757" s="1908"/>
      <c r="AB757" s="1908"/>
      <c r="AC757" s="1908"/>
      <c r="AD757" s="1908"/>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20" t="s">
        <v>1957</v>
      </c>
      <c r="F759" s="2020"/>
      <c r="G759" s="2020"/>
      <c r="H759" s="2020"/>
      <c r="I759" s="2020"/>
      <c r="J759" s="2020"/>
      <c r="K759" s="2020"/>
      <c r="L759" s="2020"/>
      <c r="M759" s="2020"/>
      <c r="N759" s="2020"/>
      <c r="O759" s="2020"/>
      <c r="P759" s="2020"/>
      <c r="Q759" s="2020"/>
      <c r="R759" s="2020"/>
      <c r="S759" s="2020"/>
      <c r="T759" s="2020"/>
      <c r="U759" s="2020"/>
      <c r="V759" s="2020"/>
      <c r="W759" s="2020"/>
      <c r="X759" s="2020"/>
      <c r="Y759" s="2020"/>
      <c r="Z759" s="2020"/>
      <c r="AA759" s="2020"/>
      <c r="AB759" s="2020"/>
      <c r="AC759" s="2020"/>
      <c r="AD759" s="2020"/>
      <c r="AE759" s="571"/>
      <c r="AF759" s="1988" t="s">
        <v>1524</v>
      </c>
      <c r="AG759" s="1988"/>
      <c r="AH759" s="1988"/>
      <c r="AI759" s="1988"/>
      <c r="AJ759" s="1988"/>
      <c r="AK759" s="1988"/>
      <c r="AL759" s="1988"/>
      <c r="AM759" s="648"/>
      <c r="AN759" s="632"/>
    </row>
    <row r="760" spans="1:81" s="585" customFormat="1" ht="12.75" customHeight="1">
      <c r="B760" s="651"/>
      <c r="C760" s="977"/>
      <c r="D760" s="698"/>
      <c r="E760" s="2020"/>
      <c r="F760" s="2020"/>
      <c r="G760" s="2020"/>
      <c r="H760" s="2020"/>
      <c r="I760" s="2020"/>
      <c r="J760" s="2020"/>
      <c r="K760" s="2020"/>
      <c r="L760" s="2020"/>
      <c r="M760" s="2020"/>
      <c r="N760" s="2020"/>
      <c r="O760" s="2020"/>
      <c r="P760" s="2020"/>
      <c r="Q760" s="2020"/>
      <c r="R760" s="2020"/>
      <c r="S760" s="2020"/>
      <c r="T760" s="2020"/>
      <c r="U760" s="2020"/>
      <c r="V760" s="2020"/>
      <c r="W760" s="2020"/>
      <c r="X760" s="2020"/>
      <c r="Y760" s="2020"/>
      <c r="Z760" s="2020"/>
      <c r="AA760" s="2020"/>
      <c r="AB760" s="2020"/>
      <c r="AC760" s="2020"/>
      <c r="AD760" s="2020"/>
      <c r="AE760" s="629"/>
      <c r="AF760" s="629"/>
      <c r="AG760" s="629"/>
      <c r="AH760" s="629"/>
      <c r="AI760" s="629"/>
      <c r="AJ760" s="629"/>
      <c r="AK760" s="629"/>
      <c r="AL760" s="629"/>
      <c r="AM760" s="648"/>
      <c r="AN760" s="632"/>
    </row>
    <row r="761" spans="1:81" s="585" customFormat="1" ht="12.75" customHeight="1">
      <c r="B761" s="651"/>
      <c r="C761" s="977"/>
      <c r="D761" s="698"/>
      <c r="E761" s="2020"/>
      <c r="F761" s="2020"/>
      <c r="G761" s="2020"/>
      <c r="H761" s="2020"/>
      <c r="I761" s="2020"/>
      <c r="J761" s="2020"/>
      <c r="K761" s="2020"/>
      <c r="L761" s="2020"/>
      <c r="M761" s="2020"/>
      <c r="N761" s="2020"/>
      <c r="O761" s="2020"/>
      <c r="P761" s="2020"/>
      <c r="Q761" s="2020"/>
      <c r="R761" s="2020"/>
      <c r="S761" s="2020"/>
      <c r="T761" s="2020"/>
      <c r="U761" s="2020"/>
      <c r="V761" s="2020"/>
      <c r="W761" s="2020"/>
      <c r="X761" s="2020"/>
      <c r="Y761" s="2020"/>
      <c r="Z761" s="2020"/>
      <c r="AA761" s="2020"/>
      <c r="AB761" s="2020"/>
      <c r="AC761" s="2020"/>
      <c r="AD761" s="2020"/>
      <c r="AE761" s="629"/>
      <c r="AF761" s="629"/>
      <c r="AG761" s="629"/>
      <c r="AH761" s="629"/>
      <c r="AI761" s="629"/>
      <c r="AJ761" s="629"/>
      <c r="AK761" s="629"/>
      <c r="AL761" s="629"/>
      <c r="AM761" s="648"/>
      <c r="AN761" s="632"/>
    </row>
    <row r="762" spans="1:81" s="585" customFormat="1" ht="12.75" customHeight="1">
      <c r="B762" s="651"/>
      <c r="C762" s="977"/>
      <c r="D762" s="698"/>
      <c r="E762" s="2020"/>
      <c r="F762" s="2020"/>
      <c r="G762" s="2020"/>
      <c r="H762" s="2020"/>
      <c r="I762" s="2020"/>
      <c r="J762" s="2020"/>
      <c r="K762" s="2020"/>
      <c r="L762" s="2020"/>
      <c r="M762" s="2020"/>
      <c r="N762" s="2020"/>
      <c r="O762" s="2020"/>
      <c r="P762" s="2020"/>
      <c r="Q762" s="2020"/>
      <c r="R762" s="2020"/>
      <c r="S762" s="2020"/>
      <c r="T762" s="2020"/>
      <c r="U762" s="2020"/>
      <c r="V762" s="2020"/>
      <c r="W762" s="2020"/>
      <c r="X762" s="2020"/>
      <c r="Y762" s="2020"/>
      <c r="Z762" s="2020"/>
      <c r="AA762" s="2020"/>
      <c r="AB762" s="2020"/>
      <c r="AC762" s="2020"/>
      <c r="AD762" s="2020"/>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1572</v>
      </c>
      <c r="E764" s="973"/>
      <c r="F764" s="973"/>
      <c r="G764" s="973"/>
      <c r="H764" s="1932" t="s">
        <v>600</v>
      </c>
      <c r="I764" s="1932"/>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1620</v>
      </c>
      <c r="AJ766" s="1915">
        <f>VLOOKUP($H$764,$AP$705:$AQ$707,2,FALSE)</f>
        <v>0</v>
      </c>
      <c r="AK766" s="1917"/>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1621</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697</v>
      </c>
      <c r="E770" s="1908" t="s">
        <v>2428</v>
      </c>
      <c r="F770" s="1908"/>
      <c r="G770" s="1908"/>
      <c r="H770" s="1908"/>
      <c r="I770" s="1908"/>
      <c r="J770" s="1908"/>
      <c r="K770" s="1908"/>
      <c r="L770" s="1908"/>
      <c r="M770" s="1908"/>
      <c r="N770" s="1908"/>
      <c r="O770" s="1908"/>
      <c r="P770" s="1908"/>
      <c r="Q770" s="1908"/>
      <c r="R770" s="1908"/>
      <c r="S770" s="1908"/>
      <c r="T770" s="1908"/>
      <c r="U770" s="1908"/>
      <c r="V770" s="1908"/>
      <c r="W770" s="1908"/>
      <c r="X770" s="1908"/>
      <c r="Y770" s="1908"/>
      <c r="Z770" s="1908"/>
      <c r="AA770" s="1908"/>
      <c r="AB770" s="1908"/>
      <c r="AC770" s="1908"/>
      <c r="AD770" s="1908"/>
      <c r="AE770" s="571"/>
      <c r="AF770" s="1988" t="s">
        <v>1524</v>
      </c>
      <c r="AG770" s="1988"/>
      <c r="AH770" s="1988"/>
      <c r="AI770" s="1988"/>
      <c r="AJ770" s="1988"/>
      <c r="AK770" s="1988"/>
      <c r="AL770" s="1988"/>
      <c r="AM770" s="648"/>
      <c r="AN770" s="719"/>
      <c r="AO770" s="646" t="s">
        <v>554</v>
      </c>
      <c r="AP770" s="585">
        <v>3</v>
      </c>
      <c r="AT770" s="709"/>
      <c r="AU770" s="709"/>
      <c r="AV770" s="709"/>
      <c r="AW770" s="709"/>
      <c r="AX770" s="709"/>
      <c r="AY770" s="709"/>
      <c r="AZ770" s="709"/>
    </row>
    <row r="771" spans="1:81" s="605" customFormat="1" ht="13.7" customHeight="1">
      <c r="A771" s="585"/>
      <c r="B771" s="651"/>
      <c r="C771" s="977"/>
      <c r="D771" s="698"/>
      <c r="E771" s="1908"/>
      <c r="F771" s="1908"/>
      <c r="G771" s="1908"/>
      <c r="H771" s="1908"/>
      <c r="I771" s="1908"/>
      <c r="J771" s="1908"/>
      <c r="K771" s="1908"/>
      <c r="L771" s="1908"/>
      <c r="M771" s="1908"/>
      <c r="N771" s="1908"/>
      <c r="O771" s="1908"/>
      <c r="P771" s="1908"/>
      <c r="Q771" s="1908"/>
      <c r="R771" s="1908"/>
      <c r="S771" s="1908"/>
      <c r="T771" s="1908"/>
      <c r="U771" s="1908"/>
      <c r="V771" s="1908"/>
      <c r="W771" s="1908"/>
      <c r="X771" s="1908"/>
      <c r="Y771" s="1908"/>
      <c r="Z771" s="1908"/>
      <c r="AA771" s="1908"/>
      <c r="AB771" s="1908"/>
      <c r="AC771" s="1908"/>
      <c r="AD771" s="1908"/>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08"/>
      <c r="F772" s="1908"/>
      <c r="G772" s="1908"/>
      <c r="H772" s="1908"/>
      <c r="I772" s="1908"/>
      <c r="J772" s="1908"/>
      <c r="K772" s="1908"/>
      <c r="L772" s="1908"/>
      <c r="M772" s="1908"/>
      <c r="N772" s="1908"/>
      <c r="O772" s="1908"/>
      <c r="P772" s="1908"/>
      <c r="Q772" s="1908"/>
      <c r="R772" s="1908"/>
      <c r="S772" s="1908"/>
      <c r="T772" s="1908"/>
      <c r="U772" s="1908"/>
      <c r="V772" s="1908"/>
      <c r="W772" s="1908"/>
      <c r="X772" s="1908"/>
      <c r="Y772" s="1908"/>
      <c r="Z772" s="1908"/>
      <c r="AA772" s="1908"/>
      <c r="AB772" s="1908"/>
      <c r="AC772" s="1908"/>
      <c r="AD772" s="1908"/>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08"/>
      <c r="F773" s="1908"/>
      <c r="G773" s="1908"/>
      <c r="H773" s="1908"/>
      <c r="I773" s="1908"/>
      <c r="J773" s="1908"/>
      <c r="K773" s="1908"/>
      <c r="L773" s="1908"/>
      <c r="M773" s="1908"/>
      <c r="N773" s="1908"/>
      <c r="O773" s="1908"/>
      <c r="P773" s="1908"/>
      <c r="Q773" s="1908"/>
      <c r="R773" s="1908"/>
      <c r="S773" s="1908"/>
      <c r="T773" s="1908"/>
      <c r="U773" s="1908"/>
      <c r="V773" s="1908"/>
      <c r="W773" s="1908"/>
      <c r="X773" s="1908"/>
      <c r="Y773" s="1908"/>
      <c r="Z773" s="1908"/>
      <c r="AA773" s="1908"/>
      <c r="AB773" s="1908"/>
      <c r="AC773" s="1908"/>
      <c r="AD773" s="1908"/>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1572</v>
      </c>
      <c r="E775" s="973"/>
      <c r="F775" s="973"/>
      <c r="G775" s="973"/>
      <c r="H775" s="1932" t="s">
        <v>600</v>
      </c>
      <c r="I775" s="1932"/>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1622</v>
      </c>
      <c r="AJ777" s="1915">
        <f>VLOOKUP($H$775,$AO$769:$AP$770,2,FALSE)</f>
        <v>0</v>
      </c>
      <c r="AK777" s="1917"/>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1623</v>
      </c>
      <c r="AK779" s="1915">
        <f>IF(($AJ$610+$AJ$629+$AJ$641+$AJ$676+$AJ$696+$AJ$710+$AJ$722+$AJ$738+$AJ$750+$AJ$766+AJ777)&gt;10,10,($AJ$610+$AJ$629+$AJ$641+$AJ$676+$AJ$696+$AJ$710+$AJ$722+$AJ$738+$AJ$750+$AJ$766+AJ777))</f>
        <v>10</v>
      </c>
      <c r="AL779" s="1916"/>
      <c r="AM779" s="1917"/>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79" t="s">
        <v>1745</v>
      </c>
      <c r="B782" s="1980"/>
      <c r="C782" s="1980"/>
      <c r="D782" s="1980"/>
      <c r="E782" s="1980"/>
      <c r="F782" s="1980"/>
      <c r="G782" s="1980"/>
      <c r="H782" s="1980"/>
      <c r="I782" s="1980"/>
      <c r="J782" s="1980"/>
      <c r="K782" s="1980"/>
      <c r="L782" s="1980"/>
      <c r="M782" s="1980"/>
      <c r="N782" s="1980"/>
      <c r="O782" s="1980"/>
      <c r="P782" s="1980"/>
      <c r="Q782" s="1980"/>
      <c r="R782" s="1980"/>
      <c r="S782" s="1980"/>
      <c r="T782" s="1980"/>
      <c r="U782" s="1980"/>
      <c r="V782" s="1980"/>
      <c r="W782" s="1980"/>
      <c r="X782" s="1980"/>
      <c r="Y782" s="1980"/>
      <c r="Z782" s="1980"/>
      <c r="AA782" s="1980"/>
      <c r="AB782" s="1980"/>
      <c r="AC782" s="1980"/>
      <c r="AD782" s="1980"/>
      <c r="AE782" s="1980"/>
      <c r="AF782" s="1980"/>
      <c r="AG782" s="1980"/>
      <c r="AH782" s="1980"/>
      <c r="AI782" s="1980"/>
      <c r="AJ782" s="1980"/>
      <c r="AK782" s="1980"/>
      <c r="AL782" s="1980"/>
      <c r="AM782" s="1980"/>
    </row>
    <row r="783" spans="1:81">
      <c r="A783" s="1981"/>
      <c r="B783" s="1981"/>
      <c r="C783" s="1981"/>
      <c r="D783" s="1981"/>
      <c r="E783" s="1981"/>
      <c r="F783" s="1981"/>
      <c r="G783" s="1981"/>
      <c r="H783" s="1981"/>
      <c r="I783" s="1981"/>
      <c r="J783" s="1981"/>
      <c r="K783" s="1981"/>
      <c r="L783" s="1981"/>
      <c r="M783" s="1981"/>
      <c r="N783" s="1981"/>
      <c r="O783" s="1981"/>
      <c r="P783" s="1981"/>
      <c r="Q783" s="1981"/>
      <c r="R783" s="1981"/>
      <c r="S783" s="1981"/>
      <c r="T783" s="1981"/>
      <c r="U783" s="1981"/>
      <c r="V783" s="1981"/>
      <c r="W783" s="1981"/>
      <c r="X783" s="1981"/>
      <c r="Y783" s="1981"/>
      <c r="Z783" s="1981"/>
      <c r="AA783" s="1981"/>
      <c r="AB783" s="1981"/>
      <c r="AC783" s="1981"/>
      <c r="AD783" s="1981"/>
      <c r="AE783" s="1981"/>
      <c r="AF783" s="1981"/>
      <c r="AG783" s="1981"/>
      <c r="AH783" s="1981"/>
      <c r="AI783" s="1981"/>
      <c r="AJ783" s="1981"/>
      <c r="AK783" s="1981"/>
      <c r="AL783" s="1981"/>
      <c r="AM783" s="1981"/>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18"/>
      <c r="B785" s="1918"/>
      <c r="C785" s="1918"/>
      <c r="D785" s="1918"/>
      <c r="E785" s="1918"/>
      <c r="F785" s="1918"/>
      <c r="G785" s="1918"/>
      <c r="H785" s="1918"/>
      <c r="I785" s="1918"/>
      <c r="J785" s="1918"/>
      <c r="K785" s="1918"/>
      <c r="L785" s="1918"/>
      <c r="M785" s="1918"/>
      <c r="N785" s="1918"/>
      <c r="O785" s="1918"/>
      <c r="P785" s="1918"/>
      <c r="Q785" s="1918"/>
      <c r="R785" s="1918"/>
      <c r="S785" s="1918"/>
      <c r="T785" s="1918"/>
      <c r="U785" s="1918"/>
      <c r="V785" s="1918"/>
      <c r="W785" s="1918"/>
      <c r="X785" s="1918"/>
      <c r="Y785" s="1918"/>
      <c r="Z785" s="1918"/>
      <c r="AA785" s="1918"/>
      <c r="AB785" s="1918"/>
      <c r="AC785" s="1918"/>
      <c r="AD785" s="1918"/>
      <c r="AE785" s="1918"/>
      <c r="AF785" s="1918"/>
      <c r="AG785" s="1918"/>
      <c r="AH785" s="1918"/>
      <c r="AI785" s="1918"/>
      <c r="AJ785" s="1918"/>
      <c r="AK785" s="1918"/>
      <c r="AL785" s="1918"/>
      <c r="AM785" s="1918"/>
      <c r="AP785" s="852"/>
      <c r="AQ785" s="852"/>
    </row>
    <row r="786" spans="1:81">
      <c r="A786" s="1918"/>
      <c r="B786" s="1918"/>
      <c r="C786" s="1918"/>
      <c r="D786" s="1918"/>
      <c r="E786" s="1918"/>
      <c r="F786" s="1918"/>
      <c r="G786" s="1918"/>
      <c r="H786" s="1918"/>
      <c r="I786" s="1918"/>
      <c r="J786" s="1918"/>
      <c r="K786" s="1918"/>
      <c r="L786" s="1918"/>
      <c r="M786" s="1918"/>
      <c r="N786" s="1918"/>
      <c r="O786" s="1918"/>
      <c r="P786" s="1918"/>
      <c r="Q786" s="1918"/>
      <c r="R786" s="1918"/>
      <c r="S786" s="1918"/>
      <c r="T786" s="1918"/>
      <c r="U786" s="1918"/>
      <c r="V786" s="1918"/>
      <c r="W786" s="1918"/>
      <c r="X786" s="1918"/>
      <c r="Y786" s="1918"/>
      <c r="Z786" s="1918"/>
      <c r="AA786" s="1918"/>
      <c r="AB786" s="1918"/>
      <c r="AC786" s="1918"/>
      <c r="AD786" s="1918"/>
      <c r="AE786" s="1918"/>
      <c r="AF786" s="1918"/>
      <c r="AG786" s="1918"/>
      <c r="AH786" s="1918"/>
      <c r="AI786" s="1918"/>
      <c r="AJ786" s="1918"/>
      <c r="AK786" s="1918"/>
      <c r="AL786" s="1918"/>
      <c r="AM786" s="1918"/>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82" t="s">
        <v>1746</v>
      </c>
      <c r="U787" s="1983"/>
      <c r="V787" s="1983"/>
      <c r="W787" s="1983"/>
      <c r="X787" s="1983"/>
      <c r="Y787" s="1984"/>
      <c r="Z787" s="1982" t="s">
        <v>1747</v>
      </c>
      <c r="AA787" s="1983"/>
      <c r="AB787" s="1983"/>
      <c r="AC787" s="1983"/>
      <c r="AD787" s="1983"/>
      <c r="AE787" s="1984"/>
      <c r="AF787" s="1982" t="s">
        <v>1748</v>
      </c>
      <c r="AG787" s="1983"/>
      <c r="AH787" s="1983"/>
      <c r="AI787" s="1983"/>
      <c r="AJ787" s="1983"/>
      <c r="AK787" s="1984"/>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85"/>
      <c r="U788" s="1986"/>
      <c r="V788" s="1986"/>
      <c r="W788" s="1986"/>
      <c r="X788" s="1986"/>
      <c r="Y788" s="1987"/>
      <c r="Z788" s="1985"/>
      <c r="AA788" s="1986"/>
      <c r="AB788" s="1986"/>
      <c r="AC788" s="1986"/>
      <c r="AD788" s="1986"/>
      <c r="AE788" s="1987"/>
      <c r="AF788" s="1985"/>
      <c r="AG788" s="1986"/>
      <c r="AH788" s="1986"/>
      <c r="AI788" s="1986"/>
      <c r="AJ788" s="1986"/>
      <c r="AK788" s="1987"/>
      <c r="AL788" s="854"/>
      <c r="AM788" s="631"/>
      <c r="AO788" s="852"/>
      <c r="AP788" s="852"/>
      <c r="AQ788" s="852"/>
    </row>
    <row r="789" spans="1:81">
      <c r="A789" s="855" t="s">
        <v>769</v>
      </c>
      <c r="B789" s="1939" t="s">
        <v>1476</v>
      </c>
      <c r="C789" s="1939"/>
      <c r="D789" s="1939"/>
      <c r="E789" s="1939"/>
      <c r="F789" s="1939"/>
      <c r="G789" s="1939"/>
      <c r="H789" s="1939"/>
      <c r="I789" s="1939"/>
      <c r="J789" s="1939"/>
      <c r="K789" s="1939"/>
      <c r="L789" s="1939"/>
      <c r="M789" s="1939"/>
      <c r="N789" s="1939"/>
      <c r="O789" s="1939"/>
      <c r="P789" s="1939"/>
      <c r="Q789" s="1939"/>
      <c r="R789" s="1939"/>
      <c r="S789" s="1940"/>
      <c r="T789" s="1967">
        <f>AK56</f>
        <v>20</v>
      </c>
      <c r="U789" s="1943"/>
      <c r="V789" s="1943"/>
      <c r="W789" s="1943"/>
      <c r="X789" s="1943"/>
      <c r="Y789" s="1944"/>
      <c r="Z789" s="1942">
        <v>20</v>
      </c>
      <c r="AA789" s="1943"/>
      <c r="AB789" s="1943"/>
      <c r="AC789" s="1943"/>
      <c r="AD789" s="1943"/>
      <c r="AE789" s="1944"/>
      <c r="AF789" s="1928">
        <f>IF(T789&gt;Z789,Z789,T789)</f>
        <v>20</v>
      </c>
      <c r="AG789" s="1928"/>
      <c r="AH789" s="1928"/>
      <c r="AI789" s="1928"/>
      <c r="AJ789" s="1928"/>
      <c r="AK789" s="1928"/>
      <c r="AL789" s="854"/>
      <c r="AM789" s="631"/>
      <c r="AO789" s="852"/>
      <c r="AP789" s="852"/>
      <c r="AQ789" s="852"/>
    </row>
    <row r="790" spans="1:81">
      <c r="A790" s="855" t="s">
        <v>1718</v>
      </c>
      <c r="B790" s="1939" t="s">
        <v>1485</v>
      </c>
      <c r="C790" s="1939"/>
      <c r="D790" s="1939"/>
      <c r="E790" s="1939"/>
      <c r="F790" s="1939"/>
      <c r="G790" s="1939"/>
      <c r="H790" s="1939"/>
      <c r="I790" s="1939"/>
      <c r="J790" s="1939"/>
      <c r="K790" s="1939"/>
      <c r="L790" s="1939"/>
      <c r="M790" s="1939"/>
      <c r="N790" s="1939"/>
      <c r="O790" s="1939"/>
      <c r="P790" s="1939"/>
      <c r="Q790" s="1939"/>
      <c r="R790" s="1939"/>
      <c r="S790" s="1940"/>
      <c r="T790" s="1967">
        <f>AK78</f>
        <v>0</v>
      </c>
      <c r="U790" s="1943"/>
      <c r="V790" s="1943"/>
      <c r="W790" s="1943"/>
      <c r="X790" s="1943"/>
      <c r="Y790" s="1944"/>
      <c r="Z790" s="1942">
        <v>10</v>
      </c>
      <c r="AA790" s="1943"/>
      <c r="AB790" s="1943"/>
      <c r="AC790" s="1943"/>
      <c r="AD790" s="1943"/>
      <c r="AE790" s="1944"/>
      <c r="AF790" s="1928">
        <f>IF(T790&gt;Z790,Z790,T790)</f>
        <v>0</v>
      </c>
      <c r="AG790" s="1928"/>
      <c r="AH790" s="1928"/>
      <c r="AI790" s="1928"/>
      <c r="AJ790" s="1928"/>
      <c r="AK790" s="1928"/>
      <c r="AL790" s="854"/>
      <c r="AM790" s="631"/>
      <c r="AO790" s="852"/>
      <c r="AP790" s="852"/>
      <c r="AQ790" s="852"/>
    </row>
    <row r="791" spans="1:81">
      <c r="A791" s="855" t="s">
        <v>1727</v>
      </c>
      <c r="B791" s="1939" t="s">
        <v>1495</v>
      </c>
      <c r="C791" s="1939"/>
      <c r="D791" s="1939"/>
      <c r="E791" s="1939"/>
      <c r="F791" s="1939"/>
      <c r="G791" s="1939"/>
      <c r="H791" s="1939"/>
      <c r="I791" s="1939"/>
      <c r="J791" s="1939"/>
      <c r="K791" s="1939"/>
      <c r="L791" s="1939"/>
      <c r="M791" s="1939"/>
      <c r="N791" s="1939"/>
      <c r="O791" s="1939"/>
      <c r="P791" s="1939"/>
      <c r="Q791" s="1939"/>
      <c r="R791" s="1939"/>
      <c r="S791" s="1940"/>
      <c r="T791" s="1967">
        <f ca="1">AK103</f>
        <v>20</v>
      </c>
      <c r="U791" s="1943"/>
      <c r="V791" s="1943"/>
      <c r="W791" s="1943"/>
      <c r="X791" s="1943"/>
      <c r="Y791" s="1944"/>
      <c r="Z791" s="1942">
        <v>20</v>
      </c>
      <c r="AA791" s="1943"/>
      <c r="AB791" s="1943"/>
      <c r="AC791" s="1943"/>
      <c r="AD791" s="1943"/>
      <c r="AE791" s="1944"/>
      <c r="AF791" s="1928">
        <f ca="1">IF(T791&gt;Z791,Z791,T791)</f>
        <v>20</v>
      </c>
      <c r="AG791" s="1928"/>
      <c r="AH791" s="1928"/>
      <c r="AI791" s="1928"/>
      <c r="AJ791" s="1928"/>
      <c r="AK791" s="1928"/>
      <c r="AL791" s="854"/>
      <c r="AM791" s="631"/>
      <c r="AO791" s="852"/>
      <c r="AP791" s="852"/>
      <c r="AQ791" s="852"/>
    </row>
    <row r="792" spans="1:81">
      <c r="A792" s="855" t="s">
        <v>1749</v>
      </c>
      <c r="B792" s="1939" t="s">
        <v>1505</v>
      </c>
      <c r="C792" s="1939"/>
      <c r="D792" s="1939"/>
      <c r="E792" s="1939"/>
      <c r="F792" s="1939"/>
      <c r="G792" s="1939"/>
      <c r="H792" s="1939"/>
      <c r="I792" s="1939"/>
      <c r="J792" s="1939"/>
      <c r="K792" s="1939"/>
      <c r="L792" s="1939"/>
      <c r="M792" s="1939"/>
      <c r="N792" s="1939"/>
      <c r="O792" s="1939"/>
      <c r="P792" s="1939"/>
      <c r="Q792" s="1939"/>
      <c r="R792" s="1939"/>
      <c r="S792" s="1940"/>
      <c r="T792" s="1967">
        <f>AK137</f>
        <v>10</v>
      </c>
      <c r="U792" s="1943"/>
      <c r="V792" s="1943"/>
      <c r="W792" s="1943"/>
      <c r="X792" s="1943"/>
      <c r="Y792" s="1944"/>
      <c r="Z792" s="1942">
        <v>10</v>
      </c>
      <c r="AA792" s="1943"/>
      <c r="AB792" s="1943"/>
      <c r="AC792" s="1943"/>
      <c r="AD792" s="1943"/>
      <c r="AE792" s="1944"/>
      <c r="AF792" s="1928">
        <f>IF(T792&gt;Z792,Z792,T792)</f>
        <v>10</v>
      </c>
      <c r="AG792" s="1928"/>
      <c r="AH792" s="1928"/>
      <c r="AI792" s="1928"/>
      <c r="AJ792" s="1928"/>
      <c r="AK792" s="1928"/>
      <c r="AL792" s="854"/>
      <c r="AM792" s="631"/>
      <c r="AO792" s="852"/>
      <c r="AP792" s="852"/>
      <c r="AQ792" s="852"/>
    </row>
    <row r="793" spans="1:81">
      <c r="A793" s="856" t="s">
        <v>1750</v>
      </c>
      <c r="B793" s="1939" t="s">
        <v>1751</v>
      </c>
      <c r="C793" s="1939"/>
      <c r="D793" s="1939"/>
      <c r="E793" s="1939"/>
      <c r="F793" s="1939"/>
      <c r="G793" s="1939"/>
      <c r="H793" s="1939"/>
      <c r="I793" s="1939"/>
      <c r="J793" s="1939"/>
      <c r="K793" s="1939"/>
      <c r="L793" s="1939"/>
      <c r="M793" s="1939"/>
      <c r="N793" s="1939"/>
      <c r="O793" s="1939"/>
      <c r="P793" s="1939"/>
      <c r="Q793" s="1939"/>
      <c r="R793" s="1939"/>
      <c r="S793" s="1940"/>
      <c r="T793" s="1941">
        <f>SUM(T794:Y795)</f>
        <v>10</v>
      </c>
      <c r="U793" s="1941"/>
      <c r="V793" s="1941"/>
      <c r="W793" s="1941"/>
      <c r="X793" s="1941"/>
      <c r="Y793" s="1941"/>
      <c r="Z793" s="1928">
        <v>10</v>
      </c>
      <c r="AA793" s="1928"/>
      <c r="AB793" s="1928"/>
      <c r="AC793" s="1928"/>
      <c r="AD793" s="1928"/>
      <c r="AE793" s="1928"/>
      <c r="AF793" s="1928">
        <f>IF(T793&gt;Z793,Z793,T793)</f>
        <v>10</v>
      </c>
      <c r="AG793" s="1928"/>
      <c r="AH793" s="1928"/>
      <c r="AI793" s="1928"/>
      <c r="AJ793" s="1928"/>
      <c r="AK793" s="1928"/>
      <c r="AL793" s="854"/>
      <c r="AM793" s="631"/>
    </row>
    <row r="794" spans="1:81">
      <c r="A794" s="570"/>
      <c r="B794" s="636"/>
      <c r="C794" s="1945" t="s">
        <v>1752</v>
      </c>
      <c r="D794" s="1945"/>
      <c r="E794" s="1945"/>
      <c r="F794" s="1945"/>
      <c r="G794" s="1945"/>
      <c r="H794" s="1945"/>
      <c r="I794" s="1945"/>
      <c r="J794" s="1945"/>
      <c r="K794" s="1945"/>
      <c r="L794" s="1945"/>
      <c r="M794" s="1945"/>
      <c r="N794" s="1945"/>
      <c r="O794" s="1945"/>
      <c r="P794" s="1945"/>
      <c r="Q794" s="1945"/>
      <c r="R794" s="1945"/>
      <c r="S794" s="1946"/>
      <c r="T794" s="1947">
        <f>AJ155</f>
        <v>7</v>
      </c>
      <c r="U794" s="1947"/>
      <c r="V794" s="1947"/>
      <c r="W794" s="1947"/>
      <c r="X794" s="1947"/>
      <c r="Y794" s="1947"/>
      <c r="Z794" s="1948">
        <v>7</v>
      </c>
      <c r="AA794" s="1948"/>
      <c r="AB794" s="1948"/>
      <c r="AC794" s="1948"/>
      <c r="AD794" s="1948"/>
      <c r="AE794" s="1948"/>
      <c r="AF794" s="1949"/>
      <c r="AG794" s="1949"/>
      <c r="AH794" s="1949"/>
      <c r="AI794" s="1949"/>
      <c r="AJ794" s="1949"/>
      <c r="AK794" s="1949"/>
      <c r="AL794" s="854"/>
      <c r="AM794" s="631"/>
    </row>
    <row r="795" spans="1:81">
      <c r="A795" s="635"/>
      <c r="B795" s="636"/>
      <c r="C795" s="1945" t="s">
        <v>1753</v>
      </c>
      <c r="D795" s="1945"/>
      <c r="E795" s="1945"/>
      <c r="F795" s="1945"/>
      <c r="G795" s="1945"/>
      <c r="H795" s="1945"/>
      <c r="I795" s="1945"/>
      <c r="J795" s="1945"/>
      <c r="K795" s="1945"/>
      <c r="L795" s="1945"/>
      <c r="M795" s="1945"/>
      <c r="N795" s="1945"/>
      <c r="O795" s="1945"/>
      <c r="P795" s="1945"/>
      <c r="Q795" s="1945"/>
      <c r="R795" s="1945"/>
      <c r="S795" s="1946"/>
      <c r="T795" s="1947">
        <f>AJ169</f>
        <v>3</v>
      </c>
      <c r="U795" s="1947"/>
      <c r="V795" s="1947"/>
      <c r="W795" s="1947"/>
      <c r="X795" s="1947"/>
      <c r="Y795" s="1947"/>
      <c r="Z795" s="1948">
        <v>3</v>
      </c>
      <c r="AA795" s="1948"/>
      <c r="AB795" s="1948"/>
      <c r="AC795" s="1948"/>
      <c r="AD795" s="1948"/>
      <c r="AE795" s="1948"/>
      <c r="AF795" s="1949"/>
      <c r="AG795" s="1949"/>
      <c r="AH795" s="1949"/>
      <c r="AI795" s="1949"/>
      <c r="AJ795" s="1949"/>
      <c r="AK795" s="1949"/>
      <c r="AL795" s="854"/>
      <c r="AM795" s="631"/>
      <c r="AO795" s="585"/>
    </row>
    <row r="796" spans="1:81">
      <c r="A796" s="856" t="s">
        <v>1533</v>
      </c>
      <c r="B796" s="1939" t="s">
        <v>1754</v>
      </c>
      <c r="C796" s="1939"/>
      <c r="D796" s="1939"/>
      <c r="E796" s="1939"/>
      <c r="F796" s="1939"/>
      <c r="G796" s="1939"/>
      <c r="H796" s="1939"/>
      <c r="I796" s="1939"/>
      <c r="J796" s="1939"/>
      <c r="K796" s="1939"/>
      <c r="L796" s="1939"/>
      <c r="M796" s="1939"/>
      <c r="N796" s="1939"/>
      <c r="O796" s="1939"/>
      <c r="P796" s="1939"/>
      <c r="Q796" s="1939"/>
      <c r="R796" s="1939"/>
      <c r="S796" s="1940"/>
      <c r="T796" s="1941">
        <f>AK180</f>
        <v>0</v>
      </c>
      <c r="U796" s="1941"/>
      <c r="V796" s="1941"/>
      <c r="W796" s="1941"/>
      <c r="X796" s="1941"/>
      <c r="Y796" s="1941"/>
      <c r="Z796" s="1928">
        <v>10</v>
      </c>
      <c r="AA796" s="1928"/>
      <c r="AB796" s="1928"/>
      <c r="AC796" s="1928"/>
      <c r="AD796" s="1928"/>
      <c r="AE796" s="1928"/>
      <c r="AF796" s="1928">
        <f>IF(T796&gt;Z796,Z796,T796)</f>
        <v>0</v>
      </c>
      <c r="AG796" s="1928"/>
      <c r="AH796" s="1928"/>
      <c r="AI796" s="1928"/>
      <c r="AJ796" s="1928"/>
      <c r="AK796" s="1928"/>
      <c r="AL796" s="854"/>
      <c r="AM796" s="631"/>
    </row>
    <row r="797" spans="1:81">
      <c r="A797" s="855" t="s">
        <v>1542</v>
      </c>
      <c r="B797" s="1939" t="s">
        <v>1543</v>
      </c>
      <c r="C797" s="1939"/>
      <c r="D797" s="1939"/>
      <c r="E797" s="1939"/>
      <c r="F797" s="1939"/>
      <c r="G797" s="1939"/>
      <c r="H797" s="1939"/>
      <c r="I797" s="1939"/>
      <c r="J797" s="1939"/>
      <c r="K797" s="1939"/>
      <c r="L797" s="1939"/>
      <c r="M797" s="1939"/>
      <c r="N797" s="1939"/>
      <c r="O797" s="1939"/>
      <c r="P797" s="1939"/>
      <c r="Q797" s="1939"/>
      <c r="R797" s="1939"/>
      <c r="S797" s="1940"/>
      <c r="T797" s="1941">
        <f>AK262</f>
        <v>8</v>
      </c>
      <c r="U797" s="1941"/>
      <c r="V797" s="1941"/>
      <c r="W797" s="1941"/>
      <c r="X797" s="1941"/>
      <c r="Y797" s="1941"/>
      <c r="Z797" s="1942">
        <v>8</v>
      </c>
      <c r="AA797" s="1943"/>
      <c r="AB797" s="1943"/>
      <c r="AC797" s="1943"/>
      <c r="AD797" s="1943"/>
      <c r="AE797" s="1944"/>
      <c r="AF797" s="1928">
        <f>IF(T797&gt;Z797,Z797,T797)</f>
        <v>8</v>
      </c>
      <c r="AG797" s="1928"/>
      <c r="AH797" s="1928"/>
      <c r="AI797" s="1928"/>
      <c r="AJ797" s="1928"/>
      <c r="AK797" s="1928"/>
      <c r="AL797" s="854"/>
      <c r="AM797" s="631"/>
    </row>
    <row r="798" spans="1:81" s="569" customFormat="1" hidden="1">
      <c r="A798" s="856" t="s">
        <v>598</v>
      </c>
      <c r="B798" s="1939" t="s">
        <v>1755</v>
      </c>
      <c r="C798" s="1939"/>
      <c r="D798" s="1939"/>
      <c r="E798" s="1939"/>
      <c r="F798" s="1939"/>
      <c r="G798" s="1939"/>
      <c r="H798" s="1939"/>
      <c r="I798" s="1939"/>
      <c r="J798" s="1939"/>
      <c r="K798" s="1939"/>
      <c r="L798" s="1939"/>
      <c r="M798" s="1939"/>
      <c r="N798" s="1939"/>
      <c r="O798" s="1939"/>
      <c r="P798" s="1939"/>
      <c r="Q798" s="1939"/>
      <c r="R798" s="1939"/>
      <c r="S798" s="1940"/>
      <c r="T798" s="1941">
        <f>IF(AK524&gt;5,5,AK524)</f>
        <v>0</v>
      </c>
      <c r="U798" s="1941"/>
      <c r="V798" s="1941"/>
      <c r="W798" s="1941"/>
      <c r="X798" s="1941"/>
      <c r="Y798" s="1941"/>
      <c r="Z798" s="1928">
        <v>5</v>
      </c>
      <c r="AA798" s="1928"/>
      <c r="AB798" s="1928"/>
      <c r="AC798" s="1928"/>
      <c r="AD798" s="1928"/>
      <c r="AE798" s="1928"/>
      <c r="AF798" s="1928">
        <f>IF(T798&gt;Z798,5,T798)</f>
        <v>0</v>
      </c>
      <c r="AG798" s="1928"/>
      <c r="AH798" s="1928"/>
      <c r="AI798" s="1928"/>
      <c r="AJ798" s="1928"/>
      <c r="AK798" s="1928"/>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1548</v>
      </c>
      <c r="B799" s="1939" t="s">
        <v>1756</v>
      </c>
      <c r="C799" s="1939"/>
      <c r="D799" s="1939"/>
      <c r="E799" s="1939"/>
      <c r="F799" s="1939"/>
      <c r="G799" s="1939"/>
      <c r="H799" s="1939"/>
      <c r="I799" s="1939"/>
      <c r="J799" s="1939"/>
      <c r="K799" s="1939"/>
      <c r="L799" s="1939"/>
      <c r="M799" s="1939"/>
      <c r="N799" s="1939"/>
      <c r="O799" s="1939"/>
      <c r="P799" s="1939"/>
      <c r="Q799" s="1939"/>
      <c r="R799" s="1939"/>
      <c r="S799" s="1940"/>
      <c r="T799" s="1941">
        <f>AK274</f>
        <v>10</v>
      </c>
      <c r="U799" s="1941"/>
      <c r="V799" s="1941"/>
      <c r="W799" s="1941"/>
      <c r="X799" s="1941"/>
      <c r="Y799" s="1941"/>
      <c r="Z799" s="1928">
        <v>10</v>
      </c>
      <c r="AA799" s="1928"/>
      <c r="AB799" s="1928"/>
      <c r="AC799" s="1928"/>
      <c r="AD799" s="1928"/>
      <c r="AE799" s="1928"/>
      <c r="AF799" s="1950">
        <f>IF(T799&gt;Z799,Z799,T799)</f>
        <v>10</v>
      </c>
      <c r="AG799" s="1951"/>
      <c r="AH799" s="1951"/>
      <c r="AI799" s="1951"/>
      <c r="AJ799" s="1951"/>
      <c r="AK799" s="1952"/>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1552</v>
      </c>
      <c r="B800" s="1939" t="s">
        <v>1553</v>
      </c>
      <c r="C800" s="1939"/>
      <c r="D800" s="1939"/>
      <c r="E800" s="1939"/>
      <c r="F800" s="1939"/>
      <c r="G800" s="1939"/>
      <c r="H800" s="1939"/>
      <c r="I800" s="1939"/>
      <c r="J800" s="1939"/>
      <c r="K800" s="1939"/>
      <c r="L800" s="1939"/>
      <c r="M800" s="1939"/>
      <c r="N800" s="1939"/>
      <c r="O800" s="1939"/>
      <c r="P800" s="1939"/>
      <c r="Q800" s="1939"/>
      <c r="R800" s="1939"/>
      <c r="S800" s="1940"/>
      <c r="T800" s="1941">
        <f>AK327</f>
        <v>0</v>
      </c>
      <c r="U800" s="1941"/>
      <c r="V800" s="1941"/>
      <c r="W800" s="1941"/>
      <c r="X800" s="1941"/>
      <c r="Y800" s="1941"/>
      <c r="Z800" s="1950">
        <v>10</v>
      </c>
      <c r="AA800" s="1951"/>
      <c r="AB800" s="1951"/>
      <c r="AC800" s="1951"/>
      <c r="AD800" s="1951"/>
      <c r="AE800" s="1952"/>
      <c r="AF800" s="1950">
        <f>IF(T800&gt;Z800,Z800,T800)</f>
        <v>0</v>
      </c>
      <c r="AG800" s="1951"/>
      <c r="AH800" s="1951"/>
      <c r="AI800" s="1951"/>
      <c r="AJ800" s="1951"/>
      <c r="AK800" s="1952"/>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1757</v>
      </c>
      <c r="D801" s="859"/>
      <c r="E801" s="859"/>
      <c r="F801" s="859"/>
      <c r="G801" s="859"/>
      <c r="H801" s="859"/>
      <c r="I801" s="859"/>
      <c r="J801" s="859"/>
      <c r="K801" s="859"/>
      <c r="L801" s="859"/>
      <c r="M801" s="859"/>
      <c r="N801" s="859"/>
      <c r="O801" s="859"/>
      <c r="P801" s="859"/>
      <c r="Q801" s="859"/>
      <c r="R801" s="857"/>
      <c r="S801" s="860"/>
      <c r="T801" s="1947">
        <f>AK327</f>
        <v>0</v>
      </c>
      <c r="U801" s="1947"/>
      <c r="V801" s="1947"/>
      <c r="W801" s="1947"/>
      <c r="X801" s="1947"/>
      <c r="Y801" s="1947"/>
      <c r="Z801" s="1915">
        <v>20</v>
      </c>
      <c r="AA801" s="1916"/>
      <c r="AB801" s="1916"/>
      <c r="AC801" s="1916"/>
      <c r="AD801" s="1916"/>
      <c r="AE801" s="1917"/>
      <c r="AF801" s="1949"/>
      <c r="AG801" s="1949"/>
      <c r="AH801" s="1949"/>
      <c r="AI801" s="1949"/>
      <c r="AJ801" s="1949"/>
      <c r="AK801" s="1949"/>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1625</v>
      </c>
      <c r="B802" s="1939" t="s">
        <v>873</v>
      </c>
      <c r="C802" s="1939"/>
      <c r="D802" s="1939"/>
      <c r="E802" s="1939"/>
      <c r="F802" s="1939"/>
      <c r="G802" s="1939"/>
      <c r="H802" s="1939"/>
      <c r="I802" s="1939"/>
      <c r="J802" s="1939"/>
      <c r="K802" s="1939"/>
      <c r="L802" s="1939"/>
      <c r="M802" s="1939"/>
      <c r="N802" s="1939"/>
      <c r="O802" s="1939"/>
      <c r="P802" s="1939"/>
      <c r="Q802" s="1939"/>
      <c r="R802" s="1939"/>
      <c r="S802" s="1940"/>
      <c r="T802" s="1941">
        <f>AK458</f>
        <v>10</v>
      </c>
      <c r="U802" s="1941"/>
      <c r="V802" s="1941"/>
      <c r="W802" s="1941"/>
      <c r="X802" s="1941"/>
      <c r="Y802" s="1941"/>
      <c r="Z802" s="1950">
        <v>10</v>
      </c>
      <c r="AA802" s="1951"/>
      <c r="AB802" s="1951"/>
      <c r="AC802" s="1951"/>
      <c r="AD802" s="1951"/>
      <c r="AE802" s="1952"/>
      <c r="AF802" s="1928">
        <f>IF(T802&gt;Z802,Z802,T802)</f>
        <v>10</v>
      </c>
      <c r="AG802" s="1928"/>
      <c r="AH802" s="1928"/>
      <c r="AI802" s="1928"/>
      <c r="AJ802" s="1928"/>
      <c r="AK802" s="1928"/>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1735</v>
      </c>
      <c r="B803" s="1939" t="s">
        <v>1736</v>
      </c>
      <c r="C803" s="1939"/>
      <c r="D803" s="1939"/>
      <c r="E803" s="1939"/>
      <c r="F803" s="1939"/>
      <c r="G803" s="1939"/>
      <c r="H803" s="1939"/>
      <c r="I803" s="1939"/>
      <c r="J803" s="1939"/>
      <c r="K803" s="1939"/>
      <c r="L803" s="1939"/>
      <c r="M803" s="1939"/>
      <c r="N803" s="1939"/>
      <c r="O803" s="1939"/>
      <c r="P803" s="1939"/>
      <c r="Q803" s="1939"/>
      <c r="R803" s="1939"/>
      <c r="S803" s="1940"/>
      <c r="T803" s="1941">
        <f>AK548</f>
        <v>12</v>
      </c>
      <c r="U803" s="1941"/>
      <c r="V803" s="1941"/>
      <c r="W803" s="1941"/>
      <c r="X803" s="1941"/>
      <c r="Y803" s="1941"/>
      <c r="Z803" s="1950">
        <v>12</v>
      </c>
      <c r="AA803" s="1951"/>
      <c r="AB803" s="1951"/>
      <c r="AC803" s="1951"/>
      <c r="AD803" s="1951"/>
      <c r="AE803" s="1952"/>
      <c r="AF803" s="1928">
        <f>IF(T803&gt;Z803,Z803,T803)</f>
        <v>12</v>
      </c>
      <c r="AG803" s="1928"/>
      <c r="AH803" s="1928"/>
      <c r="AI803" s="1928"/>
      <c r="AJ803" s="1928"/>
      <c r="AK803" s="1928"/>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2416</v>
      </c>
      <c r="B804" s="1939" t="s">
        <v>1758</v>
      </c>
      <c r="C804" s="1939"/>
      <c r="D804" s="1939"/>
      <c r="E804" s="1939"/>
      <c r="F804" s="1939"/>
      <c r="G804" s="1939"/>
      <c r="H804" s="1939"/>
      <c r="I804" s="1939"/>
      <c r="J804" s="1939"/>
      <c r="K804" s="1939"/>
      <c r="L804" s="1939"/>
      <c r="M804" s="1939"/>
      <c r="N804" s="1939"/>
      <c r="O804" s="1939"/>
      <c r="P804" s="1939"/>
      <c r="Q804" s="1939"/>
      <c r="R804" s="1939"/>
      <c r="S804" s="1940"/>
      <c r="T804" s="1941">
        <f>AK779</f>
        <v>10</v>
      </c>
      <c r="U804" s="1941"/>
      <c r="V804" s="1941"/>
      <c r="W804" s="1941"/>
      <c r="X804" s="1941"/>
      <c r="Y804" s="1941"/>
      <c r="Z804" s="1950">
        <v>10</v>
      </c>
      <c r="AA804" s="1951"/>
      <c r="AB804" s="1951"/>
      <c r="AC804" s="1951"/>
      <c r="AD804" s="1951"/>
      <c r="AE804" s="1952"/>
      <c r="AF804" s="1928">
        <f>IF(T804&gt;Z804,Z804,T804)</f>
        <v>10</v>
      </c>
      <c r="AG804" s="1928"/>
      <c r="AH804" s="1928"/>
      <c r="AI804" s="1928"/>
      <c r="AJ804" s="1928"/>
      <c r="AK804" s="1928"/>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53" t="s">
        <v>1759</v>
      </c>
      <c r="B805" s="1939"/>
      <c r="C805" s="1939"/>
      <c r="D805" s="1939"/>
      <c r="E805" s="1939"/>
      <c r="F805" s="1939"/>
      <c r="G805" s="1939"/>
      <c r="H805" s="1939"/>
      <c r="I805" s="1939"/>
      <c r="J805" s="1939"/>
      <c r="K805" s="1939"/>
      <c r="L805" s="1939"/>
      <c r="M805" s="1939"/>
      <c r="N805" s="1939"/>
      <c r="O805" s="1939"/>
      <c r="P805" s="1939"/>
      <c r="Q805" s="1939"/>
      <c r="R805" s="1939"/>
      <c r="S805" s="1940"/>
      <c r="T805" s="1954"/>
      <c r="U805" s="1954"/>
      <c r="V805" s="1954"/>
      <c r="W805" s="1954"/>
      <c r="X805" s="1954"/>
      <c r="Y805" s="1954"/>
      <c r="Z805" s="1948" t="s">
        <v>1760</v>
      </c>
      <c r="AA805" s="1948"/>
      <c r="AB805" s="1948"/>
      <c r="AC805" s="1948"/>
      <c r="AD805" s="1948"/>
      <c r="AE805" s="1948"/>
      <c r="AF805" s="1950">
        <f>IF(T805&gt;0,T805,0)</f>
        <v>0</v>
      </c>
      <c r="AG805" s="1951"/>
      <c r="AH805" s="1951"/>
      <c r="AI805" s="1951"/>
      <c r="AJ805" s="1951"/>
      <c r="AK805" s="1952"/>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1955" t="s">
        <v>1761</v>
      </c>
      <c r="B806" s="1956"/>
      <c r="C806" s="1956"/>
      <c r="D806" s="1956"/>
      <c r="E806" s="1956"/>
      <c r="F806" s="1956"/>
      <c r="G806" s="1956"/>
      <c r="H806" s="1956"/>
      <c r="I806" s="1956"/>
      <c r="J806" s="1956"/>
      <c r="K806" s="1956"/>
      <c r="L806" s="1956"/>
      <c r="M806" s="1956"/>
      <c r="N806" s="1956"/>
      <c r="O806" s="1956"/>
      <c r="P806" s="1956"/>
      <c r="Q806" s="1956"/>
      <c r="R806" s="1956"/>
      <c r="S806" s="1956"/>
      <c r="T806" s="1956"/>
      <c r="U806" s="1956"/>
      <c r="V806" s="1956"/>
      <c r="W806" s="1956"/>
      <c r="X806" s="1956"/>
      <c r="Y806" s="1956"/>
      <c r="Z806" s="1956"/>
      <c r="AA806" s="1956"/>
      <c r="AB806" s="1956"/>
      <c r="AC806" s="1956"/>
      <c r="AD806" s="1956"/>
      <c r="AE806" s="1957"/>
      <c r="AF806" s="1961">
        <f ca="1">SUM(AF789:AK804)-AF805</f>
        <v>110</v>
      </c>
      <c r="AG806" s="1962"/>
      <c r="AH806" s="1962"/>
      <c r="AI806" s="1962"/>
      <c r="AJ806" s="1962"/>
      <c r="AK806" s="1963"/>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1958"/>
      <c r="B807" s="1959"/>
      <c r="C807" s="1959"/>
      <c r="D807" s="1959"/>
      <c r="E807" s="1959"/>
      <c r="F807" s="1959"/>
      <c r="G807" s="1959"/>
      <c r="H807" s="1959"/>
      <c r="I807" s="1959"/>
      <c r="J807" s="1959"/>
      <c r="K807" s="1959"/>
      <c r="L807" s="1959"/>
      <c r="M807" s="1959"/>
      <c r="N807" s="1959"/>
      <c r="O807" s="1959"/>
      <c r="P807" s="1959"/>
      <c r="Q807" s="1959"/>
      <c r="R807" s="1959"/>
      <c r="S807" s="1959"/>
      <c r="T807" s="1959"/>
      <c r="U807" s="1959"/>
      <c r="V807" s="1959"/>
      <c r="W807" s="1959"/>
      <c r="X807" s="1959"/>
      <c r="Y807" s="1959"/>
      <c r="Z807" s="1959"/>
      <c r="AA807" s="1959"/>
      <c r="AB807" s="1959"/>
      <c r="AC807" s="1959"/>
      <c r="AD807" s="1959"/>
      <c r="AE807" s="1960"/>
      <c r="AF807" s="1964"/>
      <c r="AG807" s="1965"/>
      <c r="AH807" s="1965"/>
      <c r="AI807" s="1965"/>
      <c r="AJ807" s="1965"/>
      <c r="AK807" s="1966"/>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T797:Y797">
    <cfRule type="expression" dxfId="11" priority="7" stopIfTrue="1">
      <formula>ISERROR(T797)</formula>
    </cfRule>
  </conditionalFormatting>
  <conditionalFormatting sqref="T802:Z804">
    <cfRule type="expression" dxfId="10" priority="1" stopIfTrue="1">
      <formula>ISERROR(T802)</formula>
    </cfRule>
  </conditionalFormatting>
  <conditionalFormatting sqref="AF789:AK792">
    <cfRule type="expression" dxfId="9" priority="3" stopIfTrue="1">
      <formula>ISERROR(AF789)</formula>
    </cfRule>
  </conditionalFormatting>
  <conditionalFormatting sqref="AF797:AK797">
    <cfRule type="expression" dxfId="8" priority="8" stopIfTrue="1">
      <formula>ISERROR(AF797)</formula>
    </cfRule>
  </conditionalFormatting>
  <conditionalFormatting sqref="AF802:AK804">
    <cfRule type="expression" dxfId="7" priority="9" stopIfTrue="1">
      <formula>ISERROR(AF802)</formula>
    </cfRule>
  </conditionalFormatting>
  <conditionalFormatting sqref="AP434 AQ435:AQ437 AN444:AN448 T793:AK793 T794:AF796 AG796:AK796 T798:AK800 T801:AF801 AF804:AF806 T805:AE805 AG805:AL805">
    <cfRule type="expression" dxfId="6" priority="13" stopIfTrue="1">
      <formula>ISERROR(T434)</formula>
    </cfRule>
  </conditionalFormatting>
  <conditionalFormatting sqref="AP460">
    <cfRule type="expression" dxfId="5"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I26" sqref="I26"/>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37" t="s">
        <v>1762</v>
      </c>
      <c r="B1" s="2137"/>
      <c r="C1" s="2137"/>
      <c r="D1" s="2137"/>
      <c r="E1" s="2137"/>
      <c r="F1" s="2137"/>
      <c r="G1" s="2137"/>
      <c r="H1" s="2137"/>
      <c r="I1" s="2137"/>
      <c r="J1" s="2137"/>
    </row>
    <row r="2" spans="1:13" ht="15" customHeight="1" thickBot="1">
      <c r="A2" s="1090"/>
      <c r="B2" s="1090"/>
      <c r="I2" s="1091"/>
      <c r="K2" s="1092"/>
    </row>
    <row r="3" spans="1:13" s="1095" customFormat="1" ht="20.100000000000001" customHeight="1">
      <c r="A3" s="1149"/>
      <c r="B3" s="1150"/>
      <c r="C3" s="1151"/>
      <c r="D3" s="1156"/>
      <c r="E3" s="1151"/>
      <c r="F3" s="1152" t="s">
        <v>2381</v>
      </c>
      <c r="G3" s="1151"/>
      <c r="H3" s="1153">
        <f>E16</f>
        <v>29123600</v>
      </c>
      <c r="I3" s="1154"/>
    </row>
    <row r="4" spans="1:13" s="1095" customFormat="1" ht="20.100000000000001" customHeight="1">
      <c r="B4" s="1143"/>
      <c r="D4" s="1157"/>
      <c r="F4" s="1141" t="s">
        <v>2383</v>
      </c>
      <c r="G4" s="1140" t="s">
        <v>2382</v>
      </c>
      <c r="H4" s="1142">
        <f>I16</f>
        <v>19953193.615196079</v>
      </c>
      <c r="I4" s="1144"/>
      <c r="K4" s="1099"/>
    </row>
    <row r="5" spans="1:13" s="1095" customFormat="1" ht="20.100000000000001" customHeight="1" thickBot="1">
      <c r="B5" s="1145"/>
      <c r="C5" s="1146"/>
      <c r="D5" s="1158"/>
      <c r="E5" s="1147"/>
      <c r="F5" s="1158" t="s">
        <v>2323</v>
      </c>
      <c r="G5" s="1159"/>
      <c r="H5" s="1155">
        <f>H3/H4</f>
        <v>1.45959592041546</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8" t="s">
        <v>2321</v>
      </c>
      <c r="C8" s="2139"/>
      <c r="D8" s="2139"/>
      <c r="E8" s="2140"/>
      <c r="G8" s="2141" t="s">
        <v>2322</v>
      </c>
      <c r="H8" s="2142"/>
      <c r="I8" s="2143"/>
      <c r="K8" s="1101"/>
    </row>
    <row r="9" spans="1:13" ht="15" customHeight="1">
      <c r="A9" s="1090"/>
      <c r="B9" s="2132" t="s">
        <v>2360</v>
      </c>
      <c r="C9" s="2132"/>
      <c r="D9" s="2132"/>
      <c r="E9" s="1103">
        <f>G31</f>
        <v>4962500</v>
      </c>
      <c r="G9" s="2135" t="s">
        <v>2358</v>
      </c>
      <c r="H9" s="2135"/>
      <c r="I9" s="1104">
        <f>Application!AM550</f>
        <v>20609881</v>
      </c>
      <c r="K9" s="1105"/>
      <c r="M9" s="1106"/>
    </row>
    <row r="10" spans="1:13" ht="15" customHeight="1" thickBot="1">
      <c r="A10" s="1090"/>
      <c r="B10" s="2132" t="s">
        <v>2361</v>
      </c>
      <c r="C10" s="2132"/>
      <c r="D10" s="2132"/>
      <c r="E10" s="1104">
        <f>G40</f>
        <v>16358850</v>
      </c>
      <c r="G10" s="2135" t="s">
        <v>2324</v>
      </c>
      <c r="H10" s="2135"/>
      <c r="I10" s="1191">
        <f>'Basis &amp; Credits'!AB77</f>
        <v>0</v>
      </c>
      <c r="M10" s="1106"/>
    </row>
    <row r="11" spans="1:13" ht="15" customHeight="1">
      <c r="A11" s="1107"/>
      <c r="B11" s="2132" t="s">
        <v>2362</v>
      </c>
      <c r="C11" s="2132"/>
      <c r="D11" s="2132"/>
      <c r="E11" s="1104">
        <f>G49</f>
        <v>0</v>
      </c>
      <c r="G11" s="2135" t="s">
        <v>2373</v>
      </c>
      <c r="H11" s="2135"/>
      <c r="I11" s="1190">
        <f>I9+I10</f>
        <v>20609881</v>
      </c>
      <c r="M11" s="1106"/>
    </row>
    <row r="12" spans="1:13" ht="15" customHeight="1">
      <c r="A12" s="1093"/>
      <c r="B12" s="2132" t="s">
        <v>2363</v>
      </c>
      <c r="C12" s="2132"/>
      <c r="D12" s="2132"/>
      <c r="E12" s="1104">
        <f>G58</f>
        <v>160000</v>
      </c>
      <c r="G12" s="1192" t="s">
        <v>2398</v>
      </c>
      <c r="H12" s="1193"/>
      <c r="M12" s="1106"/>
    </row>
    <row r="13" spans="1:13" ht="15" customHeight="1">
      <c r="A13" s="1090"/>
      <c r="B13" s="2132" t="s">
        <v>2364</v>
      </c>
      <c r="C13" s="2132"/>
      <c r="D13" s="2132"/>
      <c r="E13" s="1109">
        <f>G83</f>
        <v>7642250</v>
      </c>
      <c r="G13" s="2136" t="s">
        <v>140</v>
      </c>
      <c r="H13" s="2136"/>
      <c r="I13" s="1108">
        <f>15%*(Application!AJ963&gt;0)</f>
        <v>0</v>
      </c>
      <c r="M13" s="1106"/>
    </row>
    <row r="14" spans="1:13" ht="15" customHeight="1">
      <c r="A14" s="1090"/>
      <c r="B14" s="2132" t="s">
        <v>2365</v>
      </c>
      <c r="C14" s="2132"/>
      <c r="D14" s="2132"/>
      <c r="E14" s="1104">
        <f>IF(G96&gt;G106,G96,0)</f>
        <v>0</v>
      </c>
      <c r="G14" s="1188" t="s">
        <v>2374</v>
      </c>
      <c r="H14" s="1188"/>
      <c r="I14" s="1108">
        <f>IF(Application!AJ997&gt;0,10%,IF(Application!AJ1001&gt;0,5%,0))</f>
        <v>0</v>
      </c>
      <c r="M14" s="1106"/>
    </row>
    <row r="15" spans="1:13" ht="15" customHeight="1" thickBot="1">
      <c r="A15" s="1090"/>
      <c r="B15" s="2133" t="s">
        <v>2384</v>
      </c>
      <c r="C15" s="2133"/>
      <c r="D15" s="2133"/>
      <c r="E15" s="1160">
        <f>IF(E14&gt;0,0,G106)</f>
        <v>0</v>
      </c>
      <c r="G15" s="2130" t="s">
        <v>2375</v>
      </c>
      <c r="H15" s="2131"/>
      <c r="I15" s="1162">
        <f>G114</f>
        <v>3.1862745098039214E-2</v>
      </c>
      <c r="M15" s="1106"/>
    </row>
    <row r="16" spans="1:13" ht="15" customHeight="1">
      <c r="A16" s="1090"/>
      <c r="B16" s="2134" t="s">
        <v>2320</v>
      </c>
      <c r="C16" s="2134"/>
      <c r="D16" s="2134"/>
      <c r="E16" s="1161">
        <f>SUM(E9:E15)</f>
        <v>29123600</v>
      </c>
      <c r="G16" s="1189" t="s">
        <v>2359</v>
      </c>
      <c r="H16" s="1189"/>
      <c r="I16" s="1163">
        <f>I11-((I11*I13)+(I11*I14)+(I11*I15))</f>
        <v>19953193.615196079</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75</v>
      </c>
      <c r="O18" s="1133" t="s">
        <v>591</v>
      </c>
      <c r="P18" s="1088">
        <f>MATCH(Application!T189,Application!BP656:BP713,0)</f>
        <v>30</v>
      </c>
      <c r="S18" s="1110">
        <f>SUM(Cdlac[Population])</f>
        <v>0</v>
      </c>
    </row>
    <row r="19" spans="1:20" ht="15" customHeight="1">
      <c r="A19" s="1090"/>
      <c r="B19" s="1090"/>
      <c r="I19" s="1116"/>
      <c r="L19" s="1088" t="s">
        <v>2316</v>
      </c>
      <c r="M19" s="1088" t="s">
        <v>2315</v>
      </c>
      <c r="N19" s="1088" t="s">
        <v>2329</v>
      </c>
      <c r="O19" s="1088" t="s">
        <v>2330</v>
      </c>
      <c r="P19" s="1088" t="s">
        <v>2317</v>
      </c>
      <c r="Q19" s="1088" t="s">
        <v>2318</v>
      </c>
      <c r="R19" s="1088" t="s">
        <v>2331</v>
      </c>
      <c r="S19" s="1088" t="s">
        <v>2337</v>
      </c>
      <c r="T19" s="1088" t="s">
        <v>387</v>
      </c>
    </row>
    <row r="20" spans="1:20" ht="15" customHeight="1">
      <c r="A20" s="1093"/>
      <c r="C20" s="2128" t="s">
        <v>2377</v>
      </c>
      <c r="D20" s="2128" t="s">
        <v>2378</v>
      </c>
      <c r="E20" s="2128" t="s">
        <v>2379</v>
      </c>
      <c r="F20" s="2128" t="s">
        <v>2380</v>
      </c>
      <c r="G20" s="2128" t="s">
        <v>2376</v>
      </c>
      <c r="H20" s="1117"/>
      <c r="I20" s="1116"/>
      <c r="L20" s="1088">
        <f>IFERROR(MIN(4,MATCH(Application!B714,UnitSizes,0)-1),"")</f>
        <v>2</v>
      </c>
      <c r="M20" s="1110">
        <f>Application!G714</f>
        <v>5</v>
      </c>
      <c r="N20" s="1118">
        <f>Application!AC714</f>
        <v>0.3</v>
      </c>
      <c r="O20" s="1118">
        <f>IF(Cdlac[[#This Row],[Quantity]]&gt;0,IF(Cdlac[[#This Row],[Federal]],30%,IF($G$36,40%,Cdlac[[#This Row],[iAMI]])),"")</f>
        <v>0.3</v>
      </c>
      <c r="P20" s="1110" cm="1">
        <f t="array" ref="P20">IF(Cdlac[[#This Row],[Quantity]]&gt;0,INDEX(TcacRents,$P$18,Cdlac[[#This Row],[Bedrooms]]+1)*Cdlac[[#This Row],[AMI]],"")</f>
        <v>969</v>
      </c>
      <c r="Q20" s="1110" cm="1">
        <f t="array" ref="Q20">IF(Cdlac[[#This Row],[Quantity]]&gt;0,INDEX(HudFmrs,$P$18,Cdlac[[#This Row],[Bedrooms]]+1),"")</f>
        <v>2539</v>
      </c>
      <c r="R20" s="1110">
        <f>IF(Cdlac[[#This Row],[Quantity]]&gt;0,MAX(0,Cdlac[[#This Row],[Fair Market Rent]]-Cdlac[[#This Row],[Restricted Rent]]),"")</f>
        <v>1570</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29"/>
      <c r="D21" s="2129"/>
      <c r="E21" s="2129"/>
      <c r="F21" s="2129"/>
      <c r="G21" s="2129"/>
      <c r="H21" s="1117"/>
      <c r="I21" s="1116"/>
      <c r="L21" s="1088">
        <f>IFERROR(MIN(4,MATCH(Application!B715,UnitSizes,0)-1),"")</f>
        <v>2</v>
      </c>
      <c r="M21" s="1110">
        <f>Application!G715</f>
        <v>19</v>
      </c>
      <c r="N21" s="1118">
        <f>Application!AC715</f>
        <v>0.45</v>
      </c>
      <c r="O21" s="1118">
        <f>IF(Cdlac[[#This Row],[Quantity]]&gt;0,IF(Cdlac[[#This Row],[Federal]],30%,IF($G$36,40%,Cdlac[[#This Row],[iAMI]])),"")</f>
        <v>0.45</v>
      </c>
      <c r="P21" s="1110" cm="1">
        <f t="array" ref="P21">IF(Cdlac[[#This Row],[Quantity]]&gt;0,INDEX(TcacRents,$P$18,Cdlac[[#This Row],[Bedrooms]]+1)*Cdlac[[#This Row],[AMI]],"")</f>
        <v>1453.5</v>
      </c>
      <c r="Q21" s="1110" cm="1">
        <f t="array" ref="Q21">IF(Cdlac[[#This Row],[Quantity]]&gt;0,INDEX(HudFmrs,$P$18,Cdlac[[#This Row],[Bedrooms]]+1),"")</f>
        <v>2539</v>
      </c>
      <c r="R21" s="1110">
        <f>IF(Cdlac[[#This Row],[Quantity]]&gt;0,MAX(0,Cdlac[[#This Row],[Fair Market Rent]]-Cdlac[[#This Row],[Restricted Rent]]),"")</f>
        <v>1085.5</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f>IFERROR(MIN(4,MATCH(Application!B716,UnitSizes,0)-1),"")</f>
        <v>2</v>
      </c>
      <c r="M22" s="1110">
        <f>Application!G716</f>
        <v>18</v>
      </c>
      <c r="N22" s="1118">
        <f>Application!AC716</f>
        <v>0.5</v>
      </c>
      <c r="O22" s="1118">
        <f>IF(Cdlac[[#This Row],[Quantity]]&gt;0,IF(Cdlac[[#This Row],[Federal]],30%,IF($G$36,40%,Cdlac[[#This Row],[iAMI]])),"")</f>
        <v>0.5</v>
      </c>
      <c r="P22" s="1110" cm="1">
        <f t="array" ref="P22">IF(Cdlac[[#This Row],[Quantity]]&gt;0,INDEX(TcacRents,$P$18,Cdlac[[#This Row],[Bedrooms]]+1)*Cdlac[[#This Row],[AMI]],"")</f>
        <v>1615</v>
      </c>
      <c r="Q22" s="1110" cm="1">
        <f t="array" ref="Q22">IF(Cdlac[[#This Row],[Quantity]]&gt;0,INDEX(HudFmrs,$P$18,Cdlac[[#This Row],[Bedrooms]]+1),"")</f>
        <v>2539</v>
      </c>
      <c r="R22" s="1110">
        <f>IF(Cdlac[[#This Row],[Quantity]]&gt;0,MAX(0,Cdlac[[#This Row],[Fair Market Rent]]-Cdlac[[#This Row],[Restricted Rent]]),"")</f>
        <v>924</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0</v>
      </c>
      <c r="F23" s="1119">
        <f>E23</f>
        <v>0</v>
      </c>
      <c r="G23" s="1119">
        <f>D23*F23</f>
        <v>0</v>
      </c>
      <c r="L23" s="1088">
        <f>IFERROR(MIN(4,MATCH(Application!B717,UnitSizes,0)-1),"")</f>
        <v>2</v>
      </c>
      <c r="M23" s="1110">
        <f>Application!G717</f>
        <v>10</v>
      </c>
      <c r="N23" s="1118">
        <f>Application!AC717</f>
        <v>0.6</v>
      </c>
      <c r="O23" s="1118">
        <f>IF(Cdlac[[#This Row],[Quantity]]&gt;0,IF(Cdlac[[#This Row],[Federal]],30%,IF($G$36,40%,Cdlac[[#This Row],[iAMI]])),"")</f>
        <v>0.6</v>
      </c>
      <c r="P23" s="1110" cm="1">
        <f t="array" ref="P23">IF(Cdlac[[#This Row],[Quantity]]&gt;0,INDEX(TcacRents,$P$18,Cdlac[[#This Row],[Bedrooms]]+1)*Cdlac[[#This Row],[AMI]],"")</f>
        <v>1938</v>
      </c>
      <c r="Q23" s="1110" cm="1">
        <f t="array" ref="Q23">IF(Cdlac[[#This Row],[Quantity]]&gt;0,INDEX(HudFmrs,$P$18,Cdlac[[#This Row],[Bedrooms]]+1),"")</f>
        <v>2539</v>
      </c>
      <c r="R23" s="1110">
        <f>IF(Cdlac[[#This Row],[Quantity]]&gt;0,MAX(0,Cdlac[[#This Row],[Fair Market Rent]]-Cdlac[[#This Row],[Restricted Rent]]),"")</f>
        <v>601</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52</v>
      </c>
      <c r="F24" s="1122">
        <f>SUM(E24:E26)-SUM(F25:F26)</f>
        <v>53</v>
      </c>
      <c r="G24" s="1119">
        <f>D24*F24</f>
        <v>66.25</v>
      </c>
      <c r="H24" s="1121"/>
      <c r="I24" s="1121"/>
      <c r="L24" s="1088">
        <f>IFERROR(MIN(4,MATCH(Application!B718,UnitSizes,0)-1),"")</f>
        <v>3</v>
      </c>
      <c r="M24" s="1110">
        <f>Application!G718</f>
        <v>3</v>
      </c>
      <c r="N24" s="1118">
        <f>Application!AC718</f>
        <v>0.3</v>
      </c>
      <c r="O24" s="1118">
        <f>IF(Cdlac[[#This Row],[Quantity]]&gt;0,IF(Cdlac[[#This Row],[Federal]],30%,IF($G$36,40%,Cdlac[[#This Row],[iAMI]])),"")</f>
        <v>0.3</v>
      </c>
      <c r="P24" s="1110" cm="1">
        <f t="array" ref="P24">IF(Cdlac[[#This Row],[Quantity]]&gt;0,INDEX(TcacRents,$P$18,Cdlac[[#This Row],[Bedrooms]]+1)*Cdlac[[#This Row],[AMI]],"")</f>
        <v>1119</v>
      </c>
      <c r="Q24" s="1110" cm="1">
        <f t="array" ref="Q24">IF(Cdlac[[#This Row],[Quantity]]&gt;0,INDEX(HudFmrs,$P$18,Cdlac[[#This Row],[Bedrooms]]+1),"")</f>
        <v>3448</v>
      </c>
      <c r="R24" s="1110">
        <f>IF(Cdlac[[#This Row],[Quantity]]&gt;0,MAX(0,Cdlac[[#This Row],[Fair Market Rent]]-Cdlac[[#This Row],[Restricted Rent]]),"")</f>
        <v>2329</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23</v>
      </c>
      <c r="F25" s="1122">
        <f>MIN(E25,ROUNDDOWN(E27*30%,0))</f>
        <v>22</v>
      </c>
      <c r="G25" s="1119">
        <f>D25*F25</f>
        <v>33</v>
      </c>
      <c r="H25" s="1121"/>
      <c r="I25" s="1121"/>
      <c r="L25" s="1088">
        <f>IFERROR(MIN(4,MATCH(Application!B719,UnitSizes,0)-1),"")</f>
        <v>3</v>
      </c>
      <c r="M25" s="1110">
        <f>Application!G719</f>
        <v>12</v>
      </c>
      <c r="N25" s="1118">
        <f>Application!AC719</f>
        <v>0.45</v>
      </c>
      <c r="O25" s="1118">
        <f>IF(Cdlac[[#This Row],[Quantity]]&gt;0,IF(Cdlac[[#This Row],[Federal]],30%,IF($G$36,40%,Cdlac[[#This Row],[iAMI]])),"")</f>
        <v>0.45</v>
      </c>
      <c r="P25" s="1110" cm="1">
        <f t="array" ref="P25">IF(Cdlac[[#This Row],[Quantity]]&gt;0,INDEX(TcacRents,$P$18,Cdlac[[#This Row],[Bedrooms]]+1)*Cdlac[[#This Row],[AMI]],"")</f>
        <v>1678.5</v>
      </c>
      <c r="Q25" s="1110" cm="1">
        <f t="array" ref="Q25">IF(Cdlac[[#This Row],[Quantity]]&gt;0,INDEX(HudFmrs,$P$18,Cdlac[[#This Row],[Bedrooms]]+1),"")</f>
        <v>3448</v>
      </c>
      <c r="R25" s="1110">
        <f>IF(Cdlac[[#This Row],[Quantity]]&gt;0,MAX(0,Cdlac[[#This Row],[Fair Market Rent]]-Cdlac[[#This Row],[Restricted Rent]]),"")</f>
        <v>1769.5</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3</v>
      </c>
      <c r="M26" s="1110">
        <f>Application!G720</f>
        <v>5</v>
      </c>
      <c r="N26" s="1118">
        <f>Application!AC720</f>
        <v>0.5</v>
      </c>
      <c r="O26" s="1118">
        <f>IF(Cdlac[[#This Row],[Quantity]]&gt;0,IF(Cdlac[[#This Row],[Federal]],30%,IF($G$36,40%,Cdlac[[#This Row],[iAMI]])),"")</f>
        <v>0.5</v>
      </c>
      <c r="P26" s="1110" cm="1">
        <f t="array" ref="P26">IF(Cdlac[[#This Row],[Quantity]]&gt;0,INDEX(TcacRents,$P$18,Cdlac[[#This Row],[Bedrooms]]+1)*Cdlac[[#This Row],[AMI]],"")</f>
        <v>1865</v>
      </c>
      <c r="Q26" s="1110" cm="1">
        <f t="array" ref="Q26">IF(Cdlac[[#This Row],[Quantity]]&gt;0,INDEX(HudFmrs,$P$18,Cdlac[[#This Row],[Bedrooms]]+1),"")</f>
        <v>3448</v>
      </c>
      <c r="R26" s="1110">
        <f>IF(Cdlac[[#This Row],[Quantity]]&gt;0,MAX(0,Cdlac[[#This Row],[Fair Market Rent]]-Cdlac[[#This Row],[Restricted Rent]]),"")</f>
        <v>1583</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44" t="s">
        <v>1763</v>
      </c>
      <c r="D27" s="2145"/>
      <c r="E27" s="1138">
        <f>SUM(E22:E26)</f>
        <v>75</v>
      </c>
      <c r="F27" s="1138">
        <f>SUM(F22:F26)</f>
        <v>75</v>
      </c>
      <c r="G27" s="1139">
        <f>SUMPRODUCT(D22:D26,F22:F26)</f>
        <v>99.25</v>
      </c>
      <c r="H27" s="1121"/>
      <c r="I27" s="1121"/>
      <c r="L27" s="1088">
        <f>IFERROR(MIN(4,MATCH(Application!B721,UnitSizes,0)-1),"")</f>
        <v>3</v>
      </c>
      <c r="M27" s="1110">
        <f>Application!G721</f>
        <v>3</v>
      </c>
      <c r="N27" s="1118">
        <f>Application!AC721</f>
        <v>0.6</v>
      </c>
      <c r="O27" s="1118">
        <f>IF(Cdlac[[#This Row],[Quantity]]&gt;0,IF(Cdlac[[#This Row],[Federal]],30%,IF($G$36,40%,Cdlac[[#This Row],[iAMI]])),"")</f>
        <v>0.6</v>
      </c>
      <c r="P27" s="1110" cm="1">
        <f t="array" ref="P27">IF(Cdlac[[#This Row],[Quantity]]&gt;0,INDEX(TcacRents,$P$18,Cdlac[[#This Row],[Bedrooms]]+1)*Cdlac[[#This Row],[AMI]],"")</f>
        <v>2238</v>
      </c>
      <c r="Q27" s="1110" cm="1">
        <f t="array" ref="Q27">IF(Cdlac[[#This Row],[Quantity]]&gt;0,INDEX(HudFmrs,$P$18,Cdlac[[#This Row],[Bedrooms]]+1),"")</f>
        <v>3448</v>
      </c>
      <c r="R27" s="1110">
        <f>IF(Cdlac[[#This Row],[Quantity]]&gt;0,MAX(0,Cdlac[[#This Row],[Fair Market Rent]]-Cdlac[[#This Row],[Restricted Rent]]),"")</f>
        <v>1210</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2376</v>
      </c>
      <c r="G29" s="1165">
        <f>G27</f>
        <v>99.25</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2328</v>
      </c>
      <c r="F30" s="1164" t="s">
        <v>2385</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2369</v>
      </c>
      <c r="F31" s="1090"/>
      <c r="G31" s="1170">
        <f>G30*G29</f>
        <v>4962500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2396</v>
      </c>
      <c r="G35" s="1171" cm="1">
        <f t="array" ref="G35">SUMPRODUCT(Cdlac[Quantity],Cdlac[iAMI],IF(Cdlac[Federal],0,1))/SUMIFS(Cdlac[Quantity],Cdlac[Federal],FALSE)</f>
        <v>0.47533333333333333</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2391</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2332</v>
      </c>
      <c r="G38" s="1125">
        <f>SUMPRODUCT(Cdlac[Quantity],Cdlac[Delta])</f>
        <v>90882.5</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2397</v>
      </c>
      <c r="F39" s="1164" t="s">
        <v>2385</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2325</v>
      </c>
      <c r="F40" s="1090"/>
      <c r="G40" s="1174">
        <f>G38*G39</f>
        <v>16358850</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2386</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2387</v>
      </c>
      <c r="G45" s="1176">
        <f>ROUNDDOWN(E27*50%,0)</f>
        <v>37</v>
      </c>
    </row>
    <row r="46" spans="2:20" ht="15" customHeight="1">
      <c r="E46" s="1168"/>
      <c r="G46" s="1176"/>
    </row>
    <row r="47" spans="2:20" ht="15" customHeight="1">
      <c r="E47" s="1168" t="s">
        <v>2338</v>
      </c>
      <c r="G47" s="1165">
        <f>MIN(G44:G45)</f>
        <v>0</v>
      </c>
    </row>
    <row r="48" spans="2:20" ht="15" customHeight="1">
      <c r="E48" s="1168" t="s">
        <v>2328</v>
      </c>
      <c r="F48" s="1164" t="s">
        <v>2385</v>
      </c>
      <c r="G48" s="1175">
        <v>10000</v>
      </c>
    </row>
    <row r="49" spans="2:14" ht="15" customHeight="1">
      <c r="E49" s="1169" t="s">
        <v>2368</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2388</v>
      </c>
      <c r="G53" s="1126">
        <f>SUMIFS(Cdlac[Quantity],Cdlac[iAMI],"&lt;=30%")</f>
        <v>8</v>
      </c>
    </row>
    <row r="54" spans="2:14" ht="15" customHeight="1">
      <c r="E54" s="1168" t="s">
        <v>2387</v>
      </c>
      <c r="G54" s="1126">
        <f>ROUNDDOWN(E27*50%,0)</f>
        <v>37</v>
      </c>
    </row>
    <row r="55" spans="2:14" ht="15" customHeight="1">
      <c r="E55" s="1168"/>
      <c r="G55" s="1126"/>
    </row>
    <row r="56" spans="2:14" ht="15" customHeight="1">
      <c r="E56" s="1168" t="s">
        <v>2338</v>
      </c>
      <c r="G56" s="1165">
        <f>MIN(G53:G54)</f>
        <v>8</v>
      </c>
    </row>
    <row r="57" spans="2:14" ht="15" customHeight="1">
      <c r="E57" s="1168" t="s">
        <v>2328</v>
      </c>
      <c r="F57" s="1164" t="s">
        <v>2385</v>
      </c>
      <c r="G57" s="1175">
        <v>20000</v>
      </c>
    </row>
    <row r="58" spans="2:14" ht="15" customHeight="1">
      <c r="E58" s="1169" t="s">
        <v>2367</v>
      </c>
      <c r="F58" s="1090"/>
      <c r="G58" s="1174">
        <f>G56*G57</f>
        <v>160000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2341</v>
      </c>
      <c r="G62" s="1165">
        <f>VLOOKUP('Points System'!$H$595,'Points System'!$AO$575:$AP$580,2,FALSE)</f>
        <v>7</v>
      </c>
      <c r="L62" s="1178" t="str">
        <f>'Points System'!H627</f>
        <v>(i)</v>
      </c>
      <c r="M62" s="2146" t="s">
        <v>1577</v>
      </c>
      <c r="N62" s="2147"/>
    </row>
    <row r="63" spans="2:14" ht="15" customHeight="1">
      <c r="E63" s="1133" t="s">
        <v>2328</v>
      </c>
      <c r="F63" s="1164" t="s">
        <v>2385</v>
      </c>
      <c r="G63" s="1123">
        <v>4000</v>
      </c>
      <c r="L63" s="1179" t="str">
        <f>'Points System'!H639</f>
        <v>(i)</v>
      </c>
      <c r="M63" s="2148" t="s">
        <v>2342</v>
      </c>
      <c r="N63" s="2149"/>
    </row>
    <row r="64" spans="2:14" ht="15" customHeight="1">
      <c r="E64" s="1133" t="s">
        <v>2389</v>
      </c>
      <c r="F64" s="1164" t="s">
        <v>2385</v>
      </c>
      <c r="G64" s="1177">
        <f>G27</f>
        <v>99.25</v>
      </c>
      <c r="L64" s="1179" t="str">
        <f>'Points System'!H674</f>
        <v>(i)</v>
      </c>
      <c r="M64" s="2148" t="s">
        <v>2343</v>
      </c>
      <c r="N64" s="2149"/>
    </row>
    <row r="65" spans="2:14" ht="15" customHeight="1">
      <c r="E65" s="1169" t="s">
        <v>2347</v>
      </c>
      <c r="F65" s="1090"/>
      <c r="G65" s="1174">
        <f>G62*G63*G64</f>
        <v>2779000</v>
      </c>
      <c r="L65" s="1179" t="str">
        <f>'Points System'!H694</f>
        <v>(i)</v>
      </c>
      <c r="M65" s="2148" t="s">
        <v>2344</v>
      </c>
      <c r="N65" s="2149"/>
    </row>
    <row r="66" spans="2:14" ht="15" customHeight="1">
      <c r="C66" s="1124"/>
      <c r="G66" s="1165"/>
      <c r="L66" s="1180" t="str">
        <f>'Points System'!H708</f>
        <v>N/A</v>
      </c>
      <c r="M66" s="2148" t="s">
        <v>1603</v>
      </c>
      <c r="N66" s="2149"/>
    </row>
    <row r="67" spans="2:14" ht="15" customHeight="1">
      <c r="E67" s="1133" t="s">
        <v>2390</v>
      </c>
      <c r="G67" s="1177">
        <f>COUNTIFS(L62:L69,"(i)")</f>
        <v>6</v>
      </c>
      <c r="L67" s="1179" t="str">
        <f>'Points System'!H720</f>
        <v>N/A</v>
      </c>
      <c r="M67" s="2148" t="s">
        <v>2345</v>
      </c>
      <c r="N67" s="2149"/>
    </row>
    <row r="68" spans="2:14" ht="15" customHeight="1">
      <c r="E68" s="1133" t="s">
        <v>2328</v>
      </c>
      <c r="F68" s="1164" t="s">
        <v>2385</v>
      </c>
      <c r="G68" s="1175">
        <v>4000</v>
      </c>
      <c r="L68" s="1179" t="str">
        <f>'Points System'!H736</f>
        <v>(i)</v>
      </c>
      <c r="M68" s="2148" t="s">
        <v>2346</v>
      </c>
      <c r="N68" s="2149"/>
    </row>
    <row r="69" spans="2:14" ht="15" customHeight="1" thickBot="1">
      <c r="E69" s="1169" t="s">
        <v>2348</v>
      </c>
      <c r="F69" s="1090"/>
      <c r="G69" s="1174">
        <f>G64*G67*G68</f>
        <v>2382000</v>
      </c>
      <c r="L69" s="1181" t="str">
        <f>'Points System'!H748</f>
        <v>(i)</v>
      </c>
      <c r="M69" s="2154" t="s">
        <v>1606</v>
      </c>
      <c r="N69" s="2155"/>
    </row>
    <row r="70" spans="2:14" ht="15" customHeight="1"/>
    <row r="71" spans="2:14" ht="15" customHeight="1">
      <c r="C71" s="1127" t="s">
        <v>2350</v>
      </c>
    </row>
    <row r="72" spans="2:14" ht="15" customHeight="1">
      <c r="C72" s="1124" t="s">
        <v>2351</v>
      </c>
      <c r="G72" s="1087"/>
    </row>
    <row r="73" spans="2:14" ht="15" customHeight="1">
      <c r="C73" s="1124" t="s">
        <v>2352</v>
      </c>
      <c r="G73" s="1087"/>
    </row>
    <row r="74" spans="2:14" ht="15" customHeight="1">
      <c r="C74" s="1124" t="s">
        <v>2609</v>
      </c>
      <c r="G74" s="1087" t="s">
        <v>554</v>
      </c>
    </row>
    <row r="75" spans="2:14" ht="15" customHeight="1">
      <c r="C75" s="1124" t="s">
        <v>2610</v>
      </c>
      <c r="G75" s="1087"/>
    </row>
    <row r="76" spans="2:14" ht="15" customHeight="1"/>
    <row r="77" spans="2:14" ht="15" customHeight="1">
      <c r="B77" s="1125"/>
      <c r="C77" s="1124"/>
      <c r="E77" s="1133" t="s">
        <v>2392</v>
      </c>
      <c r="G77" s="1126" t="b">
        <f>COUNTIFS(G72:G75,"Yes")&gt;=1</f>
        <v>1</v>
      </c>
    </row>
    <row r="78" spans="2:14" ht="15" customHeight="1">
      <c r="E78" s="1124"/>
    </row>
    <row r="79" spans="2:14" ht="15" customHeight="1">
      <c r="E79" s="1133" t="s">
        <v>2389</v>
      </c>
      <c r="F79" s="1164" t="s">
        <v>2385</v>
      </c>
      <c r="G79" s="1165">
        <f>G27</f>
        <v>99.25</v>
      </c>
    </row>
    <row r="80" spans="2:14" ht="15" customHeight="1">
      <c r="E80" s="1133" t="s">
        <v>2328</v>
      </c>
      <c r="F80" s="1164" t="s">
        <v>2385</v>
      </c>
      <c r="G80" s="1175">
        <v>25000</v>
      </c>
    </row>
    <row r="81" spans="2:14" ht="15" customHeight="1">
      <c r="E81" s="1169" t="s">
        <v>2349</v>
      </c>
      <c r="F81" s="1090"/>
      <c r="G81" s="1174">
        <f>G77*G80*G64</f>
        <v>2481250</v>
      </c>
    </row>
    <row r="82" spans="2:14" ht="15" customHeight="1">
      <c r="C82" s="1124"/>
      <c r="E82" s="1124"/>
    </row>
    <row r="83" spans="2:14" ht="15" customHeight="1">
      <c r="E83" s="1169" t="s">
        <v>2326</v>
      </c>
      <c r="G83" s="1174">
        <f>G81+G69+G65</f>
        <v>7642250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2371</v>
      </c>
      <c r="G87" s="1087" t="s">
        <v>678</v>
      </c>
      <c r="L87" s="2156" t="s">
        <v>2355</v>
      </c>
      <c r="M87" s="2157"/>
      <c r="N87" s="1182">
        <v>30000</v>
      </c>
    </row>
    <row r="88" spans="2:14" ht="15" customHeight="1">
      <c r="C88" s="1124" t="s">
        <v>2372</v>
      </c>
      <c r="G88" s="1128" t="str">
        <f>IF(Application!D210="Large Family","Yes","No")</f>
        <v>Yes</v>
      </c>
      <c r="L88" s="2150" t="s">
        <v>2319</v>
      </c>
      <c r="M88" s="2151"/>
      <c r="N88" s="1183">
        <v>20000</v>
      </c>
    </row>
    <row r="89" spans="2:14" ht="15" customHeight="1" thickBot="1">
      <c r="C89" s="1124" t="s">
        <v>2353</v>
      </c>
      <c r="G89" s="1087" t="s">
        <v>678</v>
      </c>
      <c r="L89" s="2152" t="s">
        <v>2356</v>
      </c>
      <c r="M89" s="2153"/>
      <c r="N89" s="1184">
        <v>10000</v>
      </c>
    </row>
    <row r="90" spans="2:14" ht="15" customHeight="1">
      <c r="C90" s="1124" t="s">
        <v>2354</v>
      </c>
      <c r="G90" s="1088" t="str">
        <f>Application!T193</f>
        <v>High Resource</v>
      </c>
    </row>
    <row r="91" spans="2:14" ht="15" customHeight="1">
      <c r="C91" s="1124"/>
    </row>
    <row r="92" spans="2:14" ht="15" customHeight="1">
      <c r="E92" s="1133" t="s">
        <v>2392</v>
      </c>
      <c r="G92" s="1126" t="b">
        <f>AND(COUNTIFS(G88:G89,"Yes")&gt;=1,G87="Yes")</f>
        <v>0</v>
      </c>
    </row>
    <row r="93" spans="2:14" ht="15" customHeight="1">
      <c r="E93" s="1133"/>
      <c r="G93" s="1126"/>
    </row>
    <row r="94" spans="2:14" ht="15" customHeight="1">
      <c r="E94" s="1133" t="s">
        <v>2328</v>
      </c>
      <c r="G94" s="1125">
        <f>IFERROR(INDEX(N87:N89,MATCH(LEFT(G90,17),L87:L89,0)),0)</f>
        <v>20000</v>
      </c>
    </row>
    <row r="95" spans="2:14" ht="15" customHeight="1">
      <c r="E95" s="1133" t="str">
        <f>E64</f>
        <v>Bedroom-Adjusted Low-Income Units</v>
      </c>
      <c r="F95" s="1164" t="s">
        <v>2385</v>
      </c>
      <c r="G95" s="1165">
        <f>G27</f>
        <v>99.25</v>
      </c>
    </row>
    <row r="96" spans="2:14" ht="15" customHeight="1">
      <c r="D96" s="1090"/>
      <c r="E96" s="1169" t="s">
        <v>2327</v>
      </c>
      <c r="F96" s="1090"/>
      <c r="G96" s="1174">
        <f>G95*G94*G92</f>
        <v>0</v>
      </c>
    </row>
    <row r="97" spans="2:9" ht="15" customHeight="1"/>
    <row r="98" spans="2:9" ht="15" customHeight="1">
      <c r="B98" s="1113" t="s">
        <v>2340</v>
      </c>
      <c r="C98" s="1114"/>
      <c r="D98" s="1114"/>
      <c r="E98" s="1114"/>
      <c r="F98" s="1114"/>
      <c r="G98" s="1114"/>
      <c r="H98" s="1114"/>
      <c r="I98" s="1115"/>
    </row>
    <row r="99" spans="2:9" ht="15" customHeight="1"/>
    <row r="100" spans="2:9" ht="15" customHeight="1">
      <c r="F100" s="1167" t="s">
        <v>2366</v>
      </c>
      <c r="G100" s="1087"/>
    </row>
    <row r="101" spans="2:9" ht="15" customHeight="1">
      <c r="F101" s="1167"/>
    </row>
    <row r="102" spans="2:9" ht="15" customHeight="1">
      <c r="E102" s="1133" t="s">
        <v>2392</v>
      </c>
      <c r="G102" s="1126" t="b">
        <f>G100="Yes"</f>
        <v>0</v>
      </c>
    </row>
    <row r="103" spans="2:9" ht="15" customHeight="1"/>
    <row r="104" spans="2:9" ht="15" customHeight="1">
      <c r="E104" s="1133" t="str">
        <f>E64</f>
        <v>Bedroom-Adjusted Low-Income Units</v>
      </c>
      <c r="G104" s="1165">
        <f>G27</f>
        <v>99.25</v>
      </c>
    </row>
    <row r="105" spans="2:9" ht="15" customHeight="1">
      <c r="E105" s="1133" t="s">
        <v>2328</v>
      </c>
      <c r="F105" s="1164" t="s">
        <v>2385</v>
      </c>
      <c r="G105" s="1094">
        <v>20000</v>
      </c>
    </row>
    <row r="106" spans="2:9" ht="15" customHeight="1">
      <c r="E106" s="1169" t="s">
        <v>2357</v>
      </c>
      <c r="F106" s="1090"/>
      <c r="G106" s="1174">
        <f>G102*G105*G104</f>
        <v>0</v>
      </c>
    </row>
    <row r="107" spans="2:9" ht="15" customHeight="1"/>
    <row r="108" spans="2:9" ht="15" customHeight="1">
      <c r="B108" s="1113" t="s">
        <v>2394</v>
      </c>
      <c r="C108" s="1114"/>
      <c r="D108" s="1114"/>
      <c r="E108" s="1114"/>
      <c r="F108" s="1114"/>
      <c r="G108" s="1114"/>
      <c r="H108" s="1114"/>
      <c r="I108" s="1115"/>
    </row>
    <row r="109" spans="2:9" ht="15" customHeight="1"/>
    <row r="110" spans="2:9" ht="15" customHeight="1">
      <c r="E110" s="1133" t="s">
        <v>591</v>
      </c>
      <c r="G110" s="1088" t="str">
        <f>IF(Application!T189="","",Application!T189)</f>
        <v>Orange</v>
      </c>
    </row>
    <row r="111" spans="2:9" ht="15" customHeight="1">
      <c r="E111" s="1133"/>
      <c r="G111" s="1125"/>
    </row>
    <row r="112" spans="2:9" ht="15" customHeight="1">
      <c r="E112" s="1133" t="str">
        <f>"2-Bedroom "&amp;G110&amp;" County Basis Limit"</f>
        <v>2-Bedroom Orange County Basis Limit</v>
      </c>
      <c r="G112" s="1125">
        <f>Application!R957</f>
        <v>552000</v>
      </c>
    </row>
    <row r="113" spans="4:9" ht="15" customHeight="1">
      <c r="E113" s="1133" t="s">
        <v>2393</v>
      </c>
      <c r="G113" s="1125">
        <f>MEDIAN((Application!BR795:BR852))</f>
        <v>489600</v>
      </c>
    </row>
    <row r="114" spans="4:9" ht="15" customHeight="1">
      <c r="D114" s="1090"/>
      <c r="E114" s="1169" t="s">
        <v>2395</v>
      </c>
      <c r="F114" s="1185"/>
      <c r="G114" s="1186">
        <f>((G112-G113)/G113)*0.25</f>
        <v>3.1862745098039214E-2</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Maria Medina</cp:lastModifiedBy>
  <cp:lastPrinted>2022-06-02T00:41:49Z</cp:lastPrinted>
  <dcterms:created xsi:type="dcterms:W3CDTF">2007-12-27T18:26:28Z</dcterms:created>
  <dcterms:modified xsi:type="dcterms:W3CDTF">2023-09-05T15:17:06Z</dcterms:modified>
</cp:coreProperties>
</file>